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EstaPastaDeTrabalho"/>
  <mc:AlternateContent xmlns:mc="http://schemas.openxmlformats.org/markup-compatibility/2006">
    <mc:Choice Requires="x15">
      <x15ac:absPath xmlns:x15ac="http://schemas.microsoft.com/office/spreadsheetml/2010/11/ac" url="https://d.docs.live.net/3d97c270e6709578/6) LOCALHOST/Localhost_Ciclo de ativos/"/>
    </mc:Choice>
  </mc:AlternateContent>
  <xr:revisionPtr revIDLastSave="149" documentId="14_{A5EABD21-7064-4095-BC14-0AD94CB3E724}" xr6:coauthVersionLast="47" xr6:coauthVersionMax="47" xr10:uidLastSave="{070A1E86-0B15-495F-8A4D-F12A4E11B8C8}"/>
  <bookViews>
    <workbookView xWindow="-120" yWindow="-120" windowWidth="20730" windowHeight="11160" firstSheet="1" activeTab="1" xr2:uid="{00000000-000D-0000-FFFF-FFFF00000000}"/>
  </bookViews>
  <sheets>
    <sheet name="Bovespa" sheetId="1" r:id="rId1"/>
    <sheet name="Streamlit" sheetId="9" r:id="rId2"/>
    <sheet name="BDR" sheetId="13" r:id="rId3"/>
    <sheet name="ETF" sheetId="11" r:id="rId4"/>
    <sheet name="FII" sheetId="12" r:id="rId5"/>
    <sheet name="Criptos" sheetId="10" r:id="rId6"/>
    <sheet name="Cotacoes" sheetId="4" r:id="rId7"/>
    <sheet name="Fundamentus" sheetId="6" r:id="rId8"/>
  </sheets>
  <definedNames>
    <definedName name="_xlnm._FilterDatabase" localSheetId="0" hidden="1">Bovespa!$A$5:$FM$271</definedName>
    <definedName name="_xlnm._FilterDatabase" localSheetId="7" hidden="1">Fundamentus!$A$1:$U$425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R7" i="1" l="1"/>
  <c r="CR8" i="1"/>
  <c r="CR9" i="1"/>
  <c r="CR10" i="1"/>
  <c r="CR11" i="1"/>
  <c r="CR12" i="1"/>
  <c r="CR13" i="1"/>
  <c r="CR14" i="1"/>
  <c r="CR15" i="1"/>
  <c r="CR16" i="1"/>
  <c r="CR17" i="1"/>
  <c r="CR18" i="1"/>
  <c r="CR19" i="1"/>
  <c r="CR20" i="1"/>
  <c r="CR21" i="1"/>
  <c r="CR22" i="1"/>
  <c r="CR23" i="1"/>
  <c r="CR24" i="1"/>
  <c r="CR25" i="1"/>
  <c r="CR26" i="1"/>
  <c r="CR27" i="1"/>
  <c r="CR28" i="1"/>
  <c r="CR29" i="1"/>
  <c r="CR30" i="1"/>
  <c r="CR31" i="1"/>
  <c r="CR32" i="1"/>
  <c r="CR33" i="1"/>
  <c r="CR34" i="1"/>
  <c r="CR35" i="1"/>
  <c r="CR36" i="1"/>
  <c r="CR37" i="1"/>
  <c r="CR38" i="1"/>
  <c r="CR39" i="1"/>
  <c r="CR40" i="1"/>
  <c r="CR41" i="1"/>
  <c r="CR42" i="1"/>
  <c r="CR43" i="1"/>
  <c r="CR44" i="1"/>
  <c r="CR45" i="1"/>
  <c r="CR46" i="1"/>
  <c r="CR47" i="1"/>
  <c r="CR48" i="1"/>
  <c r="CR49" i="1"/>
  <c r="CR50" i="1"/>
  <c r="CR51" i="1"/>
  <c r="CR52" i="1"/>
  <c r="CR53" i="1"/>
  <c r="CR54" i="1"/>
  <c r="CR55" i="1"/>
  <c r="CR56" i="1"/>
  <c r="CR57" i="1"/>
  <c r="CR58" i="1"/>
  <c r="CR59" i="1"/>
  <c r="CR60" i="1"/>
  <c r="CR61" i="1"/>
  <c r="CR62" i="1"/>
  <c r="CR63" i="1"/>
  <c r="CR64" i="1"/>
  <c r="CR65" i="1"/>
  <c r="CR66" i="1"/>
  <c r="CR67" i="1"/>
  <c r="CR68" i="1"/>
  <c r="CR69" i="1"/>
  <c r="CR70" i="1"/>
  <c r="CR71" i="1"/>
  <c r="CR72" i="1"/>
  <c r="CR73" i="1"/>
  <c r="CR74" i="1"/>
  <c r="CR75" i="1"/>
  <c r="CR76" i="1"/>
  <c r="CR77" i="1"/>
  <c r="CR78" i="1"/>
  <c r="CR79" i="1"/>
  <c r="CR80" i="1"/>
  <c r="CR81" i="1"/>
  <c r="CR82" i="1"/>
  <c r="CR83" i="1"/>
  <c r="CR84" i="1"/>
  <c r="CR85" i="1"/>
  <c r="CR86" i="1"/>
  <c r="CR87" i="1"/>
  <c r="CR88" i="1"/>
  <c r="CR89" i="1"/>
  <c r="CR90" i="1"/>
  <c r="CR91" i="1"/>
  <c r="CR92" i="1"/>
  <c r="CR93" i="1"/>
  <c r="CR94" i="1"/>
  <c r="CR95" i="1"/>
  <c r="CR96" i="1"/>
  <c r="CR97" i="1"/>
  <c r="CR98" i="1"/>
  <c r="CR99" i="1"/>
  <c r="CR100" i="1"/>
  <c r="CR101" i="1"/>
  <c r="CR102" i="1"/>
  <c r="CR103" i="1"/>
  <c r="CR104" i="1"/>
  <c r="CR105" i="1"/>
  <c r="CR106" i="1"/>
  <c r="CR107" i="1"/>
  <c r="CR108" i="1"/>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CR145" i="1"/>
  <c r="CR146" i="1"/>
  <c r="CR147" i="1"/>
  <c r="CR148" i="1"/>
  <c r="CR149" i="1"/>
  <c r="CR150" i="1"/>
  <c r="CR151" i="1"/>
  <c r="CR152" i="1"/>
  <c r="CR153" i="1"/>
  <c r="CR154" i="1"/>
  <c r="CR155" i="1"/>
  <c r="CR156" i="1"/>
  <c r="CR157" i="1"/>
  <c r="CR158" i="1"/>
  <c r="CR159" i="1"/>
  <c r="CR160" i="1"/>
  <c r="CR161" i="1"/>
  <c r="CR162" i="1"/>
  <c r="CR163" i="1"/>
  <c r="CR164" i="1"/>
  <c r="CR165" i="1"/>
  <c r="CR166" i="1"/>
  <c r="CR167" i="1"/>
  <c r="CR168" i="1"/>
  <c r="CR169" i="1"/>
  <c r="CR170" i="1"/>
  <c r="CR171" i="1"/>
  <c r="CR172" i="1"/>
  <c r="CR173" i="1"/>
  <c r="CR174" i="1"/>
  <c r="CR175" i="1"/>
  <c r="CR176" i="1"/>
  <c r="CR177" i="1"/>
  <c r="CR178" i="1"/>
  <c r="CR179" i="1"/>
  <c r="CR180" i="1"/>
  <c r="CR181" i="1"/>
  <c r="CR182" i="1"/>
  <c r="CR183" i="1"/>
  <c r="CR184" i="1"/>
  <c r="CR185" i="1"/>
  <c r="CR186" i="1"/>
  <c r="CR187" i="1"/>
  <c r="CR188" i="1"/>
  <c r="CR189" i="1"/>
  <c r="CR190" i="1"/>
  <c r="CR191" i="1"/>
  <c r="CR192" i="1"/>
  <c r="CR193" i="1"/>
  <c r="CR194" i="1"/>
  <c r="CR195" i="1"/>
  <c r="CR196" i="1"/>
  <c r="CR197" i="1"/>
  <c r="CR198" i="1"/>
  <c r="CR199" i="1"/>
  <c r="CR200" i="1"/>
  <c r="CR201" i="1"/>
  <c r="CR202" i="1"/>
  <c r="CR203" i="1"/>
  <c r="CR204" i="1"/>
  <c r="CR205" i="1"/>
  <c r="CR206" i="1"/>
  <c r="CR207" i="1"/>
  <c r="CR208" i="1"/>
  <c r="CR209" i="1"/>
  <c r="CR210" i="1"/>
  <c r="CR211" i="1"/>
  <c r="CR212" i="1"/>
  <c r="CR213" i="1"/>
  <c r="CR214" i="1"/>
  <c r="CR215" i="1"/>
  <c r="CR216" i="1"/>
  <c r="CR217" i="1"/>
  <c r="CR218" i="1"/>
  <c r="CR219" i="1"/>
  <c r="CR220" i="1"/>
  <c r="CR221" i="1"/>
  <c r="CR222" i="1"/>
  <c r="CR223" i="1"/>
  <c r="CR224" i="1"/>
  <c r="CR225" i="1"/>
  <c r="CR226" i="1"/>
  <c r="CR227" i="1"/>
  <c r="CR228" i="1"/>
  <c r="CR229" i="1"/>
  <c r="CR230" i="1"/>
  <c r="CR231" i="1"/>
  <c r="CR232" i="1"/>
  <c r="CR233" i="1"/>
  <c r="CR234" i="1"/>
  <c r="CR235" i="1"/>
  <c r="CR236" i="1"/>
  <c r="CR237" i="1"/>
  <c r="CR238" i="1"/>
  <c r="CR239" i="1"/>
  <c r="CR240" i="1"/>
  <c r="CR241" i="1"/>
  <c r="CR242" i="1"/>
  <c r="CR243" i="1"/>
  <c r="CR244" i="1"/>
  <c r="CR245" i="1"/>
  <c r="CR246" i="1"/>
  <c r="CR247" i="1"/>
  <c r="CR248" i="1"/>
  <c r="CR249" i="1"/>
  <c r="CR250" i="1"/>
  <c r="CR251" i="1"/>
  <c r="CR252" i="1"/>
  <c r="CR253" i="1"/>
  <c r="CR254" i="1"/>
  <c r="CR255" i="1"/>
  <c r="CR256" i="1"/>
  <c r="CR257" i="1"/>
  <c r="CR258" i="1"/>
  <c r="CR259" i="1"/>
  <c r="CR260" i="1"/>
  <c r="CR261" i="1"/>
  <c r="CR262" i="1"/>
  <c r="CR263" i="1"/>
  <c r="CR264" i="1"/>
  <c r="CR265" i="1"/>
  <c r="CR266" i="1"/>
  <c r="CR267" i="1"/>
  <c r="CR268" i="1"/>
  <c r="CR269" i="1"/>
  <c r="CR270" i="1"/>
  <c r="CR271" i="1"/>
  <c r="CR6" i="1"/>
  <c r="CK7" i="1"/>
  <c r="CK8" i="1"/>
  <c r="CK9" i="1"/>
  <c r="CK10" i="1"/>
  <c r="CK11" i="1"/>
  <c r="CK12" i="1"/>
  <c r="CK13" i="1"/>
  <c r="CK14" i="1"/>
  <c r="CK15" i="1"/>
  <c r="CK16" i="1"/>
  <c r="CK17" i="1"/>
  <c r="CK18" i="1"/>
  <c r="CK19" i="1"/>
  <c r="CK20" i="1"/>
  <c r="CK21" i="1"/>
  <c r="CK22" i="1"/>
  <c r="CK23" i="1"/>
  <c r="CK24" i="1"/>
  <c r="CK25" i="1"/>
  <c r="CK26" i="1"/>
  <c r="CK27" i="1"/>
  <c r="CK28" i="1"/>
  <c r="CK29" i="1"/>
  <c r="CK30" i="1"/>
  <c r="CK31" i="1"/>
  <c r="CK32" i="1"/>
  <c r="CK33" i="1"/>
  <c r="CK34" i="1"/>
  <c r="CK35" i="1"/>
  <c r="CK36" i="1"/>
  <c r="CK37" i="1"/>
  <c r="CK38" i="1"/>
  <c r="CK39" i="1"/>
  <c r="CK40" i="1"/>
  <c r="CK41" i="1"/>
  <c r="CK42" i="1"/>
  <c r="CK43" i="1"/>
  <c r="CK44" i="1"/>
  <c r="CK45" i="1"/>
  <c r="CK46" i="1"/>
  <c r="CK47" i="1"/>
  <c r="CK48" i="1"/>
  <c r="CK49" i="1"/>
  <c r="CK50" i="1"/>
  <c r="CK51" i="1"/>
  <c r="CK52" i="1"/>
  <c r="CK53" i="1"/>
  <c r="CK54" i="1"/>
  <c r="CK55" i="1"/>
  <c r="CK56" i="1"/>
  <c r="CK57" i="1"/>
  <c r="CK58" i="1"/>
  <c r="CK59" i="1"/>
  <c r="CK60" i="1"/>
  <c r="CK61" i="1"/>
  <c r="CK62" i="1"/>
  <c r="CK63" i="1"/>
  <c r="CK64" i="1"/>
  <c r="CK65" i="1"/>
  <c r="CK66" i="1"/>
  <c r="CK67" i="1"/>
  <c r="CK68" i="1"/>
  <c r="CK69" i="1"/>
  <c r="CK70" i="1"/>
  <c r="CK71" i="1"/>
  <c r="CK72" i="1"/>
  <c r="CK73" i="1"/>
  <c r="CK74" i="1"/>
  <c r="CK75" i="1"/>
  <c r="CK76" i="1"/>
  <c r="CK77" i="1"/>
  <c r="CK78" i="1"/>
  <c r="CK79" i="1"/>
  <c r="CK80" i="1"/>
  <c r="CK81" i="1"/>
  <c r="CK82" i="1"/>
  <c r="CK83" i="1"/>
  <c r="CK84" i="1"/>
  <c r="CK85" i="1"/>
  <c r="CK86" i="1"/>
  <c r="CK87" i="1"/>
  <c r="CK88" i="1"/>
  <c r="CK89" i="1"/>
  <c r="CK90" i="1"/>
  <c r="CK91" i="1"/>
  <c r="CK92" i="1"/>
  <c r="CK93" i="1"/>
  <c r="CK94" i="1"/>
  <c r="CK95" i="1"/>
  <c r="CK96" i="1"/>
  <c r="CK97" i="1"/>
  <c r="CK98" i="1"/>
  <c r="CK99" i="1"/>
  <c r="CK100" i="1"/>
  <c r="CK101" i="1"/>
  <c r="CK102" i="1"/>
  <c r="CK103" i="1"/>
  <c r="CK104" i="1"/>
  <c r="CK105" i="1"/>
  <c r="CK106" i="1"/>
  <c r="CK107" i="1"/>
  <c r="CK108" i="1"/>
  <c r="CK109" i="1"/>
  <c r="CK110" i="1"/>
  <c r="CK111" i="1"/>
  <c r="CK112" i="1"/>
  <c r="CK113" i="1"/>
  <c r="CK114" i="1"/>
  <c r="CK115" i="1"/>
  <c r="CK116" i="1"/>
  <c r="CK117" i="1"/>
  <c r="CK118" i="1"/>
  <c r="CK119" i="1"/>
  <c r="CK120" i="1"/>
  <c r="CK121" i="1"/>
  <c r="CK122" i="1"/>
  <c r="CK123" i="1"/>
  <c r="CK124" i="1"/>
  <c r="CK125" i="1"/>
  <c r="CK126" i="1"/>
  <c r="CK127" i="1"/>
  <c r="CK128" i="1"/>
  <c r="CK129" i="1"/>
  <c r="CK130" i="1"/>
  <c r="CK131" i="1"/>
  <c r="CK132" i="1"/>
  <c r="CK133" i="1"/>
  <c r="CK134" i="1"/>
  <c r="CK135" i="1"/>
  <c r="CK136" i="1"/>
  <c r="CK137" i="1"/>
  <c r="CK138" i="1"/>
  <c r="CK139" i="1"/>
  <c r="CK140" i="1"/>
  <c r="CK141" i="1"/>
  <c r="CK142" i="1"/>
  <c r="CK143" i="1"/>
  <c r="CK144" i="1"/>
  <c r="CK145" i="1"/>
  <c r="CK146" i="1"/>
  <c r="CK147" i="1"/>
  <c r="CK148" i="1"/>
  <c r="CK149" i="1"/>
  <c r="CK150" i="1"/>
  <c r="CK151" i="1"/>
  <c r="CK152" i="1"/>
  <c r="CK153" i="1"/>
  <c r="CK154" i="1"/>
  <c r="CK155" i="1"/>
  <c r="CK156" i="1"/>
  <c r="CK157" i="1"/>
  <c r="CK158" i="1"/>
  <c r="CK159" i="1"/>
  <c r="CK160" i="1"/>
  <c r="CK161" i="1"/>
  <c r="CK162" i="1"/>
  <c r="CK163" i="1"/>
  <c r="CK164" i="1"/>
  <c r="CK165" i="1"/>
  <c r="CK166" i="1"/>
  <c r="CK167" i="1"/>
  <c r="CK168" i="1"/>
  <c r="CK169" i="1"/>
  <c r="CK170" i="1"/>
  <c r="CK171" i="1"/>
  <c r="CK172" i="1"/>
  <c r="CK173" i="1"/>
  <c r="CK174" i="1"/>
  <c r="CK175" i="1"/>
  <c r="CK176" i="1"/>
  <c r="CK177" i="1"/>
  <c r="CK178" i="1"/>
  <c r="CK179" i="1"/>
  <c r="CK180" i="1"/>
  <c r="CK181" i="1"/>
  <c r="CK182" i="1"/>
  <c r="CK183" i="1"/>
  <c r="CK184" i="1"/>
  <c r="CK185" i="1"/>
  <c r="CK186" i="1"/>
  <c r="CK187" i="1"/>
  <c r="CK188" i="1"/>
  <c r="CK189" i="1"/>
  <c r="CK190" i="1"/>
  <c r="CK191" i="1"/>
  <c r="CK192" i="1"/>
  <c r="CK193" i="1"/>
  <c r="CK194" i="1"/>
  <c r="CK195" i="1"/>
  <c r="CK196" i="1"/>
  <c r="CK197" i="1"/>
  <c r="CK198" i="1"/>
  <c r="CK199" i="1"/>
  <c r="CK200" i="1"/>
  <c r="CK201" i="1"/>
  <c r="CK202" i="1"/>
  <c r="CK203" i="1"/>
  <c r="CK204" i="1"/>
  <c r="CK205" i="1"/>
  <c r="CK206" i="1"/>
  <c r="CK207" i="1"/>
  <c r="CK208" i="1"/>
  <c r="CK209" i="1"/>
  <c r="CK210" i="1"/>
  <c r="CK211" i="1"/>
  <c r="CK212" i="1"/>
  <c r="CK213" i="1"/>
  <c r="CK214" i="1"/>
  <c r="CK215" i="1"/>
  <c r="CK216" i="1"/>
  <c r="CK217" i="1"/>
  <c r="CK218" i="1"/>
  <c r="CK219" i="1"/>
  <c r="CK220" i="1"/>
  <c r="CK221" i="1"/>
  <c r="CK222" i="1"/>
  <c r="CK223" i="1"/>
  <c r="CK224" i="1"/>
  <c r="CK225" i="1"/>
  <c r="CK226" i="1"/>
  <c r="CK227" i="1"/>
  <c r="CK228" i="1"/>
  <c r="CK229" i="1"/>
  <c r="CK230" i="1"/>
  <c r="CK231" i="1"/>
  <c r="CK232" i="1"/>
  <c r="CK233" i="1"/>
  <c r="CK234" i="1"/>
  <c r="CK235" i="1"/>
  <c r="CK236" i="1"/>
  <c r="CK237" i="1"/>
  <c r="CK238" i="1"/>
  <c r="CK239" i="1"/>
  <c r="CK240" i="1"/>
  <c r="CK241" i="1"/>
  <c r="CK242" i="1"/>
  <c r="CK243" i="1"/>
  <c r="CK244" i="1"/>
  <c r="CK245" i="1"/>
  <c r="CK246" i="1"/>
  <c r="CK247" i="1"/>
  <c r="CK248" i="1"/>
  <c r="CK249" i="1"/>
  <c r="CK250" i="1"/>
  <c r="CK251" i="1"/>
  <c r="CK252" i="1"/>
  <c r="CK253" i="1"/>
  <c r="CK254" i="1"/>
  <c r="CK255" i="1"/>
  <c r="CK256" i="1"/>
  <c r="CK257" i="1"/>
  <c r="CK258" i="1"/>
  <c r="CK259" i="1"/>
  <c r="CK260" i="1"/>
  <c r="CK261" i="1"/>
  <c r="CK262" i="1"/>
  <c r="CK263" i="1"/>
  <c r="CK264" i="1"/>
  <c r="CK265" i="1"/>
  <c r="CK266" i="1"/>
  <c r="CK267" i="1"/>
  <c r="CK268" i="1"/>
  <c r="CK269" i="1"/>
  <c r="CK270" i="1"/>
  <c r="CK271" i="1"/>
  <c r="CK6" i="1"/>
  <c r="CF7" i="1"/>
  <c r="CG7" i="1"/>
  <c r="CH7" i="1"/>
  <c r="CF8" i="1"/>
  <c r="CG8" i="1"/>
  <c r="CH8" i="1"/>
  <c r="CF9" i="1"/>
  <c r="CG9" i="1"/>
  <c r="CH9" i="1"/>
  <c r="CF10" i="1"/>
  <c r="CG10" i="1"/>
  <c r="CH10" i="1"/>
  <c r="CF11" i="1"/>
  <c r="CG11" i="1"/>
  <c r="CH11" i="1"/>
  <c r="CF12" i="1"/>
  <c r="CG12" i="1"/>
  <c r="CH12" i="1"/>
  <c r="CF13" i="1"/>
  <c r="CG13" i="1"/>
  <c r="CH13" i="1"/>
  <c r="CF14" i="1"/>
  <c r="CG14" i="1"/>
  <c r="CH14" i="1"/>
  <c r="CF15" i="1"/>
  <c r="CG15" i="1"/>
  <c r="CH15" i="1"/>
  <c r="CF16" i="1"/>
  <c r="CG16" i="1"/>
  <c r="CH16" i="1"/>
  <c r="CF17" i="1"/>
  <c r="CG17" i="1"/>
  <c r="CH17" i="1"/>
  <c r="CF18" i="1"/>
  <c r="CG18" i="1"/>
  <c r="CH18" i="1"/>
  <c r="CF19" i="1"/>
  <c r="CG19" i="1"/>
  <c r="CH19" i="1"/>
  <c r="CF20" i="1"/>
  <c r="CG20" i="1"/>
  <c r="CH20" i="1"/>
  <c r="CF21" i="1"/>
  <c r="CG21" i="1"/>
  <c r="CH21" i="1"/>
  <c r="CF22" i="1"/>
  <c r="CG22" i="1"/>
  <c r="CH22" i="1"/>
  <c r="CF23" i="1"/>
  <c r="CG23" i="1"/>
  <c r="CH23" i="1"/>
  <c r="CF24" i="1"/>
  <c r="CG24" i="1"/>
  <c r="CH24" i="1"/>
  <c r="CF25" i="1"/>
  <c r="CG25" i="1"/>
  <c r="CH25" i="1"/>
  <c r="CF26" i="1"/>
  <c r="CG26" i="1"/>
  <c r="CH26" i="1"/>
  <c r="CF27" i="1"/>
  <c r="CG27" i="1"/>
  <c r="CH27" i="1"/>
  <c r="CF28" i="1"/>
  <c r="CG28" i="1"/>
  <c r="CH28" i="1"/>
  <c r="CF29" i="1"/>
  <c r="CG29" i="1"/>
  <c r="CH29" i="1"/>
  <c r="CF30" i="1"/>
  <c r="CG30" i="1"/>
  <c r="CH30" i="1"/>
  <c r="CF31" i="1"/>
  <c r="CG31" i="1"/>
  <c r="CH31" i="1"/>
  <c r="CF32" i="1"/>
  <c r="CG32" i="1"/>
  <c r="CH32" i="1"/>
  <c r="CF33" i="1"/>
  <c r="CG33" i="1"/>
  <c r="CH33" i="1"/>
  <c r="CF34" i="1"/>
  <c r="CG34" i="1"/>
  <c r="CH34" i="1"/>
  <c r="CF35" i="1"/>
  <c r="CG35" i="1"/>
  <c r="CH35" i="1"/>
  <c r="CF36" i="1"/>
  <c r="CG36" i="1"/>
  <c r="CH36" i="1"/>
  <c r="CF37" i="1"/>
  <c r="CG37" i="1"/>
  <c r="CH37" i="1"/>
  <c r="CF38" i="1"/>
  <c r="CG38" i="1"/>
  <c r="CH38" i="1"/>
  <c r="CF39" i="1"/>
  <c r="CG39" i="1"/>
  <c r="CH39" i="1"/>
  <c r="CF40" i="1"/>
  <c r="CG40" i="1"/>
  <c r="CH40" i="1"/>
  <c r="CF41" i="1"/>
  <c r="CG41" i="1"/>
  <c r="CH41" i="1"/>
  <c r="CF42" i="1"/>
  <c r="CG42" i="1"/>
  <c r="CH42" i="1"/>
  <c r="CF43" i="1"/>
  <c r="CG43" i="1"/>
  <c r="CH43" i="1"/>
  <c r="CF44" i="1"/>
  <c r="CG44" i="1"/>
  <c r="CH44" i="1"/>
  <c r="CF45" i="1"/>
  <c r="CG45" i="1"/>
  <c r="CH45" i="1"/>
  <c r="CF46" i="1"/>
  <c r="CG46" i="1"/>
  <c r="CH46" i="1"/>
  <c r="CF47" i="1"/>
  <c r="CG47" i="1"/>
  <c r="CH47" i="1"/>
  <c r="CF48" i="1"/>
  <c r="CG48" i="1"/>
  <c r="CH48" i="1"/>
  <c r="CF49" i="1"/>
  <c r="CG49" i="1"/>
  <c r="CH49" i="1"/>
  <c r="CF50" i="1"/>
  <c r="CG50" i="1"/>
  <c r="CH50" i="1"/>
  <c r="CF51" i="1"/>
  <c r="CG51" i="1"/>
  <c r="CH51" i="1"/>
  <c r="CF52" i="1"/>
  <c r="CG52" i="1"/>
  <c r="CH52" i="1"/>
  <c r="CF53" i="1"/>
  <c r="CG53" i="1"/>
  <c r="CH53" i="1"/>
  <c r="CF54" i="1"/>
  <c r="CG54" i="1"/>
  <c r="CH54" i="1"/>
  <c r="CF55" i="1"/>
  <c r="CG55" i="1"/>
  <c r="CH55" i="1"/>
  <c r="CF56" i="1"/>
  <c r="CG56" i="1"/>
  <c r="CH56" i="1"/>
  <c r="CF57" i="1"/>
  <c r="CG57" i="1"/>
  <c r="CH57" i="1"/>
  <c r="CF58" i="1"/>
  <c r="CG58" i="1"/>
  <c r="CH58" i="1"/>
  <c r="CF59" i="1"/>
  <c r="CG59" i="1"/>
  <c r="CH59" i="1"/>
  <c r="CF60" i="1"/>
  <c r="CG60" i="1"/>
  <c r="CH60" i="1"/>
  <c r="CF61" i="1"/>
  <c r="CG61" i="1"/>
  <c r="CH61" i="1"/>
  <c r="CF62" i="1"/>
  <c r="CG62" i="1"/>
  <c r="CH62" i="1"/>
  <c r="CF63" i="1"/>
  <c r="CG63" i="1"/>
  <c r="CH63" i="1"/>
  <c r="CF64" i="1"/>
  <c r="CG64" i="1"/>
  <c r="CH64" i="1"/>
  <c r="CF65" i="1"/>
  <c r="CG65" i="1"/>
  <c r="CH65" i="1"/>
  <c r="CF66" i="1"/>
  <c r="CG66" i="1"/>
  <c r="CH66" i="1"/>
  <c r="CF67" i="1"/>
  <c r="CG67" i="1"/>
  <c r="CH67" i="1"/>
  <c r="CF68" i="1"/>
  <c r="CG68" i="1"/>
  <c r="CH68" i="1"/>
  <c r="CF69" i="1"/>
  <c r="CG69" i="1"/>
  <c r="CH69" i="1"/>
  <c r="CF70" i="1"/>
  <c r="CG70" i="1"/>
  <c r="CH70" i="1"/>
  <c r="CF71" i="1"/>
  <c r="CG71" i="1"/>
  <c r="CH71" i="1"/>
  <c r="CF72" i="1"/>
  <c r="CG72" i="1"/>
  <c r="CH72" i="1"/>
  <c r="CF73" i="1"/>
  <c r="CG73" i="1"/>
  <c r="CH73" i="1"/>
  <c r="CF74" i="1"/>
  <c r="CG74" i="1"/>
  <c r="CH74" i="1"/>
  <c r="CF75" i="1"/>
  <c r="CG75" i="1"/>
  <c r="CH75" i="1"/>
  <c r="CF76" i="1"/>
  <c r="CG76" i="1"/>
  <c r="CH76" i="1"/>
  <c r="CF77" i="1"/>
  <c r="CG77" i="1"/>
  <c r="CH77" i="1"/>
  <c r="CF78" i="1"/>
  <c r="CG78" i="1"/>
  <c r="CH78" i="1"/>
  <c r="CF79" i="1"/>
  <c r="CG79" i="1"/>
  <c r="CH79" i="1"/>
  <c r="CF80" i="1"/>
  <c r="CG80" i="1"/>
  <c r="CH80" i="1"/>
  <c r="CF81" i="1"/>
  <c r="CG81" i="1"/>
  <c r="CH81" i="1"/>
  <c r="CF82" i="1"/>
  <c r="CG82" i="1"/>
  <c r="CH82" i="1"/>
  <c r="CF83" i="1"/>
  <c r="CG83" i="1"/>
  <c r="CH83" i="1"/>
  <c r="CF84" i="1"/>
  <c r="CG84" i="1"/>
  <c r="CH84" i="1"/>
  <c r="CF85" i="1"/>
  <c r="CG85" i="1"/>
  <c r="CH85" i="1"/>
  <c r="CF86" i="1"/>
  <c r="CG86" i="1"/>
  <c r="CH86" i="1"/>
  <c r="CF87" i="1"/>
  <c r="CG87" i="1"/>
  <c r="CH87" i="1"/>
  <c r="CF88" i="1"/>
  <c r="CG88" i="1"/>
  <c r="CH88" i="1"/>
  <c r="CF89" i="1"/>
  <c r="CG89" i="1"/>
  <c r="CH89" i="1"/>
  <c r="CF90" i="1"/>
  <c r="CG90" i="1"/>
  <c r="CH90" i="1"/>
  <c r="CF91" i="1"/>
  <c r="CG91" i="1"/>
  <c r="CH91" i="1"/>
  <c r="CF92" i="1"/>
  <c r="CG92" i="1"/>
  <c r="CH92" i="1"/>
  <c r="CF93" i="1"/>
  <c r="CG93" i="1"/>
  <c r="CH93" i="1"/>
  <c r="CF94" i="1"/>
  <c r="CG94" i="1"/>
  <c r="CH94" i="1"/>
  <c r="CF95" i="1"/>
  <c r="CG95" i="1"/>
  <c r="CH95" i="1"/>
  <c r="CF96" i="1"/>
  <c r="CG96" i="1"/>
  <c r="CH96" i="1"/>
  <c r="CF97" i="1"/>
  <c r="CG97" i="1"/>
  <c r="CH97" i="1"/>
  <c r="CF98" i="1"/>
  <c r="CG98" i="1"/>
  <c r="CH98" i="1"/>
  <c r="CF99" i="1"/>
  <c r="CG99" i="1"/>
  <c r="CH99" i="1"/>
  <c r="CF100" i="1"/>
  <c r="CG100" i="1"/>
  <c r="CH100" i="1"/>
  <c r="CF101" i="1"/>
  <c r="CG101" i="1"/>
  <c r="CH101" i="1"/>
  <c r="CF102" i="1"/>
  <c r="CG102" i="1"/>
  <c r="CH102" i="1"/>
  <c r="CF103" i="1"/>
  <c r="CG103" i="1"/>
  <c r="CH103" i="1"/>
  <c r="CF104" i="1"/>
  <c r="CG104" i="1"/>
  <c r="CH104" i="1"/>
  <c r="CF105" i="1"/>
  <c r="CG105" i="1"/>
  <c r="CH105" i="1"/>
  <c r="CF106" i="1"/>
  <c r="CG106" i="1"/>
  <c r="CH106" i="1"/>
  <c r="CF107" i="1"/>
  <c r="CG107" i="1"/>
  <c r="CH107" i="1"/>
  <c r="CF108" i="1"/>
  <c r="CG108" i="1"/>
  <c r="CH108" i="1"/>
  <c r="CF109" i="1"/>
  <c r="CG109" i="1"/>
  <c r="CH109" i="1"/>
  <c r="CF110" i="1"/>
  <c r="CG110" i="1"/>
  <c r="CH110" i="1"/>
  <c r="CF111" i="1"/>
  <c r="CG111" i="1"/>
  <c r="CH111" i="1"/>
  <c r="CF112" i="1"/>
  <c r="CG112" i="1"/>
  <c r="CH112" i="1"/>
  <c r="CF113" i="1"/>
  <c r="CG113" i="1"/>
  <c r="CH113" i="1"/>
  <c r="CF114" i="1"/>
  <c r="CG114" i="1"/>
  <c r="CH114" i="1"/>
  <c r="CF115" i="1"/>
  <c r="CG115" i="1"/>
  <c r="CH115" i="1"/>
  <c r="CF116" i="1"/>
  <c r="CG116" i="1"/>
  <c r="CH116" i="1"/>
  <c r="CF117" i="1"/>
  <c r="CG117" i="1"/>
  <c r="CH117" i="1"/>
  <c r="CF118" i="1"/>
  <c r="CG118" i="1"/>
  <c r="CH118" i="1"/>
  <c r="CF119" i="1"/>
  <c r="CG119" i="1"/>
  <c r="CH119" i="1"/>
  <c r="CF120" i="1"/>
  <c r="CG120" i="1"/>
  <c r="CH120" i="1"/>
  <c r="CF121" i="1"/>
  <c r="CG121" i="1"/>
  <c r="CH121" i="1"/>
  <c r="CF122" i="1"/>
  <c r="CG122" i="1"/>
  <c r="CH122" i="1"/>
  <c r="CF123" i="1"/>
  <c r="CG123" i="1"/>
  <c r="CH123" i="1"/>
  <c r="CF124" i="1"/>
  <c r="CG124" i="1"/>
  <c r="CH124" i="1"/>
  <c r="CF125" i="1"/>
  <c r="CG125" i="1"/>
  <c r="CH125" i="1"/>
  <c r="CF126" i="1"/>
  <c r="CG126" i="1"/>
  <c r="CH126" i="1"/>
  <c r="CF127" i="1"/>
  <c r="CG127" i="1"/>
  <c r="CH127" i="1"/>
  <c r="CF128" i="1"/>
  <c r="CG128" i="1"/>
  <c r="CH128" i="1"/>
  <c r="CF129" i="1"/>
  <c r="CG129" i="1"/>
  <c r="CH129" i="1"/>
  <c r="CF130" i="1"/>
  <c r="CG130" i="1"/>
  <c r="CH130" i="1"/>
  <c r="CF131" i="1"/>
  <c r="CG131" i="1"/>
  <c r="CH131" i="1"/>
  <c r="CF132" i="1"/>
  <c r="CG132" i="1"/>
  <c r="CH132" i="1"/>
  <c r="CF133" i="1"/>
  <c r="CG133" i="1"/>
  <c r="CH133" i="1"/>
  <c r="CF134" i="1"/>
  <c r="CG134" i="1"/>
  <c r="CH134" i="1"/>
  <c r="CF135" i="1"/>
  <c r="CG135" i="1"/>
  <c r="CH135" i="1"/>
  <c r="CF136" i="1"/>
  <c r="CG136" i="1"/>
  <c r="CH136" i="1"/>
  <c r="CF137" i="1"/>
  <c r="CG137" i="1"/>
  <c r="CH137" i="1"/>
  <c r="CF138" i="1"/>
  <c r="CG138" i="1"/>
  <c r="CH138" i="1"/>
  <c r="CF139" i="1"/>
  <c r="CG139" i="1"/>
  <c r="CH139" i="1"/>
  <c r="CF140" i="1"/>
  <c r="CG140" i="1"/>
  <c r="CH140" i="1"/>
  <c r="CF141" i="1"/>
  <c r="CG141" i="1"/>
  <c r="CH141" i="1"/>
  <c r="CF142" i="1"/>
  <c r="CG142" i="1"/>
  <c r="CH142" i="1"/>
  <c r="CF143" i="1"/>
  <c r="CG143" i="1"/>
  <c r="CH143" i="1"/>
  <c r="CF144" i="1"/>
  <c r="CG144" i="1"/>
  <c r="CH144" i="1"/>
  <c r="CF145" i="1"/>
  <c r="CG145" i="1"/>
  <c r="CH145" i="1"/>
  <c r="CF146" i="1"/>
  <c r="CG146" i="1"/>
  <c r="CH146" i="1"/>
  <c r="CF147" i="1"/>
  <c r="CG147" i="1"/>
  <c r="CH147" i="1"/>
  <c r="CF148" i="1"/>
  <c r="CG148" i="1"/>
  <c r="CH148" i="1"/>
  <c r="CF149" i="1"/>
  <c r="CG149" i="1"/>
  <c r="CH149" i="1"/>
  <c r="CF150" i="1"/>
  <c r="CG150" i="1"/>
  <c r="CH150" i="1"/>
  <c r="CF151" i="1"/>
  <c r="CG151" i="1"/>
  <c r="CH151" i="1"/>
  <c r="CF152" i="1"/>
  <c r="CG152" i="1"/>
  <c r="CH152" i="1"/>
  <c r="CF153" i="1"/>
  <c r="CG153" i="1"/>
  <c r="CH153" i="1"/>
  <c r="CF154" i="1"/>
  <c r="CG154" i="1"/>
  <c r="CH154" i="1"/>
  <c r="CF155" i="1"/>
  <c r="CG155" i="1"/>
  <c r="CH155" i="1"/>
  <c r="CF156" i="1"/>
  <c r="CG156" i="1"/>
  <c r="CH156" i="1"/>
  <c r="CF157" i="1"/>
  <c r="CG157" i="1"/>
  <c r="CH157" i="1"/>
  <c r="CF158" i="1"/>
  <c r="CG158" i="1"/>
  <c r="CH158" i="1"/>
  <c r="CF159" i="1"/>
  <c r="CG159" i="1"/>
  <c r="CH159" i="1"/>
  <c r="CF160" i="1"/>
  <c r="CG160" i="1"/>
  <c r="CH160" i="1"/>
  <c r="CF161" i="1"/>
  <c r="CG161" i="1"/>
  <c r="CH161" i="1"/>
  <c r="CF162" i="1"/>
  <c r="CG162" i="1"/>
  <c r="CH162" i="1"/>
  <c r="CF163" i="1"/>
  <c r="CG163" i="1"/>
  <c r="CH163" i="1"/>
  <c r="CF164" i="1"/>
  <c r="CG164" i="1"/>
  <c r="CH164" i="1"/>
  <c r="CF165" i="1"/>
  <c r="CG165" i="1"/>
  <c r="CH165" i="1"/>
  <c r="CF166" i="1"/>
  <c r="CG166" i="1"/>
  <c r="CH166" i="1"/>
  <c r="CF167" i="1"/>
  <c r="CG167" i="1"/>
  <c r="CH167" i="1"/>
  <c r="CF168" i="1"/>
  <c r="CG168" i="1"/>
  <c r="CH168" i="1"/>
  <c r="CF169" i="1"/>
  <c r="CG169" i="1"/>
  <c r="CH169" i="1"/>
  <c r="CF170" i="1"/>
  <c r="CG170" i="1"/>
  <c r="CH170" i="1"/>
  <c r="CF171" i="1"/>
  <c r="CG171" i="1"/>
  <c r="CH171" i="1"/>
  <c r="CF172" i="1"/>
  <c r="CG172" i="1"/>
  <c r="CH172" i="1"/>
  <c r="CF173" i="1"/>
  <c r="CG173" i="1"/>
  <c r="CH173" i="1"/>
  <c r="CF174" i="1"/>
  <c r="CG174" i="1"/>
  <c r="CH174" i="1"/>
  <c r="CF175" i="1"/>
  <c r="CG175" i="1"/>
  <c r="CH175" i="1"/>
  <c r="CF176" i="1"/>
  <c r="CG176" i="1"/>
  <c r="CH176" i="1"/>
  <c r="CF177" i="1"/>
  <c r="CG177" i="1"/>
  <c r="CH177" i="1"/>
  <c r="CF178" i="1"/>
  <c r="CG178" i="1"/>
  <c r="CH178" i="1"/>
  <c r="CF179" i="1"/>
  <c r="CG179" i="1"/>
  <c r="CH179" i="1"/>
  <c r="CF180" i="1"/>
  <c r="CG180" i="1"/>
  <c r="CH180" i="1"/>
  <c r="CF181" i="1"/>
  <c r="CG181" i="1"/>
  <c r="CH181" i="1"/>
  <c r="CF182" i="1"/>
  <c r="CG182" i="1"/>
  <c r="CH182" i="1"/>
  <c r="CF183" i="1"/>
  <c r="CG183" i="1"/>
  <c r="CH183" i="1"/>
  <c r="CF184" i="1"/>
  <c r="CG184" i="1"/>
  <c r="CH184" i="1"/>
  <c r="CF185" i="1"/>
  <c r="CG185" i="1"/>
  <c r="CH185" i="1"/>
  <c r="CF186" i="1"/>
  <c r="CG186" i="1"/>
  <c r="CH186" i="1"/>
  <c r="CF187" i="1"/>
  <c r="CG187" i="1"/>
  <c r="CH187" i="1"/>
  <c r="CF188" i="1"/>
  <c r="CG188" i="1"/>
  <c r="CH188" i="1"/>
  <c r="CF189" i="1"/>
  <c r="CG189" i="1"/>
  <c r="CH189" i="1"/>
  <c r="CF190" i="1"/>
  <c r="CG190" i="1"/>
  <c r="CH190" i="1"/>
  <c r="CF191" i="1"/>
  <c r="CG191" i="1"/>
  <c r="CH191" i="1"/>
  <c r="CF192" i="1"/>
  <c r="CG192" i="1"/>
  <c r="CH192" i="1"/>
  <c r="CF193" i="1"/>
  <c r="CG193" i="1"/>
  <c r="CH193" i="1"/>
  <c r="CF194" i="1"/>
  <c r="CG194" i="1"/>
  <c r="CH194" i="1"/>
  <c r="CF195" i="1"/>
  <c r="CG195" i="1"/>
  <c r="CH195" i="1"/>
  <c r="CF196" i="1"/>
  <c r="CG196" i="1"/>
  <c r="CH196" i="1"/>
  <c r="CF197" i="1"/>
  <c r="CG197" i="1"/>
  <c r="CH197" i="1"/>
  <c r="CF198" i="1"/>
  <c r="CG198" i="1"/>
  <c r="CH198" i="1"/>
  <c r="CF199" i="1"/>
  <c r="CG199" i="1"/>
  <c r="CH199" i="1"/>
  <c r="CF200" i="1"/>
  <c r="CG200" i="1"/>
  <c r="CH200" i="1"/>
  <c r="CF201" i="1"/>
  <c r="CG201" i="1"/>
  <c r="CH201" i="1"/>
  <c r="CF202" i="1"/>
  <c r="CG202" i="1"/>
  <c r="CH202" i="1"/>
  <c r="CF203" i="1"/>
  <c r="CG203" i="1"/>
  <c r="CH203" i="1"/>
  <c r="CF204" i="1"/>
  <c r="CG204" i="1"/>
  <c r="CH204" i="1"/>
  <c r="CF205" i="1"/>
  <c r="CG205" i="1"/>
  <c r="CH205" i="1"/>
  <c r="CF206" i="1"/>
  <c r="CG206" i="1"/>
  <c r="CH206" i="1"/>
  <c r="CF207" i="1"/>
  <c r="CG207" i="1"/>
  <c r="CH207" i="1"/>
  <c r="CF208" i="1"/>
  <c r="CG208" i="1"/>
  <c r="CH208" i="1"/>
  <c r="CF209" i="1"/>
  <c r="CG209" i="1"/>
  <c r="CH209" i="1"/>
  <c r="CF210" i="1"/>
  <c r="CG210" i="1"/>
  <c r="CH210" i="1"/>
  <c r="CF211" i="1"/>
  <c r="CG211" i="1"/>
  <c r="CH211" i="1"/>
  <c r="CF212" i="1"/>
  <c r="CG212" i="1"/>
  <c r="CH212" i="1"/>
  <c r="CF213" i="1"/>
  <c r="CG213" i="1"/>
  <c r="CH213" i="1"/>
  <c r="CF214" i="1"/>
  <c r="CG214" i="1"/>
  <c r="CH214" i="1"/>
  <c r="CF215" i="1"/>
  <c r="CG215" i="1"/>
  <c r="CH215" i="1"/>
  <c r="CF216" i="1"/>
  <c r="CG216" i="1"/>
  <c r="CH216" i="1"/>
  <c r="CF217" i="1"/>
  <c r="CG217" i="1"/>
  <c r="CH217" i="1"/>
  <c r="CF218" i="1"/>
  <c r="CG218" i="1"/>
  <c r="CH218" i="1"/>
  <c r="CF219" i="1"/>
  <c r="CG219" i="1"/>
  <c r="CH219" i="1"/>
  <c r="CF220" i="1"/>
  <c r="CG220" i="1"/>
  <c r="CH220" i="1"/>
  <c r="CF221" i="1"/>
  <c r="CG221" i="1"/>
  <c r="CH221" i="1"/>
  <c r="CF222" i="1"/>
  <c r="CG222" i="1"/>
  <c r="CH222" i="1"/>
  <c r="CF223" i="1"/>
  <c r="CG223" i="1"/>
  <c r="CH223" i="1"/>
  <c r="CF224" i="1"/>
  <c r="CG224" i="1"/>
  <c r="CH224" i="1"/>
  <c r="CF225" i="1"/>
  <c r="CG225" i="1"/>
  <c r="CH225" i="1"/>
  <c r="CF226" i="1"/>
  <c r="CG226" i="1"/>
  <c r="CH226" i="1"/>
  <c r="CF227" i="1"/>
  <c r="CG227" i="1"/>
  <c r="CH227" i="1"/>
  <c r="CF228" i="1"/>
  <c r="CG228" i="1"/>
  <c r="CH228" i="1"/>
  <c r="CF229" i="1"/>
  <c r="CG229" i="1"/>
  <c r="CH229" i="1"/>
  <c r="CF230" i="1"/>
  <c r="CG230" i="1"/>
  <c r="CH230" i="1"/>
  <c r="CF231" i="1"/>
  <c r="CG231" i="1"/>
  <c r="CH231" i="1"/>
  <c r="CF232" i="1"/>
  <c r="CG232" i="1"/>
  <c r="CH232" i="1"/>
  <c r="CF233" i="1"/>
  <c r="CG233" i="1"/>
  <c r="CH233" i="1"/>
  <c r="CF234" i="1"/>
  <c r="CG234" i="1"/>
  <c r="CH234" i="1"/>
  <c r="CF235" i="1"/>
  <c r="CG235" i="1"/>
  <c r="CH235" i="1"/>
  <c r="CF236" i="1"/>
  <c r="CG236" i="1"/>
  <c r="CH236" i="1"/>
  <c r="CF237" i="1"/>
  <c r="CG237" i="1"/>
  <c r="CH237" i="1"/>
  <c r="CF238" i="1"/>
  <c r="CG238" i="1"/>
  <c r="CH238" i="1"/>
  <c r="CF239" i="1"/>
  <c r="CG239" i="1"/>
  <c r="CH239" i="1"/>
  <c r="CF240" i="1"/>
  <c r="CG240" i="1"/>
  <c r="CH240" i="1"/>
  <c r="CF241" i="1"/>
  <c r="CG241" i="1"/>
  <c r="CH241" i="1"/>
  <c r="CF242" i="1"/>
  <c r="CG242" i="1"/>
  <c r="CH242" i="1"/>
  <c r="CF243" i="1"/>
  <c r="CG243" i="1"/>
  <c r="CH243" i="1"/>
  <c r="CF244" i="1"/>
  <c r="CG244" i="1"/>
  <c r="CH244" i="1"/>
  <c r="CF245" i="1"/>
  <c r="CG245" i="1"/>
  <c r="CH245" i="1"/>
  <c r="CF246" i="1"/>
  <c r="CG246" i="1"/>
  <c r="CH246" i="1"/>
  <c r="CF247" i="1"/>
  <c r="CG247" i="1"/>
  <c r="CH247" i="1"/>
  <c r="CF248" i="1"/>
  <c r="CG248" i="1"/>
  <c r="CH248" i="1"/>
  <c r="CF249" i="1"/>
  <c r="CG249" i="1"/>
  <c r="CH249" i="1"/>
  <c r="CF250" i="1"/>
  <c r="CG250" i="1"/>
  <c r="CH250" i="1"/>
  <c r="CF251" i="1"/>
  <c r="CG251" i="1"/>
  <c r="CH251" i="1"/>
  <c r="CF252" i="1"/>
  <c r="CG252" i="1"/>
  <c r="CH252" i="1"/>
  <c r="CF253" i="1"/>
  <c r="CG253" i="1"/>
  <c r="CH253" i="1"/>
  <c r="CF254" i="1"/>
  <c r="CG254" i="1"/>
  <c r="CH254" i="1"/>
  <c r="CF255" i="1"/>
  <c r="CG255" i="1"/>
  <c r="CH255" i="1"/>
  <c r="CF256" i="1"/>
  <c r="CG256" i="1"/>
  <c r="CH256" i="1"/>
  <c r="CF257" i="1"/>
  <c r="CG257" i="1"/>
  <c r="CH257" i="1"/>
  <c r="CF258" i="1"/>
  <c r="CG258" i="1"/>
  <c r="CH258" i="1"/>
  <c r="CF259" i="1"/>
  <c r="CG259" i="1"/>
  <c r="CH259" i="1"/>
  <c r="CF260" i="1"/>
  <c r="CG260" i="1"/>
  <c r="CH260" i="1"/>
  <c r="CF261" i="1"/>
  <c r="CG261" i="1"/>
  <c r="CH261" i="1"/>
  <c r="CF262" i="1"/>
  <c r="CG262" i="1"/>
  <c r="CH262" i="1"/>
  <c r="CF263" i="1"/>
  <c r="CG263" i="1"/>
  <c r="CH263" i="1"/>
  <c r="CF264" i="1"/>
  <c r="CG264" i="1"/>
  <c r="CH264" i="1"/>
  <c r="CF265" i="1"/>
  <c r="CG265" i="1"/>
  <c r="CH265" i="1"/>
  <c r="CF266" i="1"/>
  <c r="CG266" i="1"/>
  <c r="CH266" i="1"/>
  <c r="CF267" i="1"/>
  <c r="CG267" i="1"/>
  <c r="CH267" i="1"/>
  <c r="CF268" i="1"/>
  <c r="CG268" i="1"/>
  <c r="CH268" i="1"/>
  <c r="CF269" i="1"/>
  <c r="CG269" i="1"/>
  <c r="CH269" i="1"/>
  <c r="CF270" i="1"/>
  <c r="CG270" i="1"/>
  <c r="CH270" i="1"/>
  <c r="CF271" i="1"/>
  <c r="CG271" i="1"/>
  <c r="CH271" i="1"/>
  <c r="CH6" i="1"/>
  <c r="CG6" i="1"/>
  <c r="CF6" i="1"/>
  <c r="CD113" i="1"/>
  <c r="CD270" i="1"/>
  <c r="EA7" i="1"/>
  <c r="EA8" i="1"/>
  <c r="EA9" i="1"/>
  <c r="EA10" i="1"/>
  <c r="EA11" i="1"/>
  <c r="EA12" i="1"/>
  <c r="EA13" i="1"/>
  <c r="EA14" i="1"/>
  <c r="EA15" i="1"/>
  <c r="EA16" i="1"/>
  <c r="EA17" i="1"/>
  <c r="EA18" i="1"/>
  <c r="EA19" i="1"/>
  <c r="EA20" i="1"/>
  <c r="EA21" i="1"/>
  <c r="EA22" i="1"/>
  <c r="EA23" i="1"/>
  <c r="EA24" i="1"/>
  <c r="EA25" i="1"/>
  <c r="EA26" i="1"/>
  <c r="EA27" i="1"/>
  <c r="EA28" i="1"/>
  <c r="EA29" i="1"/>
  <c r="EA30" i="1"/>
  <c r="EA31" i="1"/>
  <c r="EA32" i="1"/>
  <c r="EA33" i="1"/>
  <c r="EA34" i="1"/>
  <c r="EA35" i="1"/>
  <c r="EA36" i="1"/>
  <c r="EA37" i="1"/>
  <c r="EA38" i="1"/>
  <c r="EA39" i="1"/>
  <c r="EA40" i="1"/>
  <c r="EA41" i="1"/>
  <c r="EA42" i="1"/>
  <c r="EA43" i="1"/>
  <c r="EA44" i="1"/>
  <c r="EA45" i="1"/>
  <c r="EA46" i="1"/>
  <c r="EA47" i="1"/>
  <c r="EA48" i="1"/>
  <c r="EA49" i="1"/>
  <c r="EA50" i="1"/>
  <c r="EA51" i="1"/>
  <c r="EA52" i="1"/>
  <c r="EA53" i="1"/>
  <c r="EA54" i="1"/>
  <c r="EA55" i="1"/>
  <c r="EA56" i="1"/>
  <c r="EA57" i="1"/>
  <c r="EA58" i="1"/>
  <c r="EA59" i="1"/>
  <c r="EA60" i="1"/>
  <c r="EA61" i="1"/>
  <c r="EA62" i="1"/>
  <c r="EA63" i="1"/>
  <c r="EA64" i="1"/>
  <c r="EA65" i="1"/>
  <c r="EA66" i="1"/>
  <c r="EA67" i="1"/>
  <c r="EA68" i="1"/>
  <c r="EA69" i="1"/>
  <c r="EA70" i="1"/>
  <c r="EA71" i="1"/>
  <c r="EA72" i="1"/>
  <c r="EA73" i="1"/>
  <c r="EA74" i="1"/>
  <c r="EA75" i="1"/>
  <c r="EA76" i="1"/>
  <c r="EA77" i="1"/>
  <c r="EA78" i="1"/>
  <c r="EA79" i="1"/>
  <c r="EA80" i="1"/>
  <c r="EA81" i="1"/>
  <c r="EA82" i="1"/>
  <c r="EA83" i="1"/>
  <c r="EA84" i="1"/>
  <c r="EA85" i="1"/>
  <c r="EA86" i="1"/>
  <c r="EA87" i="1"/>
  <c r="EA88" i="1"/>
  <c r="EA89" i="1"/>
  <c r="EA90" i="1"/>
  <c r="EA91" i="1"/>
  <c r="EA92" i="1"/>
  <c r="EA93" i="1"/>
  <c r="EA94" i="1"/>
  <c r="EA95" i="1"/>
  <c r="EA96" i="1"/>
  <c r="EA97" i="1"/>
  <c r="EA98" i="1"/>
  <c r="EA99" i="1"/>
  <c r="EA100" i="1"/>
  <c r="EA101" i="1"/>
  <c r="EA102" i="1"/>
  <c r="EA103" i="1"/>
  <c r="EA104" i="1"/>
  <c r="EA105" i="1"/>
  <c r="EA106" i="1"/>
  <c r="EA107" i="1"/>
  <c r="EA108" i="1"/>
  <c r="EA109" i="1"/>
  <c r="EA110" i="1"/>
  <c r="EA111" i="1"/>
  <c r="EA112" i="1"/>
  <c r="EA113" i="1"/>
  <c r="EA114" i="1"/>
  <c r="EA115" i="1"/>
  <c r="EA116" i="1"/>
  <c r="EA117" i="1"/>
  <c r="EA118" i="1"/>
  <c r="EA119" i="1"/>
  <c r="EA120" i="1"/>
  <c r="EA121" i="1"/>
  <c r="EA122" i="1"/>
  <c r="EA123" i="1"/>
  <c r="EA124" i="1"/>
  <c r="EA125" i="1"/>
  <c r="EA126" i="1"/>
  <c r="EA127" i="1"/>
  <c r="EA128" i="1"/>
  <c r="EA129" i="1"/>
  <c r="EA130" i="1"/>
  <c r="EA131" i="1"/>
  <c r="EA132" i="1"/>
  <c r="EA133" i="1"/>
  <c r="EA134" i="1"/>
  <c r="EA135" i="1"/>
  <c r="EA136" i="1"/>
  <c r="EA137" i="1"/>
  <c r="EA138" i="1"/>
  <c r="EA139" i="1"/>
  <c r="EA140" i="1"/>
  <c r="EA141" i="1"/>
  <c r="EA142" i="1"/>
  <c r="EA143" i="1"/>
  <c r="EA144" i="1"/>
  <c r="EA145" i="1"/>
  <c r="EA146" i="1"/>
  <c r="EA147" i="1"/>
  <c r="EA148" i="1"/>
  <c r="EA149" i="1"/>
  <c r="EA150" i="1"/>
  <c r="EA151" i="1"/>
  <c r="EA152" i="1"/>
  <c r="EA153" i="1"/>
  <c r="EA154" i="1"/>
  <c r="EA155" i="1"/>
  <c r="EA156" i="1"/>
  <c r="EA157" i="1"/>
  <c r="EA158" i="1"/>
  <c r="EA159" i="1"/>
  <c r="EA160" i="1"/>
  <c r="EA161" i="1"/>
  <c r="EA162" i="1"/>
  <c r="EA163" i="1"/>
  <c r="EA164" i="1"/>
  <c r="EA165" i="1"/>
  <c r="EA166" i="1"/>
  <c r="EA167" i="1"/>
  <c r="EA168" i="1"/>
  <c r="EA169" i="1"/>
  <c r="EA170" i="1"/>
  <c r="EA171" i="1"/>
  <c r="EA172" i="1"/>
  <c r="EA173" i="1"/>
  <c r="EA174" i="1"/>
  <c r="EA175" i="1"/>
  <c r="EA176" i="1"/>
  <c r="EA177" i="1"/>
  <c r="EA178" i="1"/>
  <c r="EA179" i="1"/>
  <c r="EA180" i="1"/>
  <c r="EA181" i="1"/>
  <c r="EA182" i="1"/>
  <c r="EA183" i="1"/>
  <c r="EA184" i="1"/>
  <c r="EA185" i="1"/>
  <c r="EA186" i="1"/>
  <c r="EA187" i="1"/>
  <c r="EA188" i="1"/>
  <c r="EA189" i="1"/>
  <c r="EA190" i="1"/>
  <c r="EA191" i="1"/>
  <c r="EA192" i="1"/>
  <c r="EA193" i="1"/>
  <c r="EA194" i="1"/>
  <c r="EA195" i="1"/>
  <c r="EA196" i="1"/>
  <c r="EA197" i="1"/>
  <c r="EA198" i="1"/>
  <c r="EA199" i="1"/>
  <c r="EA200" i="1"/>
  <c r="EA201" i="1"/>
  <c r="EA202" i="1"/>
  <c r="EA203" i="1"/>
  <c r="EA204" i="1"/>
  <c r="EA205" i="1"/>
  <c r="EA206" i="1"/>
  <c r="EA207" i="1"/>
  <c r="EA208" i="1"/>
  <c r="EA209" i="1"/>
  <c r="EA210" i="1"/>
  <c r="EA211" i="1"/>
  <c r="EA212" i="1"/>
  <c r="EA213" i="1"/>
  <c r="EA214" i="1"/>
  <c r="EA215" i="1"/>
  <c r="EA216" i="1"/>
  <c r="EA217" i="1"/>
  <c r="EA218" i="1"/>
  <c r="EA219" i="1"/>
  <c r="EA220" i="1"/>
  <c r="EA221" i="1"/>
  <c r="EA222" i="1"/>
  <c r="EA223" i="1"/>
  <c r="EA224" i="1"/>
  <c r="EA225" i="1"/>
  <c r="EA226" i="1"/>
  <c r="EA227" i="1"/>
  <c r="EA228" i="1"/>
  <c r="EA229" i="1"/>
  <c r="EA230" i="1"/>
  <c r="EA231" i="1"/>
  <c r="EA232" i="1"/>
  <c r="EA233" i="1"/>
  <c r="EA234" i="1"/>
  <c r="EA235" i="1"/>
  <c r="EA236" i="1"/>
  <c r="EA237" i="1"/>
  <c r="EA238" i="1"/>
  <c r="EA239" i="1"/>
  <c r="EA240" i="1"/>
  <c r="EA241" i="1"/>
  <c r="EA242" i="1"/>
  <c r="EA243" i="1"/>
  <c r="EA244" i="1"/>
  <c r="EA245" i="1"/>
  <c r="EA246" i="1"/>
  <c r="EA247" i="1"/>
  <c r="EA248" i="1"/>
  <c r="EA249" i="1"/>
  <c r="EA250" i="1"/>
  <c r="EA251" i="1"/>
  <c r="EA252" i="1"/>
  <c r="EA253" i="1"/>
  <c r="EA254" i="1"/>
  <c r="EA255" i="1"/>
  <c r="EA256" i="1"/>
  <c r="EA257" i="1"/>
  <c r="EA258" i="1"/>
  <c r="EA259" i="1"/>
  <c r="EA260" i="1"/>
  <c r="EA261" i="1"/>
  <c r="EA262" i="1"/>
  <c r="EA263" i="1"/>
  <c r="EA264" i="1"/>
  <c r="EA265" i="1"/>
  <c r="EA266" i="1"/>
  <c r="EA267" i="1"/>
  <c r="EA268" i="1"/>
  <c r="EA269" i="1"/>
  <c r="EA270" i="1"/>
  <c r="EA271" i="1"/>
  <c r="EA6" i="1"/>
  <c r="C109" i="9"/>
  <c r="BW66" i="1" a="1"/>
  <c r="BW66" i="1" s="1"/>
  <c r="BW90" i="1" a="1"/>
  <c r="BW90" i="1" s="1"/>
  <c r="BW132" i="1" a="1"/>
  <c r="BW132" i="1" s="1"/>
  <c r="BW180" i="1" a="1"/>
  <c r="BW180" i="1" s="1"/>
  <c r="BW191" i="1" a="1"/>
  <c r="BW191" i="1" s="1"/>
  <c r="BQ132" i="1" a="1"/>
  <c r="BQ132" i="1" s="1"/>
  <c r="CD132" i="1" s="1"/>
  <c r="BW2" i="1" a="1"/>
  <c r="BW2" i="1" s="1"/>
  <c r="BW4" i="1" a="1"/>
  <c r="BW4" i="1" s="1"/>
  <c r="BH2" i="1"/>
  <c r="BI2" i="1"/>
  <c r="BG2" i="1"/>
  <c r="BQ1" i="1" a="1"/>
  <c r="BQ1" i="1" s="1"/>
  <c r="BQ2" i="1" s="1"/>
  <c r="BI4" i="1"/>
  <c r="BH4" i="1"/>
  <c r="BG4" i="1"/>
  <c r="BQ90" i="1" a="1"/>
  <c r="BQ90" i="1" s="1"/>
  <c r="CD90" i="1" s="1"/>
  <c r="BQ124" i="1" a="1"/>
  <c r="BQ124" i="1" s="1"/>
  <c r="CD124" i="1" s="1"/>
  <c r="BQ180" i="1" a="1"/>
  <c r="BQ180" i="1" s="1"/>
  <c r="CD180" i="1" s="1"/>
  <c r="CB113" i="1"/>
  <c r="BQ3" i="1" a="1"/>
  <c r="BQ3" i="1" s="1"/>
  <c r="BS67" i="1" a="1"/>
  <c r="BS67" i="1" s="1"/>
  <c r="BS68" i="1" a="1"/>
  <c r="BS68" i="1" s="1"/>
  <c r="BS69" i="1" a="1"/>
  <c r="BS69" i="1" s="1"/>
  <c r="BS70" i="1" a="1"/>
  <c r="BS70" i="1" s="1"/>
  <c r="BS71" i="1" a="1"/>
  <c r="BS71" i="1" s="1"/>
  <c r="BS72" i="1" a="1"/>
  <c r="BS72" i="1" s="1"/>
  <c r="BS73" i="1" a="1"/>
  <c r="BS73" i="1" s="1"/>
  <c r="BS74" i="1" a="1"/>
  <c r="BS74" i="1" s="1"/>
  <c r="BS75" i="1" a="1"/>
  <c r="BS75" i="1" s="1"/>
  <c r="BS76" i="1" a="1"/>
  <c r="BS76" i="1" s="1"/>
  <c r="BS77" i="1" a="1"/>
  <c r="BS77" i="1" s="1"/>
  <c r="BS78" i="1" a="1"/>
  <c r="BS78" i="1" s="1"/>
  <c r="BS79" i="1" a="1"/>
  <c r="BS79" i="1" s="1"/>
  <c r="BS80" i="1" a="1"/>
  <c r="BS80" i="1" s="1"/>
  <c r="BS81" i="1" a="1"/>
  <c r="BS81" i="1" s="1"/>
  <c r="BS82" i="1" a="1"/>
  <c r="BS82" i="1" s="1"/>
  <c r="BS83" i="1" a="1"/>
  <c r="BS83" i="1" s="1"/>
  <c r="BS84" i="1" a="1"/>
  <c r="BS84" i="1" s="1"/>
  <c r="BS85" i="1" a="1"/>
  <c r="BS85" i="1" s="1"/>
  <c r="BS86" i="1" a="1"/>
  <c r="BS86" i="1" s="1"/>
  <c r="BS87" i="1" a="1"/>
  <c r="BS87" i="1" s="1"/>
  <c r="BS88" i="1" a="1"/>
  <c r="BS88" i="1" s="1"/>
  <c r="BS89" i="1" a="1"/>
  <c r="BS89" i="1" s="1"/>
  <c r="BS90" i="1" a="1"/>
  <c r="BS90" i="1" s="1"/>
  <c r="BS91" i="1" a="1"/>
  <c r="BS91" i="1" s="1"/>
  <c r="BS92" i="1" a="1"/>
  <c r="BS92" i="1" s="1"/>
  <c r="BS93" i="1" a="1"/>
  <c r="BS93" i="1" s="1"/>
  <c r="BS94" i="1" a="1"/>
  <c r="BS94" i="1" s="1"/>
  <c r="BS95" i="1" a="1"/>
  <c r="BS95" i="1" s="1"/>
  <c r="BS96" i="1" a="1"/>
  <c r="BS96" i="1" s="1"/>
  <c r="BS97" i="1" a="1"/>
  <c r="BS97" i="1" s="1"/>
  <c r="BS98" i="1" a="1"/>
  <c r="BS98" i="1" s="1"/>
  <c r="BS99" i="1" a="1"/>
  <c r="BS99" i="1" s="1"/>
  <c r="BS100" i="1" a="1"/>
  <c r="BS100" i="1" s="1"/>
  <c r="BS101" i="1" a="1"/>
  <c r="BS101" i="1" s="1"/>
  <c r="BS102" i="1" a="1"/>
  <c r="BS102" i="1" s="1"/>
  <c r="BS103" i="1" a="1"/>
  <c r="BS103" i="1" s="1"/>
  <c r="BS104" i="1" a="1"/>
  <c r="BS104" i="1" s="1"/>
  <c r="BS105" i="1" a="1"/>
  <c r="BS105" i="1" s="1"/>
  <c r="BS106" i="1" a="1"/>
  <c r="BS106" i="1" s="1"/>
  <c r="BS107" i="1" a="1"/>
  <c r="BS107" i="1" s="1"/>
  <c r="BS108" i="1" a="1"/>
  <c r="BS108" i="1" s="1"/>
  <c r="BS109" i="1" a="1"/>
  <c r="BS109" i="1" s="1"/>
  <c r="BS110" i="1" a="1"/>
  <c r="BS110" i="1" s="1"/>
  <c r="BS111" i="1" a="1"/>
  <c r="BS111" i="1" s="1"/>
  <c r="BS112" i="1" a="1"/>
  <c r="BS112" i="1" s="1"/>
  <c r="BS113" i="1" a="1"/>
  <c r="BS113" i="1" s="1"/>
  <c r="BS114" i="1" a="1"/>
  <c r="BS114" i="1" s="1"/>
  <c r="BS115" i="1" a="1"/>
  <c r="BS115" i="1" s="1"/>
  <c r="BS116" i="1" a="1"/>
  <c r="BS116" i="1" s="1"/>
  <c r="BS117" i="1" a="1"/>
  <c r="BS117" i="1" s="1"/>
  <c r="BS118" i="1" a="1"/>
  <c r="BS118" i="1" s="1"/>
  <c r="BS119" i="1" a="1"/>
  <c r="BS119" i="1" s="1"/>
  <c r="BS120" i="1" a="1"/>
  <c r="BS120" i="1" s="1"/>
  <c r="BS121" i="1" a="1"/>
  <c r="BS121" i="1" s="1"/>
  <c r="BS122" i="1" a="1"/>
  <c r="BS122" i="1" s="1"/>
  <c r="BS123" i="1" a="1"/>
  <c r="BS123" i="1" s="1"/>
  <c r="BS124" i="1" a="1"/>
  <c r="BS124" i="1" s="1"/>
  <c r="BS125" i="1" a="1"/>
  <c r="BS125" i="1" s="1"/>
  <c r="BS126" i="1" a="1"/>
  <c r="BS126" i="1" s="1"/>
  <c r="BS127" i="1" a="1"/>
  <c r="BS127" i="1" s="1"/>
  <c r="BS128" i="1" a="1"/>
  <c r="BS128" i="1" s="1"/>
  <c r="BS129" i="1" a="1"/>
  <c r="BS129" i="1" s="1"/>
  <c r="BS130" i="1" a="1"/>
  <c r="BS130" i="1" s="1"/>
  <c r="BS131" i="1" a="1"/>
  <c r="BS131" i="1" s="1"/>
  <c r="BS132" i="1" a="1"/>
  <c r="BS132" i="1" s="1"/>
  <c r="BS133" i="1" a="1"/>
  <c r="BS133" i="1" s="1"/>
  <c r="BS134" i="1" a="1"/>
  <c r="BS134" i="1" s="1"/>
  <c r="BS135" i="1" a="1"/>
  <c r="BS135" i="1" s="1"/>
  <c r="BS136" i="1" a="1"/>
  <c r="BS136" i="1" s="1"/>
  <c r="BS137" i="1" a="1"/>
  <c r="BS137" i="1" s="1"/>
  <c r="BS138" i="1" a="1"/>
  <c r="BS138" i="1" s="1"/>
  <c r="BS139" i="1" a="1"/>
  <c r="BS139" i="1" s="1"/>
  <c r="BS140" i="1" a="1"/>
  <c r="BS140" i="1" s="1"/>
  <c r="BS141" i="1" a="1"/>
  <c r="BS141" i="1" s="1"/>
  <c r="BS142" i="1" a="1"/>
  <c r="BS142" i="1" s="1"/>
  <c r="BS143" i="1" a="1"/>
  <c r="BS143" i="1" s="1"/>
  <c r="BS144" i="1" a="1"/>
  <c r="BS144" i="1" s="1"/>
  <c r="BS145" i="1" a="1"/>
  <c r="BS145" i="1" s="1"/>
  <c r="BS146" i="1" a="1"/>
  <c r="BS146" i="1" s="1"/>
  <c r="BS147" i="1" a="1"/>
  <c r="BS147" i="1" s="1"/>
  <c r="BS148" i="1" a="1"/>
  <c r="BS148" i="1" s="1"/>
  <c r="BS149" i="1" a="1"/>
  <c r="BS149" i="1" s="1"/>
  <c r="BS150" i="1" a="1"/>
  <c r="BS150" i="1" s="1"/>
  <c r="BS151" i="1" a="1"/>
  <c r="BS151" i="1" s="1"/>
  <c r="BS152" i="1" a="1"/>
  <c r="BS152" i="1" s="1"/>
  <c r="BS153" i="1" a="1"/>
  <c r="BS153" i="1" s="1"/>
  <c r="BS154" i="1" a="1"/>
  <c r="BS154" i="1" s="1"/>
  <c r="BS155" i="1" a="1"/>
  <c r="BS155" i="1" s="1"/>
  <c r="BS156" i="1" a="1"/>
  <c r="BS156" i="1" s="1"/>
  <c r="BS157" i="1" a="1"/>
  <c r="BS157" i="1" s="1"/>
  <c r="BS158" i="1" a="1"/>
  <c r="BS158" i="1" s="1"/>
  <c r="BS159" i="1" a="1"/>
  <c r="BS159" i="1" s="1"/>
  <c r="BS160" i="1" a="1"/>
  <c r="BS160" i="1" s="1"/>
  <c r="BS161" i="1" a="1"/>
  <c r="BS161" i="1" s="1"/>
  <c r="BS162" i="1" a="1"/>
  <c r="BS162" i="1" s="1"/>
  <c r="BS163" i="1" a="1"/>
  <c r="BS163" i="1" s="1"/>
  <c r="BS164" i="1" a="1"/>
  <c r="BS164" i="1" s="1"/>
  <c r="BS165" i="1" a="1"/>
  <c r="BS165" i="1" s="1"/>
  <c r="BS166" i="1" a="1"/>
  <c r="BS166" i="1" s="1"/>
  <c r="BS167" i="1" a="1"/>
  <c r="BS167" i="1" s="1"/>
  <c r="BS168" i="1" a="1"/>
  <c r="BS168" i="1" s="1"/>
  <c r="BS169" i="1" a="1"/>
  <c r="BS169" i="1" s="1"/>
  <c r="BS170" i="1" a="1"/>
  <c r="BS170" i="1" s="1"/>
  <c r="BS171" i="1" a="1"/>
  <c r="BS171" i="1" s="1"/>
  <c r="BS172" i="1" a="1"/>
  <c r="BS172" i="1" s="1"/>
  <c r="BS173" i="1" a="1"/>
  <c r="BS173" i="1" s="1"/>
  <c r="BS174" i="1" a="1"/>
  <c r="BS174" i="1" s="1"/>
  <c r="BS175" i="1" a="1"/>
  <c r="BS175" i="1" s="1"/>
  <c r="BS176" i="1" a="1"/>
  <c r="BS176" i="1" s="1"/>
  <c r="BS177" i="1" a="1"/>
  <c r="BS177" i="1" s="1"/>
  <c r="BS178" i="1" a="1"/>
  <c r="BS178" i="1" s="1"/>
  <c r="BS179" i="1" a="1"/>
  <c r="BS179" i="1" s="1"/>
  <c r="BS180" i="1" a="1"/>
  <c r="BS180" i="1" s="1"/>
  <c r="BS181" i="1" a="1"/>
  <c r="BS181" i="1" s="1"/>
  <c r="BS182" i="1" a="1"/>
  <c r="BS182" i="1" s="1"/>
  <c r="BS183" i="1" a="1"/>
  <c r="BS183" i="1" s="1"/>
  <c r="BS184" i="1" a="1"/>
  <c r="BS184" i="1" s="1"/>
  <c r="BS185" i="1" a="1"/>
  <c r="BS185" i="1" s="1"/>
  <c r="BS186" i="1" a="1"/>
  <c r="BS186" i="1" s="1"/>
  <c r="BS187" i="1" a="1"/>
  <c r="BS187" i="1" s="1"/>
  <c r="BS188" i="1" a="1"/>
  <c r="BS188" i="1" s="1"/>
  <c r="BS189" i="1" a="1"/>
  <c r="BS189" i="1" s="1"/>
  <c r="BS190" i="1" a="1"/>
  <c r="BS190" i="1" s="1"/>
  <c r="BS191" i="1" a="1"/>
  <c r="BS191" i="1" s="1"/>
  <c r="BS192" i="1" a="1"/>
  <c r="BS192" i="1" s="1"/>
  <c r="BS193" i="1" a="1"/>
  <c r="BS193" i="1" s="1"/>
  <c r="BS194" i="1" a="1"/>
  <c r="BS194" i="1" s="1"/>
  <c r="BS195" i="1" a="1"/>
  <c r="BS195" i="1" s="1"/>
  <c r="BS196" i="1" a="1"/>
  <c r="BS196" i="1" s="1"/>
  <c r="BS197" i="1" a="1"/>
  <c r="BS197" i="1" s="1"/>
  <c r="BS198" i="1" a="1"/>
  <c r="BS198" i="1" s="1"/>
  <c r="BS199" i="1" a="1"/>
  <c r="BS199" i="1" s="1"/>
  <c r="BS200" i="1" a="1"/>
  <c r="BS200" i="1" s="1"/>
  <c r="BS201" i="1" a="1"/>
  <c r="BS201" i="1" s="1"/>
  <c r="BS202" i="1" a="1"/>
  <c r="BS202" i="1" s="1"/>
  <c r="BS203" i="1" a="1"/>
  <c r="BS203" i="1" s="1"/>
  <c r="BS204" i="1" a="1"/>
  <c r="BS204" i="1" s="1"/>
  <c r="BS205" i="1" a="1"/>
  <c r="BS205" i="1" s="1"/>
  <c r="BS206" i="1" a="1"/>
  <c r="BS206" i="1" s="1"/>
  <c r="BS207" i="1" a="1"/>
  <c r="BS207" i="1" s="1"/>
  <c r="BS208" i="1" a="1"/>
  <c r="BS208" i="1" s="1"/>
  <c r="BS209" i="1" a="1"/>
  <c r="BS209" i="1" s="1"/>
  <c r="BS210" i="1" a="1"/>
  <c r="BS210" i="1" s="1"/>
  <c r="BS211" i="1" a="1"/>
  <c r="BS211" i="1" s="1"/>
  <c r="BS212" i="1" a="1"/>
  <c r="BS212" i="1" s="1"/>
  <c r="BS213" i="1" a="1"/>
  <c r="BS213" i="1" s="1"/>
  <c r="BS214" i="1" a="1"/>
  <c r="BS214" i="1" s="1"/>
  <c r="BS215" i="1" a="1"/>
  <c r="BS215" i="1" s="1"/>
  <c r="BS216" i="1" a="1"/>
  <c r="BS216" i="1" s="1"/>
  <c r="BS217" i="1" a="1"/>
  <c r="BS217" i="1" s="1"/>
  <c r="BS218" i="1" a="1"/>
  <c r="BS218" i="1" s="1"/>
  <c r="BS219" i="1" a="1"/>
  <c r="BS219" i="1" s="1"/>
  <c r="BS220" i="1" a="1"/>
  <c r="BS220" i="1" s="1"/>
  <c r="BS221" i="1" a="1"/>
  <c r="BS221" i="1" s="1"/>
  <c r="BS222" i="1" a="1"/>
  <c r="BS222" i="1" s="1"/>
  <c r="BS223" i="1" a="1"/>
  <c r="BS223" i="1" s="1"/>
  <c r="BS224" i="1" a="1"/>
  <c r="BS224" i="1" s="1"/>
  <c r="BS225" i="1" a="1"/>
  <c r="BS225" i="1" s="1"/>
  <c r="BS226" i="1" a="1"/>
  <c r="BS226" i="1" s="1"/>
  <c r="BS227" i="1" a="1"/>
  <c r="BS227" i="1" s="1"/>
  <c r="BS228" i="1" a="1"/>
  <c r="BS228" i="1" s="1"/>
  <c r="BS229" i="1" a="1"/>
  <c r="BS229" i="1" s="1"/>
  <c r="BS230" i="1" a="1"/>
  <c r="BS230" i="1" s="1"/>
  <c r="BS231" i="1" a="1"/>
  <c r="BS231" i="1" s="1"/>
  <c r="BS232" i="1" a="1"/>
  <c r="BS232" i="1" s="1"/>
  <c r="BS233" i="1" a="1"/>
  <c r="BS233" i="1" s="1"/>
  <c r="BS234" i="1" a="1"/>
  <c r="BS234" i="1" s="1"/>
  <c r="BS235" i="1" a="1"/>
  <c r="BS235" i="1" s="1"/>
  <c r="BS236" i="1" a="1"/>
  <c r="BS236" i="1" s="1"/>
  <c r="BS237" i="1" a="1"/>
  <c r="BS237" i="1" s="1"/>
  <c r="BS238" i="1" a="1"/>
  <c r="BS238" i="1" s="1"/>
  <c r="BS239" i="1" a="1"/>
  <c r="BS239" i="1" s="1"/>
  <c r="BS240" i="1" a="1"/>
  <c r="BS240" i="1" s="1"/>
  <c r="BS241" i="1" a="1"/>
  <c r="BS241" i="1" s="1"/>
  <c r="BS242" i="1" a="1"/>
  <c r="BS242" i="1" s="1"/>
  <c r="BS243" i="1" a="1"/>
  <c r="BS243" i="1" s="1"/>
  <c r="BS244" i="1" a="1"/>
  <c r="BS244" i="1" s="1"/>
  <c r="BS245" i="1" a="1"/>
  <c r="BS245" i="1" s="1"/>
  <c r="BS246" i="1" a="1"/>
  <c r="BS246" i="1" s="1"/>
  <c r="BS247" i="1" a="1"/>
  <c r="BS247" i="1" s="1"/>
  <c r="BS248" i="1" a="1"/>
  <c r="BS248" i="1" s="1"/>
  <c r="BS249" i="1" a="1"/>
  <c r="BS249" i="1" s="1"/>
  <c r="BS250" i="1" a="1"/>
  <c r="BS250" i="1" s="1"/>
  <c r="BS251" i="1" a="1"/>
  <c r="BS251" i="1" s="1"/>
  <c r="BS252" i="1" a="1"/>
  <c r="BS252" i="1" s="1"/>
  <c r="BS253" i="1" a="1"/>
  <c r="BS253" i="1" s="1"/>
  <c r="BS254" i="1" a="1"/>
  <c r="BS254" i="1" s="1"/>
  <c r="BS255" i="1" a="1"/>
  <c r="BS255" i="1" s="1"/>
  <c r="BS256" i="1" a="1"/>
  <c r="BS256" i="1" s="1"/>
  <c r="BS257" i="1" a="1"/>
  <c r="BS257" i="1" s="1"/>
  <c r="BS258" i="1" a="1"/>
  <c r="BS258" i="1" s="1"/>
  <c r="BS259" i="1" a="1"/>
  <c r="BS259" i="1" s="1"/>
  <c r="BS260" i="1" a="1"/>
  <c r="BS260" i="1" s="1"/>
  <c r="BS261" i="1" a="1"/>
  <c r="BS261" i="1" s="1"/>
  <c r="BS262" i="1" a="1"/>
  <c r="BS262" i="1" s="1"/>
  <c r="BS263" i="1" a="1"/>
  <c r="BS263" i="1" s="1"/>
  <c r="BS264" i="1" a="1"/>
  <c r="BS264" i="1" s="1"/>
  <c r="BS265" i="1" a="1"/>
  <c r="BS265" i="1" s="1"/>
  <c r="BS266" i="1" a="1"/>
  <c r="BS266" i="1" s="1"/>
  <c r="BS267" i="1" a="1"/>
  <c r="BS267" i="1" s="1"/>
  <c r="BS268" i="1" a="1"/>
  <c r="BS268" i="1" s="1"/>
  <c r="BS269" i="1" a="1"/>
  <c r="BS269" i="1" s="1"/>
  <c r="BS270" i="1" a="1"/>
  <c r="BS270" i="1" s="1"/>
  <c r="BS271" i="1" a="1"/>
  <c r="BS271" i="1" s="1"/>
  <c r="BS6" i="1" a="1"/>
  <c r="BS6" i="1" s="1"/>
  <c r="BS7" i="1" a="1"/>
  <c r="BS7" i="1" s="1"/>
  <c r="BS8" i="1" a="1"/>
  <c r="BS8" i="1" s="1"/>
  <c r="BS9" i="1" a="1"/>
  <c r="BS9" i="1" s="1"/>
  <c r="BS10" i="1" a="1"/>
  <c r="BS10" i="1" s="1"/>
  <c r="BS11" i="1" a="1"/>
  <c r="BS11" i="1" s="1"/>
  <c r="BS12" i="1" a="1"/>
  <c r="BS12" i="1" s="1"/>
  <c r="BS13" i="1" a="1"/>
  <c r="BS13" i="1" s="1"/>
  <c r="BS14" i="1" a="1"/>
  <c r="BS14" i="1" s="1"/>
  <c r="BS15" i="1" a="1"/>
  <c r="BS15" i="1" s="1"/>
  <c r="BS16" i="1" a="1"/>
  <c r="BS16" i="1" s="1"/>
  <c r="BS17" i="1" a="1"/>
  <c r="BS17" i="1" s="1"/>
  <c r="BS18" i="1" a="1"/>
  <c r="BS18" i="1" s="1"/>
  <c r="BS19" i="1" a="1"/>
  <c r="BS19" i="1" s="1"/>
  <c r="BS20" i="1" a="1"/>
  <c r="BS20" i="1" s="1"/>
  <c r="BS21" i="1" a="1"/>
  <c r="BS21" i="1" s="1"/>
  <c r="BS22" i="1" a="1"/>
  <c r="BS22" i="1" s="1"/>
  <c r="BS23" i="1" a="1"/>
  <c r="BS23" i="1" s="1"/>
  <c r="BS24" i="1" a="1"/>
  <c r="BS24" i="1" s="1"/>
  <c r="BS25" i="1" a="1"/>
  <c r="BS25" i="1" s="1"/>
  <c r="BS26" i="1" a="1"/>
  <c r="BS26" i="1" s="1"/>
  <c r="BS27" i="1" a="1"/>
  <c r="BS27" i="1" s="1"/>
  <c r="BS28" i="1" a="1"/>
  <c r="BS28" i="1" s="1"/>
  <c r="BS29" i="1" a="1"/>
  <c r="BS29" i="1" s="1"/>
  <c r="BS30" i="1" a="1"/>
  <c r="BS30" i="1" s="1"/>
  <c r="BS31" i="1" a="1"/>
  <c r="BS31" i="1" s="1"/>
  <c r="BS32" i="1" a="1"/>
  <c r="BS32" i="1" s="1"/>
  <c r="BS33" i="1" a="1"/>
  <c r="BS33" i="1" s="1"/>
  <c r="BS34" i="1" a="1"/>
  <c r="BS34" i="1" s="1"/>
  <c r="BS35" i="1" a="1"/>
  <c r="BS35" i="1" s="1"/>
  <c r="BS36" i="1" a="1"/>
  <c r="BS36" i="1" s="1"/>
  <c r="BS37" i="1" a="1"/>
  <c r="BS37" i="1" s="1"/>
  <c r="BS38" i="1" a="1"/>
  <c r="BS38" i="1" s="1"/>
  <c r="BS39" i="1" a="1"/>
  <c r="BS39" i="1" s="1"/>
  <c r="BS40" i="1" a="1"/>
  <c r="BS40" i="1" s="1"/>
  <c r="BS41" i="1" a="1"/>
  <c r="BS41" i="1" s="1"/>
  <c r="BS42" i="1" a="1"/>
  <c r="BS42" i="1" s="1"/>
  <c r="BS43" i="1" a="1"/>
  <c r="BS43" i="1" s="1"/>
  <c r="BS44" i="1" a="1"/>
  <c r="BS44" i="1" s="1"/>
  <c r="BS45" i="1" a="1"/>
  <c r="BS45" i="1" s="1"/>
  <c r="BS46" i="1" a="1"/>
  <c r="BS46" i="1" s="1"/>
  <c r="BS47" i="1" a="1"/>
  <c r="BS47" i="1" s="1"/>
  <c r="BS48" i="1" a="1"/>
  <c r="BS48" i="1" s="1"/>
  <c r="BS49" i="1" a="1"/>
  <c r="BS49" i="1" s="1"/>
  <c r="BS50" i="1" a="1"/>
  <c r="BS50" i="1" s="1"/>
  <c r="BS51" i="1" a="1"/>
  <c r="BS51" i="1" s="1"/>
  <c r="BS52" i="1" a="1"/>
  <c r="BS52" i="1" s="1"/>
  <c r="BS53" i="1" a="1"/>
  <c r="BS53" i="1" s="1"/>
  <c r="BS54" i="1" a="1"/>
  <c r="BS54" i="1" s="1"/>
  <c r="BS55" i="1" a="1"/>
  <c r="BS55" i="1" s="1"/>
  <c r="BS56" i="1" a="1"/>
  <c r="BS56" i="1" s="1"/>
  <c r="BS57" i="1" a="1"/>
  <c r="BS57" i="1" s="1"/>
  <c r="BS58" i="1" a="1"/>
  <c r="BS58" i="1" s="1"/>
  <c r="BS59" i="1" a="1"/>
  <c r="BS59" i="1" s="1"/>
  <c r="BS60" i="1" a="1"/>
  <c r="BS60" i="1" s="1"/>
  <c r="BS61" i="1" a="1"/>
  <c r="BS61" i="1" s="1"/>
  <c r="BS62" i="1" a="1"/>
  <c r="BS62" i="1" s="1"/>
  <c r="BS63" i="1" a="1"/>
  <c r="BS63" i="1" s="1"/>
  <c r="BS64" i="1" a="1"/>
  <c r="BS64" i="1" s="1"/>
  <c r="BS65" i="1" a="1"/>
  <c r="BS65" i="1" s="1"/>
  <c r="BS66" i="1" a="1"/>
  <c r="BS66" i="1" s="1"/>
  <c r="BQ186" i="1" a="1"/>
  <c r="BQ186" i="1" s="1"/>
  <c r="CD186" i="1" s="1"/>
  <c r="DP180" i="1" a="1"/>
  <c r="DP180" i="1" s="1"/>
  <c r="BQ6" i="1" a="1"/>
  <c r="BQ6" i="1" s="1"/>
  <c r="CD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Q70" i="1" a="1"/>
  <c r="BQ70" i="1" s="1"/>
  <c r="CD70" i="1" s="1"/>
  <c r="BQ209" i="1" a="1"/>
  <c r="BQ209" i="1" s="1"/>
  <c r="CD209" i="1" s="1"/>
  <c r="BQ155" i="1" a="1"/>
  <c r="BQ155" i="1" s="1"/>
  <c r="CD155" i="1" s="1"/>
  <c r="ET90" i="1"/>
  <c r="EP6" i="1"/>
  <c r="EV6" i="1"/>
  <c r="EP7" i="1"/>
  <c r="EP8" i="1"/>
  <c r="EP9" i="1"/>
  <c r="EP10" i="1"/>
  <c r="EP11" i="1"/>
  <c r="EP12" i="1"/>
  <c r="EP13" i="1"/>
  <c r="EP14" i="1"/>
  <c r="EP15" i="1"/>
  <c r="EP16" i="1"/>
  <c r="EP17" i="1"/>
  <c r="EP18" i="1"/>
  <c r="EP90"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121" i="1"/>
  <c r="EP68" i="1"/>
  <c r="EP69" i="1"/>
  <c r="EP155" i="1"/>
  <c r="EP71" i="1"/>
  <c r="EP72" i="1"/>
  <c r="EP73" i="1"/>
  <c r="EP74" i="1"/>
  <c r="EP75" i="1"/>
  <c r="EP76" i="1"/>
  <c r="EP77" i="1"/>
  <c r="EP78" i="1"/>
  <c r="EP79" i="1"/>
  <c r="EP80" i="1"/>
  <c r="EP81" i="1"/>
  <c r="EP82" i="1"/>
  <c r="EP83" i="1"/>
  <c r="EP84" i="1"/>
  <c r="EP85" i="1"/>
  <c r="EP86" i="1"/>
  <c r="EP87" i="1"/>
  <c r="EP88" i="1"/>
  <c r="EP114" i="1"/>
  <c r="EP186" i="1"/>
  <c r="EP91" i="1"/>
  <c r="EP92" i="1"/>
  <c r="EP93" i="1"/>
  <c r="EP94" i="1"/>
  <c r="EP95" i="1"/>
  <c r="EP96" i="1"/>
  <c r="EP97" i="1"/>
  <c r="EP98" i="1"/>
  <c r="EP99" i="1"/>
  <c r="EP100" i="1"/>
  <c r="EP101" i="1"/>
  <c r="EP102" i="1"/>
  <c r="EP103" i="1"/>
  <c r="EP104" i="1"/>
  <c r="EP105" i="1"/>
  <c r="EP106" i="1"/>
  <c r="EP107" i="1"/>
  <c r="EP108" i="1"/>
  <c r="EP109" i="1"/>
  <c r="EP110" i="1"/>
  <c r="EP111" i="1"/>
  <c r="EP112" i="1"/>
  <c r="EP113" i="1"/>
  <c r="EP153" i="1"/>
  <c r="EP115" i="1"/>
  <c r="EP116" i="1"/>
  <c r="EP117" i="1"/>
  <c r="EP118" i="1"/>
  <c r="EP119" i="1"/>
  <c r="EP67" i="1"/>
  <c r="EP70" i="1"/>
  <c r="EP122" i="1"/>
  <c r="EP123" i="1"/>
  <c r="EP124" i="1"/>
  <c r="EP125" i="1"/>
  <c r="EP126" i="1"/>
  <c r="EP127" i="1"/>
  <c r="EP128" i="1"/>
  <c r="EP129" i="1"/>
  <c r="EP130" i="1"/>
  <c r="EP131" i="1"/>
  <c r="EP132" i="1"/>
  <c r="EP133" i="1"/>
  <c r="EP134" i="1"/>
  <c r="EP135" i="1"/>
  <c r="EP136" i="1"/>
  <c r="EP137" i="1"/>
  <c r="EP138" i="1"/>
  <c r="EP139" i="1"/>
  <c r="EP140" i="1"/>
  <c r="EP141" i="1"/>
  <c r="EP142" i="1"/>
  <c r="EP143" i="1"/>
  <c r="EP144" i="1"/>
  <c r="EP145" i="1"/>
  <c r="EP146" i="1"/>
  <c r="EP147" i="1"/>
  <c r="EP148" i="1"/>
  <c r="EP149" i="1"/>
  <c r="EP150" i="1"/>
  <c r="EP151" i="1"/>
  <c r="EP152" i="1"/>
  <c r="EP120" i="1"/>
  <c r="EP154" i="1"/>
  <c r="EP89" i="1"/>
  <c r="EP156" i="1"/>
  <c r="EP157" i="1"/>
  <c r="EP158" i="1"/>
  <c r="EP159" i="1"/>
  <c r="EP160" i="1"/>
  <c r="EP161" i="1"/>
  <c r="EP162" i="1"/>
  <c r="EP163" i="1"/>
  <c r="EP164" i="1"/>
  <c r="EP165" i="1"/>
  <c r="EP166" i="1"/>
  <c r="EP167" i="1"/>
  <c r="EP168" i="1"/>
  <c r="EP169" i="1"/>
  <c r="EP170" i="1"/>
  <c r="EP171" i="1"/>
  <c r="EP172" i="1"/>
  <c r="EP173" i="1"/>
  <c r="EP174" i="1"/>
  <c r="EP175" i="1"/>
  <c r="EP176" i="1"/>
  <c r="EP177" i="1"/>
  <c r="EP178" i="1"/>
  <c r="EP179" i="1"/>
  <c r="EP180" i="1"/>
  <c r="EP181" i="1"/>
  <c r="EP182" i="1"/>
  <c r="EP183" i="1"/>
  <c r="EP184" i="1"/>
  <c r="EP185" i="1"/>
  <c r="EP19" i="1"/>
  <c r="EP187" i="1"/>
  <c r="EP188" i="1"/>
  <c r="EP189" i="1"/>
  <c r="EP190" i="1"/>
  <c r="EP191" i="1"/>
  <c r="EP192" i="1"/>
  <c r="EP193" i="1"/>
  <c r="EP194" i="1"/>
  <c r="EP195" i="1"/>
  <c r="EP196" i="1"/>
  <c r="EP197" i="1"/>
  <c r="EP198" i="1"/>
  <c r="EP199" i="1"/>
  <c r="EP200" i="1"/>
  <c r="EP201" i="1"/>
  <c r="EP202" i="1"/>
  <c r="EP203" i="1"/>
  <c r="EP204" i="1"/>
  <c r="EP205" i="1"/>
  <c r="EP206" i="1"/>
  <c r="EP207" i="1"/>
  <c r="EP208" i="1"/>
  <c r="EP209" i="1"/>
  <c r="EP210" i="1"/>
  <c r="EP211" i="1"/>
  <c r="EP212" i="1"/>
  <c r="EP213" i="1"/>
  <c r="EP214" i="1"/>
  <c r="EP215" i="1"/>
  <c r="EP216" i="1"/>
  <c r="EP217" i="1"/>
  <c r="EP218" i="1"/>
  <c r="EP219" i="1"/>
  <c r="EP220" i="1"/>
  <c r="EP221" i="1"/>
  <c r="EP222" i="1"/>
  <c r="EP223" i="1"/>
  <c r="EP224" i="1"/>
  <c r="EP225" i="1"/>
  <c r="EP226" i="1"/>
  <c r="EP227" i="1"/>
  <c r="EP228" i="1"/>
  <c r="EP229" i="1"/>
  <c r="EP230" i="1"/>
  <c r="EP231" i="1"/>
  <c r="EP232" i="1"/>
  <c r="EP233" i="1"/>
  <c r="EP234" i="1"/>
  <c r="EP235" i="1"/>
  <c r="EP236" i="1"/>
  <c r="EP237" i="1"/>
  <c r="EP238" i="1"/>
  <c r="EP239" i="1"/>
  <c r="EP240" i="1"/>
  <c r="EP241" i="1"/>
  <c r="EP242" i="1"/>
  <c r="EP243" i="1"/>
  <c r="EP244" i="1"/>
  <c r="EP245" i="1"/>
  <c r="EP246" i="1"/>
  <c r="EP247" i="1"/>
  <c r="EP248" i="1"/>
  <c r="EP249" i="1"/>
  <c r="EP250" i="1"/>
  <c r="EP251" i="1"/>
  <c r="EP252" i="1"/>
  <c r="EP253" i="1"/>
  <c r="EP254" i="1"/>
  <c r="EP255" i="1"/>
  <c r="EP256" i="1"/>
  <c r="EP257" i="1"/>
  <c r="EP258" i="1"/>
  <c r="EP259" i="1"/>
  <c r="EP260" i="1"/>
  <c r="EP261" i="1"/>
  <c r="EP262" i="1"/>
  <c r="EP263" i="1"/>
  <c r="EP264" i="1"/>
  <c r="EP265" i="1"/>
  <c r="EP266" i="1"/>
  <c r="EP267" i="1"/>
  <c r="EP268" i="1"/>
  <c r="EP269" i="1"/>
  <c r="EP270" i="1"/>
  <c r="EP271" i="1"/>
  <c r="EX6" i="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U6" i="1"/>
  <c r="ET7" i="1"/>
  <c r="ET8" i="1"/>
  <c r="ET9" i="1"/>
  <c r="ET10" i="1"/>
  <c r="ET11" i="1"/>
  <c r="ET12" i="1"/>
  <c r="ET13" i="1"/>
  <c r="ET14" i="1"/>
  <c r="ET15" i="1"/>
  <c r="ET16" i="1"/>
  <c r="ET17" i="1"/>
  <c r="ET18"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T6" i="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EN6" i="1"/>
  <c r="EN7" i="1"/>
  <c r="EO7" i="1"/>
  <c r="EN8" i="1"/>
  <c r="EO8" i="1"/>
  <c r="EN9" i="1"/>
  <c r="EO9" i="1"/>
  <c r="EN10" i="1"/>
  <c r="EO10" i="1"/>
  <c r="EN11" i="1"/>
  <c r="EO11" i="1"/>
  <c r="EN12" i="1"/>
  <c r="EO12" i="1"/>
  <c r="EN13" i="1"/>
  <c r="EO13" i="1"/>
  <c r="EN14" i="1"/>
  <c r="EO14" i="1"/>
  <c r="EN15" i="1"/>
  <c r="EO15" i="1"/>
  <c r="EN16" i="1"/>
  <c r="EO16" i="1"/>
  <c r="EN17" i="1"/>
  <c r="EO17" i="1"/>
  <c r="EN18" i="1"/>
  <c r="EO18" i="1"/>
  <c r="EN90" i="1"/>
  <c r="EO90" i="1"/>
  <c r="EN20" i="1"/>
  <c r="EO20" i="1"/>
  <c r="EN21" i="1"/>
  <c r="EO21" i="1"/>
  <c r="EN22" i="1"/>
  <c r="EO22" i="1"/>
  <c r="EN23" i="1"/>
  <c r="EO23" i="1"/>
  <c r="EN24" i="1"/>
  <c r="EO24" i="1"/>
  <c r="EN25" i="1"/>
  <c r="EO25" i="1"/>
  <c r="EN26" i="1"/>
  <c r="EO26" i="1"/>
  <c r="EN27" i="1"/>
  <c r="EO27" i="1"/>
  <c r="EN28" i="1"/>
  <c r="EO28" i="1"/>
  <c r="EN29" i="1"/>
  <c r="EO29" i="1"/>
  <c r="EN30" i="1"/>
  <c r="EO30" i="1"/>
  <c r="EN31" i="1"/>
  <c r="EO31" i="1"/>
  <c r="EN32" i="1"/>
  <c r="EO32" i="1"/>
  <c r="EN33" i="1"/>
  <c r="EO33" i="1"/>
  <c r="EN34" i="1"/>
  <c r="EO34" i="1"/>
  <c r="EN35" i="1"/>
  <c r="EO35" i="1"/>
  <c r="EN36" i="1"/>
  <c r="EO36" i="1"/>
  <c r="EN37" i="1"/>
  <c r="EO37" i="1"/>
  <c r="EN38" i="1"/>
  <c r="EO38" i="1"/>
  <c r="EN39" i="1"/>
  <c r="EO39" i="1"/>
  <c r="EN40" i="1"/>
  <c r="EO40" i="1"/>
  <c r="EN41" i="1"/>
  <c r="EO41" i="1"/>
  <c r="EN42" i="1"/>
  <c r="EO42" i="1"/>
  <c r="EN43" i="1"/>
  <c r="EO43" i="1"/>
  <c r="EN44" i="1"/>
  <c r="EO44" i="1"/>
  <c r="EN45" i="1"/>
  <c r="EO45" i="1"/>
  <c r="EN46" i="1"/>
  <c r="EO46" i="1"/>
  <c r="EN47" i="1"/>
  <c r="EO47" i="1"/>
  <c r="EN48" i="1"/>
  <c r="EO48" i="1"/>
  <c r="EN49" i="1"/>
  <c r="EO49" i="1"/>
  <c r="EN50" i="1"/>
  <c r="EO50" i="1"/>
  <c r="EN51" i="1"/>
  <c r="EO51" i="1"/>
  <c r="EN52" i="1"/>
  <c r="EO52" i="1"/>
  <c r="EN53" i="1"/>
  <c r="EO53" i="1"/>
  <c r="EN54" i="1"/>
  <c r="EO54" i="1"/>
  <c r="EN55" i="1"/>
  <c r="EO55" i="1"/>
  <c r="EN56" i="1"/>
  <c r="EO56" i="1"/>
  <c r="EN57" i="1"/>
  <c r="EO57" i="1"/>
  <c r="EN58" i="1"/>
  <c r="EO58" i="1"/>
  <c r="EN59" i="1"/>
  <c r="EO59" i="1"/>
  <c r="EN60" i="1"/>
  <c r="EO60" i="1"/>
  <c r="EN61" i="1"/>
  <c r="EO61" i="1"/>
  <c r="EN62" i="1"/>
  <c r="EO62" i="1"/>
  <c r="EN63" i="1"/>
  <c r="EO63" i="1"/>
  <c r="EN64" i="1"/>
  <c r="EO64" i="1"/>
  <c r="EN65" i="1"/>
  <c r="EO65" i="1"/>
  <c r="EN66" i="1"/>
  <c r="EO66" i="1"/>
  <c r="EN121" i="1"/>
  <c r="EO121" i="1"/>
  <c r="EN68" i="1"/>
  <c r="EO68" i="1"/>
  <c r="EN69" i="1"/>
  <c r="EO69" i="1"/>
  <c r="EN155" i="1"/>
  <c r="EO155" i="1"/>
  <c r="EN71" i="1"/>
  <c r="EO71" i="1"/>
  <c r="EN72" i="1"/>
  <c r="EO72" i="1"/>
  <c r="EN73" i="1"/>
  <c r="EO73" i="1"/>
  <c r="EN74" i="1"/>
  <c r="EO74" i="1"/>
  <c r="EN75" i="1"/>
  <c r="EO75" i="1"/>
  <c r="EN76" i="1"/>
  <c r="EO76" i="1"/>
  <c r="EN77" i="1"/>
  <c r="EO77" i="1"/>
  <c r="EN78" i="1"/>
  <c r="EO78" i="1"/>
  <c r="EN79" i="1"/>
  <c r="EO79" i="1"/>
  <c r="EN80" i="1"/>
  <c r="EO80" i="1"/>
  <c r="EN81" i="1"/>
  <c r="EO81" i="1"/>
  <c r="EN82" i="1"/>
  <c r="EO82" i="1"/>
  <c r="EN83" i="1"/>
  <c r="EO83" i="1"/>
  <c r="EN84" i="1"/>
  <c r="EO84" i="1"/>
  <c r="EN85" i="1"/>
  <c r="EO85" i="1"/>
  <c r="EN86" i="1"/>
  <c r="EO86" i="1"/>
  <c r="EN87" i="1"/>
  <c r="EO87" i="1"/>
  <c r="EN88" i="1"/>
  <c r="EO88" i="1"/>
  <c r="EN114" i="1"/>
  <c r="EO114" i="1"/>
  <c r="EN186" i="1"/>
  <c r="EO186" i="1"/>
  <c r="EN91" i="1"/>
  <c r="EO91" i="1"/>
  <c r="EN92" i="1"/>
  <c r="EO92" i="1"/>
  <c r="EN93" i="1"/>
  <c r="EO93" i="1"/>
  <c r="EN94" i="1"/>
  <c r="EO94" i="1"/>
  <c r="EN95" i="1"/>
  <c r="EO95" i="1"/>
  <c r="EN96" i="1"/>
  <c r="EO96" i="1"/>
  <c r="EN97" i="1"/>
  <c r="EO97" i="1"/>
  <c r="EN98" i="1"/>
  <c r="EO98" i="1"/>
  <c r="EN99" i="1"/>
  <c r="EO99" i="1"/>
  <c r="EN100" i="1"/>
  <c r="EO100" i="1"/>
  <c r="EN101" i="1"/>
  <c r="EO101" i="1"/>
  <c r="EN102" i="1"/>
  <c r="EO102" i="1"/>
  <c r="EN103" i="1"/>
  <c r="EO103" i="1"/>
  <c r="EN104" i="1"/>
  <c r="EO104" i="1"/>
  <c r="EN105" i="1"/>
  <c r="EO105" i="1"/>
  <c r="EN106" i="1"/>
  <c r="EO106" i="1"/>
  <c r="EN107" i="1"/>
  <c r="EO107" i="1"/>
  <c r="EN108" i="1"/>
  <c r="EO108" i="1"/>
  <c r="EN109" i="1"/>
  <c r="EO109" i="1"/>
  <c r="EN110" i="1"/>
  <c r="EO110" i="1"/>
  <c r="EN111" i="1"/>
  <c r="EO111" i="1"/>
  <c r="EN112" i="1"/>
  <c r="EO112" i="1"/>
  <c r="EN113" i="1"/>
  <c r="EO113" i="1"/>
  <c r="EN153" i="1"/>
  <c r="EO153" i="1"/>
  <c r="EN115" i="1"/>
  <c r="EO115" i="1"/>
  <c r="EN116" i="1"/>
  <c r="EO116" i="1"/>
  <c r="EN117" i="1"/>
  <c r="EO117" i="1"/>
  <c r="EN118" i="1"/>
  <c r="EO118" i="1"/>
  <c r="EN119" i="1"/>
  <c r="EO119" i="1"/>
  <c r="EN67" i="1"/>
  <c r="EO67" i="1"/>
  <c r="EN70" i="1"/>
  <c r="EO70" i="1"/>
  <c r="EN122" i="1"/>
  <c r="EO122" i="1"/>
  <c r="EN123" i="1"/>
  <c r="EO123" i="1"/>
  <c r="EN124" i="1"/>
  <c r="EO124" i="1"/>
  <c r="EN125" i="1"/>
  <c r="EO125" i="1"/>
  <c r="EN126" i="1"/>
  <c r="EO126" i="1"/>
  <c r="EN127" i="1"/>
  <c r="EO127" i="1"/>
  <c r="EN128" i="1"/>
  <c r="EO128" i="1"/>
  <c r="EN129" i="1"/>
  <c r="EO129" i="1"/>
  <c r="EN130" i="1"/>
  <c r="EO130" i="1"/>
  <c r="EN131" i="1"/>
  <c r="EO131" i="1"/>
  <c r="EN132" i="1"/>
  <c r="EO132" i="1"/>
  <c r="EN133" i="1"/>
  <c r="EO133" i="1"/>
  <c r="EN134" i="1"/>
  <c r="EO134" i="1"/>
  <c r="EN135" i="1"/>
  <c r="EO135" i="1"/>
  <c r="EN136" i="1"/>
  <c r="EO136" i="1"/>
  <c r="EN137" i="1"/>
  <c r="EO137" i="1"/>
  <c r="EN138" i="1"/>
  <c r="EO138" i="1"/>
  <c r="EN139" i="1"/>
  <c r="EO139" i="1"/>
  <c r="EN140" i="1"/>
  <c r="EO140" i="1"/>
  <c r="EN141" i="1"/>
  <c r="EO141" i="1"/>
  <c r="EN142" i="1"/>
  <c r="EO142" i="1"/>
  <c r="EN143" i="1"/>
  <c r="EO143" i="1"/>
  <c r="EN144" i="1"/>
  <c r="EO144" i="1"/>
  <c r="EN145" i="1"/>
  <c r="EO145" i="1"/>
  <c r="EN146" i="1"/>
  <c r="EO146" i="1"/>
  <c r="EN147" i="1"/>
  <c r="EO147" i="1"/>
  <c r="EN148" i="1"/>
  <c r="EO148" i="1"/>
  <c r="EN149" i="1"/>
  <c r="EO149" i="1"/>
  <c r="EN150" i="1"/>
  <c r="EO150" i="1"/>
  <c r="EN151" i="1"/>
  <c r="EO151" i="1"/>
  <c r="EN152" i="1"/>
  <c r="EO152" i="1"/>
  <c r="EN120" i="1"/>
  <c r="EO120" i="1"/>
  <c r="EN154" i="1"/>
  <c r="EO154" i="1"/>
  <c r="EN89" i="1"/>
  <c r="EO89" i="1"/>
  <c r="EN156" i="1"/>
  <c r="EO156" i="1"/>
  <c r="EN157" i="1"/>
  <c r="EO157" i="1"/>
  <c r="EN158" i="1"/>
  <c r="EO158" i="1"/>
  <c r="EN159" i="1"/>
  <c r="EO159" i="1"/>
  <c r="EN160" i="1"/>
  <c r="EO160" i="1"/>
  <c r="EN161" i="1"/>
  <c r="EO161" i="1"/>
  <c r="EN162" i="1"/>
  <c r="EO162" i="1"/>
  <c r="EN163" i="1"/>
  <c r="EO163" i="1"/>
  <c r="EN164" i="1"/>
  <c r="EO164" i="1"/>
  <c r="EN165" i="1"/>
  <c r="EO165" i="1"/>
  <c r="EN166" i="1"/>
  <c r="EO166" i="1"/>
  <c r="EN167" i="1"/>
  <c r="EO167" i="1"/>
  <c r="EN168" i="1"/>
  <c r="EO168" i="1"/>
  <c r="EN169" i="1"/>
  <c r="EO169" i="1"/>
  <c r="EN170" i="1"/>
  <c r="EO170" i="1"/>
  <c r="EN171" i="1"/>
  <c r="EO171" i="1"/>
  <c r="EN172" i="1"/>
  <c r="EO172" i="1"/>
  <c r="EN173" i="1"/>
  <c r="EO173" i="1"/>
  <c r="EN174" i="1"/>
  <c r="EO174" i="1"/>
  <c r="EN175" i="1"/>
  <c r="EO175" i="1"/>
  <c r="EN176" i="1"/>
  <c r="EO176" i="1"/>
  <c r="EN177" i="1"/>
  <c r="EO177" i="1"/>
  <c r="EN178" i="1"/>
  <c r="EO178" i="1"/>
  <c r="EN179" i="1"/>
  <c r="EO179" i="1"/>
  <c r="EN180" i="1"/>
  <c r="EO180" i="1"/>
  <c r="EN181" i="1"/>
  <c r="EO181" i="1"/>
  <c r="EN182" i="1"/>
  <c r="EO182" i="1"/>
  <c r="EN183" i="1"/>
  <c r="EO183" i="1"/>
  <c r="EN184" i="1"/>
  <c r="EO184" i="1"/>
  <c r="EN185" i="1"/>
  <c r="EO185" i="1"/>
  <c r="EN19" i="1"/>
  <c r="EO19" i="1"/>
  <c r="EN187" i="1"/>
  <c r="EO187" i="1"/>
  <c r="EN188" i="1"/>
  <c r="EO188" i="1"/>
  <c r="EN189" i="1"/>
  <c r="EO189" i="1"/>
  <c r="EN190" i="1"/>
  <c r="EO190" i="1"/>
  <c r="EN191" i="1"/>
  <c r="EO191" i="1"/>
  <c r="EN192" i="1"/>
  <c r="EO192" i="1"/>
  <c r="EN193" i="1"/>
  <c r="EO193" i="1"/>
  <c r="EN194" i="1"/>
  <c r="EO194" i="1"/>
  <c r="EN195" i="1"/>
  <c r="EO195" i="1"/>
  <c r="EN196" i="1"/>
  <c r="EO196" i="1"/>
  <c r="EN197" i="1"/>
  <c r="EO197" i="1"/>
  <c r="EN198" i="1"/>
  <c r="EO198" i="1"/>
  <c r="EN199" i="1"/>
  <c r="EO199" i="1"/>
  <c r="EN200" i="1"/>
  <c r="EO200" i="1"/>
  <c r="EN201" i="1"/>
  <c r="EO201" i="1"/>
  <c r="EN202" i="1"/>
  <c r="EO202" i="1"/>
  <c r="EN203" i="1"/>
  <c r="EO203" i="1"/>
  <c r="EN204" i="1"/>
  <c r="EO204" i="1"/>
  <c r="EN205" i="1"/>
  <c r="EO205" i="1"/>
  <c r="EN206" i="1"/>
  <c r="EO206" i="1"/>
  <c r="EN207" i="1"/>
  <c r="EO207" i="1"/>
  <c r="EN208" i="1"/>
  <c r="EO208" i="1"/>
  <c r="EN209" i="1"/>
  <c r="EO209" i="1"/>
  <c r="EN210" i="1"/>
  <c r="EO210" i="1"/>
  <c r="EN211" i="1"/>
  <c r="EO211" i="1"/>
  <c r="EN212" i="1"/>
  <c r="EO212" i="1"/>
  <c r="EN213" i="1"/>
  <c r="EO213" i="1"/>
  <c r="EN214" i="1"/>
  <c r="EO214" i="1"/>
  <c r="EN215" i="1"/>
  <c r="EO215" i="1"/>
  <c r="EN216" i="1"/>
  <c r="EO216" i="1"/>
  <c r="EN217" i="1"/>
  <c r="EO217" i="1"/>
  <c r="EN218" i="1"/>
  <c r="EO218" i="1"/>
  <c r="EN219" i="1"/>
  <c r="EO219" i="1"/>
  <c r="EN220" i="1"/>
  <c r="EO220" i="1"/>
  <c r="EN221" i="1"/>
  <c r="EO221" i="1"/>
  <c r="EN222" i="1"/>
  <c r="EO222" i="1"/>
  <c r="EN223" i="1"/>
  <c r="EO223" i="1"/>
  <c r="EN224" i="1"/>
  <c r="EO224" i="1"/>
  <c r="EN225" i="1"/>
  <c r="EO225" i="1"/>
  <c r="EN226" i="1"/>
  <c r="EO226" i="1"/>
  <c r="EN227" i="1"/>
  <c r="EO227" i="1"/>
  <c r="EN228" i="1"/>
  <c r="EO228" i="1"/>
  <c r="EN229" i="1"/>
  <c r="EO229" i="1"/>
  <c r="EN230" i="1"/>
  <c r="EO230" i="1"/>
  <c r="EN231" i="1"/>
  <c r="EO231" i="1"/>
  <c r="EN232" i="1"/>
  <c r="EO232" i="1"/>
  <c r="EN233" i="1"/>
  <c r="EO233" i="1"/>
  <c r="EN234" i="1"/>
  <c r="EO234" i="1"/>
  <c r="EN235" i="1"/>
  <c r="EO235" i="1"/>
  <c r="EN236" i="1"/>
  <c r="EO236" i="1"/>
  <c r="EN237" i="1"/>
  <c r="EO237" i="1"/>
  <c r="EN238" i="1"/>
  <c r="EO238" i="1"/>
  <c r="EN239" i="1"/>
  <c r="EO239" i="1"/>
  <c r="EN240" i="1"/>
  <c r="EO240" i="1"/>
  <c r="EN241" i="1"/>
  <c r="EO241" i="1"/>
  <c r="EN242" i="1"/>
  <c r="EO242" i="1"/>
  <c r="EN243" i="1"/>
  <c r="EO243" i="1"/>
  <c r="EN244" i="1"/>
  <c r="EO244" i="1"/>
  <c r="EN245" i="1"/>
  <c r="EO245" i="1"/>
  <c r="EN246" i="1"/>
  <c r="EO246" i="1"/>
  <c r="EN247" i="1"/>
  <c r="EO247" i="1"/>
  <c r="EN248" i="1"/>
  <c r="EO248" i="1"/>
  <c r="EN249" i="1"/>
  <c r="EO249" i="1"/>
  <c r="EN250" i="1"/>
  <c r="EO250" i="1"/>
  <c r="EN251" i="1"/>
  <c r="EO251" i="1"/>
  <c r="EN252" i="1"/>
  <c r="EO252" i="1"/>
  <c r="EN253" i="1"/>
  <c r="EO253" i="1"/>
  <c r="EN254" i="1"/>
  <c r="EO254" i="1"/>
  <c r="EN255" i="1"/>
  <c r="EO255" i="1"/>
  <c r="EN256" i="1"/>
  <c r="EO256" i="1"/>
  <c r="EN257" i="1"/>
  <c r="EO257" i="1"/>
  <c r="EN258" i="1"/>
  <c r="EO258" i="1"/>
  <c r="EN259" i="1"/>
  <c r="EO259" i="1"/>
  <c r="EN260" i="1"/>
  <c r="EO260" i="1"/>
  <c r="EN261" i="1"/>
  <c r="EO261" i="1"/>
  <c r="EN262" i="1"/>
  <c r="EO262" i="1"/>
  <c r="EN263" i="1"/>
  <c r="EO263" i="1"/>
  <c r="EN264" i="1"/>
  <c r="EO264" i="1"/>
  <c r="EN265" i="1"/>
  <c r="EO265" i="1"/>
  <c r="EN266" i="1"/>
  <c r="EO266" i="1"/>
  <c r="EN267" i="1"/>
  <c r="EO267" i="1"/>
  <c r="EN268" i="1"/>
  <c r="EO268" i="1"/>
  <c r="EN269" i="1"/>
  <c r="EO269" i="1"/>
  <c r="EN270" i="1"/>
  <c r="EO270" i="1"/>
  <c r="EN271" i="1"/>
  <c r="EO271" i="1"/>
  <c r="EO6" i="1"/>
  <c r="EZ6" i="1"/>
  <c r="EH6" i="1"/>
  <c r="EQ6" i="1" s="1"/>
  <c r="EH7" i="1"/>
  <c r="EQ7" i="1" s="1"/>
  <c r="EH8" i="1"/>
  <c r="EQ8" i="1" s="1"/>
  <c r="EH9" i="1"/>
  <c r="EQ9" i="1" s="1"/>
  <c r="EH10" i="1"/>
  <c r="EQ10" i="1" s="1"/>
  <c r="EH11" i="1"/>
  <c r="EQ11" i="1" s="1"/>
  <c r="EH12" i="1"/>
  <c r="EQ12" i="1" s="1"/>
  <c r="EH13" i="1"/>
  <c r="EQ13" i="1" s="1"/>
  <c r="EH14" i="1"/>
  <c r="EQ14" i="1" s="1"/>
  <c r="EH15" i="1"/>
  <c r="EQ15" i="1" s="1"/>
  <c r="EH16" i="1"/>
  <c r="EQ16" i="1" s="1"/>
  <c r="EH17" i="1"/>
  <c r="EQ17" i="1" s="1"/>
  <c r="EH18" i="1"/>
  <c r="EQ18" i="1" s="1"/>
  <c r="EH90" i="1"/>
  <c r="EQ90" i="1" s="1"/>
  <c r="EH20" i="1"/>
  <c r="EQ20" i="1" s="1"/>
  <c r="EH21" i="1"/>
  <c r="EQ21" i="1" s="1"/>
  <c r="EH22" i="1"/>
  <c r="EQ22" i="1" s="1"/>
  <c r="EH23" i="1"/>
  <c r="EQ23" i="1" s="1"/>
  <c r="EH24" i="1"/>
  <c r="EQ24" i="1" s="1"/>
  <c r="EH25" i="1"/>
  <c r="EQ25" i="1" s="1"/>
  <c r="EH26" i="1"/>
  <c r="EQ26" i="1" s="1"/>
  <c r="EH27" i="1"/>
  <c r="EQ27" i="1" s="1"/>
  <c r="EH28" i="1"/>
  <c r="EQ28" i="1" s="1"/>
  <c r="EH29" i="1"/>
  <c r="EQ29" i="1" s="1"/>
  <c r="EH30" i="1"/>
  <c r="EQ30" i="1" s="1"/>
  <c r="EH31" i="1"/>
  <c r="EQ31" i="1" s="1"/>
  <c r="EH32" i="1"/>
  <c r="EQ32" i="1" s="1"/>
  <c r="EH33" i="1"/>
  <c r="EQ33" i="1" s="1"/>
  <c r="EH34" i="1"/>
  <c r="EQ34" i="1" s="1"/>
  <c r="EH35" i="1"/>
  <c r="EQ35" i="1" s="1"/>
  <c r="EH36" i="1"/>
  <c r="EQ36" i="1" s="1"/>
  <c r="EH37" i="1"/>
  <c r="EQ37" i="1" s="1"/>
  <c r="EH38" i="1"/>
  <c r="EQ38" i="1" s="1"/>
  <c r="EH39" i="1"/>
  <c r="EQ39" i="1" s="1"/>
  <c r="EH40" i="1"/>
  <c r="EQ40" i="1" s="1"/>
  <c r="EH41" i="1"/>
  <c r="EQ41" i="1" s="1"/>
  <c r="EH42" i="1"/>
  <c r="EQ42" i="1" s="1"/>
  <c r="EH43" i="1"/>
  <c r="EQ43" i="1" s="1"/>
  <c r="EH44" i="1"/>
  <c r="EQ44" i="1" s="1"/>
  <c r="EH45" i="1"/>
  <c r="EQ45" i="1" s="1"/>
  <c r="EH46" i="1"/>
  <c r="EQ46" i="1" s="1"/>
  <c r="EH47" i="1"/>
  <c r="EQ47" i="1" s="1"/>
  <c r="EH48" i="1"/>
  <c r="EQ48" i="1" s="1"/>
  <c r="EH49" i="1"/>
  <c r="EQ49" i="1" s="1"/>
  <c r="EH50" i="1"/>
  <c r="EQ50" i="1" s="1"/>
  <c r="EH51" i="1"/>
  <c r="EQ51" i="1" s="1"/>
  <c r="EH52" i="1"/>
  <c r="EQ52" i="1" s="1"/>
  <c r="EH53" i="1"/>
  <c r="EQ53" i="1" s="1"/>
  <c r="EH54" i="1"/>
  <c r="EQ54" i="1" s="1"/>
  <c r="EH55" i="1"/>
  <c r="EQ55" i="1" s="1"/>
  <c r="EH56" i="1"/>
  <c r="EQ56" i="1" s="1"/>
  <c r="EH57" i="1"/>
  <c r="EQ57" i="1" s="1"/>
  <c r="EH58" i="1"/>
  <c r="EQ58" i="1" s="1"/>
  <c r="EH59" i="1"/>
  <c r="EQ59" i="1" s="1"/>
  <c r="EH60" i="1"/>
  <c r="EQ60" i="1" s="1"/>
  <c r="EH61" i="1"/>
  <c r="EQ61" i="1" s="1"/>
  <c r="EH62" i="1"/>
  <c r="EQ62" i="1" s="1"/>
  <c r="EH63" i="1"/>
  <c r="EQ63" i="1" s="1"/>
  <c r="EH64" i="1"/>
  <c r="EQ64" i="1" s="1"/>
  <c r="EH65" i="1"/>
  <c r="EQ65" i="1" s="1"/>
  <c r="EH66" i="1"/>
  <c r="EQ66" i="1" s="1"/>
  <c r="EH121" i="1"/>
  <c r="EQ121" i="1" s="1"/>
  <c r="EH68" i="1"/>
  <c r="EQ68" i="1" s="1"/>
  <c r="EH69" i="1"/>
  <c r="EQ69" i="1" s="1"/>
  <c r="EH155" i="1"/>
  <c r="EQ155" i="1" s="1"/>
  <c r="EH71" i="1"/>
  <c r="EQ71" i="1" s="1"/>
  <c r="EH72" i="1"/>
  <c r="EQ72" i="1" s="1"/>
  <c r="EH73" i="1"/>
  <c r="EQ73" i="1" s="1"/>
  <c r="EH74" i="1"/>
  <c r="EQ74" i="1" s="1"/>
  <c r="EH75" i="1"/>
  <c r="EQ75" i="1" s="1"/>
  <c r="EH76" i="1"/>
  <c r="EQ76" i="1" s="1"/>
  <c r="EH77" i="1"/>
  <c r="EQ77" i="1" s="1"/>
  <c r="EH78" i="1"/>
  <c r="EQ78" i="1" s="1"/>
  <c r="EH79" i="1"/>
  <c r="EQ79" i="1" s="1"/>
  <c r="EH80" i="1"/>
  <c r="EQ80" i="1" s="1"/>
  <c r="EH81" i="1"/>
  <c r="EQ81" i="1" s="1"/>
  <c r="EH82" i="1"/>
  <c r="EQ82" i="1" s="1"/>
  <c r="EH83" i="1"/>
  <c r="EQ83" i="1" s="1"/>
  <c r="EH84" i="1"/>
  <c r="EQ84" i="1" s="1"/>
  <c r="EH85" i="1"/>
  <c r="EQ85" i="1" s="1"/>
  <c r="EH86" i="1"/>
  <c r="EQ86" i="1" s="1"/>
  <c r="EH87" i="1"/>
  <c r="EQ87" i="1" s="1"/>
  <c r="EH88" i="1"/>
  <c r="EQ88" i="1" s="1"/>
  <c r="EH114" i="1"/>
  <c r="EQ114" i="1" s="1"/>
  <c r="EH186" i="1"/>
  <c r="EQ186" i="1" s="1"/>
  <c r="EH91" i="1"/>
  <c r="EQ91" i="1" s="1"/>
  <c r="EH92" i="1"/>
  <c r="EQ92" i="1" s="1"/>
  <c r="EH93" i="1"/>
  <c r="EQ93" i="1" s="1"/>
  <c r="EH94" i="1"/>
  <c r="EQ94" i="1" s="1"/>
  <c r="EH95" i="1"/>
  <c r="EQ95" i="1" s="1"/>
  <c r="EH96" i="1"/>
  <c r="EQ96" i="1" s="1"/>
  <c r="EH97" i="1"/>
  <c r="EQ97" i="1" s="1"/>
  <c r="EH98" i="1"/>
  <c r="EQ98" i="1" s="1"/>
  <c r="EH99" i="1"/>
  <c r="EQ99" i="1" s="1"/>
  <c r="EH100" i="1"/>
  <c r="EQ100" i="1" s="1"/>
  <c r="EH101" i="1"/>
  <c r="EQ101" i="1" s="1"/>
  <c r="EH102" i="1"/>
  <c r="EQ102" i="1" s="1"/>
  <c r="EH103" i="1"/>
  <c r="EQ103" i="1" s="1"/>
  <c r="EH104" i="1"/>
  <c r="EQ104" i="1" s="1"/>
  <c r="EH105" i="1"/>
  <c r="EQ105" i="1" s="1"/>
  <c r="EH106" i="1"/>
  <c r="EQ106" i="1" s="1"/>
  <c r="EH107" i="1"/>
  <c r="EQ107" i="1" s="1"/>
  <c r="EH108" i="1"/>
  <c r="EQ108" i="1" s="1"/>
  <c r="EH109" i="1"/>
  <c r="EQ109" i="1" s="1"/>
  <c r="EH110" i="1"/>
  <c r="EQ110" i="1" s="1"/>
  <c r="EH111" i="1"/>
  <c r="EQ111" i="1" s="1"/>
  <c r="EH112" i="1"/>
  <c r="EQ112" i="1" s="1"/>
  <c r="EH113" i="1"/>
  <c r="EQ113" i="1" s="1"/>
  <c r="EH153" i="1"/>
  <c r="EQ153" i="1" s="1"/>
  <c r="EH115" i="1"/>
  <c r="EQ115" i="1" s="1"/>
  <c r="EH116" i="1"/>
  <c r="EQ116" i="1" s="1"/>
  <c r="EH117" i="1"/>
  <c r="EQ117" i="1" s="1"/>
  <c r="EH118" i="1"/>
  <c r="EQ118" i="1" s="1"/>
  <c r="EH119" i="1"/>
  <c r="EQ119" i="1" s="1"/>
  <c r="EH67" i="1"/>
  <c r="EQ67" i="1" s="1"/>
  <c r="EH70" i="1"/>
  <c r="EQ70" i="1" s="1"/>
  <c r="EH122" i="1"/>
  <c r="EQ122" i="1" s="1"/>
  <c r="EH123" i="1"/>
  <c r="EQ123" i="1" s="1"/>
  <c r="EH124" i="1"/>
  <c r="EQ124" i="1" s="1"/>
  <c r="EH125" i="1"/>
  <c r="EQ125" i="1" s="1"/>
  <c r="EH126" i="1"/>
  <c r="EQ126" i="1" s="1"/>
  <c r="EH127" i="1"/>
  <c r="EQ127" i="1" s="1"/>
  <c r="EH128" i="1"/>
  <c r="EQ128" i="1" s="1"/>
  <c r="EH129" i="1"/>
  <c r="EQ129" i="1" s="1"/>
  <c r="EH130" i="1"/>
  <c r="EQ130" i="1" s="1"/>
  <c r="EH131" i="1"/>
  <c r="EQ131" i="1" s="1"/>
  <c r="EH132" i="1"/>
  <c r="EQ132" i="1" s="1"/>
  <c r="EH133" i="1"/>
  <c r="EQ133" i="1" s="1"/>
  <c r="EH134" i="1"/>
  <c r="EQ134" i="1" s="1"/>
  <c r="EH135" i="1"/>
  <c r="EQ135" i="1" s="1"/>
  <c r="EH136" i="1"/>
  <c r="EQ136" i="1" s="1"/>
  <c r="EH137" i="1"/>
  <c r="EQ137" i="1" s="1"/>
  <c r="EH138" i="1"/>
  <c r="EQ138" i="1" s="1"/>
  <c r="EH139" i="1"/>
  <c r="EQ139" i="1" s="1"/>
  <c r="EH140" i="1"/>
  <c r="EQ140" i="1" s="1"/>
  <c r="EH141" i="1"/>
  <c r="EQ141" i="1" s="1"/>
  <c r="EH142" i="1"/>
  <c r="EQ142" i="1" s="1"/>
  <c r="EH143" i="1"/>
  <c r="EQ143" i="1" s="1"/>
  <c r="EH144" i="1"/>
  <c r="EQ144" i="1" s="1"/>
  <c r="EH145" i="1"/>
  <c r="EQ145" i="1" s="1"/>
  <c r="EH146" i="1"/>
  <c r="EQ146" i="1" s="1"/>
  <c r="EH147" i="1"/>
  <c r="EQ147" i="1" s="1"/>
  <c r="EH148" i="1"/>
  <c r="EQ148" i="1" s="1"/>
  <c r="EH149" i="1"/>
  <c r="EQ149" i="1" s="1"/>
  <c r="EH150" i="1"/>
  <c r="EQ150" i="1" s="1"/>
  <c r="EH151" i="1"/>
  <c r="EQ151" i="1" s="1"/>
  <c r="EH152" i="1"/>
  <c r="EQ152" i="1" s="1"/>
  <c r="EH120" i="1"/>
  <c r="EQ120" i="1" s="1"/>
  <c r="EH154" i="1"/>
  <c r="EQ154" i="1" s="1"/>
  <c r="EH89" i="1"/>
  <c r="EQ89" i="1" s="1"/>
  <c r="EH156" i="1"/>
  <c r="EQ156" i="1" s="1"/>
  <c r="EH157" i="1"/>
  <c r="EQ157" i="1" s="1"/>
  <c r="EH158" i="1"/>
  <c r="EQ158" i="1" s="1"/>
  <c r="EH159" i="1"/>
  <c r="EQ159" i="1" s="1"/>
  <c r="EH160" i="1"/>
  <c r="EQ160" i="1" s="1"/>
  <c r="EH161" i="1"/>
  <c r="EQ161" i="1" s="1"/>
  <c r="EH162" i="1"/>
  <c r="EQ162" i="1" s="1"/>
  <c r="EH163" i="1"/>
  <c r="EQ163" i="1" s="1"/>
  <c r="EH164" i="1"/>
  <c r="EQ164" i="1" s="1"/>
  <c r="EH165" i="1"/>
  <c r="EQ165" i="1" s="1"/>
  <c r="EH166" i="1"/>
  <c r="EQ166" i="1" s="1"/>
  <c r="EH167" i="1"/>
  <c r="EQ167" i="1" s="1"/>
  <c r="EH168" i="1"/>
  <c r="EQ168" i="1" s="1"/>
  <c r="EH169" i="1"/>
  <c r="EQ169" i="1" s="1"/>
  <c r="EH170" i="1"/>
  <c r="EQ170" i="1" s="1"/>
  <c r="EH171" i="1"/>
  <c r="EQ171" i="1" s="1"/>
  <c r="EH172" i="1"/>
  <c r="EQ172" i="1" s="1"/>
  <c r="EH173" i="1"/>
  <c r="EQ173" i="1" s="1"/>
  <c r="EH174" i="1"/>
  <c r="EQ174" i="1" s="1"/>
  <c r="EH175" i="1"/>
  <c r="EQ175" i="1" s="1"/>
  <c r="EH176" i="1"/>
  <c r="EQ176" i="1" s="1"/>
  <c r="EH177" i="1"/>
  <c r="EQ177" i="1" s="1"/>
  <c r="EH178" i="1"/>
  <c r="EQ178" i="1" s="1"/>
  <c r="EH179" i="1"/>
  <c r="EQ179" i="1" s="1"/>
  <c r="EH180" i="1"/>
  <c r="EQ180" i="1" s="1"/>
  <c r="EH181" i="1"/>
  <c r="EQ181" i="1" s="1"/>
  <c r="EH182" i="1"/>
  <c r="EQ182" i="1" s="1"/>
  <c r="EH183" i="1"/>
  <c r="EQ183" i="1" s="1"/>
  <c r="EH184" i="1"/>
  <c r="EQ184" i="1" s="1"/>
  <c r="EH185" i="1"/>
  <c r="EQ185" i="1" s="1"/>
  <c r="EH19" i="1"/>
  <c r="EQ19" i="1" s="1"/>
  <c r="EH187" i="1"/>
  <c r="EQ187" i="1" s="1"/>
  <c r="EH188" i="1"/>
  <c r="EQ188" i="1" s="1"/>
  <c r="EH189" i="1"/>
  <c r="EQ189" i="1" s="1"/>
  <c r="EH190" i="1"/>
  <c r="EQ190" i="1" s="1"/>
  <c r="EH191" i="1"/>
  <c r="EQ191" i="1" s="1"/>
  <c r="EH192" i="1"/>
  <c r="EQ192" i="1" s="1"/>
  <c r="EH193" i="1"/>
  <c r="EQ193" i="1" s="1"/>
  <c r="EH194" i="1"/>
  <c r="EQ194" i="1" s="1"/>
  <c r="EH195" i="1"/>
  <c r="EQ195" i="1" s="1"/>
  <c r="EH196" i="1"/>
  <c r="EQ196" i="1" s="1"/>
  <c r="EH197" i="1"/>
  <c r="EQ197" i="1" s="1"/>
  <c r="EH198" i="1"/>
  <c r="EQ198" i="1" s="1"/>
  <c r="EH199" i="1"/>
  <c r="EQ199" i="1" s="1"/>
  <c r="EH200" i="1"/>
  <c r="EQ200" i="1" s="1"/>
  <c r="EH201" i="1"/>
  <c r="EQ201" i="1" s="1"/>
  <c r="EH202" i="1"/>
  <c r="EQ202" i="1" s="1"/>
  <c r="EH203" i="1"/>
  <c r="EQ203" i="1" s="1"/>
  <c r="EH204" i="1"/>
  <c r="EQ204" i="1" s="1"/>
  <c r="EH205" i="1"/>
  <c r="EQ205" i="1" s="1"/>
  <c r="EH206" i="1"/>
  <c r="EQ206" i="1" s="1"/>
  <c r="EH207" i="1"/>
  <c r="EQ207" i="1" s="1"/>
  <c r="EH208" i="1"/>
  <c r="EQ208" i="1" s="1"/>
  <c r="EH209" i="1"/>
  <c r="EQ209" i="1" s="1"/>
  <c r="EH210" i="1"/>
  <c r="EQ210" i="1" s="1"/>
  <c r="EH211" i="1"/>
  <c r="EQ211" i="1" s="1"/>
  <c r="EH212" i="1"/>
  <c r="EQ212" i="1" s="1"/>
  <c r="EH213" i="1"/>
  <c r="EQ213" i="1" s="1"/>
  <c r="EH214" i="1"/>
  <c r="EQ214" i="1" s="1"/>
  <c r="EH215" i="1"/>
  <c r="EQ215" i="1" s="1"/>
  <c r="EH216" i="1"/>
  <c r="EQ216" i="1" s="1"/>
  <c r="EH217" i="1"/>
  <c r="EQ217" i="1" s="1"/>
  <c r="EH218" i="1"/>
  <c r="EQ218" i="1" s="1"/>
  <c r="EH219" i="1"/>
  <c r="EQ219" i="1" s="1"/>
  <c r="EH220" i="1"/>
  <c r="EQ220" i="1" s="1"/>
  <c r="EH221" i="1"/>
  <c r="EQ221" i="1" s="1"/>
  <c r="EH222" i="1"/>
  <c r="EQ222" i="1" s="1"/>
  <c r="EH223" i="1"/>
  <c r="EQ223" i="1" s="1"/>
  <c r="EH224" i="1"/>
  <c r="EQ224" i="1" s="1"/>
  <c r="EH225" i="1"/>
  <c r="EQ225" i="1" s="1"/>
  <c r="EH226" i="1"/>
  <c r="EQ226" i="1" s="1"/>
  <c r="EH227" i="1"/>
  <c r="EQ227" i="1" s="1"/>
  <c r="EH228" i="1"/>
  <c r="EQ228" i="1" s="1"/>
  <c r="EH229" i="1"/>
  <c r="EQ229" i="1" s="1"/>
  <c r="EH230" i="1"/>
  <c r="EQ230" i="1" s="1"/>
  <c r="EH231" i="1"/>
  <c r="EQ231" i="1" s="1"/>
  <c r="EH232" i="1"/>
  <c r="EQ232" i="1" s="1"/>
  <c r="EH233" i="1"/>
  <c r="EQ233" i="1" s="1"/>
  <c r="EH234" i="1"/>
  <c r="EQ234" i="1" s="1"/>
  <c r="EH235" i="1"/>
  <c r="EQ235" i="1" s="1"/>
  <c r="EH236" i="1"/>
  <c r="EQ236" i="1" s="1"/>
  <c r="EH237" i="1"/>
  <c r="EQ237" i="1" s="1"/>
  <c r="EH238" i="1"/>
  <c r="EQ238" i="1" s="1"/>
  <c r="EH239" i="1"/>
  <c r="EQ239" i="1" s="1"/>
  <c r="EH240" i="1"/>
  <c r="EQ240" i="1" s="1"/>
  <c r="EH241" i="1"/>
  <c r="EQ241" i="1" s="1"/>
  <c r="EH242" i="1"/>
  <c r="EQ242" i="1" s="1"/>
  <c r="EH243" i="1"/>
  <c r="EQ243" i="1" s="1"/>
  <c r="EH244" i="1"/>
  <c r="EQ244" i="1" s="1"/>
  <c r="EH245" i="1"/>
  <c r="EQ245" i="1" s="1"/>
  <c r="EH246" i="1"/>
  <c r="EQ246" i="1" s="1"/>
  <c r="EH247" i="1"/>
  <c r="EQ247" i="1" s="1"/>
  <c r="EH248" i="1"/>
  <c r="EQ248" i="1" s="1"/>
  <c r="EH249" i="1"/>
  <c r="EQ249" i="1" s="1"/>
  <c r="EH250" i="1"/>
  <c r="EQ250" i="1" s="1"/>
  <c r="EH251" i="1"/>
  <c r="EQ251" i="1" s="1"/>
  <c r="EH252" i="1"/>
  <c r="EQ252" i="1" s="1"/>
  <c r="EH253" i="1"/>
  <c r="EQ253" i="1" s="1"/>
  <c r="EH254" i="1"/>
  <c r="EQ254" i="1" s="1"/>
  <c r="EH255" i="1"/>
  <c r="EQ255" i="1" s="1"/>
  <c r="EH256" i="1"/>
  <c r="EQ256" i="1" s="1"/>
  <c r="EH257" i="1"/>
  <c r="EQ257" i="1" s="1"/>
  <c r="EH258" i="1"/>
  <c r="EQ258" i="1" s="1"/>
  <c r="EH259" i="1"/>
  <c r="EQ259" i="1" s="1"/>
  <c r="EH260" i="1"/>
  <c r="EQ260" i="1" s="1"/>
  <c r="EH261" i="1"/>
  <c r="EQ261" i="1" s="1"/>
  <c r="EH262" i="1"/>
  <c r="EQ262" i="1" s="1"/>
  <c r="EH263" i="1"/>
  <c r="EQ263" i="1" s="1"/>
  <c r="EH264" i="1"/>
  <c r="EQ264" i="1" s="1"/>
  <c r="EH265" i="1"/>
  <c r="EQ265" i="1" s="1"/>
  <c r="EH266" i="1"/>
  <c r="EQ266" i="1" s="1"/>
  <c r="EH267" i="1"/>
  <c r="EQ267" i="1" s="1"/>
  <c r="EH268" i="1"/>
  <c r="EQ268" i="1" s="1"/>
  <c r="EH269" i="1"/>
  <c r="EQ269" i="1" s="1"/>
  <c r="EH270" i="1"/>
  <c r="EQ270" i="1" s="1"/>
  <c r="EH271" i="1"/>
  <c r="EQ271" i="1" s="1"/>
  <c r="EX7" i="1"/>
  <c r="EX8" i="1"/>
  <c r="EX9" i="1"/>
  <c r="EX10" i="1"/>
  <c r="EX11" i="1"/>
  <c r="EX12" i="1"/>
  <c r="EX13" i="1"/>
  <c r="EX14" i="1"/>
  <c r="EX15" i="1"/>
  <c r="EX16" i="1"/>
  <c r="EX17" i="1"/>
  <c r="EX18" i="1"/>
  <c r="EX90" i="1"/>
  <c r="EX20" i="1"/>
  <c r="EX21" i="1"/>
  <c r="EX22" i="1"/>
  <c r="EX23" i="1"/>
  <c r="EX24" i="1"/>
  <c r="EX25" i="1"/>
  <c r="EX26" i="1"/>
  <c r="EX27" i="1"/>
  <c r="EX28" i="1"/>
  <c r="EX29" i="1"/>
  <c r="EX30" i="1"/>
  <c r="EX31" i="1"/>
  <c r="EX32" i="1"/>
  <c r="EX33" i="1"/>
  <c r="EX34" i="1"/>
  <c r="EX35" i="1"/>
  <c r="EX36" i="1"/>
  <c r="EX37" i="1"/>
  <c r="EX38" i="1"/>
  <c r="EX39"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X65" i="1"/>
  <c r="EX66" i="1"/>
  <c r="EX121" i="1"/>
  <c r="EX68" i="1"/>
  <c r="EX69" i="1"/>
  <c r="EX155" i="1"/>
  <c r="EX71" i="1"/>
  <c r="EX72" i="1"/>
  <c r="EX73" i="1"/>
  <c r="EX74" i="1"/>
  <c r="EX75" i="1"/>
  <c r="EX76" i="1"/>
  <c r="EX77" i="1"/>
  <c r="EX78" i="1"/>
  <c r="EX79" i="1"/>
  <c r="EX80" i="1"/>
  <c r="EX81" i="1"/>
  <c r="EX82" i="1"/>
  <c r="EX83" i="1"/>
  <c r="EX84" i="1"/>
  <c r="EX85" i="1"/>
  <c r="EX86" i="1"/>
  <c r="EX87" i="1"/>
  <c r="EX88" i="1"/>
  <c r="EX114" i="1"/>
  <c r="EX186" i="1"/>
  <c r="EX91" i="1"/>
  <c r="EX92" i="1"/>
  <c r="EX93" i="1"/>
  <c r="EX94" i="1"/>
  <c r="EX95" i="1"/>
  <c r="EX96" i="1"/>
  <c r="EX97" i="1"/>
  <c r="EX98" i="1"/>
  <c r="EX99" i="1"/>
  <c r="EX100" i="1"/>
  <c r="EX101" i="1"/>
  <c r="EX102" i="1"/>
  <c r="EX103" i="1"/>
  <c r="EX104" i="1"/>
  <c r="EX105" i="1"/>
  <c r="EX106" i="1"/>
  <c r="EX107" i="1"/>
  <c r="EX108" i="1"/>
  <c r="EX109" i="1"/>
  <c r="EX110" i="1"/>
  <c r="EX111" i="1"/>
  <c r="EX112" i="1"/>
  <c r="EX113" i="1"/>
  <c r="EX153" i="1"/>
  <c r="EX115" i="1"/>
  <c r="EX116" i="1"/>
  <c r="EX117" i="1"/>
  <c r="EX118" i="1"/>
  <c r="EX119" i="1"/>
  <c r="EX67" i="1"/>
  <c r="EX70" i="1"/>
  <c r="EX122" i="1"/>
  <c r="EX123" i="1"/>
  <c r="EX124" i="1"/>
  <c r="EX125" i="1"/>
  <c r="EX126" i="1"/>
  <c r="EX127" i="1"/>
  <c r="EX128" i="1"/>
  <c r="EX129" i="1"/>
  <c r="EX130" i="1"/>
  <c r="EX131" i="1"/>
  <c r="EX132" i="1"/>
  <c r="EX133" i="1"/>
  <c r="EX134" i="1"/>
  <c r="EX135" i="1"/>
  <c r="EX136" i="1"/>
  <c r="EX137" i="1"/>
  <c r="EX138" i="1"/>
  <c r="EX139" i="1"/>
  <c r="EX140" i="1"/>
  <c r="EX141" i="1"/>
  <c r="EX142" i="1"/>
  <c r="EX143" i="1"/>
  <c r="EX144" i="1"/>
  <c r="EX145" i="1"/>
  <c r="EX146" i="1"/>
  <c r="EX147" i="1"/>
  <c r="EX148" i="1"/>
  <c r="EX149" i="1"/>
  <c r="EX150" i="1"/>
  <c r="EX151" i="1"/>
  <c r="EX152" i="1"/>
  <c r="EX120" i="1"/>
  <c r="EX154" i="1"/>
  <c r="EX89" i="1"/>
  <c r="EX156" i="1"/>
  <c r="EX157" i="1"/>
  <c r="EX158" i="1"/>
  <c r="EX159" i="1"/>
  <c r="EX160" i="1"/>
  <c r="EX161" i="1"/>
  <c r="EX162" i="1"/>
  <c r="EX163" i="1"/>
  <c r="EX164" i="1"/>
  <c r="EX165" i="1"/>
  <c r="EX166" i="1"/>
  <c r="EX167" i="1"/>
  <c r="EX168" i="1"/>
  <c r="EX169" i="1"/>
  <c r="EX170" i="1"/>
  <c r="EX171" i="1"/>
  <c r="EX172" i="1"/>
  <c r="EX173" i="1"/>
  <c r="EX174" i="1"/>
  <c r="EX175" i="1"/>
  <c r="EX176" i="1"/>
  <c r="EX177" i="1"/>
  <c r="EX178" i="1"/>
  <c r="EX179" i="1"/>
  <c r="EX180" i="1"/>
  <c r="EX181" i="1"/>
  <c r="EX182" i="1"/>
  <c r="EX183" i="1"/>
  <c r="EX184" i="1"/>
  <c r="EX185" i="1"/>
  <c r="EX19" i="1"/>
  <c r="EX187" i="1"/>
  <c r="EX188" i="1"/>
  <c r="EX189" i="1"/>
  <c r="EX190" i="1"/>
  <c r="EX191" i="1"/>
  <c r="EX192" i="1"/>
  <c r="EX193" i="1"/>
  <c r="EX194" i="1"/>
  <c r="EX195" i="1"/>
  <c r="EX196" i="1"/>
  <c r="EX197" i="1"/>
  <c r="EX198" i="1"/>
  <c r="EX199" i="1"/>
  <c r="EX200" i="1"/>
  <c r="EX201" i="1"/>
  <c r="EX202" i="1"/>
  <c r="EX203" i="1"/>
  <c r="EX204" i="1"/>
  <c r="EX205" i="1"/>
  <c r="EX206" i="1"/>
  <c r="EX207" i="1"/>
  <c r="EX208" i="1"/>
  <c r="EX209" i="1"/>
  <c r="EX210" i="1"/>
  <c r="EX211" i="1"/>
  <c r="EX212" i="1"/>
  <c r="EX213" i="1"/>
  <c r="EX214" i="1"/>
  <c r="EX215" i="1"/>
  <c r="EX216" i="1"/>
  <c r="EX217" i="1"/>
  <c r="EX218" i="1"/>
  <c r="EX219" i="1"/>
  <c r="EX220" i="1"/>
  <c r="EX221" i="1"/>
  <c r="EX222" i="1"/>
  <c r="EX223" i="1"/>
  <c r="EX224" i="1"/>
  <c r="EX225" i="1"/>
  <c r="EX226" i="1"/>
  <c r="EX227" i="1"/>
  <c r="EX228" i="1"/>
  <c r="EX229" i="1"/>
  <c r="EX230" i="1"/>
  <c r="EX231" i="1"/>
  <c r="EX232" i="1"/>
  <c r="EX233" i="1"/>
  <c r="EX234" i="1"/>
  <c r="EX235" i="1"/>
  <c r="EX236" i="1"/>
  <c r="EX237" i="1"/>
  <c r="EX238" i="1"/>
  <c r="EX239" i="1"/>
  <c r="EX240" i="1"/>
  <c r="EX241" i="1"/>
  <c r="EX242" i="1"/>
  <c r="EX243" i="1"/>
  <c r="EX244" i="1"/>
  <c r="EX245" i="1"/>
  <c r="EX246" i="1"/>
  <c r="EX247" i="1"/>
  <c r="EX248" i="1"/>
  <c r="EX249" i="1"/>
  <c r="EX250" i="1"/>
  <c r="EX251" i="1"/>
  <c r="EX252" i="1"/>
  <c r="EX253" i="1"/>
  <c r="EX254" i="1"/>
  <c r="EX255" i="1"/>
  <c r="EX256" i="1"/>
  <c r="EX257" i="1"/>
  <c r="EX258" i="1"/>
  <c r="EX259" i="1"/>
  <c r="EX260" i="1"/>
  <c r="EX261" i="1"/>
  <c r="EX262" i="1"/>
  <c r="EX263" i="1"/>
  <c r="EX264" i="1"/>
  <c r="EX265" i="1"/>
  <c r="EX266" i="1"/>
  <c r="EX267" i="1"/>
  <c r="EX268" i="1"/>
  <c r="EX269" i="1"/>
  <c r="EX270" i="1"/>
  <c r="EX271" i="1"/>
  <c r="ER6" i="1"/>
  <c r="ER7" i="1"/>
  <c r="ER8" i="1"/>
  <c r="ER9" i="1"/>
  <c r="ER10" i="1"/>
  <c r="ER11" i="1"/>
  <c r="ER12" i="1"/>
  <c r="ER13" i="1"/>
  <c r="ER14" i="1"/>
  <c r="ER15" i="1"/>
  <c r="ER16" i="1"/>
  <c r="ER17" i="1"/>
  <c r="ER18" i="1"/>
  <c r="ER90"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FA6" i="1"/>
  <c r="FA7" i="1"/>
  <c r="FA8" i="1"/>
  <c r="FA9" i="1"/>
  <c r="FA10" i="1"/>
  <c r="FA11" i="1"/>
  <c r="FA12" i="1"/>
  <c r="FA13" i="1"/>
  <c r="FA14" i="1"/>
  <c r="FA15" i="1"/>
  <c r="FA16" i="1"/>
  <c r="FA17" i="1"/>
  <c r="FA18" i="1"/>
  <c r="FA90" i="1"/>
  <c r="FA20" i="1"/>
  <c r="FA21" i="1"/>
  <c r="FA22" i="1"/>
  <c r="FA23" i="1"/>
  <c r="FA24" i="1"/>
  <c r="FA25" i="1"/>
  <c r="FA26" i="1"/>
  <c r="FA27" i="1"/>
  <c r="FA28" i="1"/>
  <c r="FA29" i="1"/>
  <c r="FA30" i="1"/>
  <c r="FA31" i="1"/>
  <c r="FA32" i="1"/>
  <c r="FA33" i="1"/>
  <c r="FA34" i="1"/>
  <c r="FA35" i="1"/>
  <c r="FA36" i="1"/>
  <c r="FA37" i="1"/>
  <c r="FA38" i="1"/>
  <c r="FA39" i="1"/>
  <c r="FA40" i="1"/>
  <c r="FA41" i="1"/>
  <c r="FA42" i="1"/>
  <c r="FA43" i="1"/>
  <c r="FA44" i="1"/>
  <c r="FA45" i="1"/>
  <c r="FA46" i="1"/>
  <c r="FA47" i="1"/>
  <c r="FA48" i="1"/>
  <c r="FA49" i="1"/>
  <c r="FA50" i="1"/>
  <c r="FA51" i="1"/>
  <c r="FA52" i="1"/>
  <c r="FA53" i="1"/>
  <c r="FA54" i="1"/>
  <c r="FA55" i="1"/>
  <c r="FA56" i="1"/>
  <c r="FA57" i="1"/>
  <c r="FA58" i="1"/>
  <c r="FA59" i="1"/>
  <c r="FA60" i="1"/>
  <c r="FA61" i="1"/>
  <c r="FA62" i="1"/>
  <c r="FA63" i="1"/>
  <c r="FA64" i="1"/>
  <c r="FA65" i="1"/>
  <c r="FA66" i="1"/>
  <c r="FA121" i="1"/>
  <c r="FA68" i="1"/>
  <c r="FA69" i="1"/>
  <c r="FA155" i="1"/>
  <c r="FA71" i="1"/>
  <c r="FA72" i="1"/>
  <c r="FA73" i="1"/>
  <c r="FA74" i="1"/>
  <c r="FA75" i="1"/>
  <c r="FA76" i="1"/>
  <c r="FA77" i="1"/>
  <c r="FA78" i="1"/>
  <c r="FA79" i="1"/>
  <c r="FA80" i="1"/>
  <c r="FA81" i="1"/>
  <c r="FA82" i="1"/>
  <c r="FA83" i="1"/>
  <c r="FA84" i="1"/>
  <c r="FA85" i="1"/>
  <c r="FA86" i="1"/>
  <c r="FA87" i="1"/>
  <c r="FA88" i="1"/>
  <c r="FA114" i="1"/>
  <c r="FA186" i="1"/>
  <c r="FA91" i="1"/>
  <c r="FA92" i="1"/>
  <c r="FA93" i="1"/>
  <c r="FA94" i="1"/>
  <c r="FA95" i="1"/>
  <c r="FA96" i="1"/>
  <c r="FA97" i="1"/>
  <c r="FA98" i="1"/>
  <c r="FA99" i="1"/>
  <c r="FA100" i="1"/>
  <c r="FA101" i="1"/>
  <c r="FA102" i="1"/>
  <c r="FA103" i="1"/>
  <c r="FA104" i="1"/>
  <c r="FA105" i="1"/>
  <c r="FA106" i="1"/>
  <c r="FA107" i="1"/>
  <c r="FA108" i="1"/>
  <c r="FA109" i="1"/>
  <c r="FA110" i="1"/>
  <c r="FA111" i="1"/>
  <c r="FA112" i="1"/>
  <c r="FA113" i="1"/>
  <c r="FA153" i="1"/>
  <c r="FA115" i="1"/>
  <c r="FA116" i="1"/>
  <c r="FA117" i="1"/>
  <c r="FA118" i="1"/>
  <c r="FA119" i="1"/>
  <c r="FA67" i="1"/>
  <c r="FA70" i="1"/>
  <c r="FA122" i="1"/>
  <c r="FA123" i="1"/>
  <c r="FA124" i="1"/>
  <c r="FA125" i="1"/>
  <c r="FA126" i="1"/>
  <c r="FA127" i="1"/>
  <c r="FA128" i="1"/>
  <c r="FA129" i="1"/>
  <c r="FA130" i="1"/>
  <c r="FA131" i="1"/>
  <c r="FA132" i="1"/>
  <c r="FA133" i="1"/>
  <c r="FA134" i="1"/>
  <c r="FA135" i="1"/>
  <c r="FA136" i="1"/>
  <c r="FA137" i="1"/>
  <c r="FA138" i="1"/>
  <c r="FA139" i="1"/>
  <c r="FA140" i="1"/>
  <c r="FA141" i="1"/>
  <c r="FA142" i="1"/>
  <c r="FA143" i="1"/>
  <c r="FA144" i="1"/>
  <c r="FA145" i="1"/>
  <c r="FA146" i="1"/>
  <c r="FA147" i="1"/>
  <c r="FA148" i="1"/>
  <c r="FA149" i="1"/>
  <c r="FA150" i="1"/>
  <c r="FA151" i="1"/>
  <c r="FA152" i="1"/>
  <c r="FA120" i="1"/>
  <c r="FA154" i="1"/>
  <c r="FA89" i="1"/>
  <c r="FA156" i="1"/>
  <c r="FA157" i="1"/>
  <c r="FA158" i="1"/>
  <c r="FA159" i="1"/>
  <c r="FA160" i="1"/>
  <c r="FA161" i="1"/>
  <c r="FA162" i="1"/>
  <c r="FA163" i="1"/>
  <c r="FA164" i="1"/>
  <c r="FA165" i="1"/>
  <c r="FA166" i="1"/>
  <c r="FA167" i="1"/>
  <c r="FA168" i="1"/>
  <c r="FA169" i="1"/>
  <c r="FA170" i="1"/>
  <c r="FA171" i="1"/>
  <c r="FA172" i="1"/>
  <c r="FA173" i="1"/>
  <c r="FA174" i="1"/>
  <c r="FA175" i="1"/>
  <c r="FA176" i="1"/>
  <c r="FA177" i="1"/>
  <c r="FA178" i="1"/>
  <c r="FA179" i="1"/>
  <c r="FA180" i="1"/>
  <c r="FA181" i="1"/>
  <c r="FA182" i="1"/>
  <c r="FA183" i="1"/>
  <c r="FA184" i="1"/>
  <c r="FA185" i="1"/>
  <c r="FA19" i="1"/>
  <c r="FA187" i="1"/>
  <c r="FA188" i="1"/>
  <c r="FA189" i="1"/>
  <c r="FA190" i="1"/>
  <c r="FA191" i="1"/>
  <c r="FA192" i="1"/>
  <c r="FA193" i="1"/>
  <c r="FA194" i="1"/>
  <c r="FA195" i="1"/>
  <c r="FA196" i="1"/>
  <c r="FA197" i="1"/>
  <c r="FA198" i="1"/>
  <c r="FA199" i="1"/>
  <c r="FA200" i="1"/>
  <c r="FA201" i="1"/>
  <c r="FA202" i="1"/>
  <c r="FA203" i="1"/>
  <c r="FA204" i="1"/>
  <c r="FA205" i="1"/>
  <c r="FA206" i="1"/>
  <c r="FA207" i="1"/>
  <c r="FA208" i="1"/>
  <c r="FA209" i="1"/>
  <c r="FA210" i="1"/>
  <c r="FA211" i="1"/>
  <c r="FA212" i="1"/>
  <c r="FA213" i="1"/>
  <c r="FA214" i="1"/>
  <c r="FA215" i="1"/>
  <c r="FA216" i="1"/>
  <c r="FA217" i="1"/>
  <c r="FA218" i="1"/>
  <c r="FA219" i="1"/>
  <c r="FA220" i="1"/>
  <c r="FA221" i="1"/>
  <c r="FA222" i="1"/>
  <c r="FA223" i="1"/>
  <c r="FA224" i="1"/>
  <c r="FA225" i="1"/>
  <c r="FA226" i="1"/>
  <c r="FA227" i="1"/>
  <c r="FA228" i="1"/>
  <c r="FA229" i="1"/>
  <c r="FA230" i="1"/>
  <c r="FA231" i="1"/>
  <c r="FA232" i="1"/>
  <c r="FA233" i="1"/>
  <c r="FA234" i="1"/>
  <c r="FA235" i="1"/>
  <c r="FA236" i="1"/>
  <c r="FA237" i="1"/>
  <c r="FA238" i="1"/>
  <c r="FA239" i="1"/>
  <c r="FA240" i="1"/>
  <c r="FA241" i="1"/>
  <c r="FA242" i="1"/>
  <c r="FA243" i="1"/>
  <c r="FA244" i="1"/>
  <c r="FA245" i="1"/>
  <c r="FA246" i="1"/>
  <c r="FA247" i="1"/>
  <c r="FA248" i="1"/>
  <c r="FA249" i="1"/>
  <c r="FA250" i="1"/>
  <c r="FA251" i="1"/>
  <c r="FA252" i="1"/>
  <c r="FA253" i="1"/>
  <c r="FA254" i="1"/>
  <c r="FA255" i="1"/>
  <c r="FA256" i="1"/>
  <c r="FA257" i="1"/>
  <c r="FA258" i="1"/>
  <c r="FA259" i="1"/>
  <c r="FA260" i="1"/>
  <c r="FA261" i="1"/>
  <c r="FA262" i="1"/>
  <c r="FA263" i="1"/>
  <c r="FA264" i="1"/>
  <c r="FA265" i="1"/>
  <c r="FA266" i="1"/>
  <c r="FA267" i="1"/>
  <c r="FA268" i="1"/>
  <c r="FA269" i="1"/>
  <c r="FA270" i="1"/>
  <c r="FA271" i="1"/>
  <c r="EZ7" i="1"/>
  <c r="EZ8" i="1"/>
  <c r="EZ9" i="1"/>
  <c r="EZ10" i="1"/>
  <c r="EZ11" i="1"/>
  <c r="EZ12" i="1"/>
  <c r="EZ13" i="1"/>
  <c r="EZ14" i="1"/>
  <c r="EZ15" i="1"/>
  <c r="EZ16" i="1"/>
  <c r="EZ17" i="1"/>
  <c r="EZ18" i="1"/>
  <c r="EZ90" i="1"/>
  <c r="EZ20" i="1"/>
  <c r="EZ21" i="1"/>
  <c r="EZ22" i="1"/>
  <c r="EZ23" i="1"/>
  <c r="EZ24" i="1"/>
  <c r="EZ25" i="1"/>
  <c r="EZ26" i="1"/>
  <c r="EZ27" i="1"/>
  <c r="EZ28" i="1"/>
  <c r="EZ29" i="1"/>
  <c r="EZ30" i="1"/>
  <c r="EZ31" i="1"/>
  <c r="EZ32" i="1"/>
  <c r="EZ33" i="1"/>
  <c r="EZ34" i="1"/>
  <c r="EZ35" i="1"/>
  <c r="EZ36" i="1"/>
  <c r="EZ37" i="1"/>
  <c r="EZ38" i="1"/>
  <c r="EZ39" i="1"/>
  <c r="EZ40" i="1"/>
  <c r="EZ41" i="1"/>
  <c r="EZ42" i="1"/>
  <c r="EZ43" i="1"/>
  <c r="EZ44" i="1"/>
  <c r="EZ45" i="1"/>
  <c r="EZ46" i="1"/>
  <c r="EZ47" i="1"/>
  <c r="EZ48" i="1"/>
  <c r="EZ49" i="1"/>
  <c r="EZ50" i="1"/>
  <c r="EZ51" i="1"/>
  <c r="EZ52" i="1"/>
  <c r="EZ53" i="1"/>
  <c r="EZ54" i="1"/>
  <c r="EZ55" i="1"/>
  <c r="EZ56" i="1"/>
  <c r="EZ57" i="1"/>
  <c r="EZ58" i="1"/>
  <c r="EZ59" i="1"/>
  <c r="EZ60" i="1"/>
  <c r="EZ61" i="1"/>
  <c r="EZ62" i="1"/>
  <c r="EZ63" i="1"/>
  <c r="EZ64" i="1"/>
  <c r="EZ65" i="1"/>
  <c r="EZ66" i="1"/>
  <c r="EZ121" i="1"/>
  <c r="EZ68" i="1"/>
  <c r="EZ69" i="1"/>
  <c r="EZ155" i="1"/>
  <c r="EZ71" i="1"/>
  <c r="EZ72" i="1"/>
  <c r="EZ73" i="1"/>
  <c r="EZ74" i="1"/>
  <c r="EZ75" i="1"/>
  <c r="EZ76" i="1"/>
  <c r="EZ77" i="1"/>
  <c r="EZ78" i="1"/>
  <c r="EZ79" i="1"/>
  <c r="EZ80" i="1"/>
  <c r="EZ81" i="1"/>
  <c r="EZ82" i="1"/>
  <c r="EZ83" i="1"/>
  <c r="EZ84" i="1"/>
  <c r="EZ85" i="1"/>
  <c r="EZ86" i="1"/>
  <c r="EZ87" i="1"/>
  <c r="EZ88" i="1"/>
  <c r="EZ114" i="1"/>
  <c r="EZ186" i="1"/>
  <c r="EZ91" i="1"/>
  <c r="EZ92" i="1"/>
  <c r="EZ93" i="1"/>
  <c r="EZ94" i="1"/>
  <c r="EZ95" i="1"/>
  <c r="EZ96" i="1"/>
  <c r="EZ97" i="1"/>
  <c r="EZ98" i="1"/>
  <c r="EZ99" i="1"/>
  <c r="EZ100" i="1"/>
  <c r="EZ101" i="1"/>
  <c r="EZ102" i="1"/>
  <c r="EZ103" i="1"/>
  <c r="EZ104" i="1"/>
  <c r="EZ105" i="1"/>
  <c r="EZ106" i="1"/>
  <c r="EZ107" i="1"/>
  <c r="EZ108" i="1"/>
  <c r="EZ109" i="1"/>
  <c r="EZ110" i="1"/>
  <c r="EZ111" i="1"/>
  <c r="EZ112" i="1"/>
  <c r="EZ113" i="1"/>
  <c r="EZ153" i="1"/>
  <c r="EZ115" i="1"/>
  <c r="EZ116" i="1"/>
  <c r="EZ117" i="1"/>
  <c r="EZ118" i="1"/>
  <c r="EZ119" i="1"/>
  <c r="EZ67" i="1"/>
  <c r="EZ70" i="1"/>
  <c r="EZ122" i="1"/>
  <c r="EZ123" i="1"/>
  <c r="EZ124" i="1"/>
  <c r="EZ125" i="1"/>
  <c r="EZ126" i="1"/>
  <c r="EZ127" i="1"/>
  <c r="EZ128" i="1"/>
  <c r="EZ129" i="1"/>
  <c r="EZ130" i="1"/>
  <c r="EZ131" i="1"/>
  <c r="EZ132" i="1"/>
  <c r="EZ133" i="1"/>
  <c r="EZ134" i="1"/>
  <c r="EZ135" i="1"/>
  <c r="EZ136" i="1"/>
  <c r="EZ137" i="1"/>
  <c r="EZ138" i="1"/>
  <c r="EZ139" i="1"/>
  <c r="EZ140" i="1"/>
  <c r="EZ141" i="1"/>
  <c r="EZ142" i="1"/>
  <c r="EZ143" i="1"/>
  <c r="EZ144" i="1"/>
  <c r="EZ145" i="1"/>
  <c r="EZ146" i="1"/>
  <c r="EZ147" i="1"/>
  <c r="EZ148" i="1"/>
  <c r="EZ149" i="1"/>
  <c r="EZ150" i="1"/>
  <c r="EZ151" i="1"/>
  <c r="EZ152" i="1"/>
  <c r="EZ120" i="1"/>
  <c r="EZ154" i="1"/>
  <c r="EZ89" i="1"/>
  <c r="EZ156" i="1"/>
  <c r="EZ157" i="1"/>
  <c r="EZ158" i="1"/>
  <c r="EZ159" i="1"/>
  <c r="EZ160" i="1"/>
  <c r="EZ161" i="1"/>
  <c r="EZ162" i="1"/>
  <c r="EZ163" i="1"/>
  <c r="EZ164" i="1"/>
  <c r="EZ165" i="1"/>
  <c r="EZ166" i="1"/>
  <c r="EZ167" i="1"/>
  <c r="EZ168" i="1"/>
  <c r="EZ169" i="1"/>
  <c r="EZ170" i="1"/>
  <c r="EZ171" i="1"/>
  <c r="EZ172" i="1"/>
  <c r="EZ173" i="1"/>
  <c r="EZ174" i="1"/>
  <c r="EZ175" i="1"/>
  <c r="EZ176" i="1"/>
  <c r="EZ177" i="1"/>
  <c r="EZ178" i="1"/>
  <c r="EZ179" i="1"/>
  <c r="EZ180" i="1"/>
  <c r="EZ181" i="1"/>
  <c r="EZ182" i="1"/>
  <c r="EZ183" i="1"/>
  <c r="EZ184" i="1"/>
  <c r="EZ185" i="1"/>
  <c r="EZ19" i="1"/>
  <c r="EZ187" i="1"/>
  <c r="EZ188" i="1"/>
  <c r="EZ189" i="1"/>
  <c r="EZ190" i="1"/>
  <c r="EZ191" i="1"/>
  <c r="EZ192" i="1"/>
  <c r="EZ193" i="1"/>
  <c r="EZ194" i="1"/>
  <c r="EZ195" i="1"/>
  <c r="EZ196" i="1"/>
  <c r="EZ197" i="1"/>
  <c r="EZ198" i="1"/>
  <c r="EZ199" i="1"/>
  <c r="EZ200" i="1"/>
  <c r="EZ201" i="1"/>
  <c r="EZ202" i="1"/>
  <c r="EZ203" i="1"/>
  <c r="EZ204" i="1"/>
  <c r="EZ205" i="1"/>
  <c r="EZ206" i="1"/>
  <c r="EZ207" i="1"/>
  <c r="EZ208" i="1"/>
  <c r="EZ209" i="1"/>
  <c r="EZ210" i="1"/>
  <c r="EZ211" i="1"/>
  <c r="EZ212" i="1"/>
  <c r="EZ213" i="1"/>
  <c r="EZ214" i="1"/>
  <c r="EZ215" i="1"/>
  <c r="EZ216" i="1"/>
  <c r="EZ217" i="1"/>
  <c r="EZ218" i="1"/>
  <c r="EZ219" i="1"/>
  <c r="EZ220" i="1"/>
  <c r="EZ221" i="1"/>
  <c r="EZ222" i="1"/>
  <c r="EZ223" i="1"/>
  <c r="EZ224" i="1"/>
  <c r="EZ225" i="1"/>
  <c r="EZ226" i="1"/>
  <c r="EZ227" i="1"/>
  <c r="EZ228" i="1"/>
  <c r="EZ229" i="1"/>
  <c r="EZ230" i="1"/>
  <c r="EZ231" i="1"/>
  <c r="EZ232" i="1"/>
  <c r="EZ233" i="1"/>
  <c r="EZ234" i="1"/>
  <c r="EZ235" i="1"/>
  <c r="EZ236" i="1"/>
  <c r="EZ237" i="1"/>
  <c r="EZ238" i="1"/>
  <c r="EZ239" i="1"/>
  <c r="EZ240" i="1"/>
  <c r="EZ241" i="1"/>
  <c r="EZ242" i="1"/>
  <c r="EZ243" i="1"/>
  <c r="EZ244" i="1"/>
  <c r="EZ245" i="1"/>
  <c r="EZ246" i="1"/>
  <c r="EZ247" i="1"/>
  <c r="EZ248" i="1"/>
  <c r="EZ249" i="1"/>
  <c r="EZ250" i="1"/>
  <c r="EZ251" i="1"/>
  <c r="EZ252" i="1"/>
  <c r="EZ253" i="1"/>
  <c r="EZ254" i="1"/>
  <c r="EZ255" i="1"/>
  <c r="EZ256" i="1"/>
  <c r="EZ257" i="1"/>
  <c r="EZ258" i="1"/>
  <c r="EZ259" i="1"/>
  <c r="EZ260" i="1"/>
  <c r="EZ261" i="1"/>
  <c r="EZ262" i="1"/>
  <c r="EZ263" i="1"/>
  <c r="EZ264" i="1"/>
  <c r="EZ265" i="1"/>
  <c r="EZ266" i="1"/>
  <c r="EZ267" i="1"/>
  <c r="EZ268" i="1"/>
  <c r="EZ269" i="1"/>
  <c r="EZ270" i="1"/>
  <c r="EZ271" i="1"/>
  <c r="EG7" i="1" a="1"/>
  <c r="EG7" i="1" s="1"/>
  <c r="EG8" i="1" a="1"/>
  <c r="EG8" i="1" s="1"/>
  <c r="EG9" i="1" a="1"/>
  <c r="EG9" i="1" s="1"/>
  <c r="EG10" i="1" a="1"/>
  <c r="EG10" i="1" s="1"/>
  <c r="EG11" i="1" a="1"/>
  <c r="EG11" i="1" s="1"/>
  <c r="EG12" i="1" a="1"/>
  <c r="EG12" i="1" s="1"/>
  <c r="EG13" i="1" a="1"/>
  <c r="EG13" i="1" s="1"/>
  <c r="EG14" i="1" a="1"/>
  <c r="EG14" i="1" s="1"/>
  <c r="EG15" i="1" a="1"/>
  <c r="EG15" i="1" s="1"/>
  <c r="EG16" i="1" a="1"/>
  <c r="EG16" i="1" s="1"/>
  <c r="EG17" i="1" a="1"/>
  <c r="EG17" i="1" s="1"/>
  <c r="EG18" i="1" a="1"/>
  <c r="EG18" i="1" s="1"/>
  <c r="EG90" i="1" a="1"/>
  <c r="EG90" i="1" s="1"/>
  <c r="EG20" i="1" a="1"/>
  <c r="EG20" i="1" s="1"/>
  <c r="EG21" i="1" a="1"/>
  <c r="EG21" i="1" s="1"/>
  <c r="EG22" i="1" a="1"/>
  <c r="EG22" i="1" s="1"/>
  <c r="EG23" i="1" a="1"/>
  <c r="EG23" i="1" s="1"/>
  <c r="EG24" i="1" a="1"/>
  <c r="EG24" i="1" s="1"/>
  <c r="EG25" i="1" a="1"/>
  <c r="EG25" i="1" s="1"/>
  <c r="EG26" i="1" a="1"/>
  <c r="EG26" i="1" s="1"/>
  <c r="EG27" i="1" a="1"/>
  <c r="EG27" i="1" s="1"/>
  <c r="EG28" i="1" a="1"/>
  <c r="EG28" i="1" s="1"/>
  <c r="EG29" i="1" a="1"/>
  <c r="EG29" i="1" s="1"/>
  <c r="EG30" i="1" a="1"/>
  <c r="EG30" i="1" s="1"/>
  <c r="EG31" i="1" a="1"/>
  <c r="EG31" i="1" s="1"/>
  <c r="EG32" i="1" a="1"/>
  <c r="EG32" i="1" s="1"/>
  <c r="EG33" i="1" a="1"/>
  <c r="EG33" i="1" s="1"/>
  <c r="EG34" i="1" a="1"/>
  <c r="EG34" i="1" s="1"/>
  <c r="EG35" i="1" a="1"/>
  <c r="EG35" i="1" s="1"/>
  <c r="EG36" i="1" a="1"/>
  <c r="EG36" i="1" s="1"/>
  <c r="EG37" i="1" a="1"/>
  <c r="EG37" i="1" s="1"/>
  <c r="EG38" i="1" a="1"/>
  <c r="EG38" i="1" s="1"/>
  <c r="EG39" i="1" a="1"/>
  <c r="EG39" i="1" s="1"/>
  <c r="EG40" i="1" a="1"/>
  <c r="EG40" i="1" s="1"/>
  <c r="EG41" i="1" a="1"/>
  <c r="EG41" i="1" s="1"/>
  <c r="EG42" i="1" a="1"/>
  <c r="EG42" i="1" s="1"/>
  <c r="EG43" i="1" a="1"/>
  <c r="EG43" i="1" s="1"/>
  <c r="EG44" i="1" a="1"/>
  <c r="EG44" i="1" s="1"/>
  <c r="EG45" i="1" a="1"/>
  <c r="EG45" i="1" s="1"/>
  <c r="EG46" i="1" a="1"/>
  <c r="EG46" i="1" s="1"/>
  <c r="EG47" i="1" a="1"/>
  <c r="EG47" i="1" s="1"/>
  <c r="EG48" i="1" a="1"/>
  <c r="EG48" i="1" s="1"/>
  <c r="EG49" i="1" a="1"/>
  <c r="EG49" i="1" s="1"/>
  <c r="EG50" i="1" a="1"/>
  <c r="EG50" i="1" s="1"/>
  <c r="EG51" i="1" a="1"/>
  <c r="EG51" i="1" s="1"/>
  <c r="EG52" i="1" a="1"/>
  <c r="EG52" i="1" s="1"/>
  <c r="EG53" i="1" a="1"/>
  <c r="EG53" i="1" s="1"/>
  <c r="EG54" i="1" a="1"/>
  <c r="EG54" i="1" s="1"/>
  <c r="EG55" i="1" a="1"/>
  <c r="EG55" i="1" s="1"/>
  <c r="EG56" i="1" a="1"/>
  <c r="EG56" i="1" s="1"/>
  <c r="EG57" i="1" a="1"/>
  <c r="EG57" i="1" s="1"/>
  <c r="EG58" i="1" a="1"/>
  <c r="EG58" i="1" s="1"/>
  <c r="EG59" i="1" a="1"/>
  <c r="EG59" i="1" s="1"/>
  <c r="EG60" i="1" a="1"/>
  <c r="EG60" i="1" s="1"/>
  <c r="EG61" i="1" a="1"/>
  <c r="EG61" i="1" s="1"/>
  <c r="EG62" i="1" a="1"/>
  <c r="EG62" i="1" s="1"/>
  <c r="EG63" i="1" a="1"/>
  <c r="EG63" i="1" s="1"/>
  <c r="EG64" i="1" a="1"/>
  <c r="EG64" i="1" s="1"/>
  <c r="EG65" i="1" a="1"/>
  <c r="EG65" i="1" s="1"/>
  <c r="EG66" i="1" a="1"/>
  <c r="EG66" i="1" s="1"/>
  <c r="EG121" i="1" a="1"/>
  <c r="EG121" i="1" s="1"/>
  <c r="EG68" i="1" a="1"/>
  <c r="EG68" i="1" s="1"/>
  <c r="EG69" i="1" a="1"/>
  <c r="EG69" i="1" s="1"/>
  <c r="EG155" i="1" a="1"/>
  <c r="EG155" i="1" s="1"/>
  <c r="EG71" i="1" a="1"/>
  <c r="EG71" i="1" s="1"/>
  <c r="EG72" i="1" a="1"/>
  <c r="EG72" i="1" s="1"/>
  <c r="EG73" i="1" a="1"/>
  <c r="EG73" i="1" s="1"/>
  <c r="EG74" i="1" a="1"/>
  <c r="EG74" i="1" s="1"/>
  <c r="EG75" i="1" a="1"/>
  <c r="EG75" i="1" s="1"/>
  <c r="EG76" i="1" a="1"/>
  <c r="EG76" i="1" s="1"/>
  <c r="EG77" i="1" a="1"/>
  <c r="EG77" i="1" s="1"/>
  <c r="EG78" i="1" a="1"/>
  <c r="EG78" i="1" s="1"/>
  <c r="EG79" i="1" a="1"/>
  <c r="EG79" i="1" s="1"/>
  <c r="EG80" i="1" a="1"/>
  <c r="EG80" i="1" s="1"/>
  <c r="EG81" i="1" a="1"/>
  <c r="EG81" i="1" s="1"/>
  <c r="EG82" i="1" a="1"/>
  <c r="EG82" i="1" s="1"/>
  <c r="EG83" i="1" a="1"/>
  <c r="EG83" i="1" s="1"/>
  <c r="EG84" i="1" a="1"/>
  <c r="EG84" i="1" s="1"/>
  <c r="EG85" i="1" a="1"/>
  <c r="EG85" i="1" s="1"/>
  <c r="EG86" i="1" a="1"/>
  <c r="EG86" i="1" s="1"/>
  <c r="EG87" i="1" a="1"/>
  <c r="EG87" i="1" s="1"/>
  <c r="EG88" i="1" a="1"/>
  <c r="EG88" i="1" s="1"/>
  <c r="EG114" i="1" a="1"/>
  <c r="EG114" i="1" s="1"/>
  <c r="EG186" i="1" a="1"/>
  <c r="EG186" i="1" s="1"/>
  <c r="EG91" i="1" a="1"/>
  <c r="EG91" i="1" s="1"/>
  <c r="EG92" i="1" a="1"/>
  <c r="EG92" i="1" s="1"/>
  <c r="EG93" i="1" a="1"/>
  <c r="EG93" i="1" s="1"/>
  <c r="EG94" i="1" a="1"/>
  <c r="EG94" i="1" s="1"/>
  <c r="EG95" i="1" a="1"/>
  <c r="EG95" i="1" s="1"/>
  <c r="EG96" i="1" a="1"/>
  <c r="EG96" i="1" s="1"/>
  <c r="EG97" i="1" a="1"/>
  <c r="EG97" i="1" s="1"/>
  <c r="EG98" i="1" a="1"/>
  <c r="EG98" i="1" s="1"/>
  <c r="EG99" i="1" a="1"/>
  <c r="EG99" i="1" s="1"/>
  <c r="EG100" i="1" a="1"/>
  <c r="EG100" i="1" s="1"/>
  <c r="EG101" i="1" a="1"/>
  <c r="EG101" i="1" s="1"/>
  <c r="EG102" i="1" a="1"/>
  <c r="EG102" i="1" s="1"/>
  <c r="EG103" i="1" a="1"/>
  <c r="EG103" i="1" s="1"/>
  <c r="EG104" i="1" a="1"/>
  <c r="EG104" i="1" s="1"/>
  <c r="EG105" i="1" a="1"/>
  <c r="EG105" i="1" s="1"/>
  <c r="EG106" i="1" a="1"/>
  <c r="EG106" i="1" s="1"/>
  <c r="EG107" i="1" a="1"/>
  <c r="EG107" i="1" s="1"/>
  <c r="EG108" i="1" a="1"/>
  <c r="EG108" i="1" s="1"/>
  <c r="EG109" i="1" a="1"/>
  <c r="EG109" i="1" s="1"/>
  <c r="EG110" i="1" a="1"/>
  <c r="EG110" i="1" s="1"/>
  <c r="EG111" i="1" a="1"/>
  <c r="EG111" i="1" s="1"/>
  <c r="EG112" i="1" a="1"/>
  <c r="EG112" i="1" s="1"/>
  <c r="EG113" i="1" a="1"/>
  <c r="EG113" i="1" s="1"/>
  <c r="EG153" i="1" a="1"/>
  <c r="EG153" i="1" s="1"/>
  <c r="EG115" i="1" a="1"/>
  <c r="EG115" i="1" s="1"/>
  <c r="EG116" i="1" a="1"/>
  <c r="EG116" i="1" s="1"/>
  <c r="EG117" i="1" a="1"/>
  <c r="EG117" i="1" s="1"/>
  <c r="EG118" i="1" a="1"/>
  <c r="EG118" i="1" s="1"/>
  <c r="EG119" i="1" a="1"/>
  <c r="EG119" i="1" s="1"/>
  <c r="EG67" i="1" a="1"/>
  <c r="EG67" i="1" s="1"/>
  <c r="EG70" i="1" a="1"/>
  <c r="EG70" i="1" s="1"/>
  <c r="EG122" i="1" a="1"/>
  <c r="EG122" i="1" s="1"/>
  <c r="EG123" i="1" a="1"/>
  <c r="EG123" i="1" s="1"/>
  <c r="EG124" i="1" a="1"/>
  <c r="EG124" i="1" s="1"/>
  <c r="EG125" i="1" a="1"/>
  <c r="EG125" i="1" s="1"/>
  <c r="EG126" i="1" a="1"/>
  <c r="EG126" i="1" s="1"/>
  <c r="EG127" i="1" a="1"/>
  <c r="EG127" i="1" s="1"/>
  <c r="EG128" i="1" a="1"/>
  <c r="EG128" i="1" s="1"/>
  <c r="EG129" i="1" a="1"/>
  <c r="EG129" i="1" s="1"/>
  <c r="EG130" i="1" a="1"/>
  <c r="EG130" i="1" s="1"/>
  <c r="EG131" i="1" a="1"/>
  <c r="EG131" i="1" s="1"/>
  <c r="EG132" i="1" a="1"/>
  <c r="EG132" i="1" s="1"/>
  <c r="EG133" i="1" a="1"/>
  <c r="EG133" i="1" s="1"/>
  <c r="EG134" i="1" a="1"/>
  <c r="EG134" i="1" s="1"/>
  <c r="EG135" i="1" a="1"/>
  <c r="EG135" i="1" s="1"/>
  <c r="EG136" i="1" a="1"/>
  <c r="EG136" i="1" s="1"/>
  <c r="EG137" i="1" a="1"/>
  <c r="EG137" i="1" s="1"/>
  <c r="EG138" i="1" a="1"/>
  <c r="EG138" i="1" s="1"/>
  <c r="EG139" i="1" a="1"/>
  <c r="EG139" i="1" s="1"/>
  <c r="EG140" i="1" a="1"/>
  <c r="EG140" i="1" s="1"/>
  <c r="EG141" i="1" a="1"/>
  <c r="EG141" i="1" s="1"/>
  <c r="EG142" i="1" a="1"/>
  <c r="EG142" i="1" s="1"/>
  <c r="EG143" i="1" a="1"/>
  <c r="EG143" i="1" s="1"/>
  <c r="EG144" i="1" a="1"/>
  <c r="EG144" i="1" s="1"/>
  <c r="EG145" i="1" a="1"/>
  <c r="EG145" i="1" s="1"/>
  <c r="EG146" i="1" a="1"/>
  <c r="EG146" i="1" s="1"/>
  <c r="EG147" i="1" a="1"/>
  <c r="EG147" i="1" s="1"/>
  <c r="EG148" i="1" a="1"/>
  <c r="EG148" i="1" s="1"/>
  <c r="EG149" i="1" a="1"/>
  <c r="EG149" i="1" s="1"/>
  <c r="EG150" i="1" a="1"/>
  <c r="EG150" i="1" s="1"/>
  <c r="EG151" i="1" a="1"/>
  <c r="EG151" i="1" s="1"/>
  <c r="EG152" i="1" a="1"/>
  <c r="EG152" i="1" s="1"/>
  <c r="EG120" i="1" a="1"/>
  <c r="EG120" i="1" s="1"/>
  <c r="EG154" i="1" a="1"/>
  <c r="EG154" i="1" s="1"/>
  <c r="EG89" i="1" a="1"/>
  <c r="EG89" i="1" s="1"/>
  <c r="EG156" i="1" a="1"/>
  <c r="EG156" i="1" s="1"/>
  <c r="EG157" i="1" a="1"/>
  <c r="EG157" i="1" s="1"/>
  <c r="EG158" i="1" a="1"/>
  <c r="EG158" i="1" s="1"/>
  <c r="EG159" i="1" a="1"/>
  <c r="EG159" i="1" s="1"/>
  <c r="EG160" i="1" a="1"/>
  <c r="EG160" i="1" s="1"/>
  <c r="EG161" i="1" a="1"/>
  <c r="EG161" i="1" s="1"/>
  <c r="EG162" i="1" a="1"/>
  <c r="EG162" i="1" s="1"/>
  <c r="EG163" i="1" a="1"/>
  <c r="EG163" i="1" s="1"/>
  <c r="EG164" i="1" a="1"/>
  <c r="EG164" i="1" s="1"/>
  <c r="EG165" i="1" a="1"/>
  <c r="EG165" i="1" s="1"/>
  <c r="EG166" i="1" a="1"/>
  <c r="EG166" i="1" s="1"/>
  <c r="EG167" i="1" a="1"/>
  <c r="EG167" i="1" s="1"/>
  <c r="EG168" i="1" a="1"/>
  <c r="EG168" i="1" s="1"/>
  <c r="EG169" i="1" a="1"/>
  <c r="EG169" i="1" s="1"/>
  <c r="EG170" i="1" a="1"/>
  <c r="EG170" i="1" s="1"/>
  <c r="EG171" i="1" a="1"/>
  <c r="EG171" i="1" s="1"/>
  <c r="EG172" i="1" a="1"/>
  <c r="EG172" i="1" s="1"/>
  <c r="EG173" i="1" a="1"/>
  <c r="EG173" i="1" s="1"/>
  <c r="EG174" i="1" a="1"/>
  <c r="EG174" i="1" s="1"/>
  <c r="EG175" i="1" a="1"/>
  <c r="EG175" i="1" s="1"/>
  <c r="EG176" i="1" a="1"/>
  <c r="EG176" i="1" s="1"/>
  <c r="EG177" i="1" a="1"/>
  <c r="EG177" i="1" s="1"/>
  <c r="EG178" i="1" a="1"/>
  <c r="EG178" i="1" s="1"/>
  <c r="EG179" i="1" a="1"/>
  <c r="EG179" i="1" s="1"/>
  <c r="EG180" i="1" a="1"/>
  <c r="EG180" i="1" s="1"/>
  <c r="EG181" i="1" a="1"/>
  <c r="EG181" i="1" s="1"/>
  <c r="EG182" i="1" a="1"/>
  <c r="EG182" i="1" s="1"/>
  <c r="EG183" i="1" a="1"/>
  <c r="EG183" i="1" s="1"/>
  <c r="EG184" i="1" a="1"/>
  <c r="EG184" i="1" s="1"/>
  <c r="EG185" i="1" a="1"/>
  <c r="EG185" i="1" s="1"/>
  <c r="EG19" i="1" a="1"/>
  <c r="EG19" i="1" s="1"/>
  <c r="EG187" i="1" a="1"/>
  <c r="EG187" i="1" s="1"/>
  <c r="EG188" i="1" a="1"/>
  <c r="EG188" i="1" s="1"/>
  <c r="EG189" i="1" a="1"/>
  <c r="EG189" i="1" s="1"/>
  <c r="EG190" i="1" a="1"/>
  <c r="EG190" i="1" s="1"/>
  <c r="EG191" i="1" a="1"/>
  <c r="EG191" i="1" s="1"/>
  <c r="EG192" i="1" a="1"/>
  <c r="EG192" i="1" s="1"/>
  <c r="EG193" i="1" a="1"/>
  <c r="EG193" i="1" s="1"/>
  <c r="EG194" i="1" a="1"/>
  <c r="EG194" i="1" s="1"/>
  <c r="EG195" i="1" a="1"/>
  <c r="EG195" i="1" s="1"/>
  <c r="EG196" i="1" a="1"/>
  <c r="EG196" i="1" s="1"/>
  <c r="EG197" i="1" a="1"/>
  <c r="EG197" i="1" s="1"/>
  <c r="EG198" i="1" a="1"/>
  <c r="EG198" i="1" s="1"/>
  <c r="EG199" i="1" a="1"/>
  <c r="EG199" i="1" s="1"/>
  <c r="EG200" i="1" a="1"/>
  <c r="EG200" i="1" s="1"/>
  <c r="EG201" i="1" a="1"/>
  <c r="EG201" i="1" s="1"/>
  <c r="EG202" i="1" a="1"/>
  <c r="EG202" i="1" s="1"/>
  <c r="EG203" i="1" a="1"/>
  <c r="EG203" i="1" s="1"/>
  <c r="EG204" i="1" a="1"/>
  <c r="EG204" i="1" s="1"/>
  <c r="EG205" i="1" a="1"/>
  <c r="EG205" i="1" s="1"/>
  <c r="EG206" i="1" a="1"/>
  <c r="EG206" i="1" s="1"/>
  <c r="EG207" i="1" a="1"/>
  <c r="EG207" i="1" s="1"/>
  <c r="EG208" i="1" a="1"/>
  <c r="EG208" i="1" s="1"/>
  <c r="EG209" i="1" a="1"/>
  <c r="EG209" i="1" s="1"/>
  <c r="EG210" i="1" a="1"/>
  <c r="EG210" i="1" s="1"/>
  <c r="EG211" i="1" a="1"/>
  <c r="EG211" i="1" s="1"/>
  <c r="EG212" i="1" a="1"/>
  <c r="EG212" i="1" s="1"/>
  <c r="EG213" i="1" a="1"/>
  <c r="EG213" i="1" s="1"/>
  <c r="EG214" i="1" a="1"/>
  <c r="EG214" i="1" s="1"/>
  <c r="EG215" i="1" a="1"/>
  <c r="EG215" i="1" s="1"/>
  <c r="EG216" i="1" a="1"/>
  <c r="EG216" i="1" s="1"/>
  <c r="EG217" i="1" a="1"/>
  <c r="EG217" i="1" s="1"/>
  <c r="EG218" i="1" a="1"/>
  <c r="EG218" i="1" s="1"/>
  <c r="EG219" i="1" a="1"/>
  <c r="EG219" i="1" s="1"/>
  <c r="EG220" i="1" a="1"/>
  <c r="EG220" i="1" s="1"/>
  <c r="EG221" i="1" a="1"/>
  <c r="EG221" i="1" s="1"/>
  <c r="EG222" i="1" a="1"/>
  <c r="EG222" i="1" s="1"/>
  <c r="EG223" i="1" a="1"/>
  <c r="EG223" i="1" s="1"/>
  <c r="EG224" i="1" a="1"/>
  <c r="EG224" i="1" s="1"/>
  <c r="EG225" i="1" a="1"/>
  <c r="EG225" i="1" s="1"/>
  <c r="EG226" i="1" a="1"/>
  <c r="EG226" i="1" s="1"/>
  <c r="EG227" i="1" a="1"/>
  <c r="EG227" i="1" s="1"/>
  <c r="EG228" i="1" a="1"/>
  <c r="EG228" i="1" s="1"/>
  <c r="EG229" i="1" a="1"/>
  <c r="EG229" i="1" s="1"/>
  <c r="EG230" i="1" a="1"/>
  <c r="EG230" i="1" s="1"/>
  <c r="EG231" i="1" a="1"/>
  <c r="EG231" i="1" s="1"/>
  <c r="EG232" i="1" a="1"/>
  <c r="EG232" i="1" s="1"/>
  <c r="EG233" i="1" a="1"/>
  <c r="EG233" i="1" s="1"/>
  <c r="EG234" i="1" a="1"/>
  <c r="EG234" i="1" s="1"/>
  <c r="EG235" i="1" a="1"/>
  <c r="EG235" i="1" s="1"/>
  <c r="EG236" i="1" a="1"/>
  <c r="EG236" i="1" s="1"/>
  <c r="EG237" i="1" a="1"/>
  <c r="EG237" i="1" s="1"/>
  <c r="EG238" i="1" a="1"/>
  <c r="EG238" i="1" s="1"/>
  <c r="EG239" i="1" a="1"/>
  <c r="EG239" i="1" s="1"/>
  <c r="EG240" i="1" a="1"/>
  <c r="EG240" i="1" s="1"/>
  <c r="EG241" i="1" a="1"/>
  <c r="EG241" i="1" s="1"/>
  <c r="EG242" i="1" a="1"/>
  <c r="EG242" i="1" s="1"/>
  <c r="EG243" i="1" a="1"/>
  <c r="EG243" i="1" s="1"/>
  <c r="EG244" i="1" a="1"/>
  <c r="EG244" i="1" s="1"/>
  <c r="EG245" i="1" a="1"/>
  <c r="EG245" i="1" s="1"/>
  <c r="EG246" i="1" a="1"/>
  <c r="EG246" i="1" s="1"/>
  <c r="EG247" i="1" a="1"/>
  <c r="EG247" i="1" s="1"/>
  <c r="EG248" i="1" a="1"/>
  <c r="EG248" i="1" s="1"/>
  <c r="EG249" i="1" a="1"/>
  <c r="EG249" i="1" s="1"/>
  <c r="EG250" i="1" a="1"/>
  <c r="EG250" i="1" s="1"/>
  <c r="EG251" i="1" a="1"/>
  <c r="EG251" i="1" s="1"/>
  <c r="EG252" i="1" a="1"/>
  <c r="EG252" i="1" s="1"/>
  <c r="EG253" i="1" a="1"/>
  <c r="EG253" i="1" s="1"/>
  <c r="EG254" i="1" a="1"/>
  <c r="EG254" i="1" s="1"/>
  <c r="EG255" i="1" a="1"/>
  <c r="EG255" i="1" s="1"/>
  <c r="EG256" i="1" a="1"/>
  <c r="EG256" i="1" s="1"/>
  <c r="EG257" i="1" a="1"/>
  <c r="EG257" i="1" s="1"/>
  <c r="EG258" i="1" a="1"/>
  <c r="EG258" i="1" s="1"/>
  <c r="EG259" i="1" a="1"/>
  <c r="EG259" i="1" s="1"/>
  <c r="EG260" i="1" a="1"/>
  <c r="EG260" i="1" s="1"/>
  <c r="EG261" i="1" a="1"/>
  <c r="EG261" i="1" s="1"/>
  <c r="EG262" i="1" a="1"/>
  <c r="EG262" i="1" s="1"/>
  <c r="EG263" i="1" a="1"/>
  <c r="EG263" i="1" s="1"/>
  <c r="EG264" i="1" a="1"/>
  <c r="EG264" i="1" s="1"/>
  <c r="EG265" i="1" a="1"/>
  <c r="EG265" i="1" s="1"/>
  <c r="EG266" i="1" a="1"/>
  <c r="EG266" i="1" s="1"/>
  <c r="EG267" i="1" a="1"/>
  <c r="EG267" i="1" s="1"/>
  <c r="EG268" i="1" a="1"/>
  <c r="EG268" i="1" s="1"/>
  <c r="EG269" i="1" a="1"/>
  <c r="EG269" i="1" s="1"/>
  <c r="EG270" i="1" a="1"/>
  <c r="EG270" i="1" s="1"/>
  <c r="EG271" i="1" a="1"/>
  <c r="EG271" i="1" s="1"/>
  <c r="EG6" i="1" a="1"/>
  <c r="EG6" i="1" s="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W6" i="1"/>
  <c r="C86" i="9" l="1"/>
  <c r="C182" i="9"/>
  <c r="C66" i="9"/>
  <c r="C205" i="9"/>
  <c r="C2" i="9"/>
  <c r="C176" i="9"/>
  <c r="C128" i="9"/>
  <c r="C120" i="9"/>
  <c r="C151" i="9"/>
  <c r="BR2" i="1"/>
  <c r="BQ4" i="1"/>
  <c r="BR4" i="1" s="1"/>
  <c r="CJ267" i="1"/>
  <c r="CJ263" i="1"/>
  <c r="CJ259" i="1"/>
  <c r="CJ255" i="1"/>
  <c r="CJ251" i="1"/>
  <c r="CJ247" i="1"/>
  <c r="CJ243" i="1"/>
  <c r="CJ239" i="1"/>
  <c r="CJ235" i="1"/>
  <c r="CJ231" i="1"/>
  <c r="CJ223" i="1"/>
  <c r="CJ215" i="1"/>
  <c r="CJ207" i="1"/>
  <c r="CJ199" i="1"/>
  <c r="CJ191" i="1"/>
  <c r="CJ183" i="1"/>
  <c r="CL175" i="1"/>
  <c r="CL171" i="1"/>
  <c r="CJ167" i="1"/>
  <c r="CJ163" i="1"/>
  <c r="CJ155" i="1"/>
  <c r="CJ151" i="1"/>
  <c r="CJ139" i="1"/>
  <c r="CJ135" i="1"/>
  <c r="CJ131" i="1"/>
  <c r="CJ127" i="1"/>
  <c r="CL123" i="1"/>
  <c r="CL119" i="1"/>
  <c r="CJ115" i="1"/>
  <c r="CJ111" i="1"/>
  <c r="CJ87" i="1"/>
  <c r="CJ83" i="1"/>
  <c r="CJ79" i="1"/>
  <c r="CJ71" i="1"/>
  <c r="CJ67" i="1"/>
  <c r="CJ59" i="1"/>
  <c r="CJ51" i="1"/>
  <c r="CJ47" i="1"/>
  <c r="CJ39" i="1"/>
  <c r="CJ31" i="1"/>
  <c r="CJ23" i="1"/>
  <c r="CJ15" i="1"/>
  <c r="CJ11" i="1"/>
  <c r="CJ264" i="1"/>
  <c r="CJ260" i="1"/>
  <c r="CJ256" i="1"/>
  <c r="CJ252" i="1"/>
  <c r="CJ248" i="1"/>
  <c r="CJ244" i="1"/>
  <c r="CJ7" i="1"/>
  <c r="CJ95" i="1"/>
  <c r="CL88" i="1"/>
  <c r="CL84" i="1"/>
  <c r="CL80" i="1"/>
  <c r="CL76" i="1"/>
  <c r="CL68" i="1"/>
  <c r="CL60" i="1"/>
  <c r="CL52" i="1"/>
  <c r="CL48" i="1"/>
  <c r="CL44" i="1"/>
  <c r="CL40" i="1"/>
  <c r="CL32" i="1"/>
  <c r="CL20" i="1"/>
  <c r="CL16" i="1"/>
  <c r="CL12" i="1"/>
  <c r="CJ240" i="1"/>
  <c r="CJ232" i="1"/>
  <c r="CJ228" i="1"/>
  <c r="CJ220" i="1"/>
  <c r="CJ212" i="1"/>
  <c r="CJ204" i="1"/>
  <c r="CJ196" i="1"/>
  <c r="CJ188" i="1"/>
  <c r="CJ180" i="1"/>
  <c r="CL176" i="1"/>
  <c r="CL172" i="1"/>
  <c r="CL168" i="1"/>
  <c r="CL164" i="1"/>
  <c r="CL160" i="1"/>
  <c r="CL152" i="1"/>
  <c r="CL148" i="1"/>
  <c r="CL144" i="1"/>
  <c r="CL136" i="1"/>
  <c r="CL132" i="1"/>
  <c r="CL128" i="1"/>
  <c r="CL120" i="1"/>
  <c r="CL116" i="1"/>
  <c r="CL112" i="1"/>
  <c r="CL104" i="1"/>
  <c r="CL96" i="1"/>
  <c r="CL11" i="1"/>
  <c r="CL8" i="1"/>
  <c r="CL154" i="1"/>
  <c r="CL150" i="1"/>
  <c r="CL146" i="1"/>
  <c r="CL142" i="1"/>
  <c r="CL38" i="1"/>
  <c r="CL34" i="1"/>
  <c r="CL30" i="1"/>
  <c r="CL26" i="1"/>
  <c r="CL10" i="1"/>
  <c r="CL270" i="1"/>
  <c r="CL266" i="1"/>
  <c r="CL258" i="1"/>
  <c r="CL254" i="1"/>
  <c r="CL250" i="1"/>
  <c r="CL242" i="1"/>
  <c r="CL238" i="1"/>
  <c r="CL230" i="1"/>
  <c r="CL222" i="1"/>
  <c r="CL214" i="1"/>
  <c r="CL206" i="1"/>
  <c r="CL198" i="1"/>
  <c r="CL190" i="1"/>
  <c r="CL182" i="1"/>
  <c r="CL170" i="1"/>
  <c r="CL167" i="1"/>
  <c r="CL134" i="1"/>
  <c r="CL130" i="1"/>
  <c r="CL118" i="1"/>
  <c r="CL110" i="1"/>
  <c r="CL106" i="1"/>
  <c r="CL102" i="1"/>
  <c r="CL98" i="1"/>
  <c r="CL74" i="1"/>
  <c r="CL269" i="1"/>
  <c r="CL265" i="1"/>
  <c r="CL261" i="1"/>
  <c r="CL257" i="1"/>
  <c r="CL253" i="1"/>
  <c r="CL249" i="1"/>
  <c r="CL135" i="1"/>
  <c r="CL248" i="1"/>
  <c r="CL245" i="1"/>
  <c r="CL241" i="1"/>
  <c r="CL237" i="1"/>
  <c r="CL233" i="1"/>
  <c r="CL229" i="1"/>
  <c r="CL225" i="1"/>
  <c r="CL221" i="1"/>
  <c r="CL217" i="1"/>
  <c r="CL213" i="1"/>
  <c r="CL209" i="1"/>
  <c r="CL205" i="1"/>
  <c r="CL201" i="1"/>
  <c r="CL197" i="1"/>
  <c r="CL193" i="1"/>
  <c r="CL189" i="1"/>
  <c r="CL185" i="1"/>
  <c r="CL181" i="1"/>
  <c r="CL177" i="1"/>
  <c r="CL173" i="1"/>
  <c r="CL169" i="1"/>
  <c r="CL67" i="1"/>
  <c r="CL162" i="1"/>
  <c r="CL54" i="1"/>
  <c r="CL95" i="1"/>
  <c r="CL158" i="1"/>
  <c r="CL58" i="1"/>
  <c r="CL42" i="1"/>
  <c r="CL264" i="1"/>
  <c r="CL155" i="1"/>
  <c r="CL39" i="1"/>
  <c r="CJ236" i="1"/>
  <c r="CL236" i="1"/>
  <c r="CJ224" i="1"/>
  <c r="CL224" i="1"/>
  <c r="CJ216" i="1"/>
  <c r="CL216" i="1"/>
  <c r="CJ208" i="1"/>
  <c r="CL208" i="1"/>
  <c r="CJ200" i="1"/>
  <c r="CL200" i="1"/>
  <c r="CJ192" i="1"/>
  <c r="CL192" i="1"/>
  <c r="CJ184" i="1"/>
  <c r="CL184" i="1"/>
  <c r="CJ107" i="1"/>
  <c r="CL107" i="1"/>
  <c r="CJ147" i="1"/>
  <c r="CL147" i="1"/>
  <c r="CL46" i="1"/>
  <c r="CJ227" i="1"/>
  <c r="CL227" i="1"/>
  <c r="CJ219" i="1"/>
  <c r="CL219" i="1"/>
  <c r="CJ211" i="1"/>
  <c r="CL211" i="1"/>
  <c r="CJ203" i="1"/>
  <c r="CL203" i="1"/>
  <c r="CJ195" i="1"/>
  <c r="CL195" i="1"/>
  <c r="CJ187" i="1"/>
  <c r="CL187" i="1"/>
  <c r="CJ179" i="1"/>
  <c r="CL179" i="1"/>
  <c r="CJ75" i="1"/>
  <c r="CL75" i="1"/>
  <c r="CJ271" i="1"/>
  <c r="CL271" i="1"/>
  <c r="CJ19" i="1"/>
  <c r="CL19" i="1"/>
  <c r="CJ268" i="1"/>
  <c r="CL268" i="1"/>
  <c r="CJ43" i="1"/>
  <c r="CL43" i="1"/>
  <c r="CL24" i="1"/>
  <c r="CJ24" i="1"/>
  <c r="CL252" i="1"/>
  <c r="CL231" i="1"/>
  <c r="CL228" i="1"/>
  <c r="CL223" i="1"/>
  <c r="CL220" i="1"/>
  <c r="CL215" i="1"/>
  <c r="CL212" i="1"/>
  <c r="CL207" i="1"/>
  <c r="CL204" i="1"/>
  <c r="CL199" i="1"/>
  <c r="CL196" i="1"/>
  <c r="CL191" i="1"/>
  <c r="CL188" i="1"/>
  <c r="CL183" i="1"/>
  <c r="CL180" i="1"/>
  <c r="CL127" i="1"/>
  <c r="CL87" i="1"/>
  <c r="CL59" i="1"/>
  <c r="CJ152" i="1"/>
  <c r="CL115" i="1"/>
  <c r="CL83" i="1"/>
  <c r="CL51" i="1"/>
  <c r="CL23" i="1"/>
  <c r="CL262" i="1"/>
  <c r="CL246" i="1"/>
  <c r="CL234" i="1"/>
  <c r="CL226" i="1"/>
  <c r="CL218" i="1"/>
  <c r="CL210" i="1"/>
  <c r="CL202" i="1"/>
  <c r="CL194" i="1"/>
  <c r="CL186" i="1"/>
  <c r="CL178" i="1"/>
  <c r="CL166" i="1"/>
  <c r="CL138" i="1"/>
  <c r="CL126" i="1"/>
  <c r="CL122" i="1"/>
  <c r="CL114" i="1"/>
  <c r="CL94" i="1"/>
  <c r="CL90" i="1"/>
  <c r="CL82" i="1"/>
  <c r="CL78" i="1"/>
  <c r="CL66" i="1"/>
  <c r="CL62" i="1"/>
  <c r="CL50" i="1"/>
  <c r="CL18" i="1"/>
  <c r="CL14" i="1"/>
  <c r="CJ175" i="1"/>
  <c r="CJ173" i="1"/>
  <c r="CJ171" i="1"/>
  <c r="CJ168" i="1"/>
  <c r="CL139" i="1"/>
  <c r="CL131" i="1"/>
  <c r="CJ119" i="1"/>
  <c r="CJ116" i="1"/>
  <c r="CJ96" i="1"/>
  <c r="CJ84" i="1"/>
  <c r="CJ68" i="1"/>
  <c r="CJ52" i="1"/>
  <c r="CL260" i="1"/>
  <c r="CL244" i="1"/>
  <c r="CL235" i="1"/>
  <c r="CL232" i="1"/>
  <c r="CJ32" i="1"/>
  <c r="CL256" i="1"/>
  <c r="CL240" i="1"/>
  <c r="CL163" i="1"/>
  <c r="CL151" i="1"/>
  <c r="CJ136" i="1"/>
  <c r="CL111" i="1"/>
  <c r="CJ88" i="1"/>
  <c r="CJ76" i="1"/>
  <c r="CJ60" i="1"/>
  <c r="CL47" i="1"/>
  <c r="CL31" i="1"/>
  <c r="CJ12" i="1"/>
  <c r="CL156" i="1"/>
  <c r="CJ156" i="1"/>
  <c r="CL108" i="1"/>
  <c r="CJ108" i="1"/>
  <c r="CL263" i="1"/>
  <c r="CL255" i="1"/>
  <c r="CL247" i="1"/>
  <c r="CL239" i="1"/>
  <c r="CJ166" i="1"/>
  <c r="CL159" i="1"/>
  <c r="CJ159" i="1"/>
  <c r="CL140" i="1"/>
  <c r="CJ140" i="1"/>
  <c r="CL72" i="1"/>
  <c r="CJ72" i="1"/>
  <c r="CJ150" i="1"/>
  <c r="CL143" i="1"/>
  <c r="CJ143" i="1"/>
  <c r="CJ103" i="1"/>
  <c r="CL103" i="1"/>
  <c r="CJ99" i="1"/>
  <c r="CL99" i="1"/>
  <c r="CJ27" i="1"/>
  <c r="CL27" i="1"/>
  <c r="CL267" i="1"/>
  <c r="CL259" i="1"/>
  <c r="CL251" i="1"/>
  <c r="CL243" i="1"/>
  <c r="CJ134" i="1"/>
  <c r="CL70" i="1"/>
  <c r="CL64" i="1"/>
  <c r="CJ64" i="1"/>
  <c r="CJ170" i="1"/>
  <c r="CJ154" i="1"/>
  <c r="CJ138" i="1"/>
  <c r="CL124" i="1"/>
  <c r="CJ124" i="1"/>
  <c r="CJ114" i="1"/>
  <c r="CJ98" i="1"/>
  <c r="CL92" i="1"/>
  <c r="CJ92" i="1"/>
  <c r="CL86" i="1"/>
  <c r="CJ63" i="1"/>
  <c r="CL63" i="1"/>
  <c r="CL36" i="1"/>
  <c r="CJ36" i="1"/>
  <c r="CJ160" i="1"/>
  <c r="CJ158" i="1"/>
  <c r="CJ144" i="1"/>
  <c r="CJ142" i="1"/>
  <c r="CJ130" i="1"/>
  <c r="CJ91" i="1"/>
  <c r="CL91" i="1"/>
  <c r="CJ80" i="1"/>
  <c r="CL56" i="1"/>
  <c r="CJ56" i="1"/>
  <c r="CJ35" i="1"/>
  <c r="CL35" i="1"/>
  <c r="CJ8" i="1"/>
  <c r="CJ164" i="1"/>
  <c r="CJ162" i="1"/>
  <c r="CJ148" i="1"/>
  <c r="CJ146" i="1"/>
  <c r="CJ132" i="1"/>
  <c r="CJ123" i="1"/>
  <c r="CJ120" i="1"/>
  <c r="CJ118" i="1"/>
  <c r="CL100" i="1"/>
  <c r="CJ100" i="1"/>
  <c r="CJ55" i="1"/>
  <c r="CL55" i="1"/>
  <c r="CJ50" i="1"/>
  <c r="CJ44" i="1"/>
  <c r="CJ34" i="1"/>
  <c r="CL28" i="1"/>
  <c r="CJ28" i="1"/>
  <c r="CL22" i="1"/>
  <c r="CJ16" i="1"/>
  <c r="CJ122" i="1"/>
  <c r="CJ82" i="1"/>
  <c r="CL79" i="1"/>
  <c r="CL71" i="1"/>
  <c r="CJ18" i="1"/>
  <c r="CL15" i="1"/>
  <c r="CL7" i="1"/>
  <c r="CJ128" i="1"/>
  <c r="CJ126" i="1"/>
  <c r="CJ112" i="1"/>
  <c r="CJ104" i="1"/>
  <c r="CJ66" i="1"/>
  <c r="CJ48" i="1"/>
  <c r="CJ40" i="1"/>
  <c r="CJ20" i="1"/>
  <c r="CJ270" i="1"/>
  <c r="CJ266" i="1"/>
  <c r="CJ262" i="1"/>
  <c r="CJ258" i="1"/>
  <c r="CJ254" i="1"/>
  <c r="CJ250" i="1"/>
  <c r="CJ246" i="1"/>
  <c r="CJ242" i="1"/>
  <c r="CJ238" i="1"/>
  <c r="CJ234" i="1"/>
  <c r="CJ230" i="1"/>
  <c r="CJ226" i="1"/>
  <c r="CJ222" i="1"/>
  <c r="CJ218" i="1"/>
  <c r="CJ214" i="1"/>
  <c r="CJ210" i="1"/>
  <c r="CJ206" i="1"/>
  <c r="CJ202" i="1"/>
  <c r="CJ198" i="1"/>
  <c r="CJ194" i="1"/>
  <c r="CJ190" i="1"/>
  <c r="CJ186" i="1"/>
  <c r="CJ182" i="1"/>
  <c r="CJ178" i="1"/>
  <c r="CJ102" i="1"/>
  <c r="CJ86" i="1"/>
  <c r="CJ70" i="1"/>
  <c r="CJ54" i="1"/>
  <c r="CJ38" i="1"/>
  <c r="CJ22" i="1"/>
  <c r="CJ106" i="1"/>
  <c r="CJ90" i="1"/>
  <c r="CJ74" i="1"/>
  <c r="CJ58" i="1"/>
  <c r="CJ42" i="1"/>
  <c r="CJ26" i="1"/>
  <c r="CJ10" i="1"/>
  <c r="CJ174" i="1"/>
  <c r="CJ110" i="1"/>
  <c r="CJ94" i="1"/>
  <c r="CJ78" i="1"/>
  <c r="CJ62" i="1"/>
  <c r="CJ46" i="1"/>
  <c r="CJ30" i="1"/>
  <c r="CJ14" i="1"/>
  <c r="CL13" i="1"/>
  <c r="CJ13" i="1"/>
  <c r="CJ269" i="1"/>
  <c r="CJ265" i="1"/>
  <c r="CJ261" i="1"/>
  <c r="CJ257" i="1"/>
  <c r="CJ253" i="1"/>
  <c r="CJ249" i="1"/>
  <c r="CJ245" i="1"/>
  <c r="CJ241" i="1"/>
  <c r="CJ237" i="1"/>
  <c r="CJ233" i="1"/>
  <c r="CJ229" i="1"/>
  <c r="CJ225" i="1"/>
  <c r="CJ221" i="1"/>
  <c r="CJ217" i="1"/>
  <c r="CJ213" i="1"/>
  <c r="CJ209" i="1"/>
  <c r="CJ205" i="1"/>
  <c r="CJ201" i="1"/>
  <c r="CJ197" i="1"/>
  <c r="CJ193" i="1"/>
  <c r="CJ189" i="1"/>
  <c r="CJ185" i="1"/>
  <c r="CJ181" i="1"/>
  <c r="CJ177" i="1"/>
  <c r="CJ172" i="1"/>
  <c r="CJ169" i="1"/>
  <c r="CL165" i="1"/>
  <c r="CJ165" i="1"/>
  <c r="CL161" i="1"/>
  <c r="CJ161" i="1"/>
  <c r="CL157" i="1"/>
  <c r="CJ157" i="1"/>
  <c r="CL153" i="1"/>
  <c r="CJ153" i="1"/>
  <c r="CL149" i="1"/>
  <c r="CJ149" i="1"/>
  <c r="CL145" i="1"/>
  <c r="CJ145" i="1"/>
  <c r="CL141" i="1"/>
  <c r="CJ141" i="1"/>
  <c r="CL137" i="1"/>
  <c r="CJ137" i="1"/>
  <c r="CL133" i="1"/>
  <c r="CJ133" i="1"/>
  <c r="CL129" i="1"/>
  <c r="CJ129" i="1"/>
  <c r="CL125" i="1"/>
  <c r="CJ125" i="1"/>
  <c r="CL121" i="1"/>
  <c r="CJ121" i="1"/>
  <c r="CL117" i="1"/>
  <c r="CJ117" i="1"/>
  <c r="CL113" i="1"/>
  <c r="CJ113" i="1"/>
  <c r="CL97" i="1"/>
  <c r="CJ97" i="1"/>
  <c r="CL81" i="1"/>
  <c r="CJ81" i="1"/>
  <c r="CL65" i="1"/>
  <c r="CJ65" i="1"/>
  <c r="CL49" i="1"/>
  <c r="CJ49" i="1"/>
  <c r="CL33" i="1"/>
  <c r="CJ33" i="1"/>
  <c r="CL17" i="1"/>
  <c r="CJ17" i="1"/>
  <c r="CL109" i="1"/>
  <c r="CJ109" i="1"/>
  <c r="CL77" i="1"/>
  <c r="CJ77" i="1"/>
  <c r="CL45" i="1"/>
  <c r="CJ45" i="1"/>
  <c r="CL101" i="1"/>
  <c r="CJ101" i="1"/>
  <c r="CL85" i="1"/>
  <c r="CJ85" i="1"/>
  <c r="CL69" i="1"/>
  <c r="CJ69" i="1"/>
  <c r="CL53" i="1"/>
  <c r="CJ53" i="1"/>
  <c r="CL37" i="1"/>
  <c r="CJ37" i="1"/>
  <c r="CL21" i="1"/>
  <c r="CJ21" i="1"/>
  <c r="CL93" i="1"/>
  <c r="CJ93" i="1"/>
  <c r="CL61" i="1"/>
  <c r="CJ61" i="1"/>
  <c r="CL29" i="1"/>
  <c r="CJ29" i="1"/>
  <c r="CJ176" i="1"/>
  <c r="CL174" i="1"/>
  <c r="CL105" i="1"/>
  <c r="CJ105" i="1"/>
  <c r="CL89" i="1"/>
  <c r="CJ89" i="1"/>
  <c r="CL73" i="1"/>
  <c r="CJ73" i="1"/>
  <c r="CL57" i="1"/>
  <c r="CJ57" i="1"/>
  <c r="CL41" i="1"/>
  <c r="CJ41" i="1"/>
  <c r="CL25" i="1"/>
  <c r="CJ25" i="1"/>
  <c r="CL9" i="1"/>
  <c r="CJ9" i="1"/>
  <c r="CB209" i="1"/>
  <c r="CB186" i="1"/>
  <c r="CB90" i="1"/>
  <c r="CB70" i="1"/>
  <c r="CB180" i="1"/>
  <c r="CB155" i="1"/>
  <c r="CB6" i="1"/>
  <c r="CJ6" i="1"/>
  <c r="DY6" i="1" s="1"/>
  <c r="CL6" i="1"/>
  <c r="EI209" i="1"/>
  <c r="EK209" i="1" s="1"/>
  <c r="EM209" i="1" s="1"/>
  <c r="EI113" i="1"/>
  <c r="EK113" i="1" s="1"/>
  <c r="EM113" i="1" s="1"/>
  <c r="BU186" i="1" a="1"/>
  <c r="BU186" i="1" s="1"/>
  <c r="EI90" i="1"/>
  <c r="BV7" i="1" a="1"/>
  <c r="BV7" i="1" s="1"/>
  <c r="BV8" i="1" a="1"/>
  <c r="BV8" i="1" s="1"/>
  <c r="BV9" i="1" a="1"/>
  <c r="BV9" i="1" s="1"/>
  <c r="BV10" i="1" a="1"/>
  <c r="BV10" i="1" s="1"/>
  <c r="BV11" i="1" a="1"/>
  <c r="BV11" i="1" s="1"/>
  <c r="BV12" i="1" a="1"/>
  <c r="BV12" i="1" s="1"/>
  <c r="BV13" i="1" a="1"/>
  <c r="BV13" i="1" s="1"/>
  <c r="BV14" i="1" a="1"/>
  <c r="BV14" i="1" s="1"/>
  <c r="BV15" i="1" a="1"/>
  <c r="BV15" i="1" s="1"/>
  <c r="BV16" i="1" a="1"/>
  <c r="BV16" i="1" s="1"/>
  <c r="BV17" i="1" a="1"/>
  <c r="BV17" i="1" s="1"/>
  <c r="BV18" i="1" a="1"/>
  <c r="BV18" i="1" s="1"/>
  <c r="BV90" i="1" a="1"/>
  <c r="BV90" i="1" s="1"/>
  <c r="BV20" i="1" a="1"/>
  <c r="BV20" i="1" s="1"/>
  <c r="BV21" i="1" a="1"/>
  <c r="BV21" i="1" s="1"/>
  <c r="BV22" i="1" a="1"/>
  <c r="BV22" i="1" s="1"/>
  <c r="BV23" i="1" a="1"/>
  <c r="BV23" i="1" s="1"/>
  <c r="BV24" i="1" a="1"/>
  <c r="BV24" i="1" s="1"/>
  <c r="BV25" i="1" a="1"/>
  <c r="BV25" i="1" s="1"/>
  <c r="BV26" i="1" a="1"/>
  <c r="BV26" i="1" s="1"/>
  <c r="BV27" i="1" a="1"/>
  <c r="BV27" i="1" s="1"/>
  <c r="BV28" i="1" a="1"/>
  <c r="BV28" i="1" s="1"/>
  <c r="BV29" i="1" a="1"/>
  <c r="BV29" i="1" s="1"/>
  <c r="BV30" i="1" a="1"/>
  <c r="BV30" i="1" s="1"/>
  <c r="BV31" i="1" a="1"/>
  <c r="BV31" i="1" s="1"/>
  <c r="BV32" i="1" a="1"/>
  <c r="BV32" i="1" s="1"/>
  <c r="BV33" i="1" a="1"/>
  <c r="BV33" i="1" s="1"/>
  <c r="BV34" i="1" a="1"/>
  <c r="BV34" i="1" s="1"/>
  <c r="BV35" i="1" a="1"/>
  <c r="BV35" i="1" s="1"/>
  <c r="BV36" i="1" a="1"/>
  <c r="BV36" i="1" s="1"/>
  <c r="BV37" i="1" a="1"/>
  <c r="BV37" i="1" s="1"/>
  <c r="BV38" i="1" a="1"/>
  <c r="BV38" i="1" s="1"/>
  <c r="BV39" i="1" a="1"/>
  <c r="BV39" i="1" s="1"/>
  <c r="BV40" i="1" a="1"/>
  <c r="BV40" i="1" s="1"/>
  <c r="BV41" i="1" a="1"/>
  <c r="BV41" i="1" s="1"/>
  <c r="BV42" i="1" a="1"/>
  <c r="BV42" i="1" s="1"/>
  <c r="BV43" i="1" a="1"/>
  <c r="BV43" i="1" s="1"/>
  <c r="BV44" i="1" a="1"/>
  <c r="BV44" i="1" s="1"/>
  <c r="BV45" i="1" a="1"/>
  <c r="BV45" i="1" s="1"/>
  <c r="BV46" i="1" a="1"/>
  <c r="BV46" i="1" s="1"/>
  <c r="BV47" i="1" a="1"/>
  <c r="BV47" i="1" s="1"/>
  <c r="BV48" i="1" a="1"/>
  <c r="BV48" i="1" s="1"/>
  <c r="BV49" i="1" a="1"/>
  <c r="BV49" i="1" s="1"/>
  <c r="BV50" i="1" a="1"/>
  <c r="BV50" i="1" s="1"/>
  <c r="BV51" i="1" a="1"/>
  <c r="BV51" i="1" s="1"/>
  <c r="BV52" i="1" a="1"/>
  <c r="BV52" i="1" s="1"/>
  <c r="BV53" i="1" a="1"/>
  <c r="BV53" i="1" s="1"/>
  <c r="BV54" i="1" a="1"/>
  <c r="BV54" i="1" s="1"/>
  <c r="BV55" i="1" a="1"/>
  <c r="BV55" i="1" s="1"/>
  <c r="BV56" i="1" a="1"/>
  <c r="BV56" i="1" s="1"/>
  <c r="BV57" i="1" a="1"/>
  <c r="BV57" i="1" s="1"/>
  <c r="BV58" i="1" a="1"/>
  <c r="BV58" i="1" s="1"/>
  <c r="BV59" i="1" a="1"/>
  <c r="BV59" i="1" s="1"/>
  <c r="BV60" i="1" a="1"/>
  <c r="BV60" i="1" s="1"/>
  <c r="BV61" i="1" a="1"/>
  <c r="BV61" i="1" s="1"/>
  <c r="BV62" i="1" a="1"/>
  <c r="BV62" i="1" s="1"/>
  <c r="BV63" i="1" a="1"/>
  <c r="BV63" i="1" s="1"/>
  <c r="BV64" i="1" a="1"/>
  <c r="BV64" i="1" s="1"/>
  <c r="BV65" i="1" a="1"/>
  <c r="BV65" i="1" s="1"/>
  <c r="BV66" i="1" a="1"/>
  <c r="BV66" i="1" s="1"/>
  <c r="BV121" i="1" a="1"/>
  <c r="BV121" i="1" s="1"/>
  <c r="BV68" i="1" a="1"/>
  <c r="BV68" i="1" s="1"/>
  <c r="BV69" i="1" a="1"/>
  <c r="BV69" i="1" s="1"/>
  <c r="BV155" i="1" a="1"/>
  <c r="BV155" i="1" s="1"/>
  <c r="BV71" i="1" a="1"/>
  <c r="BV71" i="1" s="1"/>
  <c r="BV72" i="1" a="1"/>
  <c r="BV72" i="1" s="1"/>
  <c r="BV73" i="1" a="1"/>
  <c r="BV73" i="1" s="1"/>
  <c r="BV74" i="1" a="1"/>
  <c r="BV74" i="1" s="1"/>
  <c r="BV75" i="1" a="1"/>
  <c r="BV75" i="1" s="1"/>
  <c r="BV76" i="1" a="1"/>
  <c r="BV76" i="1" s="1"/>
  <c r="BV77" i="1" a="1"/>
  <c r="BV77" i="1" s="1"/>
  <c r="BV78" i="1" a="1"/>
  <c r="BV78" i="1" s="1"/>
  <c r="BV79" i="1" a="1"/>
  <c r="BV79" i="1" s="1"/>
  <c r="BV80" i="1" a="1"/>
  <c r="BV80" i="1" s="1"/>
  <c r="BV81" i="1" a="1"/>
  <c r="BV81" i="1" s="1"/>
  <c r="BV82" i="1" a="1"/>
  <c r="BV82" i="1" s="1"/>
  <c r="BV83" i="1" a="1"/>
  <c r="BV83" i="1" s="1"/>
  <c r="BV84" i="1" a="1"/>
  <c r="BV84" i="1" s="1"/>
  <c r="BV85" i="1" a="1"/>
  <c r="BV85" i="1" s="1"/>
  <c r="BV86" i="1" a="1"/>
  <c r="BV86" i="1" s="1"/>
  <c r="BV87" i="1" a="1"/>
  <c r="BV87" i="1" s="1"/>
  <c r="BV88" i="1" a="1"/>
  <c r="BV88" i="1" s="1"/>
  <c r="BV114" i="1" a="1"/>
  <c r="BV114" i="1" s="1"/>
  <c r="BV186" i="1" a="1"/>
  <c r="BV186" i="1" s="1"/>
  <c r="BV91" i="1" a="1"/>
  <c r="BV91" i="1" s="1"/>
  <c r="BV92" i="1" a="1"/>
  <c r="BV92" i="1" s="1"/>
  <c r="BV93" i="1" a="1"/>
  <c r="BV93" i="1" s="1"/>
  <c r="BV94" i="1" a="1"/>
  <c r="BV94" i="1" s="1"/>
  <c r="BV95" i="1" a="1"/>
  <c r="BV95" i="1" s="1"/>
  <c r="BV96" i="1" a="1"/>
  <c r="BV96" i="1" s="1"/>
  <c r="BV97" i="1" a="1"/>
  <c r="BV97" i="1" s="1"/>
  <c r="BV98" i="1" a="1"/>
  <c r="BV98" i="1" s="1"/>
  <c r="BV99" i="1" a="1"/>
  <c r="BV99" i="1" s="1"/>
  <c r="BV100" i="1" a="1"/>
  <c r="BV100" i="1" s="1"/>
  <c r="BV101" i="1" a="1"/>
  <c r="BV101" i="1" s="1"/>
  <c r="BV102" i="1" a="1"/>
  <c r="BV102" i="1" s="1"/>
  <c r="BV103" i="1" a="1"/>
  <c r="BV103" i="1" s="1"/>
  <c r="BV104" i="1" a="1"/>
  <c r="BV104" i="1" s="1"/>
  <c r="BV105" i="1" a="1"/>
  <c r="BV105" i="1" s="1"/>
  <c r="BV106" i="1" a="1"/>
  <c r="BV106" i="1" s="1"/>
  <c r="BV107" i="1" a="1"/>
  <c r="BV107" i="1" s="1"/>
  <c r="BV108" i="1" a="1"/>
  <c r="BV108" i="1" s="1"/>
  <c r="BV109" i="1" a="1"/>
  <c r="BV109" i="1" s="1"/>
  <c r="BV110" i="1" a="1"/>
  <c r="BV110" i="1" s="1"/>
  <c r="BV111" i="1" a="1"/>
  <c r="BV111" i="1" s="1"/>
  <c r="BV112" i="1" a="1"/>
  <c r="BV112" i="1" s="1"/>
  <c r="BV113" i="1" a="1"/>
  <c r="BV113" i="1" s="1"/>
  <c r="BV153" i="1" a="1"/>
  <c r="BV153" i="1" s="1"/>
  <c r="BV115" i="1" a="1"/>
  <c r="BV115" i="1" s="1"/>
  <c r="BV116" i="1" a="1"/>
  <c r="BV116" i="1" s="1"/>
  <c r="BV117" i="1" a="1"/>
  <c r="BV117" i="1" s="1"/>
  <c r="BV118" i="1" a="1"/>
  <c r="BV118" i="1" s="1"/>
  <c r="BV119" i="1" a="1"/>
  <c r="BV119" i="1" s="1"/>
  <c r="BV67" i="1" a="1"/>
  <c r="BV67" i="1" s="1"/>
  <c r="BV70" i="1" a="1"/>
  <c r="BV70" i="1" s="1"/>
  <c r="BV122" i="1" a="1"/>
  <c r="BV122" i="1" s="1"/>
  <c r="BV123" i="1" a="1"/>
  <c r="BV123" i="1" s="1"/>
  <c r="BV124" i="1" a="1"/>
  <c r="BV124" i="1" s="1"/>
  <c r="BV125" i="1" a="1"/>
  <c r="BV125" i="1" s="1"/>
  <c r="BV126" i="1" a="1"/>
  <c r="BV126" i="1" s="1"/>
  <c r="BV127" i="1" a="1"/>
  <c r="BV127" i="1" s="1"/>
  <c r="BV128" i="1" a="1"/>
  <c r="BV128" i="1" s="1"/>
  <c r="BV129" i="1" a="1"/>
  <c r="BV129" i="1" s="1"/>
  <c r="BV130" i="1" a="1"/>
  <c r="BV130" i="1" s="1"/>
  <c r="BV131" i="1" a="1"/>
  <c r="BV131" i="1" s="1"/>
  <c r="BV132" i="1" a="1"/>
  <c r="BV132" i="1" s="1"/>
  <c r="BV133" i="1" a="1"/>
  <c r="BV133" i="1" s="1"/>
  <c r="BV134" i="1" a="1"/>
  <c r="BV134" i="1" s="1"/>
  <c r="BV135" i="1" a="1"/>
  <c r="BV135" i="1" s="1"/>
  <c r="BV136" i="1" a="1"/>
  <c r="BV136" i="1" s="1"/>
  <c r="BV137" i="1" a="1"/>
  <c r="BV137" i="1" s="1"/>
  <c r="BV138" i="1" a="1"/>
  <c r="BV138" i="1" s="1"/>
  <c r="BV139" i="1" a="1"/>
  <c r="BV139" i="1" s="1"/>
  <c r="BV140" i="1" a="1"/>
  <c r="BV140" i="1" s="1"/>
  <c r="BV141" i="1" a="1"/>
  <c r="BV141" i="1" s="1"/>
  <c r="BV142" i="1" a="1"/>
  <c r="BV142" i="1" s="1"/>
  <c r="BV143" i="1" a="1"/>
  <c r="BV143" i="1" s="1"/>
  <c r="BV144" i="1" a="1"/>
  <c r="BV144" i="1" s="1"/>
  <c r="BV145" i="1" a="1"/>
  <c r="BV145" i="1" s="1"/>
  <c r="BV146" i="1" a="1"/>
  <c r="BV146" i="1" s="1"/>
  <c r="BV147" i="1" a="1"/>
  <c r="BV147" i="1" s="1"/>
  <c r="BV148" i="1" a="1"/>
  <c r="BV148" i="1" s="1"/>
  <c r="BV149" i="1" a="1"/>
  <c r="BV149" i="1" s="1"/>
  <c r="BV150" i="1" a="1"/>
  <c r="BV150" i="1" s="1"/>
  <c r="BV151" i="1" a="1"/>
  <c r="BV151" i="1" s="1"/>
  <c r="BV152" i="1" a="1"/>
  <c r="BV152" i="1" s="1"/>
  <c r="BV120" i="1" a="1"/>
  <c r="BV120" i="1" s="1"/>
  <c r="BV154" i="1" a="1"/>
  <c r="BV154" i="1" s="1"/>
  <c r="BV89" i="1" a="1"/>
  <c r="BV89" i="1" s="1"/>
  <c r="BV156" i="1" a="1"/>
  <c r="BV156" i="1" s="1"/>
  <c r="BV157" i="1" a="1"/>
  <c r="BV157" i="1" s="1"/>
  <c r="BV158" i="1" a="1"/>
  <c r="BV158" i="1" s="1"/>
  <c r="BV159" i="1" a="1"/>
  <c r="BV159" i="1" s="1"/>
  <c r="BV160" i="1" a="1"/>
  <c r="BV160" i="1" s="1"/>
  <c r="BV161" i="1" a="1"/>
  <c r="BV161" i="1" s="1"/>
  <c r="BV162" i="1" a="1"/>
  <c r="BV162" i="1" s="1"/>
  <c r="BV163" i="1" a="1"/>
  <c r="BV163" i="1" s="1"/>
  <c r="BV164" i="1" a="1"/>
  <c r="BV164" i="1" s="1"/>
  <c r="BV165" i="1" a="1"/>
  <c r="BV165" i="1" s="1"/>
  <c r="BV166" i="1" a="1"/>
  <c r="BV166" i="1" s="1"/>
  <c r="BV167" i="1" a="1"/>
  <c r="BV167" i="1" s="1"/>
  <c r="BV168" i="1" a="1"/>
  <c r="BV168" i="1" s="1"/>
  <c r="BV169" i="1" a="1"/>
  <c r="BV169" i="1" s="1"/>
  <c r="BV170" i="1" a="1"/>
  <c r="BV170" i="1" s="1"/>
  <c r="BV171" i="1" a="1"/>
  <c r="BV171" i="1" s="1"/>
  <c r="BV172" i="1" a="1"/>
  <c r="BV172" i="1" s="1"/>
  <c r="BV173" i="1" a="1"/>
  <c r="BV173" i="1" s="1"/>
  <c r="BV174" i="1" a="1"/>
  <c r="BV174" i="1" s="1"/>
  <c r="BV175" i="1" a="1"/>
  <c r="BV175" i="1" s="1"/>
  <c r="BV176" i="1" a="1"/>
  <c r="BV176" i="1" s="1"/>
  <c r="BV177" i="1" a="1"/>
  <c r="BV177" i="1" s="1"/>
  <c r="BV178" i="1" a="1"/>
  <c r="BV178" i="1" s="1"/>
  <c r="BV179" i="1" a="1"/>
  <c r="BV179" i="1" s="1"/>
  <c r="BV180" i="1" a="1"/>
  <c r="BV180" i="1" s="1"/>
  <c r="BV181" i="1" a="1"/>
  <c r="BV181" i="1" s="1"/>
  <c r="BV182" i="1" a="1"/>
  <c r="BV182" i="1" s="1"/>
  <c r="BV183" i="1" a="1"/>
  <c r="BV183" i="1" s="1"/>
  <c r="BV184" i="1" a="1"/>
  <c r="BV184" i="1" s="1"/>
  <c r="BV185" i="1" a="1"/>
  <c r="BV185" i="1" s="1"/>
  <c r="BV19" i="1" a="1"/>
  <c r="BV19" i="1" s="1"/>
  <c r="BV187" i="1" a="1"/>
  <c r="BV187" i="1" s="1"/>
  <c r="BV188" i="1" a="1"/>
  <c r="BV188" i="1" s="1"/>
  <c r="BV189" i="1" a="1"/>
  <c r="BV189" i="1" s="1"/>
  <c r="BV190" i="1" a="1"/>
  <c r="BV190" i="1" s="1"/>
  <c r="BV191" i="1" a="1"/>
  <c r="BV191" i="1" s="1"/>
  <c r="BV192" i="1" a="1"/>
  <c r="BV192" i="1" s="1"/>
  <c r="BV193" i="1" a="1"/>
  <c r="BV193" i="1" s="1"/>
  <c r="BV194" i="1" a="1"/>
  <c r="BV194" i="1" s="1"/>
  <c r="BV195" i="1" a="1"/>
  <c r="BV195" i="1" s="1"/>
  <c r="BV196" i="1" a="1"/>
  <c r="BV196" i="1" s="1"/>
  <c r="BV197" i="1" a="1"/>
  <c r="BV197" i="1" s="1"/>
  <c r="BV198" i="1" a="1"/>
  <c r="BV198" i="1" s="1"/>
  <c r="BV199" i="1" a="1"/>
  <c r="BV199" i="1" s="1"/>
  <c r="BV200" i="1" a="1"/>
  <c r="BV200" i="1" s="1"/>
  <c r="BV201" i="1" a="1"/>
  <c r="BV201" i="1" s="1"/>
  <c r="BV202" i="1" a="1"/>
  <c r="BV202" i="1" s="1"/>
  <c r="BV203" i="1" a="1"/>
  <c r="BV203" i="1" s="1"/>
  <c r="BV204" i="1" a="1"/>
  <c r="BV204" i="1" s="1"/>
  <c r="BV205" i="1" a="1"/>
  <c r="BV205" i="1" s="1"/>
  <c r="BV206" i="1" a="1"/>
  <c r="BV206" i="1" s="1"/>
  <c r="BV207" i="1" a="1"/>
  <c r="BV207" i="1" s="1"/>
  <c r="BV208" i="1" a="1"/>
  <c r="BV208" i="1" s="1"/>
  <c r="BV209" i="1" a="1"/>
  <c r="BV209" i="1" s="1"/>
  <c r="BV210" i="1" a="1"/>
  <c r="BV210" i="1" s="1"/>
  <c r="BV211" i="1" a="1"/>
  <c r="BV211" i="1" s="1"/>
  <c r="BV212" i="1" a="1"/>
  <c r="BV212" i="1" s="1"/>
  <c r="BV213" i="1" a="1"/>
  <c r="BV213" i="1" s="1"/>
  <c r="BV214" i="1" a="1"/>
  <c r="BV214" i="1" s="1"/>
  <c r="BV215" i="1" a="1"/>
  <c r="BV215" i="1" s="1"/>
  <c r="BV216" i="1" a="1"/>
  <c r="BV216" i="1" s="1"/>
  <c r="BV217" i="1" a="1"/>
  <c r="BV217" i="1" s="1"/>
  <c r="BV218" i="1" a="1"/>
  <c r="BV218" i="1" s="1"/>
  <c r="BV219" i="1" a="1"/>
  <c r="BV219" i="1" s="1"/>
  <c r="BV220" i="1" a="1"/>
  <c r="BV220" i="1" s="1"/>
  <c r="BV221" i="1" a="1"/>
  <c r="BV221" i="1" s="1"/>
  <c r="BV222" i="1" a="1"/>
  <c r="BV222" i="1" s="1"/>
  <c r="BV223" i="1" a="1"/>
  <c r="BV223" i="1" s="1"/>
  <c r="BV224" i="1" a="1"/>
  <c r="BV224" i="1" s="1"/>
  <c r="BV225" i="1" a="1"/>
  <c r="BV225" i="1" s="1"/>
  <c r="BV226" i="1" a="1"/>
  <c r="BV226" i="1" s="1"/>
  <c r="BV227" i="1" a="1"/>
  <c r="BV227" i="1" s="1"/>
  <c r="BV228" i="1" a="1"/>
  <c r="BV228" i="1" s="1"/>
  <c r="BV229" i="1" a="1"/>
  <c r="BV229" i="1" s="1"/>
  <c r="BV230" i="1" a="1"/>
  <c r="BV230" i="1" s="1"/>
  <c r="BV231" i="1" a="1"/>
  <c r="BV231" i="1" s="1"/>
  <c r="BV232" i="1" a="1"/>
  <c r="BV232" i="1" s="1"/>
  <c r="BV233" i="1" a="1"/>
  <c r="BV233" i="1" s="1"/>
  <c r="BV234" i="1" a="1"/>
  <c r="BV234" i="1" s="1"/>
  <c r="BV235" i="1" a="1"/>
  <c r="BV235" i="1" s="1"/>
  <c r="BV236" i="1" a="1"/>
  <c r="BV236" i="1" s="1"/>
  <c r="BV237" i="1" a="1"/>
  <c r="BV237" i="1" s="1"/>
  <c r="BV238" i="1" a="1"/>
  <c r="BV238" i="1" s="1"/>
  <c r="BV239" i="1" a="1"/>
  <c r="BV239" i="1" s="1"/>
  <c r="BV240" i="1" a="1"/>
  <c r="BV240" i="1" s="1"/>
  <c r="BV241" i="1" a="1"/>
  <c r="BV241" i="1" s="1"/>
  <c r="BV242" i="1" a="1"/>
  <c r="BV242" i="1" s="1"/>
  <c r="BV243" i="1" a="1"/>
  <c r="BV243" i="1" s="1"/>
  <c r="BV244" i="1" a="1"/>
  <c r="BV244" i="1" s="1"/>
  <c r="BV245" i="1" a="1"/>
  <c r="BV245" i="1" s="1"/>
  <c r="BV246" i="1" a="1"/>
  <c r="BV246" i="1" s="1"/>
  <c r="BV247" i="1" a="1"/>
  <c r="BV247" i="1" s="1"/>
  <c r="BV248" i="1" a="1"/>
  <c r="BV248" i="1" s="1"/>
  <c r="BV249" i="1" a="1"/>
  <c r="BV249" i="1" s="1"/>
  <c r="BV250" i="1" a="1"/>
  <c r="BV250" i="1" s="1"/>
  <c r="BV251" i="1" a="1"/>
  <c r="BV251" i="1" s="1"/>
  <c r="BV252" i="1" a="1"/>
  <c r="BV252" i="1" s="1"/>
  <c r="BV253" i="1" a="1"/>
  <c r="BV253" i="1" s="1"/>
  <c r="BV254" i="1" a="1"/>
  <c r="BV254" i="1" s="1"/>
  <c r="BV255" i="1" a="1"/>
  <c r="BV255" i="1" s="1"/>
  <c r="BV256" i="1" a="1"/>
  <c r="BV256" i="1" s="1"/>
  <c r="BV257" i="1" a="1"/>
  <c r="BV257" i="1" s="1"/>
  <c r="BV258" i="1" a="1"/>
  <c r="BV258" i="1" s="1"/>
  <c r="BV259" i="1" a="1"/>
  <c r="BV259" i="1" s="1"/>
  <c r="BV260" i="1" a="1"/>
  <c r="BV260" i="1" s="1"/>
  <c r="BV261" i="1" a="1"/>
  <c r="BV261" i="1" s="1"/>
  <c r="BV262" i="1" a="1"/>
  <c r="BV262" i="1" s="1"/>
  <c r="BV263" i="1" a="1"/>
  <c r="BV263" i="1" s="1"/>
  <c r="BV264" i="1" a="1"/>
  <c r="BV264" i="1" s="1"/>
  <c r="BV265" i="1" a="1"/>
  <c r="BV265" i="1" s="1"/>
  <c r="BV266" i="1" a="1"/>
  <c r="BV266" i="1" s="1"/>
  <c r="BV267" i="1" a="1"/>
  <c r="BV267" i="1" s="1"/>
  <c r="BV268" i="1" a="1"/>
  <c r="BV268" i="1" s="1"/>
  <c r="BV269" i="1" a="1"/>
  <c r="BV269" i="1" s="1"/>
  <c r="BV270" i="1" a="1"/>
  <c r="BV270" i="1" s="1"/>
  <c r="BV271" i="1" a="1"/>
  <c r="BV271" i="1" s="1"/>
  <c r="BV6" i="1" a="1"/>
  <c r="BV6" i="1" s="1"/>
  <c r="BQ238" i="1" a="1"/>
  <c r="BQ238" i="1" s="1"/>
  <c r="CD238" i="1" s="1"/>
  <c r="BQ8" i="1" a="1"/>
  <c r="BQ8" i="1" s="1"/>
  <c r="CD8" i="1" s="1"/>
  <c r="BQ245" i="1" a="1"/>
  <c r="BQ245" i="1" s="1"/>
  <c r="CD245" i="1" s="1"/>
  <c r="BQ121" i="1" a="1"/>
  <c r="BQ121" i="1" s="1"/>
  <c r="CD121" i="1" s="1"/>
  <c r="BQ14" i="1" a="1"/>
  <c r="BQ14" i="1" s="1"/>
  <c r="CD14" i="1" s="1"/>
  <c r="EI6" i="1"/>
  <c r="EK6" i="1" s="1"/>
  <c r="EM6" i="1" s="1"/>
  <c r="BQ7" i="1" a="1"/>
  <c r="BQ7" i="1" s="1"/>
  <c r="CD7" i="1" s="1"/>
  <c r="BQ22" i="1" a="1"/>
  <c r="BQ22" i="1" s="1"/>
  <c r="CD22" i="1" s="1"/>
  <c r="BW6" i="1" a="1"/>
  <c r="BW6" i="1" s="1"/>
  <c r="BW7" i="1" a="1"/>
  <c r="BW7" i="1" s="1"/>
  <c r="BW8" i="1" a="1"/>
  <c r="BW8" i="1" s="1"/>
  <c r="BW9" i="1" a="1"/>
  <c r="BW9" i="1" s="1"/>
  <c r="BW10" i="1" a="1"/>
  <c r="BW10" i="1" s="1"/>
  <c r="BW11" i="1" a="1"/>
  <c r="BW11" i="1" s="1"/>
  <c r="BW12" i="1" a="1"/>
  <c r="BW12" i="1" s="1"/>
  <c r="BW13" i="1" a="1"/>
  <c r="BW13" i="1" s="1"/>
  <c r="BW186" i="1" a="1"/>
  <c r="BW186" i="1" s="1"/>
  <c r="BW15" i="1" a="1"/>
  <c r="BW15" i="1" s="1"/>
  <c r="BW16" i="1" a="1"/>
  <c r="BW16" i="1" s="1"/>
  <c r="BW17" i="1" a="1"/>
  <c r="BW17" i="1" s="1"/>
  <c r="BW18" i="1" a="1"/>
  <c r="BW18" i="1" s="1"/>
  <c r="BW20" i="1" a="1"/>
  <c r="BW20" i="1" s="1"/>
  <c r="BW21" i="1" a="1"/>
  <c r="BW21" i="1" s="1"/>
  <c r="BW22" i="1" a="1"/>
  <c r="BW22" i="1" s="1"/>
  <c r="BW23" i="1" a="1"/>
  <c r="BW23" i="1" s="1"/>
  <c r="BW24" i="1" a="1"/>
  <c r="BW24" i="1" s="1"/>
  <c r="BW25" i="1" a="1"/>
  <c r="BW25" i="1" s="1"/>
  <c r="BW26" i="1" a="1"/>
  <c r="BW26" i="1" s="1"/>
  <c r="BW27" i="1" a="1"/>
  <c r="BW27" i="1" s="1"/>
  <c r="BW28" i="1" a="1"/>
  <c r="BW28" i="1" s="1"/>
  <c r="BW29" i="1" a="1"/>
  <c r="BW29" i="1" s="1"/>
  <c r="BW30" i="1" a="1"/>
  <c r="BW30" i="1" s="1"/>
  <c r="BW31" i="1" a="1"/>
  <c r="BW31" i="1" s="1"/>
  <c r="BW32" i="1" a="1"/>
  <c r="BW32" i="1" s="1"/>
  <c r="BW33" i="1" a="1"/>
  <c r="BW33" i="1" s="1"/>
  <c r="BW34" i="1" a="1"/>
  <c r="BW34" i="1" s="1"/>
  <c r="BW209" i="1" a="1"/>
  <c r="BW209" i="1" s="1"/>
  <c r="BW36" i="1" a="1"/>
  <c r="BW36" i="1" s="1"/>
  <c r="BW37" i="1" a="1"/>
  <c r="BW37" i="1" s="1"/>
  <c r="BW38" i="1" a="1"/>
  <c r="BW38" i="1" s="1"/>
  <c r="BW39" i="1" a="1"/>
  <c r="BW39" i="1" s="1"/>
  <c r="BW40" i="1" a="1"/>
  <c r="BW40" i="1" s="1"/>
  <c r="BW41" i="1" a="1"/>
  <c r="BW41" i="1" s="1"/>
  <c r="BW42" i="1" a="1"/>
  <c r="BW42" i="1" s="1"/>
  <c r="BW43" i="1" a="1"/>
  <c r="BW43" i="1" s="1"/>
  <c r="BW44" i="1" a="1"/>
  <c r="BW44" i="1" s="1"/>
  <c r="BW45" i="1" a="1"/>
  <c r="BW45" i="1" s="1"/>
  <c r="BW46" i="1" a="1"/>
  <c r="BW46" i="1" s="1"/>
  <c r="BW47" i="1" a="1"/>
  <c r="BW47" i="1" s="1"/>
  <c r="BW48" i="1" a="1"/>
  <c r="BW48" i="1" s="1"/>
  <c r="BW49" i="1" a="1"/>
  <c r="BW49" i="1" s="1"/>
  <c r="BW50" i="1" a="1"/>
  <c r="BW50" i="1" s="1"/>
  <c r="BW51" i="1" a="1"/>
  <c r="BW51" i="1" s="1"/>
  <c r="BW52" i="1" a="1"/>
  <c r="BW52" i="1" s="1"/>
  <c r="BW53" i="1" a="1"/>
  <c r="BW53" i="1" s="1"/>
  <c r="BW54" i="1" a="1"/>
  <c r="BW54" i="1" s="1"/>
  <c r="BW55" i="1" a="1"/>
  <c r="BW55" i="1" s="1"/>
  <c r="BW56" i="1" a="1"/>
  <c r="BW56" i="1" s="1"/>
  <c r="BW57" i="1" a="1"/>
  <c r="BW57" i="1" s="1"/>
  <c r="BW58" i="1" a="1"/>
  <c r="BW58" i="1" s="1"/>
  <c r="BW59" i="1" a="1"/>
  <c r="BW59" i="1" s="1"/>
  <c r="BW60" i="1" a="1"/>
  <c r="BW60" i="1" s="1"/>
  <c r="BW61" i="1" a="1"/>
  <c r="BW61" i="1" s="1"/>
  <c r="BW62" i="1" a="1"/>
  <c r="BW62" i="1" s="1"/>
  <c r="BW63" i="1" a="1"/>
  <c r="BW63" i="1" s="1"/>
  <c r="BW64" i="1" a="1"/>
  <c r="BW64" i="1" s="1"/>
  <c r="BW127" i="1" a="1"/>
  <c r="BW127" i="1" s="1"/>
  <c r="BW121" i="1" a="1"/>
  <c r="BW121" i="1" s="1"/>
  <c r="BW68" i="1" a="1"/>
  <c r="BW68" i="1" s="1"/>
  <c r="BW69" i="1" a="1"/>
  <c r="BW69" i="1" s="1"/>
  <c r="BW184" i="1" a="1"/>
  <c r="BW184" i="1" s="1"/>
  <c r="BW71" i="1" a="1"/>
  <c r="BW71" i="1" s="1"/>
  <c r="BW72" i="1" a="1"/>
  <c r="BW72" i="1" s="1"/>
  <c r="BW73" i="1" a="1"/>
  <c r="BW73" i="1" s="1"/>
  <c r="BW74" i="1" a="1"/>
  <c r="BW74" i="1" s="1"/>
  <c r="BW75" i="1" a="1"/>
  <c r="BW75" i="1" s="1"/>
  <c r="BW76" i="1" a="1"/>
  <c r="BW76" i="1" s="1"/>
  <c r="BW77" i="1" a="1"/>
  <c r="BW77" i="1" s="1"/>
  <c r="BW78" i="1" a="1"/>
  <c r="BW78" i="1" s="1"/>
  <c r="BW79" i="1" a="1"/>
  <c r="BW79" i="1" s="1"/>
  <c r="BW80" i="1" a="1"/>
  <c r="BW80" i="1" s="1"/>
  <c r="BW81" i="1" a="1"/>
  <c r="BW81" i="1" s="1"/>
  <c r="BW82" i="1" a="1"/>
  <c r="BW82" i="1" s="1"/>
  <c r="BW83" i="1" a="1"/>
  <c r="BW83" i="1" s="1"/>
  <c r="BW84" i="1" a="1"/>
  <c r="BW84" i="1" s="1"/>
  <c r="BW85" i="1" a="1"/>
  <c r="BW85" i="1" s="1"/>
  <c r="BW86" i="1" a="1"/>
  <c r="BW86" i="1" s="1"/>
  <c r="BW87" i="1" a="1"/>
  <c r="BW87" i="1" s="1"/>
  <c r="BW88" i="1" a="1"/>
  <c r="BW88" i="1" s="1"/>
  <c r="BW124" i="1" a="1"/>
  <c r="BW124" i="1" s="1"/>
  <c r="BW163" i="1" a="1"/>
  <c r="BW163" i="1" s="1"/>
  <c r="BW91" i="1" a="1"/>
  <c r="BW91" i="1" s="1"/>
  <c r="BW93" i="1" a="1"/>
  <c r="BW93" i="1" s="1"/>
  <c r="BW94" i="1" a="1"/>
  <c r="BW94" i="1" s="1"/>
  <c r="BW95" i="1" a="1"/>
  <c r="BW95" i="1" s="1"/>
  <c r="BW96" i="1" a="1"/>
  <c r="BW96" i="1" s="1"/>
  <c r="BW97" i="1" a="1"/>
  <c r="BW97" i="1" s="1"/>
  <c r="BW98" i="1" a="1"/>
  <c r="BW98" i="1" s="1"/>
  <c r="BW99" i="1" a="1"/>
  <c r="BW99" i="1" s="1"/>
  <c r="BW100" i="1" a="1"/>
  <c r="BW100" i="1" s="1"/>
  <c r="BW101" i="1" a="1"/>
  <c r="BW101" i="1" s="1"/>
  <c r="BW102" i="1" a="1"/>
  <c r="BW102" i="1" s="1"/>
  <c r="BW103" i="1" a="1"/>
  <c r="BW103" i="1" s="1"/>
  <c r="BW104" i="1" a="1"/>
  <c r="BW104" i="1" s="1"/>
  <c r="BW105" i="1" a="1"/>
  <c r="BW105" i="1" s="1"/>
  <c r="BW106" i="1" a="1"/>
  <c r="BW106" i="1" s="1"/>
  <c r="BW107" i="1" a="1"/>
  <c r="BW107" i="1" s="1"/>
  <c r="BW108" i="1" a="1"/>
  <c r="BW108" i="1" s="1"/>
  <c r="BW109" i="1" a="1"/>
  <c r="BW109" i="1" s="1"/>
  <c r="BW110" i="1" a="1"/>
  <c r="BW110" i="1" s="1"/>
  <c r="BW111" i="1" a="1"/>
  <c r="BW111" i="1" s="1"/>
  <c r="BW112" i="1" a="1"/>
  <c r="BW112" i="1" s="1"/>
  <c r="BW113" i="1" a="1"/>
  <c r="BW113" i="1" s="1"/>
  <c r="BW89" i="1" a="1"/>
  <c r="BW89" i="1" s="1"/>
  <c r="BW115" i="1" a="1"/>
  <c r="BW115" i="1" s="1"/>
  <c r="BW116" i="1" a="1"/>
  <c r="BW116" i="1" s="1"/>
  <c r="BW117" i="1" a="1"/>
  <c r="BW117" i="1" s="1"/>
  <c r="BW118" i="1" a="1"/>
  <c r="BW118" i="1" s="1"/>
  <c r="BW119" i="1" a="1"/>
  <c r="BW119" i="1" s="1"/>
  <c r="BW67" i="1" a="1"/>
  <c r="BW67" i="1" s="1"/>
  <c r="BW70" i="1" a="1"/>
  <c r="BW70" i="1" s="1"/>
  <c r="BW122" i="1" a="1"/>
  <c r="BW122" i="1" s="1"/>
  <c r="BW123" i="1" a="1"/>
  <c r="BW123" i="1" s="1"/>
  <c r="BW153" i="1" a="1"/>
  <c r="BW153" i="1" s="1"/>
  <c r="BW125" i="1" a="1"/>
  <c r="BW125" i="1" s="1"/>
  <c r="BW126" i="1" a="1"/>
  <c r="BW126" i="1" s="1"/>
  <c r="BW14" i="1" a="1"/>
  <c r="BW14" i="1" s="1"/>
  <c r="BW128" i="1" a="1"/>
  <c r="BW128" i="1" s="1"/>
  <c r="BW129" i="1" a="1"/>
  <c r="BW129" i="1" s="1"/>
  <c r="BW130" i="1" a="1"/>
  <c r="BW130" i="1" s="1"/>
  <c r="BW131" i="1" a="1"/>
  <c r="BW131" i="1" s="1"/>
  <c r="BW133" i="1" a="1"/>
  <c r="BW133" i="1" s="1"/>
  <c r="BW134" i="1" a="1"/>
  <c r="BW134" i="1" s="1"/>
  <c r="BW135" i="1" a="1"/>
  <c r="BW135" i="1" s="1"/>
  <c r="BW136" i="1" a="1"/>
  <c r="BW136" i="1" s="1"/>
  <c r="BW137" i="1" a="1"/>
  <c r="BW137" i="1" s="1"/>
  <c r="BW138" i="1" a="1"/>
  <c r="BW138" i="1" s="1"/>
  <c r="BW139" i="1" a="1"/>
  <c r="BW139" i="1" s="1"/>
  <c r="BW140" i="1" a="1"/>
  <c r="BW140" i="1" s="1"/>
  <c r="BW141" i="1" a="1"/>
  <c r="BW141" i="1" s="1"/>
  <c r="BW142" i="1" a="1"/>
  <c r="BW142" i="1" s="1"/>
  <c r="BW143" i="1" a="1"/>
  <c r="BW143" i="1" s="1"/>
  <c r="BW144" i="1" a="1"/>
  <c r="BW144" i="1" s="1"/>
  <c r="BW145" i="1" a="1"/>
  <c r="BW145" i="1" s="1"/>
  <c r="BW146" i="1" a="1"/>
  <c r="BW146" i="1" s="1"/>
  <c r="BW147" i="1" a="1"/>
  <c r="BW147" i="1" s="1"/>
  <c r="BW148" i="1" a="1"/>
  <c r="BW148" i="1" s="1"/>
  <c r="BW149" i="1" a="1"/>
  <c r="BW149" i="1" s="1"/>
  <c r="BW150" i="1" a="1"/>
  <c r="BW150" i="1" s="1"/>
  <c r="BW151" i="1" a="1"/>
  <c r="BW151" i="1" s="1"/>
  <c r="BW152" i="1" a="1"/>
  <c r="BW152" i="1" s="1"/>
  <c r="BW120" i="1" a="1"/>
  <c r="BW120" i="1" s="1"/>
  <c r="BW154" i="1" a="1"/>
  <c r="BW154" i="1" s="1"/>
  <c r="BW92" i="1" a="1"/>
  <c r="BW92" i="1" s="1"/>
  <c r="BW156" i="1" a="1"/>
  <c r="BW156" i="1" s="1"/>
  <c r="BW157" i="1" a="1"/>
  <c r="BW157" i="1" s="1"/>
  <c r="BW158" i="1" a="1"/>
  <c r="BW158" i="1" s="1"/>
  <c r="BW159" i="1" a="1"/>
  <c r="BW159" i="1" s="1"/>
  <c r="BW160" i="1" a="1"/>
  <c r="BW160" i="1" s="1"/>
  <c r="BW161" i="1" a="1"/>
  <c r="BW161" i="1" s="1"/>
  <c r="BW162" i="1" a="1"/>
  <c r="BW162" i="1" s="1"/>
  <c r="BW65" i="1" a="1"/>
  <c r="BW65" i="1" s="1"/>
  <c r="BW164" i="1" a="1"/>
  <c r="BW164" i="1" s="1"/>
  <c r="BW165" i="1" a="1"/>
  <c r="BW165" i="1" s="1"/>
  <c r="BW166" i="1" a="1"/>
  <c r="BW166" i="1" s="1"/>
  <c r="BW167" i="1" a="1"/>
  <c r="BW167" i="1" s="1"/>
  <c r="BW168" i="1" a="1"/>
  <c r="BW168" i="1" s="1"/>
  <c r="BW169" i="1" a="1"/>
  <c r="BW169" i="1" s="1"/>
  <c r="BW170" i="1" a="1"/>
  <c r="BW170" i="1" s="1"/>
  <c r="BW171" i="1" a="1"/>
  <c r="BW171" i="1" s="1"/>
  <c r="BW172" i="1" a="1"/>
  <c r="BW172" i="1" s="1"/>
  <c r="BW173" i="1" a="1"/>
  <c r="BW173" i="1" s="1"/>
  <c r="BW174" i="1" a="1"/>
  <c r="BW174" i="1" s="1"/>
  <c r="BW175" i="1" a="1"/>
  <c r="BW175" i="1" s="1"/>
  <c r="BW176" i="1" a="1"/>
  <c r="BW176" i="1" s="1"/>
  <c r="BW177" i="1" a="1"/>
  <c r="BW177" i="1" s="1"/>
  <c r="BW178" i="1" a="1"/>
  <c r="BW178" i="1" s="1"/>
  <c r="BW179" i="1" a="1"/>
  <c r="BW179" i="1" s="1"/>
  <c r="BW155" i="1" a="1"/>
  <c r="BW155" i="1" s="1"/>
  <c r="BW181" i="1" a="1"/>
  <c r="BW181" i="1" s="1"/>
  <c r="BW182" i="1" a="1"/>
  <c r="BW182" i="1" s="1"/>
  <c r="BW183" i="1" a="1"/>
  <c r="BW183" i="1" s="1"/>
  <c r="BW185" i="1" a="1"/>
  <c r="BW185" i="1" s="1"/>
  <c r="BW19" i="1" a="1"/>
  <c r="BW19" i="1" s="1"/>
  <c r="BW187" i="1" a="1"/>
  <c r="BW187" i="1" s="1"/>
  <c r="BW188" i="1" a="1"/>
  <c r="BW188" i="1" s="1"/>
  <c r="BW189" i="1" a="1"/>
  <c r="BW189" i="1" s="1"/>
  <c r="BW190" i="1" a="1"/>
  <c r="BW190" i="1" s="1"/>
  <c r="BW35" i="1" a="1"/>
  <c r="BW35" i="1" s="1"/>
  <c r="BW192" i="1" a="1"/>
  <c r="BW192" i="1" s="1"/>
  <c r="BW193" i="1" a="1"/>
  <c r="BW193" i="1" s="1"/>
  <c r="BW194" i="1" a="1"/>
  <c r="BW194" i="1" s="1"/>
  <c r="BW195" i="1" a="1"/>
  <c r="BW195" i="1" s="1"/>
  <c r="BW196" i="1" a="1"/>
  <c r="BW196" i="1" s="1"/>
  <c r="BW197" i="1" a="1"/>
  <c r="BW197" i="1" s="1"/>
  <c r="BW198" i="1" a="1"/>
  <c r="BW198" i="1" s="1"/>
  <c r="BW199" i="1" a="1"/>
  <c r="BW199" i="1" s="1"/>
  <c r="BW200" i="1" a="1"/>
  <c r="BW200" i="1" s="1"/>
  <c r="BW201" i="1" a="1"/>
  <c r="BW201" i="1" s="1"/>
  <c r="BW255" i="1" a="1"/>
  <c r="BW255" i="1" s="1"/>
  <c r="BW203" i="1" a="1"/>
  <c r="BW203" i="1" s="1"/>
  <c r="BW204" i="1" a="1"/>
  <c r="BW204" i="1" s="1"/>
  <c r="BW205" i="1" a="1"/>
  <c r="BW205" i="1" s="1"/>
  <c r="BW206" i="1" a="1"/>
  <c r="BW206" i="1" s="1"/>
  <c r="BW207" i="1" a="1"/>
  <c r="BW207" i="1" s="1"/>
  <c r="BW208" i="1" a="1"/>
  <c r="BW208" i="1" s="1"/>
  <c r="BW114" i="1" a="1"/>
  <c r="BW114" i="1" s="1"/>
  <c r="BW210" i="1" a="1"/>
  <c r="BW210" i="1" s="1"/>
  <c r="BW211" i="1" a="1"/>
  <c r="BW211" i="1" s="1"/>
  <c r="BW212" i="1" a="1"/>
  <c r="BW212" i="1" s="1"/>
  <c r="BW213" i="1" a="1"/>
  <c r="BW213" i="1" s="1"/>
  <c r="BW214" i="1" a="1"/>
  <c r="BW214" i="1" s="1"/>
  <c r="BW215" i="1" a="1"/>
  <c r="BW215" i="1" s="1"/>
  <c r="BW216" i="1" a="1"/>
  <c r="BW216" i="1" s="1"/>
  <c r="BW217" i="1" a="1"/>
  <c r="BW217" i="1" s="1"/>
  <c r="BW218" i="1" a="1"/>
  <c r="BW218" i="1" s="1"/>
  <c r="BW219" i="1" a="1"/>
  <c r="BW219" i="1" s="1"/>
  <c r="BW220" i="1" a="1"/>
  <c r="BW220" i="1" s="1"/>
  <c r="BW221" i="1" a="1"/>
  <c r="BW221" i="1" s="1"/>
  <c r="BW222" i="1" a="1"/>
  <c r="BW222" i="1" s="1"/>
  <c r="BW223" i="1" a="1"/>
  <c r="BW223" i="1" s="1"/>
  <c r="BW224" i="1" a="1"/>
  <c r="BW224" i="1" s="1"/>
  <c r="BW225" i="1" a="1"/>
  <c r="BW225" i="1" s="1"/>
  <c r="BW226" i="1" a="1"/>
  <c r="BW226" i="1" s="1"/>
  <c r="BW227" i="1" a="1"/>
  <c r="BW227" i="1" s="1"/>
  <c r="BW228" i="1" a="1"/>
  <c r="BW228" i="1" s="1"/>
  <c r="BW229" i="1" a="1"/>
  <c r="BW229" i="1" s="1"/>
  <c r="BW230" i="1" a="1"/>
  <c r="BW230" i="1" s="1"/>
  <c r="BW231" i="1" a="1"/>
  <c r="BW231" i="1" s="1"/>
  <c r="BW232" i="1" a="1"/>
  <c r="BW232" i="1" s="1"/>
  <c r="BW233" i="1" a="1"/>
  <c r="BW233" i="1" s="1"/>
  <c r="BW234" i="1" a="1"/>
  <c r="BW234" i="1" s="1"/>
  <c r="BW235" i="1" a="1"/>
  <c r="BW235" i="1" s="1"/>
  <c r="BW236" i="1" a="1"/>
  <c r="BW236" i="1" s="1"/>
  <c r="BW237" i="1" a="1"/>
  <c r="BW237" i="1" s="1"/>
  <c r="BW238" i="1" a="1"/>
  <c r="BW238" i="1" s="1"/>
  <c r="BW239" i="1" a="1"/>
  <c r="BW239" i="1" s="1"/>
  <c r="BW240" i="1" a="1"/>
  <c r="BW240" i="1" s="1"/>
  <c r="BW241" i="1" a="1"/>
  <c r="BW241" i="1" s="1"/>
  <c r="BW242" i="1" a="1"/>
  <c r="BW242" i="1" s="1"/>
  <c r="BW243" i="1" a="1"/>
  <c r="BW243" i="1" s="1"/>
  <c r="BW244" i="1" a="1"/>
  <c r="BW244" i="1" s="1"/>
  <c r="BW245" i="1" a="1"/>
  <c r="BW245" i="1" s="1"/>
  <c r="BW246" i="1" a="1"/>
  <c r="BW246" i="1" s="1"/>
  <c r="BW247" i="1" a="1"/>
  <c r="BW247" i="1" s="1"/>
  <c r="BW248" i="1" a="1"/>
  <c r="BW248" i="1" s="1"/>
  <c r="BW249" i="1" a="1"/>
  <c r="BW249" i="1" s="1"/>
  <c r="BW250" i="1" a="1"/>
  <c r="BW250" i="1" s="1"/>
  <c r="BW251" i="1" a="1"/>
  <c r="BW251" i="1" s="1"/>
  <c r="BW252" i="1" a="1"/>
  <c r="BW252" i="1" s="1"/>
  <c r="BW253" i="1" a="1"/>
  <c r="BW253" i="1" s="1"/>
  <c r="BW254" i="1" a="1"/>
  <c r="BW254" i="1" s="1"/>
  <c r="BW202" i="1" a="1"/>
  <c r="BW202" i="1" s="1"/>
  <c r="BW256" i="1" a="1"/>
  <c r="BW256" i="1" s="1"/>
  <c r="BW257" i="1" a="1"/>
  <c r="BW257" i="1" s="1"/>
  <c r="BW258" i="1" a="1"/>
  <c r="BW258" i="1" s="1"/>
  <c r="BW259" i="1" a="1"/>
  <c r="BW259" i="1" s="1"/>
  <c r="BW260" i="1" a="1"/>
  <c r="BW260" i="1" s="1"/>
  <c r="BW261" i="1" a="1"/>
  <c r="BW261" i="1" s="1"/>
  <c r="BW262" i="1" a="1"/>
  <c r="BW262" i="1" s="1"/>
  <c r="BW263" i="1" a="1"/>
  <c r="BW263" i="1" s="1"/>
  <c r="BW264" i="1" a="1"/>
  <c r="BW264" i="1" s="1"/>
  <c r="BW265" i="1" a="1"/>
  <c r="BW265" i="1" s="1"/>
  <c r="BW266" i="1" a="1"/>
  <c r="BW266" i="1" s="1"/>
  <c r="BW267" i="1" a="1"/>
  <c r="BW267" i="1" s="1"/>
  <c r="BW268" i="1" a="1"/>
  <c r="BW268" i="1" s="1"/>
  <c r="BW269" i="1" a="1"/>
  <c r="BW269" i="1" s="1"/>
  <c r="BW270" i="1" a="1"/>
  <c r="BW270" i="1" s="1"/>
  <c r="BW271" i="1" a="1"/>
  <c r="BW271" i="1" s="1"/>
  <c r="BQ65" i="1" a="1"/>
  <c r="BQ65" i="1" s="1"/>
  <c r="CD65" i="1" s="1"/>
  <c r="BQ236" i="1" a="1"/>
  <c r="BQ236" i="1" s="1"/>
  <c r="CD236" i="1" s="1"/>
  <c r="BY6" i="1" a="1"/>
  <c r="BY6" i="1" s="1"/>
  <c r="BY7" i="1" a="1"/>
  <c r="BY7" i="1" s="1"/>
  <c r="BY8" i="1" a="1"/>
  <c r="BY8" i="1" s="1"/>
  <c r="BY9" i="1" a="1"/>
  <c r="BY9" i="1" s="1"/>
  <c r="BY10" i="1" a="1"/>
  <c r="BY10" i="1" s="1"/>
  <c r="BY11" i="1" a="1"/>
  <c r="BY11" i="1" s="1"/>
  <c r="BY12" i="1" a="1"/>
  <c r="BY12" i="1" s="1"/>
  <c r="BY13" i="1" a="1"/>
  <c r="BY13" i="1" s="1"/>
  <c r="BY186" i="1" a="1"/>
  <c r="BY186" i="1" s="1"/>
  <c r="BY15" i="1" a="1"/>
  <c r="BY15" i="1" s="1"/>
  <c r="BY16" i="1" a="1"/>
  <c r="BY16" i="1" s="1"/>
  <c r="BY17" i="1" a="1"/>
  <c r="BY17" i="1" s="1"/>
  <c r="BY18" i="1" a="1"/>
  <c r="BY18" i="1" s="1"/>
  <c r="BY90" i="1" a="1"/>
  <c r="BY90" i="1" s="1"/>
  <c r="BY20" i="1" a="1"/>
  <c r="BY20" i="1" s="1"/>
  <c r="BY21" i="1" a="1"/>
  <c r="BY21" i="1" s="1"/>
  <c r="BY22" i="1" a="1"/>
  <c r="BY22" i="1" s="1"/>
  <c r="BY23" i="1" a="1"/>
  <c r="BY23" i="1" s="1"/>
  <c r="BY24" i="1" a="1"/>
  <c r="BY24" i="1" s="1"/>
  <c r="BY25" i="1" a="1"/>
  <c r="BY25" i="1" s="1"/>
  <c r="BY26" i="1" a="1"/>
  <c r="BY26" i="1" s="1"/>
  <c r="BY27" i="1" a="1"/>
  <c r="BY27" i="1" s="1"/>
  <c r="BY28" i="1" a="1"/>
  <c r="BY28" i="1" s="1"/>
  <c r="BY29" i="1" a="1"/>
  <c r="BY29" i="1" s="1"/>
  <c r="BY30" i="1" a="1"/>
  <c r="BY30" i="1" s="1"/>
  <c r="BY31" i="1" a="1"/>
  <c r="BY31" i="1" s="1"/>
  <c r="BY32" i="1" a="1"/>
  <c r="BY32" i="1" s="1"/>
  <c r="BY33" i="1" a="1"/>
  <c r="BY33" i="1" s="1"/>
  <c r="BY34" i="1" a="1"/>
  <c r="BY34" i="1" s="1"/>
  <c r="BY209" i="1" a="1"/>
  <c r="BY209" i="1" s="1"/>
  <c r="BY36" i="1" a="1"/>
  <c r="BY36" i="1" s="1"/>
  <c r="BY37" i="1" a="1"/>
  <c r="BY37" i="1" s="1"/>
  <c r="BY38" i="1" a="1"/>
  <c r="BY38" i="1" s="1"/>
  <c r="BY39" i="1" a="1"/>
  <c r="BY39" i="1" s="1"/>
  <c r="BY40" i="1" a="1"/>
  <c r="BY40" i="1" s="1"/>
  <c r="BY41" i="1" a="1"/>
  <c r="BY41" i="1" s="1"/>
  <c r="BY42" i="1" a="1"/>
  <c r="BY42" i="1" s="1"/>
  <c r="BY43" i="1" a="1"/>
  <c r="BY43" i="1" s="1"/>
  <c r="BY44" i="1" a="1"/>
  <c r="BY44" i="1" s="1"/>
  <c r="BY45" i="1" a="1"/>
  <c r="BY45" i="1" s="1"/>
  <c r="BY46" i="1" a="1"/>
  <c r="BY46" i="1" s="1"/>
  <c r="BY47" i="1" a="1"/>
  <c r="BY47" i="1" s="1"/>
  <c r="BY48" i="1" a="1"/>
  <c r="BY48" i="1" s="1"/>
  <c r="BY49" i="1" a="1"/>
  <c r="BY49" i="1" s="1"/>
  <c r="BY50" i="1" a="1"/>
  <c r="BY50" i="1" s="1"/>
  <c r="BY51" i="1" a="1"/>
  <c r="BY51" i="1" s="1"/>
  <c r="BY52" i="1" a="1"/>
  <c r="BY52" i="1" s="1"/>
  <c r="BY53" i="1" a="1"/>
  <c r="BY53" i="1" s="1"/>
  <c r="BY54" i="1" a="1"/>
  <c r="BY54" i="1" s="1"/>
  <c r="BY55" i="1" a="1"/>
  <c r="BY55" i="1" s="1"/>
  <c r="BY56" i="1" a="1"/>
  <c r="BY56" i="1" s="1"/>
  <c r="BY57" i="1" a="1"/>
  <c r="BY57" i="1" s="1"/>
  <c r="BY58" i="1" a="1"/>
  <c r="BY58" i="1" s="1"/>
  <c r="BY59" i="1" a="1"/>
  <c r="BY59" i="1" s="1"/>
  <c r="BY60" i="1" a="1"/>
  <c r="BY60" i="1" s="1"/>
  <c r="BY61" i="1" a="1"/>
  <c r="BY61" i="1" s="1"/>
  <c r="BY62" i="1" a="1"/>
  <c r="BY62" i="1" s="1"/>
  <c r="BY63" i="1" a="1"/>
  <c r="BY63" i="1" s="1"/>
  <c r="BY64" i="1" a="1"/>
  <c r="BY64" i="1" s="1"/>
  <c r="BY127" i="1" a="1"/>
  <c r="BY127" i="1" s="1"/>
  <c r="BY66" i="1" a="1"/>
  <c r="BY66" i="1" s="1"/>
  <c r="BY121" i="1" a="1"/>
  <c r="BY121" i="1" s="1"/>
  <c r="BY68" i="1" a="1"/>
  <c r="BY68" i="1" s="1"/>
  <c r="BY69" i="1" a="1"/>
  <c r="BY69" i="1" s="1"/>
  <c r="BY184" i="1" a="1"/>
  <c r="BY184" i="1" s="1"/>
  <c r="BY71" i="1" a="1"/>
  <c r="BY71" i="1" s="1"/>
  <c r="BY72" i="1" a="1"/>
  <c r="BY72" i="1" s="1"/>
  <c r="BY73" i="1" a="1"/>
  <c r="BY73" i="1" s="1"/>
  <c r="BY74" i="1" a="1"/>
  <c r="BY74" i="1" s="1"/>
  <c r="BY75" i="1" a="1"/>
  <c r="BY75" i="1" s="1"/>
  <c r="BY76" i="1" a="1"/>
  <c r="BY76" i="1" s="1"/>
  <c r="BY77" i="1" a="1"/>
  <c r="BY77" i="1" s="1"/>
  <c r="BY78" i="1" a="1"/>
  <c r="BY78" i="1" s="1"/>
  <c r="BY79" i="1" a="1"/>
  <c r="BY79" i="1" s="1"/>
  <c r="BY80" i="1" a="1"/>
  <c r="BY80" i="1" s="1"/>
  <c r="BY81" i="1" a="1"/>
  <c r="BY81" i="1" s="1"/>
  <c r="BY82" i="1" a="1"/>
  <c r="BY82" i="1" s="1"/>
  <c r="BY83" i="1" a="1"/>
  <c r="BY83" i="1" s="1"/>
  <c r="BY84" i="1" a="1"/>
  <c r="BY84" i="1" s="1"/>
  <c r="BY85" i="1" a="1"/>
  <c r="BY85" i="1" s="1"/>
  <c r="BY86" i="1" a="1"/>
  <c r="BY86" i="1" s="1"/>
  <c r="BY87" i="1" a="1"/>
  <c r="BY87" i="1" s="1"/>
  <c r="BY88" i="1" a="1"/>
  <c r="BY88" i="1" s="1"/>
  <c r="BY124" i="1" a="1"/>
  <c r="BY124" i="1" s="1"/>
  <c r="BY163" i="1" a="1"/>
  <c r="BY163" i="1" s="1"/>
  <c r="BY91" i="1" a="1"/>
  <c r="BY91" i="1" s="1"/>
  <c r="BY180" i="1" a="1"/>
  <c r="BY180" i="1" s="1"/>
  <c r="BY93" i="1" a="1"/>
  <c r="BY93" i="1" s="1"/>
  <c r="BY94" i="1" a="1"/>
  <c r="BY94" i="1" s="1"/>
  <c r="BY95" i="1" a="1"/>
  <c r="BY95" i="1" s="1"/>
  <c r="BY96" i="1" a="1"/>
  <c r="BY96" i="1" s="1"/>
  <c r="BY97" i="1" a="1"/>
  <c r="BY97" i="1" s="1"/>
  <c r="BY98" i="1" a="1"/>
  <c r="BY98" i="1" s="1"/>
  <c r="BY99" i="1" a="1"/>
  <c r="BY99" i="1" s="1"/>
  <c r="BY100" i="1" a="1"/>
  <c r="BY100" i="1" s="1"/>
  <c r="BY101" i="1" a="1"/>
  <c r="BY101" i="1" s="1"/>
  <c r="BY102" i="1" a="1"/>
  <c r="BY102" i="1" s="1"/>
  <c r="BY103" i="1" a="1"/>
  <c r="BY103" i="1" s="1"/>
  <c r="BY104" i="1" a="1"/>
  <c r="BY104" i="1" s="1"/>
  <c r="BY105" i="1" a="1"/>
  <c r="BY105" i="1" s="1"/>
  <c r="BY106" i="1" a="1"/>
  <c r="BY106" i="1" s="1"/>
  <c r="BY107" i="1" a="1"/>
  <c r="BY107" i="1" s="1"/>
  <c r="BY108" i="1" a="1"/>
  <c r="BY108" i="1" s="1"/>
  <c r="BY109" i="1" a="1"/>
  <c r="BY109" i="1" s="1"/>
  <c r="BY110" i="1" a="1"/>
  <c r="BY110" i="1" s="1"/>
  <c r="BY111" i="1" a="1"/>
  <c r="BY111" i="1" s="1"/>
  <c r="BY112" i="1" a="1"/>
  <c r="BY112" i="1" s="1"/>
  <c r="BY113" i="1" a="1"/>
  <c r="BY113" i="1" s="1"/>
  <c r="BY89" i="1" a="1"/>
  <c r="BY89" i="1" s="1"/>
  <c r="BY115" i="1" a="1"/>
  <c r="BY115" i="1" s="1"/>
  <c r="BY116" i="1" a="1"/>
  <c r="BY116" i="1" s="1"/>
  <c r="BY117" i="1" a="1"/>
  <c r="BY117" i="1" s="1"/>
  <c r="BY118" i="1" a="1"/>
  <c r="BY118" i="1" s="1"/>
  <c r="BY119" i="1" a="1"/>
  <c r="BY119" i="1" s="1"/>
  <c r="BY67" i="1" a="1"/>
  <c r="BY67" i="1" s="1"/>
  <c r="BY70" i="1" a="1"/>
  <c r="BY70" i="1" s="1"/>
  <c r="BY122" i="1" a="1"/>
  <c r="BY122" i="1" s="1"/>
  <c r="BY123" i="1" a="1"/>
  <c r="BY123" i="1" s="1"/>
  <c r="BY153" i="1" a="1"/>
  <c r="BY153" i="1" s="1"/>
  <c r="BY125" i="1" a="1"/>
  <c r="BY125" i="1" s="1"/>
  <c r="BY126" i="1" a="1"/>
  <c r="BY126" i="1" s="1"/>
  <c r="BY14" i="1" a="1"/>
  <c r="BY14" i="1" s="1"/>
  <c r="BY128" i="1" a="1"/>
  <c r="BY128" i="1" s="1"/>
  <c r="BY129" i="1" a="1"/>
  <c r="BY129" i="1" s="1"/>
  <c r="BY130" i="1" a="1"/>
  <c r="BY130" i="1" s="1"/>
  <c r="BY131" i="1" a="1"/>
  <c r="BY131" i="1" s="1"/>
  <c r="BY132" i="1" a="1"/>
  <c r="BY132" i="1" s="1"/>
  <c r="BY133" i="1" a="1"/>
  <c r="BY133" i="1" s="1"/>
  <c r="BY134" i="1" a="1"/>
  <c r="BY134" i="1" s="1"/>
  <c r="BY135" i="1" a="1"/>
  <c r="BY135" i="1" s="1"/>
  <c r="BY136" i="1" a="1"/>
  <c r="BY136" i="1" s="1"/>
  <c r="BY137" i="1" a="1"/>
  <c r="BY137" i="1" s="1"/>
  <c r="BY138" i="1" a="1"/>
  <c r="BY138" i="1" s="1"/>
  <c r="BY139" i="1" a="1"/>
  <c r="BY139" i="1" s="1"/>
  <c r="BY140" i="1" a="1"/>
  <c r="BY140" i="1" s="1"/>
  <c r="BY141" i="1" a="1"/>
  <c r="BY141" i="1" s="1"/>
  <c r="BY142" i="1" a="1"/>
  <c r="BY142" i="1" s="1"/>
  <c r="BY143" i="1" a="1"/>
  <c r="BY143" i="1" s="1"/>
  <c r="BY144" i="1" a="1"/>
  <c r="BY144" i="1" s="1"/>
  <c r="BY145" i="1" a="1"/>
  <c r="BY145" i="1" s="1"/>
  <c r="BY146" i="1" a="1"/>
  <c r="BY146" i="1" s="1"/>
  <c r="BY147" i="1" a="1"/>
  <c r="BY147" i="1" s="1"/>
  <c r="BY148" i="1" a="1"/>
  <c r="BY148" i="1" s="1"/>
  <c r="BY149" i="1" a="1"/>
  <c r="BY149" i="1" s="1"/>
  <c r="BY150" i="1" a="1"/>
  <c r="BY150" i="1" s="1"/>
  <c r="BY151" i="1" a="1"/>
  <c r="BY151" i="1" s="1"/>
  <c r="BY152" i="1" a="1"/>
  <c r="BY152" i="1" s="1"/>
  <c r="BY120" i="1" a="1"/>
  <c r="BY120" i="1" s="1"/>
  <c r="BY154" i="1" a="1"/>
  <c r="BY154" i="1" s="1"/>
  <c r="BY92" i="1" a="1"/>
  <c r="BY92" i="1" s="1"/>
  <c r="BY156" i="1" a="1"/>
  <c r="BY156" i="1" s="1"/>
  <c r="BY157" i="1" a="1"/>
  <c r="BY157" i="1" s="1"/>
  <c r="BY158" i="1" a="1"/>
  <c r="BY158" i="1" s="1"/>
  <c r="BY159" i="1" a="1"/>
  <c r="BY159" i="1" s="1"/>
  <c r="BY160" i="1" a="1"/>
  <c r="BY160" i="1" s="1"/>
  <c r="BY161" i="1" a="1"/>
  <c r="BY161" i="1" s="1"/>
  <c r="BY162" i="1" a="1"/>
  <c r="BY162" i="1" s="1"/>
  <c r="BY65" i="1" a="1"/>
  <c r="BY65" i="1" s="1"/>
  <c r="BY164" i="1" a="1"/>
  <c r="BY164" i="1" s="1"/>
  <c r="BY165" i="1" a="1"/>
  <c r="BY165" i="1" s="1"/>
  <c r="BY166" i="1" a="1"/>
  <c r="BY166" i="1" s="1"/>
  <c r="BY167" i="1" a="1"/>
  <c r="BY167" i="1" s="1"/>
  <c r="BY168" i="1" a="1"/>
  <c r="BY168" i="1" s="1"/>
  <c r="BY169" i="1" a="1"/>
  <c r="BY169" i="1" s="1"/>
  <c r="BY170" i="1" a="1"/>
  <c r="BY170" i="1" s="1"/>
  <c r="BY171" i="1" a="1"/>
  <c r="BY171" i="1" s="1"/>
  <c r="BY172" i="1" a="1"/>
  <c r="BY172" i="1" s="1"/>
  <c r="BY173" i="1" a="1"/>
  <c r="BY173" i="1" s="1"/>
  <c r="BY174" i="1" a="1"/>
  <c r="BY174" i="1" s="1"/>
  <c r="BY175" i="1" a="1"/>
  <c r="BY175" i="1" s="1"/>
  <c r="BY176" i="1" a="1"/>
  <c r="BY176" i="1" s="1"/>
  <c r="BY177" i="1" a="1"/>
  <c r="BY177" i="1" s="1"/>
  <c r="BY178" i="1" a="1"/>
  <c r="BY178" i="1" s="1"/>
  <c r="BY179" i="1" a="1"/>
  <c r="BY179" i="1" s="1"/>
  <c r="BY155" i="1" a="1"/>
  <c r="BY155" i="1" s="1"/>
  <c r="BY181" i="1" a="1"/>
  <c r="BY181" i="1" s="1"/>
  <c r="BY182" i="1" a="1"/>
  <c r="BY182" i="1" s="1"/>
  <c r="BY183" i="1" a="1"/>
  <c r="BY183" i="1" s="1"/>
  <c r="BY191" i="1" a="1"/>
  <c r="BY191" i="1" s="1"/>
  <c r="BY185" i="1" a="1"/>
  <c r="BY185" i="1" s="1"/>
  <c r="BY19" i="1" a="1"/>
  <c r="BY19" i="1" s="1"/>
  <c r="BY187" i="1" a="1"/>
  <c r="BY187" i="1" s="1"/>
  <c r="BY188" i="1" a="1"/>
  <c r="BY188" i="1" s="1"/>
  <c r="BY189" i="1" a="1"/>
  <c r="BY189" i="1" s="1"/>
  <c r="BY190" i="1" a="1"/>
  <c r="BY190" i="1" s="1"/>
  <c r="BY35" i="1" a="1"/>
  <c r="BY35" i="1" s="1"/>
  <c r="BY192" i="1" a="1"/>
  <c r="BY192" i="1" s="1"/>
  <c r="BY193" i="1" a="1"/>
  <c r="BY193" i="1" s="1"/>
  <c r="BY194" i="1" a="1"/>
  <c r="BY194" i="1" s="1"/>
  <c r="BY195" i="1" a="1"/>
  <c r="BY195" i="1" s="1"/>
  <c r="BY196" i="1" a="1"/>
  <c r="BY196" i="1" s="1"/>
  <c r="BY197" i="1" a="1"/>
  <c r="BY197" i="1" s="1"/>
  <c r="BY198" i="1" a="1"/>
  <c r="BY198" i="1" s="1"/>
  <c r="BY199" i="1" a="1"/>
  <c r="BY199" i="1" s="1"/>
  <c r="BY200" i="1" a="1"/>
  <c r="BY200" i="1" s="1"/>
  <c r="BY201" i="1" a="1"/>
  <c r="BY201" i="1" s="1"/>
  <c r="BY255" i="1" a="1"/>
  <c r="BY255" i="1" s="1"/>
  <c r="BY203" i="1" a="1"/>
  <c r="BY203" i="1" s="1"/>
  <c r="BY204" i="1" a="1"/>
  <c r="BY204" i="1" s="1"/>
  <c r="BY205" i="1" a="1"/>
  <c r="BY205" i="1" s="1"/>
  <c r="BY206" i="1" a="1"/>
  <c r="BY206" i="1" s="1"/>
  <c r="BY207" i="1" a="1"/>
  <c r="BY207" i="1" s="1"/>
  <c r="BY208" i="1" a="1"/>
  <c r="BY208" i="1" s="1"/>
  <c r="BY114" i="1" a="1"/>
  <c r="BY114" i="1" s="1"/>
  <c r="BY210" i="1" a="1"/>
  <c r="BY210" i="1" s="1"/>
  <c r="BY211" i="1" a="1"/>
  <c r="BY211" i="1" s="1"/>
  <c r="BY212" i="1" a="1"/>
  <c r="BY212" i="1" s="1"/>
  <c r="BY213" i="1" a="1"/>
  <c r="BY213" i="1" s="1"/>
  <c r="BY214" i="1" a="1"/>
  <c r="BY214" i="1" s="1"/>
  <c r="BY215" i="1" a="1"/>
  <c r="BY215" i="1" s="1"/>
  <c r="BY216" i="1" a="1"/>
  <c r="BY216" i="1" s="1"/>
  <c r="BY217" i="1" a="1"/>
  <c r="BY217" i="1" s="1"/>
  <c r="BY218" i="1" a="1"/>
  <c r="BY218" i="1" s="1"/>
  <c r="BY219" i="1" a="1"/>
  <c r="BY219" i="1" s="1"/>
  <c r="BY220" i="1" a="1"/>
  <c r="BY220" i="1" s="1"/>
  <c r="BY221" i="1" a="1"/>
  <c r="BY221" i="1" s="1"/>
  <c r="BY222" i="1" a="1"/>
  <c r="BY222" i="1" s="1"/>
  <c r="BY223" i="1" a="1"/>
  <c r="BY223" i="1" s="1"/>
  <c r="BY224" i="1" a="1"/>
  <c r="BY224" i="1" s="1"/>
  <c r="BY225" i="1" a="1"/>
  <c r="BY225" i="1" s="1"/>
  <c r="BY226" i="1" a="1"/>
  <c r="BY226" i="1" s="1"/>
  <c r="BY227" i="1" a="1"/>
  <c r="BY227" i="1" s="1"/>
  <c r="BY228" i="1" a="1"/>
  <c r="BY228" i="1" s="1"/>
  <c r="BY229" i="1" a="1"/>
  <c r="BY229" i="1" s="1"/>
  <c r="BY230" i="1" a="1"/>
  <c r="BY230" i="1" s="1"/>
  <c r="BY231" i="1" a="1"/>
  <c r="BY231" i="1" s="1"/>
  <c r="BY232" i="1" a="1"/>
  <c r="BY232" i="1" s="1"/>
  <c r="BY233" i="1" a="1"/>
  <c r="BY233" i="1" s="1"/>
  <c r="BY234" i="1" a="1"/>
  <c r="BY234" i="1" s="1"/>
  <c r="BY235" i="1" a="1"/>
  <c r="BY235" i="1" s="1"/>
  <c r="BY236" i="1" a="1"/>
  <c r="BY236" i="1" s="1"/>
  <c r="BY237" i="1" a="1"/>
  <c r="BY237" i="1" s="1"/>
  <c r="BY238" i="1" a="1"/>
  <c r="BY238" i="1" s="1"/>
  <c r="BY239" i="1" a="1"/>
  <c r="BY239" i="1" s="1"/>
  <c r="BY240" i="1" a="1"/>
  <c r="BY240" i="1" s="1"/>
  <c r="BY241" i="1" a="1"/>
  <c r="BY241" i="1" s="1"/>
  <c r="BY242" i="1" a="1"/>
  <c r="BY242" i="1" s="1"/>
  <c r="BY243" i="1" a="1"/>
  <c r="BY243" i="1" s="1"/>
  <c r="BY244" i="1" a="1"/>
  <c r="BY244" i="1" s="1"/>
  <c r="BY245" i="1" a="1"/>
  <c r="BY245" i="1" s="1"/>
  <c r="BY246" i="1" a="1"/>
  <c r="BY246" i="1" s="1"/>
  <c r="BY247" i="1" a="1"/>
  <c r="BY247" i="1" s="1"/>
  <c r="BY248" i="1" a="1"/>
  <c r="BY248" i="1" s="1"/>
  <c r="BY249" i="1" a="1"/>
  <c r="BY249" i="1" s="1"/>
  <c r="BY250" i="1" a="1"/>
  <c r="BY250" i="1" s="1"/>
  <c r="BY251" i="1" a="1"/>
  <c r="BY251" i="1" s="1"/>
  <c r="BY252" i="1" a="1"/>
  <c r="BY252" i="1" s="1"/>
  <c r="BY253" i="1" a="1"/>
  <c r="BY253" i="1" s="1"/>
  <c r="BY254" i="1" a="1"/>
  <c r="BY254" i="1" s="1"/>
  <c r="BY202" i="1" a="1"/>
  <c r="BY202" i="1" s="1"/>
  <c r="BY256" i="1" a="1"/>
  <c r="BY256" i="1" s="1"/>
  <c r="BY257" i="1" a="1"/>
  <c r="BY257" i="1" s="1"/>
  <c r="BY258" i="1" a="1"/>
  <c r="BY258" i="1" s="1"/>
  <c r="BY259" i="1" a="1"/>
  <c r="BY259" i="1" s="1"/>
  <c r="BY260" i="1" a="1"/>
  <c r="BY260" i="1" s="1"/>
  <c r="BY261" i="1" a="1"/>
  <c r="BY261" i="1" s="1"/>
  <c r="BY262" i="1" a="1"/>
  <c r="BY262" i="1" s="1"/>
  <c r="BY263" i="1" a="1"/>
  <c r="BY263" i="1" s="1"/>
  <c r="BY264" i="1" a="1"/>
  <c r="BY264" i="1" s="1"/>
  <c r="BY265" i="1" a="1"/>
  <c r="BY265" i="1" s="1"/>
  <c r="BY266" i="1" a="1"/>
  <c r="BY266" i="1" s="1"/>
  <c r="BY267" i="1" a="1"/>
  <c r="BY267" i="1" s="1"/>
  <c r="BY268" i="1" a="1"/>
  <c r="BY268" i="1" s="1"/>
  <c r="BY269" i="1" a="1"/>
  <c r="BY269" i="1" s="1"/>
  <c r="BY270" i="1" a="1"/>
  <c r="BY270" i="1" s="1"/>
  <c r="BY271" i="1" a="1"/>
  <c r="BY271" i="1" s="1"/>
  <c r="BZ6" i="1" a="1"/>
  <c r="BZ6" i="1" s="1"/>
  <c r="BZ7" i="1" a="1"/>
  <c r="BZ7" i="1" s="1"/>
  <c r="BZ8" i="1" a="1"/>
  <c r="BZ8" i="1" s="1"/>
  <c r="BZ9" i="1" a="1"/>
  <c r="BZ9" i="1" s="1"/>
  <c r="BZ10" i="1" a="1"/>
  <c r="BZ10" i="1" s="1"/>
  <c r="BZ11" i="1" a="1"/>
  <c r="BZ11" i="1" s="1"/>
  <c r="BZ12" i="1" a="1"/>
  <c r="BZ12" i="1" s="1"/>
  <c r="BZ13" i="1" a="1"/>
  <c r="BZ13" i="1" s="1"/>
  <c r="BZ186" i="1" a="1"/>
  <c r="BZ186" i="1" s="1"/>
  <c r="BZ15" i="1" a="1"/>
  <c r="BZ15" i="1" s="1"/>
  <c r="BZ16" i="1" a="1"/>
  <c r="BZ16" i="1" s="1"/>
  <c r="BZ17" i="1" a="1"/>
  <c r="BZ17" i="1" s="1"/>
  <c r="BZ18" i="1" a="1"/>
  <c r="BZ18" i="1" s="1"/>
  <c r="BZ90" i="1" a="1"/>
  <c r="BZ90" i="1" s="1"/>
  <c r="BZ20" i="1" a="1"/>
  <c r="BZ20" i="1" s="1"/>
  <c r="BZ21" i="1" a="1"/>
  <c r="BZ21" i="1" s="1"/>
  <c r="BZ22" i="1" a="1"/>
  <c r="BZ22" i="1" s="1"/>
  <c r="BZ23" i="1" a="1"/>
  <c r="BZ23" i="1" s="1"/>
  <c r="BZ24" i="1" a="1"/>
  <c r="BZ24" i="1" s="1"/>
  <c r="BZ25" i="1" a="1"/>
  <c r="BZ25" i="1" s="1"/>
  <c r="BZ26" i="1" a="1"/>
  <c r="BZ26" i="1" s="1"/>
  <c r="BZ27" i="1" a="1"/>
  <c r="BZ27" i="1" s="1"/>
  <c r="BZ28" i="1" a="1"/>
  <c r="BZ28" i="1" s="1"/>
  <c r="BZ29" i="1" a="1"/>
  <c r="BZ29" i="1" s="1"/>
  <c r="BZ30" i="1" a="1"/>
  <c r="BZ30" i="1" s="1"/>
  <c r="BZ31" i="1" a="1"/>
  <c r="BZ31" i="1" s="1"/>
  <c r="BZ32" i="1" a="1"/>
  <c r="BZ32" i="1" s="1"/>
  <c r="BZ33" i="1" a="1"/>
  <c r="BZ33" i="1" s="1"/>
  <c r="BZ34" i="1" a="1"/>
  <c r="BZ34" i="1" s="1"/>
  <c r="BZ209" i="1" a="1"/>
  <c r="BZ209" i="1" s="1"/>
  <c r="BZ36" i="1" a="1"/>
  <c r="BZ36" i="1" s="1"/>
  <c r="BZ37" i="1" a="1"/>
  <c r="BZ37" i="1" s="1"/>
  <c r="BZ38" i="1" a="1"/>
  <c r="BZ38" i="1" s="1"/>
  <c r="BZ39" i="1" a="1"/>
  <c r="BZ39" i="1" s="1"/>
  <c r="BZ40" i="1" a="1"/>
  <c r="BZ40" i="1" s="1"/>
  <c r="BZ41" i="1" a="1"/>
  <c r="BZ41" i="1" s="1"/>
  <c r="BZ42" i="1" a="1"/>
  <c r="BZ42" i="1" s="1"/>
  <c r="BZ43" i="1" a="1"/>
  <c r="BZ43" i="1" s="1"/>
  <c r="BZ44" i="1" a="1"/>
  <c r="BZ44" i="1" s="1"/>
  <c r="BZ45" i="1" a="1"/>
  <c r="BZ45" i="1" s="1"/>
  <c r="BZ46" i="1" a="1"/>
  <c r="BZ46" i="1" s="1"/>
  <c r="BZ47" i="1" a="1"/>
  <c r="BZ47" i="1" s="1"/>
  <c r="BZ48" i="1" a="1"/>
  <c r="BZ48" i="1" s="1"/>
  <c r="BZ49" i="1" a="1"/>
  <c r="BZ49" i="1" s="1"/>
  <c r="BZ50" i="1" a="1"/>
  <c r="BZ50" i="1" s="1"/>
  <c r="BZ51" i="1" a="1"/>
  <c r="BZ51" i="1" s="1"/>
  <c r="BZ52" i="1" a="1"/>
  <c r="BZ52" i="1" s="1"/>
  <c r="BZ53" i="1" a="1"/>
  <c r="BZ53" i="1" s="1"/>
  <c r="BZ54" i="1" a="1"/>
  <c r="BZ54" i="1" s="1"/>
  <c r="BZ55" i="1" a="1"/>
  <c r="BZ55" i="1" s="1"/>
  <c r="BZ56" i="1" a="1"/>
  <c r="BZ56" i="1" s="1"/>
  <c r="BZ57" i="1" a="1"/>
  <c r="BZ57" i="1" s="1"/>
  <c r="BZ58" i="1" a="1"/>
  <c r="BZ58" i="1" s="1"/>
  <c r="BZ59" i="1" a="1"/>
  <c r="BZ59" i="1" s="1"/>
  <c r="BZ60" i="1" a="1"/>
  <c r="BZ60" i="1" s="1"/>
  <c r="BZ61" i="1" a="1"/>
  <c r="BZ61" i="1" s="1"/>
  <c r="BZ62" i="1" a="1"/>
  <c r="BZ62" i="1" s="1"/>
  <c r="BZ63" i="1" a="1"/>
  <c r="BZ63" i="1" s="1"/>
  <c r="BZ64" i="1" a="1"/>
  <c r="BZ64" i="1" s="1"/>
  <c r="BZ127" i="1" a="1"/>
  <c r="BZ127" i="1" s="1"/>
  <c r="BZ66" i="1" a="1"/>
  <c r="BZ66" i="1" s="1"/>
  <c r="BZ121" i="1" a="1"/>
  <c r="BZ121" i="1" s="1"/>
  <c r="BZ68" i="1" a="1"/>
  <c r="BZ68" i="1" s="1"/>
  <c r="BZ69" i="1" a="1"/>
  <c r="BZ69" i="1" s="1"/>
  <c r="BZ184" i="1" a="1"/>
  <c r="BZ184" i="1" s="1"/>
  <c r="BZ71" i="1" a="1"/>
  <c r="BZ71" i="1" s="1"/>
  <c r="BZ72" i="1" a="1"/>
  <c r="BZ72" i="1" s="1"/>
  <c r="BZ73" i="1" a="1"/>
  <c r="BZ73" i="1" s="1"/>
  <c r="BZ74" i="1" a="1"/>
  <c r="BZ74" i="1" s="1"/>
  <c r="BZ75" i="1" a="1"/>
  <c r="BZ75" i="1" s="1"/>
  <c r="BZ76" i="1" a="1"/>
  <c r="BZ76" i="1" s="1"/>
  <c r="BZ77" i="1" a="1"/>
  <c r="BZ77" i="1" s="1"/>
  <c r="BZ78" i="1" a="1"/>
  <c r="BZ78" i="1" s="1"/>
  <c r="BZ79" i="1" a="1"/>
  <c r="BZ79" i="1" s="1"/>
  <c r="BZ80" i="1" a="1"/>
  <c r="BZ80" i="1" s="1"/>
  <c r="BZ81" i="1" a="1"/>
  <c r="BZ81" i="1" s="1"/>
  <c r="BZ82" i="1" a="1"/>
  <c r="BZ82" i="1" s="1"/>
  <c r="BZ83" i="1" a="1"/>
  <c r="BZ83" i="1" s="1"/>
  <c r="BZ84" i="1" a="1"/>
  <c r="BZ84" i="1" s="1"/>
  <c r="BZ85" i="1" a="1"/>
  <c r="BZ85" i="1" s="1"/>
  <c r="BZ86" i="1" a="1"/>
  <c r="BZ86" i="1" s="1"/>
  <c r="BZ87" i="1" a="1"/>
  <c r="BZ87" i="1" s="1"/>
  <c r="BZ88" i="1" a="1"/>
  <c r="BZ88" i="1" s="1"/>
  <c r="BZ124" i="1" a="1"/>
  <c r="BZ124" i="1" s="1"/>
  <c r="BZ163" i="1" a="1"/>
  <c r="BZ163" i="1" s="1"/>
  <c r="BZ91" i="1" a="1"/>
  <c r="BZ91" i="1" s="1"/>
  <c r="BZ180" i="1" a="1"/>
  <c r="BZ180" i="1" s="1"/>
  <c r="BZ93" i="1" a="1"/>
  <c r="BZ93" i="1" s="1"/>
  <c r="BZ94" i="1" a="1"/>
  <c r="BZ94" i="1" s="1"/>
  <c r="BZ95" i="1" a="1"/>
  <c r="BZ95" i="1" s="1"/>
  <c r="BZ96" i="1" a="1"/>
  <c r="BZ96" i="1" s="1"/>
  <c r="BZ97" i="1" a="1"/>
  <c r="BZ97" i="1" s="1"/>
  <c r="BZ98" i="1" a="1"/>
  <c r="BZ98" i="1" s="1"/>
  <c r="BZ99" i="1" a="1"/>
  <c r="BZ99" i="1" s="1"/>
  <c r="BZ100" i="1" a="1"/>
  <c r="BZ100" i="1" s="1"/>
  <c r="BZ101" i="1" a="1"/>
  <c r="BZ101" i="1" s="1"/>
  <c r="BZ102" i="1" a="1"/>
  <c r="BZ102" i="1" s="1"/>
  <c r="BZ103" i="1" a="1"/>
  <c r="BZ103" i="1" s="1"/>
  <c r="BZ104" i="1" a="1"/>
  <c r="BZ104" i="1" s="1"/>
  <c r="BZ105" i="1" a="1"/>
  <c r="BZ105" i="1" s="1"/>
  <c r="BZ106" i="1" a="1"/>
  <c r="BZ106" i="1" s="1"/>
  <c r="BZ107" i="1" a="1"/>
  <c r="BZ107" i="1" s="1"/>
  <c r="BZ108" i="1" a="1"/>
  <c r="BZ108" i="1" s="1"/>
  <c r="BZ109" i="1" a="1"/>
  <c r="BZ109" i="1" s="1"/>
  <c r="BZ110" i="1" a="1"/>
  <c r="BZ110" i="1" s="1"/>
  <c r="BZ111" i="1" a="1"/>
  <c r="BZ111" i="1" s="1"/>
  <c r="BZ112" i="1" a="1"/>
  <c r="BZ112" i="1" s="1"/>
  <c r="BZ113" i="1" a="1"/>
  <c r="BZ113" i="1" s="1"/>
  <c r="BZ89" i="1" a="1"/>
  <c r="BZ89" i="1" s="1"/>
  <c r="BZ115" i="1" a="1"/>
  <c r="BZ115" i="1" s="1"/>
  <c r="BZ116" i="1" a="1"/>
  <c r="BZ116" i="1" s="1"/>
  <c r="BZ117" i="1" a="1"/>
  <c r="BZ117" i="1" s="1"/>
  <c r="BZ118" i="1" a="1"/>
  <c r="BZ118" i="1" s="1"/>
  <c r="BZ119" i="1" a="1"/>
  <c r="BZ119" i="1" s="1"/>
  <c r="BZ67" i="1" a="1"/>
  <c r="BZ67" i="1" s="1"/>
  <c r="BZ70" i="1" a="1"/>
  <c r="BZ70" i="1" s="1"/>
  <c r="BZ122" i="1" a="1"/>
  <c r="BZ122" i="1" s="1"/>
  <c r="BZ123" i="1" a="1"/>
  <c r="BZ123" i="1" s="1"/>
  <c r="BZ153" i="1" a="1"/>
  <c r="BZ153" i="1" s="1"/>
  <c r="BZ125" i="1" a="1"/>
  <c r="BZ125" i="1" s="1"/>
  <c r="BZ126" i="1" a="1"/>
  <c r="BZ126" i="1" s="1"/>
  <c r="BZ14" i="1" a="1"/>
  <c r="BZ14" i="1" s="1"/>
  <c r="BZ128" i="1" a="1"/>
  <c r="BZ128" i="1" s="1"/>
  <c r="BZ129" i="1" a="1"/>
  <c r="BZ129" i="1" s="1"/>
  <c r="BZ130" i="1" a="1"/>
  <c r="BZ130" i="1" s="1"/>
  <c r="BZ131" i="1" a="1"/>
  <c r="BZ131" i="1" s="1"/>
  <c r="BZ132" i="1" a="1"/>
  <c r="BZ132" i="1" s="1"/>
  <c r="BZ133" i="1" a="1"/>
  <c r="BZ133" i="1" s="1"/>
  <c r="BZ134" i="1" a="1"/>
  <c r="BZ134" i="1" s="1"/>
  <c r="BZ135" i="1" a="1"/>
  <c r="BZ135" i="1" s="1"/>
  <c r="BZ136" i="1" a="1"/>
  <c r="BZ136" i="1" s="1"/>
  <c r="BZ137" i="1" a="1"/>
  <c r="BZ137" i="1" s="1"/>
  <c r="BZ138" i="1" a="1"/>
  <c r="BZ138" i="1" s="1"/>
  <c r="BZ139" i="1" a="1"/>
  <c r="BZ139" i="1" s="1"/>
  <c r="BZ140" i="1" a="1"/>
  <c r="BZ140" i="1" s="1"/>
  <c r="BZ141" i="1" a="1"/>
  <c r="BZ141" i="1" s="1"/>
  <c r="BZ142" i="1" a="1"/>
  <c r="BZ142" i="1" s="1"/>
  <c r="BZ143" i="1" a="1"/>
  <c r="BZ143" i="1" s="1"/>
  <c r="BZ144" i="1" a="1"/>
  <c r="BZ144" i="1" s="1"/>
  <c r="BZ145" i="1" a="1"/>
  <c r="BZ145" i="1" s="1"/>
  <c r="BZ146" i="1" a="1"/>
  <c r="BZ146" i="1" s="1"/>
  <c r="BZ147" i="1" a="1"/>
  <c r="BZ147" i="1" s="1"/>
  <c r="BZ148" i="1" a="1"/>
  <c r="BZ148" i="1" s="1"/>
  <c r="BZ149" i="1" a="1"/>
  <c r="BZ149" i="1" s="1"/>
  <c r="BZ150" i="1" a="1"/>
  <c r="BZ150" i="1" s="1"/>
  <c r="BZ151" i="1" a="1"/>
  <c r="BZ151" i="1" s="1"/>
  <c r="BZ152" i="1" a="1"/>
  <c r="BZ152" i="1" s="1"/>
  <c r="BZ120" i="1" a="1"/>
  <c r="BZ120" i="1" s="1"/>
  <c r="BZ154" i="1" a="1"/>
  <c r="BZ154" i="1" s="1"/>
  <c r="BZ92" i="1" a="1"/>
  <c r="BZ92" i="1" s="1"/>
  <c r="BZ156" i="1" a="1"/>
  <c r="BZ156" i="1" s="1"/>
  <c r="BZ157" i="1" a="1"/>
  <c r="BZ157" i="1" s="1"/>
  <c r="BZ158" i="1" a="1"/>
  <c r="BZ158" i="1" s="1"/>
  <c r="BZ159" i="1" a="1"/>
  <c r="BZ159" i="1" s="1"/>
  <c r="BZ160" i="1" a="1"/>
  <c r="BZ160" i="1" s="1"/>
  <c r="BZ161" i="1" a="1"/>
  <c r="BZ161" i="1" s="1"/>
  <c r="BZ162" i="1" a="1"/>
  <c r="BZ162" i="1" s="1"/>
  <c r="BZ65" i="1" a="1"/>
  <c r="BZ65" i="1" s="1"/>
  <c r="BZ164" i="1" a="1"/>
  <c r="BZ164" i="1" s="1"/>
  <c r="BZ165" i="1" a="1"/>
  <c r="BZ165" i="1" s="1"/>
  <c r="BZ166" i="1" a="1"/>
  <c r="BZ166" i="1" s="1"/>
  <c r="BZ167" i="1" a="1"/>
  <c r="BZ167" i="1" s="1"/>
  <c r="BZ168" i="1" a="1"/>
  <c r="BZ168" i="1" s="1"/>
  <c r="BZ169" i="1" a="1"/>
  <c r="BZ169" i="1" s="1"/>
  <c r="BZ170" i="1" a="1"/>
  <c r="BZ170" i="1" s="1"/>
  <c r="BZ171" i="1" a="1"/>
  <c r="BZ171" i="1" s="1"/>
  <c r="BZ172" i="1" a="1"/>
  <c r="BZ172" i="1" s="1"/>
  <c r="BZ173" i="1" a="1"/>
  <c r="BZ173" i="1" s="1"/>
  <c r="BZ174" i="1" a="1"/>
  <c r="BZ174" i="1" s="1"/>
  <c r="BZ175" i="1" a="1"/>
  <c r="BZ175" i="1" s="1"/>
  <c r="BZ176" i="1" a="1"/>
  <c r="BZ176" i="1" s="1"/>
  <c r="BZ177" i="1" a="1"/>
  <c r="BZ177" i="1" s="1"/>
  <c r="BZ178" i="1" a="1"/>
  <c r="BZ178" i="1" s="1"/>
  <c r="BZ179" i="1" a="1"/>
  <c r="BZ179" i="1" s="1"/>
  <c r="BZ155" i="1" a="1"/>
  <c r="BZ155" i="1" s="1"/>
  <c r="BZ181" i="1" a="1"/>
  <c r="BZ181" i="1" s="1"/>
  <c r="BZ182" i="1" a="1"/>
  <c r="BZ182" i="1" s="1"/>
  <c r="BZ183" i="1" a="1"/>
  <c r="BZ183" i="1" s="1"/>
  <c r="BZ191" i="1" a="1"/>
  <c r="BZ191" i="1" s="1"/>
  <c r="BZ185" i="1" a="1"/>
  <c r="BZ185" i="1" s="1"/>
  <c r="BZ19" i="1" a="1"/>
  <c r="BZ19" i="1" s="1"/>
  <c r="BZ187" i="1" a="1"/>
  <c r="BZ187" i="1" s="1"/>
  <c r="BZ188" i="1" a="1"/>
  <c r="BZ188" i="1" s="1"/>
  <c r="BZ189" i="1" a="1"/>
  <c r="BZ189" i="1" s="1"/>
  <c r="BZ190" i="1" a="1"/>
  <c r="BZ190" i="1" s="1"/>
  <c r="BZ35" i="1" a="1"/>
  <c r="BZ35" i="1" s="1"/>
  <c r="BZ192" i="1" a="1"/>
  <c r="BZ192" i="1" s="1"/>
  <c r="BZ193" i="1" a="1"/>
  <c r="BZ193" i="1" s="1"/>
  <c r="BZ194" i="1" a="1"/>
  <c r="BZ194" i="1" s="1"/>
  <c r="BZ195" i="1" a="1"/>
  <c r="BZ195" i="1" s="1"/>
  <c r="BZ196" i="1" a="1"/>
  <c r="BZ196" i="1" s="1"/>
  <c r="BZ197" i="1" a="1"/>
  <c r="BZ197" i="1" s="1"/>
  <c r="BZ198" i="1" a="1"/>
  <c r="BZ198" i="1" s="1"/>
  <c r="BZ199" i="1" a="1"/>
  <c r="BZ199" i="1" s="1"/>
  <c r="BZ200" i="1" a="1"/>
  <c r="BZ200" i="1" s="1"/>
  <c r="BZ201" i="1" a="1"/>
  <c r="BZ201" i="1" s="1"/>
  <c r="BZ255" i="1" a="1"/>
  <c r="BZ255" i="1" s="1"/>
  <c r="BZ203" i="1" a="1"/>
  <c r="BZ203" i="1" s="1"/>
  <c r="BZ204" i="1" a="1"/>
  <c r="BZ204" i="1" s="1"/>
  <c r="BZ205" i="1" a="1"/>
  <c r="BZ205" i="1" s="1"/>
  <c r="BZ206" i="1" a="1"/>
  <c r="BZ206" i="1" s="1"/>
  <c r="BZ207" i="1" a="1"/>
  <c r="BZ207" i="1" s="1"/>
  <c r="BZ208" i="1" a="1"/>
  <c r="BZ208" i="1" s="1"/>
  <c r="BZ114" i="1" a="1"/>
  <c r="BZ114" i="1" s="1"/>
  <c r="BZ210" i="1" a="1"/>
  <c r="BZ210" i="1" s="1"/>
  <c r="BZ211" i="1" a="1"/>
  <c r="BZ211" i="1" s="1"/>
  <c r="BZ212" i="1" a="1"/>
  <c r="BZ212" i="1" s="1"/>
  <c r="BZ213" i="1" a="1"/>
  <c r="BZ213" i="1" s="1"/>
  <c r="BZ214" i="1" a="1"/>
  <c r="BZ214" i="1" s="1"/>
  <c r="BZ215" i="1" a="1"/>
  <c r="BZ215" i="1" s="1"/>
  <c r="BZ216" i="1" a="1"/>
  <c r="BZ216" i="1" s="1"/>
  <c r="BZ217" i="1" a="1"/>
  <c r="BZ217" i="1" s="1"/>
  <c r="BZ218" i="1" a="1"/>
  <c r="BZ218" i="1" s="1"/>
  <c r="BZ219" i="1" a="1"/>
  <c r="BZ219" i="1" s="1"/>
  <c r="BZ220" i="1" a="1"/>
  <c r="BZ220" i="1" s="1"/>
  <c r="BZ221" i="1" a="1"/>
  <c r="BZ221" i="1" s="1"/>
  <c r="BZ222" i="1" a="1"/>
  <c r="BZ222" i="1" s="1"/>
  <c r="BZ223" i="1" a="1"/>
  <c r="BZ223" i="1" s="1"/>
  <c r="BZ224" i="1" a="1"/>
  <c r="BZ224" i="1" s="1"/>
  <c r="BZ225" i="1" a="1"/>
  <c r="BZ225" i="1" s="1"/>
  <c r="BZ226" i="1" a="1"/>
  <c r="BZ226" i="1" s="1"/>
  <c r="BZ227" i="1" a="1"/>
  <c r="BZ227" i="1" s="1"/>
  <c r="BZ228" i="1" a="1"/>
  <c r="BZ228" i="1" s="1"/>
  <c r="BZ229" i="1" a="1"/>
  <c r="BZ229" i="1" s="1"/>
  <c r="BZ230" i="1" a="1"/>
  <c r="BZ230" i="1" s="1"/>
  <c r="BZ231" i="1" a="1"/>
  <c r="BZ231" i="1" s="1"/>
  <c r="BZ232" i="1" a="1"/>
  <c r="BZ232" i="1" s="1"/>
  <c r="BZ233" i="1" a="1"/>
  <c r="BZ233" i="1" s="1"/>
  <c r="BZ234" i="1" a="1"/>
  <c r="BZ234" i="1" s="1"/>
  <c r="BZ235" i="1" a="1"/>
  <c r="BZ235" i="1" s="1"/>
  <c r="BZ236" i="1" a="1"/>
  <c r="BZ236" i="1" s="1"/>
  <c r="BZ237" i="1" a="1"/>
  <c r="BZ237" i="1" s="1"/>
  <c r="BZ238" i="1" a="1"/>
  <c r="BZ238" i="1" s="1"/>
  <c r="BZ239" i="1" a="1"/>
  <c r="BZ239" i="1" s="1"/>
  <c r="BZ240" i="1" a="1"/>
  <c r="BZ240" i="1" s="1"/>
  <c r="BZ241" i="1" a="1"/>
  <c r="BZ241" i="1" s="1"/>
  <c r="BZ242" i="1" a="1"/>
  <c r="BZ242" i="1" s="1"/>
  <c r="BZ243" i="1" a="1"/>
  <c r="BZ243" i="1" s="1"/>
  <c r="BZ244" i="1" a="1"/>
  <c r="BZ244" i="1" s="1"/>
  <c r="BZ245" i="1" a="1"/>
  <c r="BZ245" i="1" s="1"/>
  <c r="BZ246" i="1" a="1"/>
  <c r="BZ246" i="1" s="1"/>
  <c r="BZ247" i="1" a="1"/>
  <c r="BZ247" i="1" s="1"/>
  <c r="BZ248" i="1" a="1"/>
  <c r="BZ248" i="1" s="1"/>
  <c r="BZ249" i="1" a="1"/>
  <c r="BZ249" i="1" s="1"/>
  <c r="BZ250" i="1" a="1"/>
  <c r="BZ250" i="1" s="1"/>
  <c r="BZ251" i="1" a="1"/>
  <c r="BZ251" i="1" s="1"/>
  <c r="BZ252" i="1" a="1"/>
  <c r="BZ252" i="1" s="1"/>
  <c r="BZ253" i="1" a="1"/>
  <c r="BZ253" i="1" s="1"/>
  <c r="BZ254" i="1" a="1"/>
  <c r="BZ254" i="1" s="1"/>
  <c r="BZ202" i="1" a="1"/>
  <c r="BZ202" i="1" s="1"/>
  <c r="BZ256" i="1" a="1"/>
  <c r="BZ256" i="1" s="1"/>
  <c r="BZ257" i="1" a="1"/>
  <c r="BZ257" i="1" s="1"/>
  <c r="BZ258" i="1" a="1"/>
  <c r="BZ258" i="1" s="1"/>
  <c r="BZ259" i="1" a="1"/>
  <c r="BZ259" i="1" s="1"/>
  <c r="BZ260" i="1" a="1"/>
  <c r="BZ260" i="1" s="1"/>
  <c r="BZ261" i="1" a="1"/>
  <c r="BZ261" i="1" s="1"/>
  <c r="BZ262" i="1" a="1"/>
  <c r="BZ262" i="1" s="1"/>
  <c r="BZ263" i="1" a="1"/>
  <c r="BZ263" i="1" s="1"/>
  <c r="BZ264" i="1" a="1"/>
  <c r="BZ264" i="1" s="1"/>
  <c r="BZ265" i="1" a="1"/>
  <c r="BZ265" i="1" s="1"/>
  <c r="BZ266" i="1" a="1"/>
  <c r="BZ266" i="1" s="1"/>
  <c r="BZ267" i="1" a="1"/>
  <c r="BZ267" i="1" s="1"/>
  <c r="BZ268" i="1" a="1"/>
  <c r="BZ268" i="1" s="1"/>
  <c r="BZ269" i="1" a="1"/>
  <c r="BZ269" i="1" s="1"/>
  <c r="BZ270" i="1" a="1"/>
  <c r="BZ270" i="1" s="1"/>
  <c r="BZ271" i="1" a="1"/>
  <c r="BZ271" i="1" s="1"/>
  <c r="BQ9" i="1" a="1"/>
  <c r="BQ9" i="1" s="1"/>
  <c r="CD9" i="1" s="1"/>
  <c r="BQ10" i="1" a="1"/>
  <c r="BQ10" i="1" s="1"/>
  <c r="CD10" i="1" s="1"/>
  <c r="BQ11" i="1" a="1"/>
  <c r="BQ11" i="1" s="1"/>
  <c r="CD11" i="1" s="1"/>
  <c r="BQ12" i="1" a="1"/>
  <c r="BQ12" i="1" s="1"/>
  <c r="CD12" i="1" s="1"/>
  <c r="BQ13" i="1" a="1"/>
  <c r="BQ13" i="1" s="1"/>
  <c r="CD13" i="1" s="1"/>
  <c r="BQ15" i="1" a="1"/>
  <c r="BQ15" i="1" s="1"/>
  <c r="CD15" i="1" s="1"/>
  <c r="BQ16" i="1" a="1"/>
  <c r="BQ16" i="1" s="1"/>
  <c r="CD16" i="1" s="1"/>
  <c r="BQ17" i="1" a="1"/>
  <c r="BQ17" i="1" s="1"/>
  <c r="CD17" i="1" s="1"/>
  <c r="BQ18" i="1" a="1"/>
  <c r="BQ18" i="1" s="1"/>
  <c r="CD18" i="1" s="1"/>
  <c r="BQ20" i="1" a="1"/>
  <c r="BQ20" i="1" s="1"/>
  <c r="CD20" i="1" s="1"/>
  <c r="BQ21" i="1" a="1"/>
  <c r="BQ21" i="1" s="1"/>
  <c r="CD21" i="1" s="1"/>
  <c r="BQ55" i="1" a="1"/>
  <c r="BQ55" i="1" s="1"/>
  <c r="CD55" i="1" s="1"/>
  <c r="C13" i="9" l="1"/>
  <c r="C8" i="9"/>
  <c r="C232" i="9"/>
  <c r="C3" i="9"/>
  <c r="C241" i="9"/>
  <c r="C51" i="9"/>
  <c r="C7" i="9"/>
  <c r="C61" i="9"/>
  <c r="C4" i="9"/>
  <c r="C17" i="9"/>
  <c r="C16" i="9"/>
  <c r="C11" i="9"/>
  <c r="C6" i="9"/>
  <c r="C10" i="9"/>
  <c r="C234" i="9"/>
  <c r="C12" i="9"/>
  <c r="C14" i="9"/>
  <c r="C9" i="9"/>
  <c r="C5" i="9"/>
  <c r="C18" i="9"/>
  <c r="C117" i="9"/>
  <c r="DY8" i="1"/>
  <c r="CB9" i="1"/>
  <c r="CB245" i="1"/>
  <c r="CB65" i="1"/>
  <c r="CB7" i="1"/>
  <c r="CB55" i="1"/>
  <c r="CB17" i="1"/>
  <c r="CB12" i="1"/>
  <c r="CB8" i="1"/>
  <c r="CB132" i="1"/>
  <c r="CB13" i="1"/>
  <c r="CB14" i="1"/>
  <c r="CB238" i="1"/>
  <c r="CB18" i="1"/>
  <c r="CB21" i="1"/>
  <c r="CB16" i="1"/>
  <c r="CB11" i="1"/>
  <c r="CB20" i="1"/>
  <c r="CB15" i="1"/>
  <c r="CB10" i="1"/>
  <c r="CB236" i="1"/>
  <c r="CB22" i="1"/>
  <c r="CB121" i="1"/>
  <c r="EI13" i="1"/>
  <c r="EK13" i="1" s="1"/>
  <c r="EM13" i="1" s="1"/>
  <c r="EI7" i="1"/>
  <c r="EK7" i="1" s="1"/>
  <c r="EM7" i="1" s="1"/>
  <c r="EI55" i="1"/>
  <c r="EK55" i="1" s="1"/>
  <c r="EM55" i="1" s="1"/>
  <c r="EI21" i="1"/>
  <c r="EK21" i="1" s="1"/>
  <c r="EM21" i="1" s="1"/>
  <c r="EI16" i="1"/>
  <c r="EK16" i="1" s="1"/>
  <c r="EM16" i="1" s="1"/>
  <c r="EI12" i="1"/>
  <c r="EK12" i="1" s="1"/>
  <c r="EM12" i="1" s="1"/>
  <c r="EI245" i="1"/>
  <c r="EK245" i="1" s="1"/>
  <c r="EM245" i="1" s="1"/>
  <c r="EI17" i="1"/>
  <c r="EK17" i="1" s="1"/>
  <c r="EM17" i="1" s="1"/>
  <c r="EI20" i="1"/>
  <c r="EK20" i="1" s="1"/>
  <c r="EM20" i="1" s="1"/>
  <c r="EI14" i="1"/>
  <c r="EK14" i="1" s="1"/>
  <c r="EM14" i="1" s="1"/>
  <c r="EI8" i="1"/>
  <c r="EK8" i="1" s="1"/>
  <c r="EM8" i="1" s="1"/>
  <c r="EI132" i="1"/>
  <c r="EK132" i="1" s="1"/>
  <c r="EM132" i="1" s="1"/>
  <c r="EI9" i="1"/>
  <c r="EK9" i="1" s="1"/>
  <c r="EM9" i="1" s="1"/>
  <c r="EI65" i="1"/>
  <c r="EK65" i="1" s="1"/>
  <c r="EM65" i="1" s="1"/>
  <c r="EI15" i="1"/>
  <c r="EK15" i="1" s="1"/>
  <c r="EM15" i="1" s="1"/>
  <c r="EI11" i="1"/>
  <c r="EK11" i="1" s="1"/>
  <c r="EM11" i="1" s="1"/>
  <c r="EI18" i="1"/>
  <c r="EK18" i="1" s="1"/>
  <c r="EM18" i="1" s="1"/>
  <c r="EI10" i="1"/>
  <c r="EK10" i="1" s="1"/>
  <c r="EM10" i="1" s="1"/>
  <c r="EI236" i="1"/>
  <c r="EK236" i="1" s="1"/>
  <c r="EM236" i="1" s="1"/>
  <c r="EI22" i="1"/>
  <c r="EK22" i="1" s="1"/>
  <c r="EM22" i="1" s="1"/>
  <c r="EI238" i="1"/>
  <c r="EK238" i="1" s="1"/>
  <c r="EM238" i="1" s="1"/>
  <c r="EI121" i="1"/>
  <c r="EK121" i="1" s="1"/>
  <c r="EM121" i="1" s="1"/>
  <c r="EI186" i="1"/>
  <c r="EK186" i="1" s="1"/>
  <c r="EM186" i="1" s="1"/>
  <c r="EK90" i="1"/>
  <c r="EM90" i="1" s="1"/>
  <c r="BU73" i="1" a="1"/>
  <c r="BU73" i="1" s="1"/>
  <c r="BU74" i="1" a="1"/>
  <c r="BU74" i="1" s="1"/>
  <c r="BU75" i="1" a="1"/>
  <c r="BU75" i="1" s="1"/>
  <c r="BU76" i="1" a="1"/>
  <c r="BU76" i="1" s="1"/>
  <c r="BU77" i="1" a="1"/>
  <c r="BU77" i="1" s="1"/>
  <c r="BU78" i="1" a="1"/>
  <c r="BU78" i="1" s="1"/>
  <c r="BU79" i="1" a="1"/>
  <c r="BU79" i="1" s="1"/>
  <c r="BU80" i="1" a="1"/>
  <c r="BU80" i="1" s="1"/>
  <c r="BU81" i="1" a="1"/>
  <c r="BU81" i="1" s="1"/>
  <c r="BU82" i="1" a="1"/>
  <c r="BU82" i="1" s="1"/>
  <c r="BU83" i="1" a="1"/>
  <c r="BU83" i="1" s="1"/>
  <c r="BU84" i="1" a="1"/>
  <c r="BU84" i="1" s="1"/>
  <c r="BU85" i="1" a="1"/>
  <c r="BU85" i="1" s="1"/>
  <c r="BU86" i="1" a="1"/>
  <c r="BU86" i="1" s="1"/>
  <c r="BU87" i="1" a="1"/>
  <c r="BU87" i="1" s="1"/>
  <c r="BU88" i="1" a="1"/>
  <c r="BU88" i="1" s="1"/>
  <c r="BU124" i="1" a="1"/>
  <c r="BU124" i="1" s="1"/>
  <c r="BU163" i="1" a="1"/>
  <c r="BU163" i="1" s="1"/>
  <c r="BU91" i="1" a="1"/>
  <c r="BU91" i="1" s="1"/>
  <c r="BU180" i="1" a="1"/>
  <c r="BU180" i="1" s="1"/>
  <c r="BU93" i="1" a="1"/>
  <c r="BU93" i="1" s="1"/>
  <c r="BU94" i="1" a="1"/>
  <c r="BU94" i="1" s="1"/>
  <c r="BU95" i="1" a="1"/>
  <c r="BU95" i="1" s="1"/>
  <c r="BU96" i="1" a="1"/>
  <c r="BU96" i="1" s="1"/>
  <c r="BU97" i="1" a="1"/>
  <c r="BU97" i="1" s="1"/>
  <c r="BU98" i="1" a="1"/>
  <c r="BU98" i="1" s="1"/>
  <c r="BU99" i="1" a="1"/>
  <c r="BU99" i="1" s="1"/>
  <c r="BU100" i="1" a="1"/>
  <c r="BU100" i="1" s="1"/>
  <c r="BU101" i="1" a="1"/>
  <c r="BU101" i="1" s="1"/>
  <c r="BU102" i="1" a="1"/>
  <c r="BU102" i="1" s="1"/>
  <c r="BU103" i="1" a="1"/>
  <c r="BU103" i="1" s="1"/>
  <c r="BU104" i="1" a="1"/>
  <c r="BU104" i="1" s="1"/>
  <c r="BU105" i="1" a="1"/>
  <c r="BU105" i="1" s="1"/>
  <c r="BU106" i="1" a="1"/>
  <c r="BU106" i="1" s="1"/>
  <c r="BU107" i="1" a="1"/>
  <c r="BU107" i="1" s="1"/>
  <c r="BU108" i="1" a="1"/>
  <c r="BU108" i="1" s="1"/>
  <c r="BU109" i="1" a="1"/>
  <c r="BU109" i="1" s="1"/>
  <c r="BU110" i="1" a="1"/>
  <c r="BU110" i="1" s="1"/>
  <c r="BU111" i="1" a="1"/>
  <c r="BU111" i="1" s="1"/>
  <c r="BU112" i="1" a="1"/>
  <c r="BU112" i="1" s="1"/>
  <c r="BU113" i="1" a="1"/>
  <c r="BU113" i="1" s="1"/>
  <c r="BU89" i="1" a="1"/>
  <c r="BU89" i="1" s="1"/>
  <c r="BU115" i="1" a="1"/>
  <c r="BU115" i="1" s="1"/>
  <c r="BU116" i="1" a="1"/>
  <c r="BU116" i="1" s="1"/>
  <c r="BU117" i="1" a="1"/>
  <c r="BU117" i="1" s="1"/>
  <c r="BU118" i="1" a="1"/>
  <c r="BU118" i="1" s="1"/>
  <c r="BU119" i="1" a="1"/>
  <c r="BU119" i="1" s="1"/>
  <c r="BU67" i="1" a="1"/>
  <c r="BU67" i="1" s="1"/>
  <c r="BU70" i="1" a="1"/>
  <c r="BU70" i="1" s="1"/>
  <c r="BU122" i="1" a="1"/>
  <c r="BU122" i="1" s="1"/>
  <c r="BU123" i="1" a="1"/>
  <c r="BU123" i="1" s="1"/>
  <c r="BU153" i="1" a="1"/>
  <c r="BU153" i="1" s="1"/>
  <c r="BU125" i="1" a="1"/>
  <c r="BU125" i="1" s="1"/>
  <c r="BU126" i="1" a="1"/>
  <c r="BU126" i="1" s="1"/>
  <c r="BU14" i="1" a="1"/>
  <c r="BU14" i="1" s="1"/>
  <c r="BU128" i="1" a="1"/>
  <c r="BU128" i="1" s="1"/>
  <c r="BU129" i="1" a="1"/>
  <c r="BU129" i="1" s="1"/>
  <c r="BU130" i="1" a="1"/>
  <c r="BU130" i="1" s="1"/>
  <c r="BU131" i="1" a="1"/>
  <c r="BU131" i="1" s="1"/>
  <c r="BU132" i="1" a="1"/>
  <c r="BU132" i="1" s="1"/>
  <c r="BU133" i="1" a="1"/>
  <c r="BU133" i="1" s="1"/>
  <c r="BU134" i="1" a="1"/>
  <c r="BU134" i="1" s="1"/>
  <c r="BU135" i="1" a="1"/>
  <c r="BU135" i="1" s="1"/>
  <c r="BU136" i="1" a="1"/>
  <c r="BU136" i="1" s="1"/>
  <c r="BU137" i="1" a="1"/>
  <c r="BU137" i="1" s="1"/>
  <c r="BU138" i="1" a="1"/>
  <c r="BU138" i="1" s="1"/>
  <c r="BU139" i="1" a="1"/>
  <c r="BU139" i="1" s="1"/>
  <c r="BU140" i="1" a="1"/>
  <c r="BU140" i="1" s="1"/>
  <c r="BU141" i="1" a="1"/>
  <c r="BU141" i="1" s="1"/>
  <c r="BU142" i="1" a="1"/>
  <c r="BU142" i="1" s="1"/>
  <c r="BU143" i="1" a="1"/>
  <c r="BU143" i="1" s="1"/>
  <c r="BU144" i="1" a="1"/>
  <c r="BU144" i="1" s="1"/>
  <c r="BU145" i="1" a="1"/>
  <c r="BU145" i="1" s="1"/>
  <c r="BU146" i="1" a="1"/>
  <c r="BU146" i="1" s="1"/>
  <c r="BU147" i="1" a="1"/>
  <c r="BU147" i="1" s="1"/>
  <c r="BU148" i="1" a="1"/>
  <c r="BU148" i="1" s="1"/>
  <c r="BU149" i="1" a="1"/>
  <c r="BU149" i="1" s="1"/>
  <c r="BU150" i="1" a="1"/>
  <c r="BU150" i="1" s="1"/>
  <c r="BU151" i="1" a="1"/>
  <c r="BU151" i="1" s="1"/>
  <c r="BU152" i="1" a="1"/>
  <c r="BU152" i="1" s="1"/>
  <c r="BU120" i="1" a="1"/>
  <c r="BU120" i="1" s="1"/>
  <c r="BU154" i="1" a="1"/>
  <c r="BU154" i="1" s="1"/>
  <c r="BU92" i="1" a="1"/>
  <c r="BU92" i="1" s="1"/>
  <c r="BU156" i="1" a="1"/>
  <c r="BU156" i="1" s="1"/>
  <c r="BU157" i="1" a="1"/>
  <c r="BU157" i="1" s="1"/>
  <c r="BU158" i="1" a="1"/>
  <c r="BU158" i="1" s="1"/>
  <c r="BU159" i="1" a="1"/>
  <c r="BU159" i="1" s="1"/>
  <c r="BU160" i="1" a="1"/>
  <c r="BU160" i="1" s="1"/>
  <c r="BU161" i="1" a="1"/>
  <c r="BU161" i="1" s="1"/>
  <c r="BU162" i="1" a="1"/>
  <c r="BU162" i="1" s="1"/>
  <c r="BU65" i="1" a="1"/>
  <c r="BU65" i="1" s="1"/>
  <c r="BU164" i="1" a="1"/>
  <c r="BU164" i="1" s="1"/>
  <c r="BU165" i="1" a="1"/>
  <c r="BU165" i="1" s="1"/>
  <c r="BU166" i="1" a="1"/>
  <c r="BU166" i="1" s="1"/>
  <c r="BU167" i="1" a="1"/>
  <c r="BU167" i="1" s="1"/>
  <c r="BU168" i="1" a="1"/>
  <c r="BU168" i="1" s="1"/>
  <c r="BU169" i="1" a="1"/>
  <c r="BU169" i="1" s="1"/>
  <c r="BU170" i="1" a="1"/>
  <c r="BU170" i="1" s="1"/>
  <c r="BU171" i="1" a="1"/>
  <c r="BU171" i="1" s="1"/>
  <c r="BU172" i="1" a="1"/>
  <c r="BU172" i="1" s="1"/>
  <c r="BU173" i="1" a="1"/>
  <c r="BU173" i="1" s="1"/>
  <c r="BU174" i="1" a="1"/>
  <c r="BU174" i="1" s="1"/>
  <c r="BU175" i="1" a="1"/>
  <c r="BU175" i="1" s="1"/>
  <c r="BU176" i="1" a="1"/>
  <c r="BU176" i="1" s="1"/>
  <c r="BU177" i="1" a="1"/>
  <c r="BU177" i="1" s="1"/>
  <c r="BU178" i="1" a="1"/>
  <c r="BU178" i="1" s="1"/>
  <c r="BU179" i="1" a="1"/>
  <c r="BU179" i="1" s="1"/>
  <c r="BU155" i="1" a="1"/>
  <c r="BU155" i="1" s="1"/>
  <c r="BU181" i="1" a="1"/>
  <c r="BU181" i="1" s="1"/>
  <c r="BU182" i="1" a="1"/>
  <c r="BU182" i="1" s="1"/>
  <c r="BU183" i="1" a="1"/>
  <c r="BU183" i="1" s="1"/>
  <c r="BU191" i="1" a="1"/>
  <c r="BU191" i="1" s="1"/>
  <c r="BU185" i="1" a="1"/>
  <c r="BU185" i="1" s="1"/>
  <c r="BU19" i="1" a="1"/>
  <c r="BU19" i="1" s="1"/>
  <c r="BU187" i="1" a="1"/>
  <c r="BU187" i="1" s="1"/>
  <c r="BU188" i="1" a="1"/>
  <c r="BU188" i="1" s="1"/>
  <c r="BU189" i="1" a="1"/>
  <c r="BU189" i="1" s="1"/>
  <c r="BU190" i="1" a="1"/>
  <c r="BU190" i="1" s="1"/>
  <c r="BU35" i="1" a="1"/>
  <c r="BU35" i="1" s="1"/>
  <c r="BU192" i="1" a="1"/>
  <c r="BU192" i="1" s="1"/>
  <c r="BU193" i="1" a="1"/>
  <c r="BU193" i="1" s="1"/>
  <c r="BU194" i="1" a="1"/>
  <c r="BU194" i="1" s="1"/>
  <c r="BU195" i="1" a="1"/>
  <c r="BU195" i="1" s="1"/>
  <c r="BU196" i="1" a="1"/>
  <c r="BU196" i="1" s="1"/>
  <c r="BU197" i="1" a="1"/>
  <c r="BU197" i="1" s="1"/>
  <c r="BU198" i="1" a="1"/>
  <c r="BU198" i="1" s="1"/>
  <c r="BU199" i="1" a="1"/>
  <c r="BU199" i="1" s="1"/>
  <c r="BU200" i="1" a="1"/>
  <c r="BU200" i="1" s="1"/>
  <c r="BU201" i="1" a="1"/>
  <c r="BU201" i="1" s="1"/>
  <c r="BU255" i="1" a="1"/>
  <c r="BU255" i="1" s="1"/>
  <c r="BU203" i="1" a="1"/>
  <c r="BU203" i="1" s="1"/>
  <c r="BU204" i="1" a="1"/>
  <c r="BU204" i="1" s="1"/>
  <c r="BU205" i="1" a="1"/>
  <c r="BU205" i="1" s="1"/>
  <c r="BU206" i="1" a="1"/>
  <c r="BU206" i="1" s="1"/>
  <c r="BU207" i="1" a="1"/>
  <c r="BU207" i="1" s="1"/>
  <c r="BU208" i="1" a="1"/>
  <c r="BU208" i="1" s="1"/>
  <c r="BU114" i="1" a="1"/>
  <c r="BU114" i="1" s="1"/>
  <c r="BU210" i="1" a="1"/>
  <c r="BU210" i="1" s="1"/>
  <c r="BU211" i="1" a="1"/>
  <c r="BU211" i="1" s="1"/>
  <c r="BU212" i="1" a="1"/>
  <c r="BU212" i="1" s="1"/>
  <c r="BU213" i="1" a="1"/>
  <c r="BU213" i="1" s="1"/>
  <c r="BU214" i="1" a="1"/>
  <c r="BU214" i="1" s="1"/>
  <c r="BU215" i="1" a="1"/>
  <c r="BU215" i="1" s="1"/>
  <c r="BU216" i="1" a="1"/>
  <c r="BU216" i="1" s="1"/>
  <c r="BU217" i="1" a="1"/>
  <c r="BU217" i="1" s="1"/>
  <c r="BU218" i="1" a="1"/>
  <c r="BU218" i="1" s="1"/>
  <c r="BU219" i="1" a="1"/>
  <c r="BU219" i="1" s="1"/>
  <c r="BU220" i="1" a="1"/>
  <c r="BU220" i="1" s="1"/>
  <c r="BU221" i="1" a="1"/>
  <c r="BU221" i="1" s="1"/>
  <c r="BU222" i="1" a="1"/>
  <c r="BU222" i="1" s="1"/>
  <c r="BU223" i="1" a="1"/>
  <c r="BU223" i="1" s="1"/>
  <c r="BU224" i="1" a="1"/>
  <c r="BU224" i="1" s="1"/>
  <c r="BU225" i="1" a="1"/>
  <c r="BU225" i="1" s="1"/>
  <c r="BU226" i="1" a="1"/>
  <c r="BU226" i="1" s="1"/>
  <c r="BU227" i="1" a="1"/>
  <c r="BU227" i="1" s="1"/>
  <c r="BU228" i="1" a="1"/>
  <c r="BU228" i="1" s="1"/>
  <c r="BU229" i="1" a="1"/>
  <c r="BU229" i="1" s="1"/>
  <c r="BU230" i="1" a="1"/>
  <c r="BU230" i="1" s="1"/>
  <c r="BU231" i="1" a="1"/>
  <c r="BU231" i="1" s="1"/>
  <c r="BU232" i="1" a="1"/>
  <c r="BU232" i="1" s="1"/>
  <c r="BU233" i="1" a="1"/>
  <c r="BU233" i="1" s="1"/>
  <c r="BU234" i="1" a="1"/>
  <c r="BU234" i="1" s="1"/>
  <c r="BU235" i="1" a="1"/>
  <c r="BU235" i="1" s="1"/>
  <c r="BU236" i="1" a="1"/>
  <c r="BU236" i="1" s="1"/>
  <c r="BU237" i="1" a="1"/>
  <c r="BU237" i="1" s="1"/>
  <c r="BU238" i="1" a="1"/>
  <c r="BU238" i="1" s="1"/>
  <c r="BU239" i="1" a="1"/>
  <c r="BU239" i="1" s="1"/>
  <c r="BU240" i="1" a="1"/>
  <c r="BU240" i="1" s="1"/>
  <c r="BU241" i="1" a="1"/>
  <c r="BU241" i="1" s="1"/>
  <c r="BU242" i="1" a="1"/>
  <c r="BU242" i="1" s="1"/>
  <c r="BU243" i="1" a="1"/>
  <c r="BU243" i="1" s="1"/>
  <c r="BU244" i="1" a="1"/>
  <c r="BU244" i="1" s="1"/>
  <c r="BU245" i="1" a="1"/>
  <c r="BU245" i="1" s="1"/>
  <c r="BU246" i="1" a="1"/>
  <c r="BU246" i="1" s="1"/>
  <c r="BU247" i="1" a="1"/>
  <c r="BU247" i="1" s="1"/>
  <c r="BU248" i="1" a="1"/>
  <c r="BU248" i="1" s="1"/>
  <c r="BU249" i="1" a="1"/>
  <c r="BU249" i="1" s="1"/>
  <c r="BU250" i="1" a="1"/>
  <c r="BU250" i="1" s="1"/>
  <c r="BU251" i="1" a="1"/>
  <c r="BU251" i="1" s="1"/>
  <c r="BU252" i="1" a="1"/>
  <c r="BU252" i="1" s="1"/>
  <c r="BU253" i="1" a="1"/>
  <c r="BU253" i="1" s="1"/>
  <c r="BU254" i="1" a="1"/>
  <c r="BU254" i="1" s="1"/>
  <c r="BU202" i="1" a="1"/>
  <c r="BU202" i="1" s="1"/>
  <c r="BU256" i="1" a="1"/>
  <c r="BU256" i="1" s="1"/>
  <c r="BU257" i="1" a="1"/>
  <c r="BU257" i="1" s="1"/>
  <c r="BU258" i="1" a="1"/>
  <c r="BU258" i="1" s="1"/>
  <c r="BU259" i="1" a="1"/>
  <c r="BU259" i="1" s="1"/>
  <c r="BU260" i="1" a="1"/>
  <c r="BU260" i="1" s="1"/>
  <c r="BU261" i="1" a="1"/>
  <c r="BU261" i="1" s="1"/>
  <c r="BU262" i="1" a="1"/>
  <c r="BU262" i="1" s="1"/>
  <c r="BU263" i="1" a="1"/>
  <c r="BU263" i="1" s="1"/>
  <c r="BU264" i="1" a="1"/>
  <c r="BU264" i="1" s="1"/>
  <c r="BU265" i="1" a="1"/>
  <c r="BU265" i="1" s="1"/>
  <c r="BU266" i="1" a="1"/>
  <c r="BU266" i="1" s="1"/>
  <c r="BU267" i="1" a="1"/>
  <c r="BU267" i="1" s="1"/>
  <c r="BU268" i="1" a="1"/>
  <c r="BU268" i="1" s="1"/>
  <c r="BU269" i="1" a="1"/>
  <c r="BU269" i="1" s="1"/>
  <c r="BU270" i="1" a="1"/>
  <c r="BU270" i="1" s="1"/>
  <c r="BU271" i="1" a="1"/>
  <c r="BU271" i="1" s="1"/>
  <c r="BU6" i="1" a="1"/>
  <c r="BU6" i="1" s="1"/>
  <c r="BU7" i="1" a="1"/>
  <c r="BU7" i="1" s="1"/>
  <c r="BU8" i="1" a="1"/>
  <c r="BU8" i="1" s="1"/>
  <c r="BU9" i="1" a="1"/>
  <c r="BU9" i="1" s="1"/>
  <c r="BU10" i="1" a="1"/>
  <c r="BU10" i="1" s="1"/>
  <c r="BU11" i="1" a="1"/>
  <c r="BU11" i="1" s="1"/>
  <c r="BU12" i="1" a="1"/>
  <c r="BU12" i="1" s="1"/>
  <c r="BU13" i="1" a="1"/>
  <c r="BU13" i="1" s="1"/>
  <c r="BU15" i="1" a="1"/>
  <c r="BU15" i="1" s="1"/>
  <c r="BU16" i="1" a="1"/>
  <c r="BU16" i="1" s="1"/>
  <c r="BU17" i="1" a="1"/>
  <c r="BU17" i="1" s="1"/>
  <c r="BU18" i="1" a="1"/>
  <c r="BU18" i="1" s="1"/>
  <c r="BU90" i="1" a="1"/>
  <c r="BU90" i="1" s="1"/>
  <c r="BU20" i="1" a="1"/>
  <c r="BU20" i="1" s="1"/>
  <c r="BU21" i="1" a="1"/>
  <c r="BU21" i="1" s="1"/>
  <c r="BU22" i="1" a="1"/>
  <c r="BU22" i="1" s="1"/>
  <c r="BU23" i="1" a="1"/>
  <c r="BU23" i="1" s="1"/>
  <c r="BU24" i="1" a="1"/>
  <c r="BU24" i="1" s="1"/>
  <c r="BU25" i="1" a="1"/>
  <c r="BU25" i="1" s="1"/>
  <c r="BU26" i="1" a="1"/>
  <c r="BU26" i="1" s="1"/>
  <c r="BU27" i="1" a="1"/>
  <c r="BU27" i="1" s="1"/>
  <c r="BU28" i="1" a="1"/>
  <c r="BU28" i="1" s="1"/>
  <c r="BU29" i="1" a="1"/>
  <c r="BU29" i="1" s="1"/>
  <c r="BU30" i="1" a="1"/>
  <c r="BU30" i="1" s="1"/>
  <c r="BU31" i="1" a="1"/>
  <c r="BU31" i="1" s="1"/>
  <c r="BU32" i="1" a="1"/>
  <c r="BU32" i="1" s="1"/>
  <c r="BU33" i="1" a="1"/>
  <c r="BU33" i="1" s="1"/>
  <c r="BU34" i="1" a="1"/>
  <c r="BU34" i="1" s="1"/>
  <c r="BU209" i="1" a="1"/>
  <c r="BU209" i="1" s="1"/>
  <c r="BU36" i="1" a="1"/>
  <c r="BU36" i="1" s="1"/>
  <c r="BU37" i="1" a="1"/>
  <c r="BU37" i="1" s="1"/>
  <c r="BU38" i="1" a="1"/>
  <c r="BU38" i="1" s="1"/>
  <c r="BU39" i="1" a="1"/>
  <c r="BU39" i="1" s="1"/>
  <c r="BU40" i="1" a="1"/>
  <c r="BU40" i="1" s="1"/>
  <c r="BU41" i="1" a="1"/>
  <c r="BU41" i="1" s="1"/>
  <c r="BU42" i="1" a="1"/>
  <c r="BU42" i="1" s="1"/>
  <c r="BU43" i="1" a="1"/>
  <c r="BU43" i="1" s="1"/>
  <c r="BU44" i="1" a="1"/>
  <c r="BU44" i="1" s="1"/>
  <c r="BU45" i="1" a="1"/>
  <c r="BU45" i="1" s="1"/>
  <c r="BU46" i="1" a="1"/>
  <c r="BU46" i="1" s="1"/>
  <c r="BU47" i="1" a="1"/>
  <c r="BU47" i="1" s="1"/>
  <c r="BU48" i="1" a="1"/>
  <c r="BU48" i="1" s="1"/>
  <c r="BU49" i="1" a="1"/>
  <c r="BU49" i="1" s="1"/>
  <c r="BU50" i="1" a="1"/>
  <c r="BU50" i="1" s="1"/>
  <c r="BU51" i="1" a="1"/>
  <c r="BU51" i="1" s="1"/>
  <c r="BU52" i="1" a="1"/>
  <c r="BU52" i="1" s="1"/>
  <c r="BU53" i="1" a="1"/>
  <c r="BU53" i="1" s="1"/>
  <c r="BU54" i="1" a="1"/>
  <c r="BU54" i="1" s="1"/>
  <c r="BU55" i="1" a="1"/>
  <c r="BU55" i="1" s="1"/>
  <c r="BU56" i="1" a="1"/>
  <c r="BU56" i="1" s="1"/>
  <c r="BU57" i="1" a="1"/>
  <c r="BU57" i="1" s="1"/>
  <c r="BU58" i="1" a="1"/>
  <c r="BU58" i="1" s="1"/>
  <c r="BU59" i="1" a="1"/>
  <c r="BU59" i="1" s="1"/>
  <c r="BU60" i="1" a="1"/>
  <c r="BU60" i="1" s="1"/>
  <c r="BU61" i="1" a="1"/>
  <c r="BU61" i="1" s="1"/>
  <c r="BU62" i="1" a="1"/>
  <c r="BU62" i="1" s="1"/>
  <c r="BU63" i="1" a="1"/>
  <c r="BU63" i="1" s="1"/>
  <c r="BU64" i="1" a="1"/>
  <c r="BU64" i="1" s="1"/>
  <c r="BU127" i="1" a="1"/>
  <c r="BU127" i="1" s="1"/>
  <c r="BU66" i="1" a="1"/>
  <c r="BU66" i="1" s="1"/>
  <c r="BU121" i="1" a="1"/>
  <c r="BU121" i="1" s="1"/>
  <c r="BU68" i="1" a="1"/>
  <c r="BU68" i="1" s="1"/>
  <c r="BU69" i="1" a="1"/>
  <c r="BU69" i="1" s="1"/>
  <c r="BU184" i="1" a="1"/>
  <c r="BU184" i="1" s="1"/>
  <c r="BU71" i="1" a="1"/>
  <c r="BU71" i="1" s="1"/>
  <c r="BU72" i="1" a="1"/>
  <c r="BU72" i="1" s="1"/>
  <c r="DP6" i="1" a="1"/>
  <c r="DP6" i="1" s="1"/>
  <c r="CO6" i="1" l="1"/>
  <c r="CS6" i="1" l="1"/>
  <c r="CP6" i="1"/>
  <c r="CT6" i="1"/>
  <c r="CQ6" i="1"/>
  <c r="CU6" i="1"/>
  <c r="DY180" i="1"/>
  <c r="CV6" i="1" l="1" a="1"/>
  <c r="CV6" i="1" s="1"/>
  <c r="CW6" i="1" a="1"/>
  <c r="CW6" i="1" s="1"/>
  <c r="DY90" i="1"/>
  <c r="CX6" i="1" l="1"/>
  <c r="CY6" i="1" l="1"/>
  <c r="DL6" i="1"/>
  <c r="DE6" i="1"/>
  <c r="DF6" i="1"/>
  <c r="DH6" i="1"/>
  <c r="DG6" i="1"/>
  <c r="DC6" i="1"/>
  <c r="DD6" i="1"/>
  <c r="DJ6" i="1"/>
  <c r="DB6" i="1"/>
  <c r="DA6" i="1"/>
  <c r="DI6" i="1"/>
  <c r="DK6" i="1"/>
  <c r="CZ6" i="1"/>
  <c r="DO6" i="1" l="1" a="1"/>
  <c r="DO6" i="1" s="1"/>
  <c r="DN6" i="1" a="1"/>
  <c r="DN6" i="1" s="1"/>
  <c r="DX6" i="1" l="1"/>
  <c r="DR6" i="1"/>
  <c r="DS6" i="1"/>
  <c r="DQ6" i="1" l="1"/>
  <c r="DP7" i="1" a="1"/>
  <c r="DP7" i="1" s="1"/>
  <c r="DP8" i="1" a="1"/>
  <c r="DP8" i="1" s="1"/>
  <c r="DP9" i="1" a="1"/>
  <c r="DP9" i="1" s="1"/>
  <c r="DP10" i="1" a="1"/>
  <c r="DP10" i="1" s="1"/>
  <c r="DP11" i="1" a="1"/>
  <c r="DP11" i="1" s="1"/>
  <c r="DP12" i="1" a="1"/>
  <c r="DP12" i="1" s="1"/>
  <c r="DP13" i="1" a="1"/>
  <c r="DP13" i="1" s="1"/>
  <c r="DP186" i="1" a="1"/>
  <c r="DP186" i="1" s="1"/>
  <c r="DP15" i="1" a="1"/>
  <c r="DP15" i="1" s="1"/>
  <c r="DP16" i="1" a="1"/>
  <c r="DP16" i="1" s="1"/>
  <c r="DP17" i="1" a="1"/>
  <c r="DP17" i="1" s="1"/>
  <c r="DP18" i="1" a="1"/>
  <c r="DP18" i="1" s="1"/>
  <c r="DP90" i="1" a="1"/>
  <c r="DP90" i="1" s="1"/>
  <c r="DP20" i="1" a="1"/>
  <c r="DP20" i="1" s="1"/>
  <c r="DP21" i="1" a="1"/>
  <c r="DP21" i="1" s="1"/>
  <c r="DP22" i="1" a="1"/>
  <c r="DP22" i="1" s="1"/>
  <c r="DP23" i="1" a="1"/>
  <c r="DP23" i="1" s="1"/>
  <c r="DP24" i="1" a="1"/>
  <c r="DP24" i="1" s="1"/>
  <c r="DP25" i="1" a="1"/>
  <c r="DP25" i="1" s="1"/>
  <c r="DP26" i="1" a="1"/>
  <c r="DP26" i="1" s="1"/>
  <c r="DP27" i="1" a="1"/>
  <c r="DP27" i="1" s="1"/>
  <c r="DP28" i="1" a="1"/>
  <c r="DP28" i="1" s="1"/>
  <c r="DP29" i="1" a="1"/>
  <c r="DP29" i="1" s="1"/>
  <c r="DP30" i="1" a="1"/>
  <c r="DP30" i="1" s="1"/>
  <c r="DP31" i="1" a="1"/>
  <c r="DP31" i="1" s="1"/>
  <c r="DP32" i="1" a="1"/>
  <c r="DP32" i="1" s="1"/>
  <c r="DP33" i="1" a="1"/>
  <c r="DP33" i="1" s="1"/>
  <c r="DP34" i="1" a="1"/>
  <c r="DP34" i="1" s="1"/>
  <c r="DP209" i="1" a="1"/>
  <c r="DP209" i="1" s="1"/>
  <c r="DP36" i="1" a="1"/>
  <c r="DP36" i="1" s="1"/>
  <c r="DP37" i="1" a="1"/>
  <c r="DP37" i="1" s="1"/>
  <c r="DP38" i="1" a="1"/>
  <c r="DP38" i="1" s="1"/>
  <c r="DP39" i="1" a="1"/>
  <c r="DP39" i="1" s="1"/>
  <c r="DP40" i="1" a="1"/>
  <c r="DP40" i="1" s="1"/>
  <c r="DP41" i="1" a="1"/>
  <c r="DP41" i="1" s="1"/>
  <c r="DP42" i="1" a="1"/>
  <c r="DP42" i="1" s="1"/>
  <c r="DP43" i="1" a="1"/>
  <c r="DP43" i="1" s="1"/>
  <c r="DP44" i="1" a="1"/>
  <c r="DP44" i="1" s="1"/>
  <c r="DP45" i="1" a="1"/>
  <c r="DP45" i="1" s="1"/>
  <c r="DP46" i="1" a="1"/>
  <c r="DP46" i="1" s="1"/>
  <c r="DP47" i="1" a="1"/>
  <c r="DP47" i="1" s="1"/>
  <c r="DP48" i="1" a="1"/>
  <c r="DP48" i="1" s="1"/>
  <c r="DP49" i="1" a="1"/>
  <c r="DP49" i="1" s="1"/>
  <c r="DP50" i="1" a="1"/>
  <c r="DP50" i="1" s="1"/>
  <c r="DP51" i="1" a="1"/>
  <c r="DP51" i="1" s="1"/>
  <c r="DP52" i="1" a="1"/>
  <c r="DP52" i="1" s="1"/>
  <c r="DP53" i="1" a="1"/>
  <c r="DP53" i="1" s="1"/>
  <c r="DP54" i="1" a="1"/>
  <c r="DP54" i="1" s="1"/>
  <c r="DP55" i="1" a="1"/>
  <c r="DP55" i="1" s="1"/>
  <c r="DP56" i="1" a="1"/>
  <c r="DP56" i="1" s="1"/>
  <c r="DP57" i="1" a="1"/>
  <c r="DP57" i="1" s="1"/>
  <c r="DP58" i="1" a="1"/>
  <c r="DP58" i="1" s="1"/>
  <c r="DP59" i="1" a="1"/>
  <c r="DP59" i="1" s="1"/>
  <c r="DP60" i="1" a="1"/>
  <c r="DP60" i="1" s="1"/>
  <c r="DP61" i="1" a="1"/>
  <c r="DP61" i="1" s="1"/>
  <c r="DP62" i="1" a="1"/>
  <c r="DP62" i="1" s="1"/>
  <c r="DP63" i="1" a="1"/>
  <c r="DP63" i="1" s="1"/>
  <c r="DP64" i="1" a="1"/>
  <c r="DP64" i="1" s="1"/>
  <c r="DP127" i="1" a="1"/>
  <c r="DP127" i="1" s="1"/>
  <c r="DP66" i="1" a="1"/>
  <c r="DP66" i="1" s="1"/>
  <c r="DP121" i="1" a="1"/>
  <c r="DP121" i="1" s="1"/>
  <c r="DP68" i="1" a="1"/>
  <c r="DP68" i="1" s="1"/>
  <c r="DP69" i="1" a="1"/>
  <c r="DP69" i="1" s="1"/>
  <c r="DP184" i="1" a="1"/>
  <c r="DP184" i="1" s="1"/>
  <c r="DP71" i="1" a="1"/>
  <c r="DP71" i="1" s="1"/>
  <c r="DP72" i="1" a="1"/>
  <c r="DP72" i="1" s="1"/>
  <c r="DP73" i="1" a="1"/>
  <c r="DP73" i="1" s="1"/>
  <c r="DP74" i="1" a="1"/>
  <c r="DP74" i="1" s="1"/>
  <c r="DP75" i="1" a="1"/>
  <c r="DP75" i="1" s="1"/>
  <c r="DP76" i="1" a="1"/>
  <c r="DP76" i="1" s="1"/>
  <c r="DP77" i="1" a="1"/>
  <c r="DP77" i="1" s="1"/>
  <c r="DP78" i="1" a="1"/>
  <c r="DP78" i="1" s="1"/>
  <c r="DP79" i="1" a="1"/>
  <c r="DP79" i="1" s="1"/>
  <c r="DP80" i="1" a="1"/>
  <c r="DP80" i="1" s="1"/>
  <c r="DP81" i="1" a="1"/>
  <c r="DP81" i="1" s="1"/>
  <c r="DP82" i="1" a="1"/>
  <c r="DP82" i="1" s="1"/>
  <c r="DP83" i="1" a="1"/>
  <c r="DP83" i="1" s="1"/>
  <c r="DP84" i="1" a="1"/>
  <c r="DP84" i="1" s="1"/>
  <c r="DP85" i="1" a="1"/>
  <c r="DP85" i="1" s="1"/>
  <c r="DP86" i="1" a="1"/>
  <c r="DP86" i="1" s="1"/>
  <c r="DP87" i="1" a="1"/>
  <c r="DP87" i="1" s="1"/>
  <c r="DP88" i="1" a="1"/>
  <c r="DP88" i="1" s="1"/>
  <c r="DP124" i="1" a="1"/>
  <c r="DP124" i="1" s="1"/>
  <c r="DP163" i="1" a="1"/>
  <c r="DP163" i="1" s="1"/>
  <c r="DP91" i="1" a="1"/>
  <c r="DP91" i="1" s="1"/>
  <c r="DP93" i="1" a="1"/>
  <c r="DP93" i="1" s="1"/>
  <c r="DP94" i="1" a="1"/>
  <c r="DP94" i="1" s="1"/>
  <c r="DP95" i="1" a="1"/>
  <c r="DP95" i="1" s="1"/>
  <c r="DP96" i="1" a="1"/>
  <c r="DP96" i="1" s="1"/>
  <c r="DP97" i="1" a="1"/>
  <c r="DP97" i="1" s="1"/>
  <c r="DP98" i="1" a="1"/>
  <c r="DP98" i="1" s="1"/>
  <c r="DP99" i="1" a="1"/>
  <c r="DP99" i="1" s="1"/>
  <c r="DP100" i="1" a="1"/>
  <c r="DP100" i="1" s="1"/>
  <c r="DP101" i="1" a="1"/>
  <c r="DP101" i="1" s="1"/>
  <c r="DP102" i="1" a="1"/>
  <c r="DP102" i="1" s="1"/>
  <c r="DP103" i="1" a="1"/>
  <c r="DP103" i="1" s="1"/>
  <c r="DP104" i="1" a="1"/>
  <c r="DP104" i="1" s="1"/>
  <c r="DP105" i="1" a="1"/>
  <c r="DP105" i="1" s="1"/>
  <c r="DP106" i="1" a="1"/>
  <c r="DP106" i="1" s="1"/>
  <c r="DP107" i="1" a="1"/>
  <c r="DP107" i="1" s="1"/>
  <c r="DP108" i="1" a="1"/>
  <c r="DP108" i="1" s="1"/>
  <c r="DP109" i="1" a="1"/>
  <c r="DP109" i="1" s="1"/>
  <c r="DP110" i="1" a="1"/>
  <c r="DP110" i="1" s="1"/>
  <c r="DP111" i="1" a="1"/>
  <c r="DP111" i="1" s="1"/>
  <c r="DP112" i="1" a="1"/>
  <c r="DP112" i="1" s="1"/>
  <c r="DP113" i="1" a="1"/>
  <c r="DP113" i="1" s="1"/>
  <c r="DP89" i="1" a="1"/>
  <c r="DP89" i="1" s="1"/>
  <c r="DP115" i="1" a="1"/>
  <c r="DP115" i="1" s="1"/>
  <c r="DP116" i="1" a="1"/>
  <c r="DP116" i="1" s="1"/>
  <c r="DP117" i="1" a="1"/>
  <c r="DP117" i="1" s="1"/>
  <c r="DP118" i="1" a="1"/>
  <c r="DP118" i="1" s="1"/>
  <c r="DP119" i="1" a="1"/>
  <c r="DP119" i="1" s="1"/>
  <c r="DP67" i="1" a="1"/>
  <c r="DP67" i="1" s="1"/>
  <c r="DP70" i="1" a="1"/>
  <c r="DP70" i="1" s="1"/>
  <c r="DP122" i="1" a="1"/>
  <c r="DP122" i="1" s="1"/>
  <c r="DP123" i="1" a="1"/>
  <c r="DP123" i="1" s="1"/>
  <c r="DP153" i="1" a="1"/>
  <c r="DP153" i="1" s="1"/>
  <c r="DP125" i="1" a="1"/>
  <c r="DP125" i="1" s="1"/>
  <c r="DP126" i="1" a="1"/>
  <c r="DP126" i="1" s="1"/>
  <c r="DP14" i="1" a="1"/>
  <c r="DP14" i="1" s="1"/>
  <c r="DP128" i="1" a="1"/>
  <c r="DP128" i="1" s="1"/>
  <c r="DP129" i="1" a="1"/>
  <c r="DP129" i="1" s="1"/>
  <c r="DP130" i="1" a="1"/>
  <c r="DP130" i="1" s="1"/>
  <c r="DP131" i="1" a="1"/>
  <c r="DP131" i="1" s="1"/>
  <c r="DP132" i="1" a="1"/>
  <c r="DP132" i="1" s="1"/>
  <c r="DP133" i="1" a="1"/>
  <c r="DP133" i="1" s="1"/>
  <c r="DP134" i="1" a="1"/>
  <c r="DP134" i="1" s="1"/>
  <c r="DP135" i="1" a="1"/>
  <c r="DP135" i="1" s="1"/>
  <c r="DP136" i="1" a="1"/>
  <c r="DP136" i="1" s="1"/>
  <c r="DP137" i="1" a="1"/>
  <c r="DP137" i="1" s="1"/>
  <c r="DP138" i="1" a="1"/>
  <c r="DP138" i="1" s="1"/>
  <c r="DP139" i="1" a="1"/>
  <c r="DP139" i="1" s="1"/>
  <c r="DP140" i="1" a="1"/>
  <c r="DP140" i="1" s="1"/>
  <c r="DP141" i="1" a="1"/>
  <c r="DP141" i="1" s="1"/>
  <c r="DP142" i="1" a="1"/>
  <c r="DP142" i="1" s="1"/>
  <c r="DP143" i="1" a="1"/>
  <c r="DP143" i="1" s="1"/>
  <c r="DP144" i="1" a="1"/>
  <c r="DP144" i="1" s="1"/>
  <c r="DP145" i="1" a="1"/>
  <c r="DP145" i="1" s="1"/>
  <c r="DP146" i="1" a="1"/>
  <c r="DP146" i="1" s="1"/>
  <c r="DP147" i="1" a="1"/>
  <c r="DP147" i="1" s="1"/>
  <c r="DP148" i="1" a="1"/>
  <c r="DP148" i="1" s="1"/>
  <c r="DP149" i="1" a="1"/>
  <c r="DP149" i="1" s="1"/>
  <c r="DP150" i="1" a="1"/>
  <c r="DP150" i="1" s="1"/>
  <c r="DP151" i="1" a="1"/>
  <c r="DP151" i="1" s="1"/>
  <c r="DP152" i="1" a="1"/>
  <c r="DP152" i="1" s="1"/>
  <c r="DP120" i="1" a="1"/>
  <c r="DP120" i="1" s="1"/>
  <c r="DP154" i="1" a="1"/>
  <c r="DP154" i="1" s="1"/>
  <c r="DP92" i="1" a="1"/>
  <c r="DP92" i="1" s="1"/>
  <c r="DP156" i="1" a="1"/>
  <c r="DP156" i="1" s="1"/>
  <c r="DP157" i="1" a="1"/>
  <c r="DP157" i="1" s="1"/>
  <c r="DP158" i="1" a="1"/>
  <c r="DP158" i="1" s="1"/>
  <c r="DP159" i="1" a="1"/>
  <c r="DP159" i="1" s="1"/>
  <c r="DP160" i="1" a="1"/>
  <c r="DP160" i="1" s="1"/>
  <c r="DP161" i="1" a="1"/>
  <c r="DP161" i="1" s="1"/>
  <c r="DP162" i="1" a="1"/>
  <c r="DP162" i="1" s="1"/>
  <c r="DP65" i="1" a="1"/>
  <c r="DP65" i="1" s="1"/>
  <c r="DP164" i="1" a="1"/>
  <c r="DP164" i="1" s="1"/>
  <c r="DP165" i="1" a="1"/>
  <c r="DP165" i="1" s="1"/>
  <c r="DP166" i="1" a="1"/>
  <c r="DP166" i="1" s="1"/>
  <c r="DP167" i="1" a="1"/>
  <c r="DP167" i="1" s="1"/>
  <c r="DP168" i="1" a="1"/>
  <c r="DP168" i="1" s="1"/>
  <c r="DP169" i="1" a="1"/>
  <c r="DP169" i="1" s="1"/>
  <c r="DP170" i="1" a="1"/>
  <c r="DP170" i="1" s="1"/>
  <c r="DP171" i="1" a="1"/>
  <c r="DP171" i="1" s="1"/>
  <c r="DP172" i="1" a="1"/>
  <c r="DP172" i="1" s="1"/>
  <c r="DP173" i="1" a="1"/>
  <c r="DP173" i="1" s="1"/>
  <c r="DP174" i="1" a="1"/>
  <c r="DP174" i="1" s="1"/>
  <c r="DP175" i="1" a="1"/>
  <c r="DP175" i="1" s="1"/>
  <c r="DP176" i="1" a="1"/>
  <c r="DP176" i="1" s="1"/>
  <c r="DP177" i="1" a="1"/>
  <c r="DP177" i="1" s="1"/>
  <c r="DP178" i="1" a="1"/>
  <c r="DP178" i="1" s="1"/>
  <c r="DP179" i="1" a="1"/>
  <c r="DP179" i="1" s="1"/>
  <c r="DP155" i="1" a="1"/>
  <c r="DP155" i="1" s="1"/>
  <c r="DP181" i="1" a="1"/>
  <c r="DP181" i="1" s="1"/>
  <c r="DP182" i="1" a="1"/>
  <c r="DP182" i="1" s="1"/>
  <c r="DP183" i="1" a="1"/>
  <c r="DP183" i="1" s="1"/>
  <c r="DP191" i="1" a="1"/>
  <c r="DP191" i="1" s="1"/>
  <c r="DP185" i="1" a="1"/>
  <c r="DP185" i="1" s="1"/>
  <c r="DP19" i="1" a="1"/>
  <c r="DP19" i="1" s="1"/>
  <c r="DP187" i="1" a="1"/>
  <c r="DP187" i="1" s="1"/>
  <c r="DP188" i="1" a="1"/>
  <c r="DP188" i="1" s="1"/>
  <c r="DP189" i="1" a="1"/>
  <c r="DP189" i="1" s="1"/>
  <c r="DP190" i="1" a="1"/>
  <c r="DP190" i="1" s="1"/>
  <c r="DP35" i="1" a="1"/>
  <c r="DP35" i="1" s="1"/>
  <c r="DP192" i="1" a="1"/>
  <c r="DP192" i="1" s="1"/>
  <c r="DP193" i="1" a="1"/>
  <c r="DP193" i="1" s="1"/>
  <c r="DP194" i="1" a="1"/>
  <c r="DP194" i="1" s="1"/>
  <c r="DP195" i="1" a="1"/>
  <c r="DP195" i="1" s="1"/>
  <c r="DP196" i="1" a="1"/>
  <c r="DP196" i="1" s="1"/>
  <c r="DP197" i="1" a="1"/>
  <c r="DP197" i="1" s="1"/>
  <c r="DP198" i="1" a="1"/>
  <c r="DP198" i="1" s="1"/>
  <c r="DP199" i="1" a="1"/>
  <c r="DP199" i="1" s="1"/>
  <c r="DP200" i="1" a="1"/>
  <c r="DP200" i="1" s="1"/>
  <c r="DP201" i="1" a="1"/>
  <c r="DP201" i="1" s="1"/>
  <c r="DP255" i="1" a="1"/>
  <c r="DP255" i="1" s="1"/>
  <c r="DP203" i="1" a="1"/>
  <c r="DP203" i="1" s="1"/>
  <c r="DP204" i="1" a="1"/>
  <c r="DP204" i="1" s="1"/>
  <c r="DP205" i="1" a="1"/>
  <c r="DP205" i="1" s="1"/>
  <c r="DP206" i="1" a="1"/>
  <c r="DP206" i="1" s="1"/>
  <c r="DP207" i="1" a="1"/>
  <c r="DP207" i="1" s="1"/>
  <c r="DP208" i="1" a="1"/>
  <c r="DP208" i="1" s="1"/>
  <c r="DP114" i="1" a="1"/>
  <c r="DP114" i="1" s="1"/>
  <c r="DP210" i="1" a="1"/>
  <c r="DP210" i="1" s="1"/>
  <c r="DP211" i="1" a="1"/>
  <c r="DP211" i="1" s="1"/>
  <c r="DP212" i="1" a="1"/>
  <c r="DP212" i="1" s="1"/>
  <c r="DP213" i="1" a="1"/>
  <c r="DP213" i="1" s="1"/>
  <c r="DP214" i="1" a="1"/>
  <c r="DP214" i="1" s="1"/>
  <c r="DP215" i="1" a="1"/>
  <c r="DP215" i="1" s="1"/>
  <c r="DP216" i="1" a="1"/>
  <c r="DP216" i="1" s="1"/>
  <c r="DP217" i="1" a="1"/>
  <c r="DP217" i="1" s="1"/>
  <c r="DP218" i="1" a="1"/>
  <c r="DP218" i="1" s="1"/>
  <c r="DP219" i="1" a="1"/>
  <c r="DP219" i="1" s="1"/>
  <c r="DP220" i="1" a="1"/>
  <c r="DP220" i="1" s="1"/>
  <c r="DP221" i="1" a="1"/>
  <c r="DP221" i="1" s="1"/>
  <c r="DP222" i="1" a="1"/>
  <c r="DP222" i="1" s="1"/>
  <c r="DP223" i="1" a="1"/>
  <c r="DP223" i="1" s="1"/>
  <c r="DP224" i="1" a="1"/>
  <c r="DP224" i="1" s="1"/>
  <c r="DP225" i="1" a="1"/>
  <c r="DP225" i="1" s="1"/>
  <c r="DP226" i="1" a="1"/>
  <c r="DP226" i="1" s="1"/>
  <c r="DP227" i="1" a="1"/>
  <c r="DP227" i="1" s="1"/>
  <c r="DP228" i="1" a="1"/>
  <c r="DP228" i="1" s="1"/>
  <c r="DP229" i="1" a="1"/>
  <c r="DP229" i="1" s="1"/>
  <c r="DP230" i="1" a="1"/>
  <c r="DP230" i="1" s="1"/>
  <c r="DP231" i="1" a="1"/>
  <c r="DP231" i="1" s="1"/>
  <c r="DP232" i="1" a="1"/>
  <c r="DP232" i="1" s="1"/>
  <c r="DP233" i="1" a="1"/>
  <c r="DP233" i="1" s="1"/>
  <c r="DP234" i="1" a="1"/>
  <c r="DP234" i="1" s="1"/>
  <c r="DP235" i="1" a="1"/>
  <c r="DP235" i="1" s="1"/>
  <c r="DP236" i="1" a="1"/>
  <c r="DP236" i="1" s="1"/>
  <c r="DP237" i="1" a="1"/>
  <c r="DP237" i="1" s="1"/>
  <c r="DP238" i="1" a="1"/>
  <c r="DP238" i="1" s="1"/>
  <c r="DP239" i="1" a="1"/>
  <c r="DP239" i="1" s="1"/>
  <c r="DP240" i="1" a="1"/>
  <c r="DP240" i="1" s="1"/>
  <c r="DP241" i="1" a="1"/>
  <c r="DP241" i="1" s="1"/>
  <c r="DP242" i="1" a="1"/>
  <c r="DP242" i="1" s="1"/>
  <c r="DP243" i="1" a="1"/>
  <c r="DP243" i="1" s="1"/>
  <c r="DP244" i="1" a="1"/>
  <c r="DP244" i="1" s="1"/>
  <c r="DP245" i="1" a="1"/>
  <c r="DP245" i="1" s="1"/>
  <c r="DP246" i="1" a="1"/>
  <c r="DP246" i="1" s="1"/>
  <c r="DP247" i="1" a="1"/>
  <c r="DP247" i="1" s="1"/>
  <c r="DP248" i="1" a="1"/>
  <c r="DP248" i="1" s="1"/>
  <c r="DP249" i="1" a="1"/>
  <c r="DP249" i="1" s="1"/>
  <c r="DP250" i="1" a="1"/>
  <c r="DP250" i="1" s="1"/>
  <c r="DP251" i="1" a="1"/>
  <c r="DP251" i="1" s="1"/>
  <c r="DP252" i="1" a="1"/>
  <c r="DP252" i="1" s="1"/>
  <c r="DP253" i="1" a="1"/>
  <c r="DP253" i="1" s="1"/>
  <c r="DP254" i="1" a="1"/>
  <c r="DP254" i="1" s="1"/>
  <c r="DP202" i="1" a="1"/>
  <c r="DP202" i="1" s="1"/>
  <c r="DP256" i="1" a="1"/>
  <c r="DP256" i="1" s="1"/>
  <c r="DP257" i="1" a="1"/>
  <c r="DP257" i="1" s="1"/>
  <c r="DP258" i="1" a="1"/>
  <c r="DP258" i="1" s="1"/>
  <c r="DP259" i="1" a="1"/>
  <c r="DP259" i="1" s="1"/>
  <c r="DP260" i="1" a="1"/>
  <c r="DP260" i="1" s="1"/>
  <c r="DP261" i="1" a="1"/>
  <c r="DP261" i="1" s="1"/>
  <c r="DP262" i="1" a="1"/>
  <c r="DP262" i="1" s="1"/>
  <c r="DP263" i="1" a="1"/>
  <c r="DP263" i="1" s="1"/>
  <c r="DP264" i="1" a="1"/>
  <c r="DP264" i="1" s="1"/>
  <c r="DP265" i="1" a="1"/>
  <c r="DP265" i="1" s="1"/>
  <c r="DP266" i="1" a="1"/>
  <c r="DP266" i="1" s="1"/>
  <c r="DP267" i="1" a="1"/>
  <c r="DP267" i="1" s="1"/>
  <c r="DP268" i="1" a="1"/>
  <c r="DP268" i="1" s="1"/>
  <c r="DP269" i="1" a="1"/>
  <c r="DP269" i="1" s="1"/>
  <c r="DP270" i="1" a="1"/>
  <c r="DP270" i="1" s="1"/>
  <c r="DP271" i="1" a="1"/>
  <c r="DP271" i="1" s="1"/>
  <c r="BQ23" i="1" l="1" a="1"/>
  <c r="BQ23" i="1" s="1"/>
  <c r="CD23" i="1" s="1"/>
  <c r="BQ24" i="1" a="1"/>
  <c r="BQ24" i="1" s="1"/>
  <c r="CD24" i="1" s="1"/>
  <c r="BQ25" i="1" a="1"/>
  <c r="BQ25" i="1" s="1"/>
  <c r="CD25" i="1" s="1"/>
  <c r="BQ26" i="1" a="1"/>
  <c r="BQ26" i="1" s="1"/>
  <c r="CD26" i="1" s="1"/>
  <c r="BQ27" i="1" a="1"/>
  <c r="BQ27" i="1" s="1"/>
  <c r="CD27" i="1" s="1"/>
  <c r="BQ28" i="1" a="1"/>
  <c r="BQ28" i="1" s="1"/>
  <c r="CD28" i="1" s="1"/>
  <c r="BQ29" i="1" a="1"/>
  <c r="BQ29" i="1" s="1"/>
  <c r="CD29" i="1" s="1"/>
  <c r="BQ30" i="1" a="1"/>
  <c r="BQ30" i="1" s="1"/>
  <c r="CD30" i="1" s="1"/>
  <c r="BQ31" i="1" a="1"/>
  <c r="BQ31" i="1" s="1"/>
  <c r="CD31" i="1" s="1"/>
  <c r="BQ32" i="1" a="1"/>
  <c r="BQ32" i="1" s="1"/>
  <c r="CD32" i="1" s="1"/>
  <c r="BQ33" i="1" a="1"/>
  <c r="BQ33" i="1" s="1"/>
  <c r="CD33" i="1" s="1"/>
  <c r="BQ34" i="1" a="1"/>
  <c r="BQ34" i="1" s="1"/>
  <c r="CD34" i="1" s="1"/>
  <c r="BQ36" i="1" a="1"/>
  <c r="BQ36" i="1" s="1"/>
  <c r="CD36" i="1" s="1"/>
  <c r="BQ37" i="1" a="1"/>
  <c r="BQ37" i="1" s="1"/>
  <c r="CD37" i="1" s="1"/>
  <c r="BQ38" i="1" a="1"/>
  <c r="BQ38" i="1" s="1"/>
  <c r="CD38" i="1" s="1"/>
  <c r="BQ39" i="1" a="1"/>
  <c r="BQ39" i="1" s="1"/>
  <c r="CD39" i="1" s="1"/>
  <c r="BQ40" i="1" a="1"/>
  <c r="BQ40" i="1" s="1"/>
  <c r="CD40" i="1" s="1"/>
  <c r="BQ41" i="1" a="1"/>
  <c r="BQ41" i="1" s="1"/>
  <c r="CD41" i="1" s="1"/>
  <c r="BQ42" i="1" a="1"/>
  <c r="BQ42" i="1" s="1"/>
  <c r="CD42" i="1" s="1"/>
  <c r="BQ43" i="1" a="1"/>
  <c r="BQ43" i="1" s="1"/>
  <c r="CD43" i="1" s="1"/>
  <c r="BQ44" i="1" a="1"/>
  <c r="BQ44" i="1" s="1"/>
  <c r="CD44" i="1" s="1"/>
  <c r="BQ45" i="1" a="1"/>
  <c r="BQ45" i="1" s="1"/>
  <c r="CD45" i="1" s="1"/>
  <c r="BQ46" i="1" a="1"/>
  <c r="BQ46" i="1" s="1"/>
  <c r="CD46" i="1" s="1"/>
  <c r="BQ47" i="1" a="1"/>
  <c r="BQ47" i="1" s="1"/>
  <c r="CD47" i="1" s="1"/>
  <c r="BQ48" i="1" a="1"/>
  <c r="BQ48" i="1" s="1"/>
  <c r="CD48" i="1" s="1"/>
  <c r="BQ49" i="1" a="1"/>
  <c r="BQ49" i="1" s="1"/>
  <c r="CD49" i="1" s="1"/>
  <c r="BQ50" i="1" a="1"/>
  <c r="BQ50" i="1" s="1"/>
  <c r="CD50" i="1" s="1"/>
  <c r="BQ51" i="1" a="1"/>
  <c r="BQ51" i="1" s="1"/>
  <c r="CD51" i="1" s="1"/>
  <c r="BQ52" i="1" a="1"/>
  <c r="BQ52" i="1" s="1"/>
  <c r="CD52" i="1" s="1"/>
  <c r="BQ53" i="1" a="1"/>
  <c r="BQ53" i="1" s="1"/>
  <c r="CD53" i="1" s="1"/>
  <c r="BQ54" i="1" a="1"/>
  <c r="BQ54" i="1" s="1"/>
  <c r="CD54" i="1" s="1"/>
  <c r="BQ56" i="1" a="1"/>
  <c r="BQ56" i="1" s="1"/>
  <c r="CD56" i="1" s="1"/>
  <c r="BQ57" i="1" a="1"/>
  <c r="BQ57" i="1" s="1"/>
  <c r="CD57" i="1" s="1"/>
  <c r="BQ58" i="1" a="1"/>
  <c r="BQ58" i="1" s="1"/>
  <c r="CD58" i="1" s="1"/>
  <c r="BQ59" i="1" a="1"/>
  <c r="BQ59" i="1" s="1"/>
  <c r="CD59" i="1" s="1"/>
  <c r="BQ60" i="1" a="1"/>
  <c r="BQ60" i="1" s="1"/>
  <c r="CD60" i="1" s="1"/>
  <c r="BQ61" i="1" a="1"/>
  <c r="BQ61" i="1" s="1"/>
  <c r="CD61" i="1" s="1"/>
  <c r="BQ62" i="1" a="1"/>
  <c r="BQ62" i="1" s="1"/>
  <c r="CD62" i="1" s="1"/>
  <c r="BQ63" i="1" a="1"/>
  <c r="BQ63" i="1" s="1"/>
  <c r="CD63" i="1" s="1"/>
  <c r="BQ64" i="1" a="1"/>
  <c r="BQ64" i="1" s="1"/>
  <c r="CD64" i="1" s="1"/>
  <c r="BQ127" i="1" a="1"/>
  <c r="BQ127" i="1" s="1"/>
  <c r="CD127" i="1" s="1"/>
  <c r="BQ66" i="1" a="1"/>
  <c r="BQ66" i="1" s="1"/>
  <c r="CD66" i="1" s="1"/>
  <c r="BQ68" i="1" a="1"/>
  <c r="BQ68" i="1" s="1"/>
  <c r="CD68" i="1" s="1"/>
  <c r="BQ69" i="1" a="1"/>
  <c r="BQ69" i="1" s="1"/>
  <c r="CD69" i="1" s="1"/>
  <c r="BQ184" i="1" a="1"/>
  <c r="BQ184" i="1" s="1"/>
  <c r="CD184" i="1" s="1"/>
  <c r="BQ71" i="1" a="1"/>
  <c r="BQ71" i="1" s="1"/>
  <c r="CD71" i="1" s="1"/>
  <c r="BQ72" i="1" a="1"/>
  <c r="BQ72" i="1" s="1"/>
  <c r="CD72" i="1" s="1"/>
  <c r="BQ73" i="1" a="1"/>
  <c r="BQ73" i="1" s="1"/>
  <c r="CD73" i="1" s="1"/>
  <c r="BQ74" i="1" a="1"/>
  <c r="BQ74" i="1" s="1"/>
  <c r="CD74" i="1" s="1"/>
  <c r="BQ75" i="1" a="1"/>
  <c r="BQ75" i="1" s="1"/>
  <c r="CD75" i="1" s="1"/>
  <c r="BQ76" i="1" a="1"/>
  <c r="BQ76" i="1" s="1"/>
  <c r="CD76" i="1" s="1"/>
  <c r="BQ77" i="1" a="1"/>
  <c r="BQ77" i="1" s="1"/>
  <c r="CD77" i="1" s="1"/>
  <c r="BQ78" i="1" a="1"/>
  <c r="BQ78" i="1" s="1"/>
  <c r="CD78" i="1" s="1"/>
  <c r="BQ79" i="1" a="1"/>
  <c r="BQ79" i="1" s="1"/>
  <c r="CD79" i="1" s="1"/>
  <c r="BQ80" i="1" a="1"/>
  <c r="BQ80" i="1" s="1"/>
  <c r="CD80" i="1" s="1"/>
  <c r="BQ81" i="1" a="1"/>
  <c r="BQ81" i="1" s="1"/>
  <c r="CD81" i="1" s="1"/>
  <c r="BQ82" i="1" a="1"/>
  <c r="BQ82" i="1" s="1"/>
  <c r="CD82" i="1" s="1"/>
  <c r="BQ83" i="1" a="1"/>
  <c r="BQ83" i="1" s="1"/>
  <c r="CD83" i="1" s="1"/>
  <c r="BQ84" i="1" a="1"/>
  <c r="BQ84" i="1" s="1"/>
  <c r="CD84" i="1" s="1"/>
  <c r="BQ85" i="1" a="1"/>
  <c r="BQ85" i="1" s="1"/>
  <c r="CD85" i="1" s="1"/>
  <c r="BQ86" i="1" a="1"/>
  <c r="BQ86" i="1" s="1"/>
  <c r="CD86" i="1" s="1"/>
  <c r="BQ87" i="1" a="1"/>
  <c r="BQ87" i="1" s="1"/>
  <c r="CD87" i="1" s="1"/>
  <c r="BQ88" i="1" a="1"/>
  <c r="BQ88" i="1" s="1"/>
  <c r="CD88" i="1" s="1"/>
  <c r="BQ163" i="1" a="1"/>
  <c r="BQ163" i="1" s="1"/>
  <c r="CD163" i="1" s="1"/>
  <c r="BQ91" i="1" a="1"/>
  <c r="BQ91" i="1" s="1"/>
  <c r="CD91" i="1" s="1"/>
  <c r="BQ93" i="1" a="1"/>
  <c r="BQ93" i="1" s="1"/>
  <c r="CD93" i="1" s="1"/>
  <c r="BQ94" i="1" a="1"/>
  <c r="BQ94" i="1" s="1"/>
  <c r="CD94" i="1" s="1"/>
  <c r="BQ95" i="1" a="1"/>
  <c r="BQ95" i="1" s="1"/>
  <c r="CD95" i="1" s="1"/>
  <c r="BQ96" i="1" a="1"/>
  <c r="BQ96" i="1" s="1"/>
  <c r="CD96" i="1" s="1"/>
  <c r="BQ97" i="1" a="1"/>
  <c r="BQ97" i="1" s="1"/>
  <c r="CD97" i="1" s="1"/>
  <c r="BQ98" i="1" a="1"/>
  <c r="BQ98" i="1" s="1"/>
  <c r="CD98" i="1" s="1"/>
  <c r="BQ99" i="1" a="1"/>
  <c r="BQ99" i="1" s="1"/>
  <c r="CD99" i="1" s="1"/>
  <c r="BQ100" i="1" a="1"/>
  <c r="BQ100" i="1" s="1"/>
  <c r="CD100" i="1" s="1"/>
  <c r="BQ101" i="1" a="1"/>
  <c r="BQ101" i="1" s="1"/>
  <c r="CD101" i="1" s="1"/>
  <c r="BQ102" i="1" a="1"/>
  <c r="BQ102" i="1" s="1"/>
  <c r="CD102" i="1" s="1"/>
  <c r="BQ103" i="1" a="1"/>
  <c r="BQ103" i="1" s="1"/>
  <c r="CD103" i="1" s="1"/>
  <c r="BQ104" i="1" a="1"/>
  <c r="BQ104" i="1" s="1"/>
  <c r="CD104" i="1" s="1"/>
  <c r="BQ105" i="1" a="1"/>
  <c r="BQ105" i="1" s="1"/>
  <c r="CD105" i="1" s="1"/>
  <c r="BQ106" i="1" a="1"/>
  <c r="BQ106" i="1" s="1"/>
  <c r="CD106" i="1" s="1"/>
  <c r="BQ107" i="1" a="1"/>
  <c r="BQ107" i="1" s="1"/>
  <c r="CD107" i="1" s="1"/>
  <c r="BQ108" i="1" a="1"/>
  <c r="BQ108" i="1" s="1"/>
  <c r="CD108" i="1" s="1"/>
  <c r="BQ109" i="1" a="1"/>
  <c r="BQ109" i="1" s="1"/>
  <c r="CD109" i="1" s="1"/>
  <c r="BQ110" i="1" a="1"/>
  <c r="BQ110" i="1" s="1"/>
  <c r="CD110" i="1" s="1"/>
  <c r="BQ111" i="1" a="1"/>
  <c r="BQ111" i="1" s="1"/>
  <c r="CD111" i="1" s="1"/>
  <c r="BQ112" i="1" a="1"/>
  <c r="BQ112" i="1" s="1"/>
  <c r="CD112" i="1" s="1"/>
  <c r="BQ89" i="1" a="1"/>
  <c r="BQ89" i="1" s="1"/>
  <c r="CD89" i="1" s="1"/>
  <c r="BQ115" i="1" a="1"/>
  <c r="BQ115" i="1" s="1"/>
  <c r="CD115" i="1" s="1"/>
  <c r="BQ116" i="1" a="1"/>
  <c r="BQ116" i="1" s="1"/>
  <c r="CD116" i="1" s="1"/>
  <c r="BQ117" i="1" a="1"/>
  <c r="BQ117" i="1" s="1"/>
  <c r="CD117" i="1" s="1"/>
  <c r="BQ118" i="1" a="1"/>
  <c r="BQ118" i="1" s="1"/>
  <c r="CD118" i="1" s="1"/>
  <c r="BQ119" i="1" a="1"/>
  <c r="BQ119" i="1" s="1"/>
  <c r="CD119" i="1" s="1"/>
  <c r="BQ67" i="1" a="1"/>
  <c r="BQ67" i="1" s="1"/>
  <c r="CD67" i="1" s="1"/>
  <c r="BQ122" i="1" a="1"/>
  <c r="BQ122" i="1" s="1"/>
  <c r="CD122" i="1" s="1"/>
  <c r="BQ123" i="1" a="1"/>
  <c r="BQ123" i="1" s="1"/>
  <c r="CD123" i="1" s="1"/>
  <c r="BQ153" i="1" a="1"/>
  <c r="BQ153" i="1" s="1"/>
  <c r="CD153" i="1" s="1"/>
  <c r="BQ125" i="1" a="1"/>
  <c r="BQ125" i="1" s="1"/>
  <c r="CD125" i="1" s="1"/>
  <c r="BQ126" i="1" a="1"/>
  <c r="BQ126" i="1" s="1"/>
  <c r="CD126" i="1" s="1"/>
  <c r="BQ128" i="1" a="1"/>
  <c r="BQ128" i="1" s="1"/>
  <c r="CD128" i="1" s="1"/>
  <c r="BQ129" i="1" a="1"/>
  <c r="BQ129" i="1" s="1"/>
  <c r="CD129" i="1" s="1"/>
  <c r="BQ130" i="1" a="1"/>
  <c r="BQ130" i="1" s="1"/>
  <c r="CD130" i="1" s="1"/>
  <c r="BQ131" i="1" a="1"/>
  <c r="BQ131" i="1" s="1"/>
  <c r="CD131" i="1" s="1"/>
  <c r="BQ133" i="1" a="1"/>
  <c r="BQ133" i="1" s="1"/>
  <c r="CD133" i="1" s="1"/>
  <c r="BQ134" i="1" a="1"/>
  <c r="BQ134" i="1" s="1"/>
  <c r="CD134" i="1" s="1"/>
  <c r="BQ135" i="1" a="1"/>
  <c r="BQ135" i="1" s="1"/>
  <c r="CD135" i="1" s="1"/>
  <c r="BQ136" i="1" a="1"/>
  <c r="BQ136" i="1" s="1"/>
  <c r="CD136" i="1" s="1"/>
  <c r="BQ137" i="1" a="1"/>
  <c r="BQ137" i="1" s="1"/>
  <c r="CD137" i="1" s="1"/>
  <c r="BQ138" i="1" a="1"/>
  <c r="BQ138" i="1" s="1"/>
  <c r="CD138" i="1" s="1"/>
  <c r="BQ139" i="1" a="1"/>
  <c r="BQ139" i="1" s="1"/>
  <c r="CD139" i="1" s="1"/>
  <c r="BQ140" i="1" a="1"/>
  <c r="BQ140" i="1" s="1"/>
  <c r="CD140" i="1" s="1"/>
  <c r="BQ141" i="1" a="1"/>
  <c r="BQ141" i="1" s="1"/>
  <c r="CD141" i="1" s="1"/>
  <c r="BQ142" i="1" a="1"/>
  <c r="BQ142" i="1" s="1"/>
  <c r="CD142" i="1" s="1"/>
  <c r="BQ143" i="1" a="1"/>
  <c r="BQ143" i="1" s="1"/>
  <c r="CD143" i="1" s="1"/>
  <c r="BQ144" i="1" a="1"/>
  <c r="BQ144" i="1" s="1"/>
  <c r="CD144" i="1" s="1"/>
  <c r="BQ145" i="1" a="1"/>
  <c r="BQ145" i="1" s="1"/>
  <c r="CD145" i="1" s="1"/>
  <c r="BQ146" i="1" a="1"/>
  <c r="BQ146" i="1" s="1"/>
  <c r="CD146" i="1" s="1"/>
  <c r="BQ147" i="1" a="1"/>
  <c r="BQ147" i="1" s="1"/>
  <c r="CD147" i="1" s="1"/>
  <c r="BQ148" i="1" a="1"/>
  <c r="BQ148" i="1" s="1"/>
  <c r="CD148" i="1" s="1"/>
  <c r="BQ149" i="1" a="1"/>
  <c r="BQ149" i="1" s="1"/>
  <c r="CD149" i="1" s="1"/>
  <c r="BQ150" i="1" a="1"/>
  <c r="BQ150" i="1" s="1"/>
  <c r="CD150" i="1" s="1"/>
  <c r="BQ151" i="1" a="1"/>
  <c r="BQ151" i="1" s="1"/>
  <c r="CD151" i="1" s="1"/>
  <c r="BQ152" i="1" a="1"/>
  <c r="BQ152" i="1" s="1"/>
  <c r="CD152" i="1" s="1"/>
  <c r="BQ120" i="1" a="1"/>
  <c r="BQ120" i="1" s="1"/>
  <c r="CD120" i="1" s="1"/>
  <c r="BQ154" i="1" a="1"/>
  <c r="BQ154" i="1" s="1"/>
  <c r="CD154" i="1" s="1"/>
  <c r="BQ92" i="1" a="1"/>
  <c r="BQ92" i="1" s="1"/>
  <c r="CD92" i="1" s="1"/>
  <c r="BQ156" i="1" a="1"/>
  <c r="BQ156" i="1" s="1"/>
  <c r="CD156" i="1" s="1"/>
  <c r="BQ157" i="1" a="1"/>
  <c r="BQ157" i="1" s="1"/>
  <c r="CD157" i="1" s="1"/>
  <c r="BQ158" i="1" a="1"/>
  <c r="BQ158" i="1" s="1"/>
  <c r="CD158" i="1" s="1"/>
  <c r="BQ159" i="1" a="1"/>
  <c r="BQ159" i="1" s="1"/>
  <c r="CD159" i="1" s="1"/>
  <c r="BQ160" i="1" a="1"/>
  <c r="BQ160" i="1" s="1"/>
  <c r="CD160" i="1" s="1"/>
  <c r="BQ161" i="1" a="1"/>
  <c r="BQ161" i="1" s="1"/>
  <c r="CD161" i="1" s="1"/>
  <c r="BQ162" i="1" a="1"/>
  <c r="BQ162" i="1" s="1"/>
  <c r="CD162" i="1" s="1"/>
  <c r="BQ164" i="1" a="1"/>
  <c r="BQ164" i="1" s="1"/>
  <c r="CD164" i="1" s="1"/>
  <c r="BQ165" i="1" a="1"/>
  <c r="BQ165" i="1" s="1"/>
  <c r="CD165" i="1" s="1"/>
  <c r="BQ166" i="1" a="1"/>
  <c r="BQ166" i="1" s="1"/>
  <c r="CD166" i="1" s="1"/>
  <c r="BQ167" i="1" a="1"/>
  <c r="BQ167" i="1" s="1"/>
  <c r="CD167" i="1" s="1"/>
  <c r="BQ168" i="1" a="1"/>
  <c r="BQ168" i="1" s="1"/>
  <c r="CD168" i="1" s="1"/>
  <c r="BQ169" i="1" a="1"/>
  <c r="BQ169" i="1" s="1"/>
  <c r="CD169" i="1" s="1"/>
  <c r="BQ170" i="1" a="1"/>
  <c r="BQ170" i="1" s="1"/>
  <c r="CD170" i="1" s="1"/>
  <c r="BQ171" i="1" a="1"/>
  <c r="BQ171" i="1" s="1"/>
  <c r="CD171" i="1" s="1"/>
  <c r="BQ172" i="1" a="1"/>
  <c r="BQ172" i="1" s="1"/>
  <c r="CD172" i="1" s="1"/>
  <c r="BQ173" i="1" a="1"/>
  <c r="BQ173" i="1" s="1"/>
  <c r="CD173" i="1" s="1"/>
  <c r="BQ174" i="1" a="1"/>
  <c r="BQ174" i="1" s="1"/>
  <c r="CD174" i="1" s="1"/>
  <c r="BQ175" i="1" a="1"/>
  <c r="BQ175" i="1" s="1"/>
  <c r="CD175" i="1" s="1"/>
  <c r="BQ176" i="1" a="1"/>
  <c r="BQ176" i="1" s="1"/>
  <c r="CD176" i="1" s="1"/>
  <c r="BQ177" i="1" a="1"/>
  <c r="BQ177" i="1" s="1"/>
  <c r="CD177" i="1" s="1"/>
  <c r="BQ178" i="1" a="1"/>
  <c r="BQ178" i="1" s="1"/>
  <c r="CD178" i="1" s="1"/>
  <c r="BQ179" i="1" a="1"/>
  <c r="BQ179" i="1" s="1"/>
  <c r="CD179" i="1" s="1"/>
  <c r="EI155" i="1"/>
  <c r="BQ181" i="1" a="1"/>
  <c r="BQ181" i="1" s="1"/>
  <c r="CD181" i="1" s="1"/>
  <c r="BQ182" i="1" a="1"/>
  <c r="BQ182" i="1" s="1"/>
  <c r="CD182" i="1" s="1"/>
  <c r="BQ183" i="1" a="1"/>
  <c r="BQ183" i="1" s="1"/>
  <c r="CD183" i="1" s="1"/>
  <c r="BQ191" i="1" a="1"/>
  <c r="BQ191" i="1" s="1"/>
  <c r="CD191" i="1" s="1"/>
  <c r="BQ185" i="1" a="1"/>
  <c r="BQ185" i="1" s="1"/>
  <c r="CD185" i="1" s="1"/>
  <c r="BQ19" i="1" a="1"/>
  <c r="BQ19" i="1" s="1"/>
  <c r="CD19" i="1" s="1"/>
  <c r="BQ187" i="1" a="1"/>
  <c r="BQ187" i="1" s="1"/>
  <c r="CD187" i="1" s="1"/>
  <c r="BQ188" i="1" a="1"/>
  <c r="BQ188" i="1" s="1"/>
  <c r="CD188" i="1" s="1"/>
  <c r="BQ189" i="1" a="1"/>
  <c r="BQ189" i="1" s="1"/>
  <c r="CD189" i="1" s="1"/>
  <c r="BQ190" i="1" a="1"/>
  <c r="BQ190" i="1" s="1"/>
  <c r="CD190" i="1" s="1"/>
  <c r="BQ35" i="1" a="1"/>
  <c r="BQ35" i="1" s="1"/>
  <c r="CD35" i="1" s="1"/>
  <c r="BQ192" i="1" a="1"/>
  <c r="BQ192" i="1" s="1"/>
  <c r="CD192" i="1" s="1"/>
  <c r="BQ193" i="1" a="1"/>
  <c r="BQ193" i="1" s="1"/>
  <c r="CD193" i="1" s="1"/>
  <c r="BQ194" i="1" a="1"/>
  <c r="BQ194" i="1" s="1"/>
  <c r="CD194" i="1" s="1"/>
  <c r="BQ195" i="1" a="1"/>
  <c r="BQ195" i="1" s="1"/>
  <c r="CD195" i="1" s="1"/>
  <c r="BQ196" i="1" a="1"/>
  <c r="BQ196" i="1" s="1"/>
  <c r="CD196" i="1" s="1"/>
  <c r="BQ197" i="1" a="1"/>
  <c r="BQ197" i="1" s="1"/>
  <c r="CD197" i="1" s="1"/>
  <c r="BQ198" i="1" a="1"/>
  <c r="BQ198" i="1" s="1"/>
  <c r="CD198" i="1" s="1"/>
  <c r="BQ199" i="1" a="1"/>
  <c r="BQ199" i="1" s="1"/>
  <c r="CD199" i="1" s="1"/>
  <c r="BQ200" i="1" a="1"/>
  <c r="BQ200" i="1" s="1"/>
  <c r="CD200" i="1" s="1"/>
  <c r="BQ201" i="1" a="1"/>
  <c r="BQ201" i="1" s="1"/>
  <c r="CD201" i="1" s="1"/>
  <c r="BQ255" i="1" a="1"/>
  <c r="BQ255" i="1" s="1"/>
  <c r="CD255" i="1" s="1"/>
  <c r="BQ203" i="1" a="1"/>
  <c r="BQ203" i="1" s="1"/>
  <c r="CD203" i="1" s="1"/>
  <c r="BQ204" i="1" a="1"/>
  <c r="BQ204" i="1" s="1"/>
  <c r="CD204" i="1" s="1"/>
  <c r="BQ205" i="1" a="1"/>
  <c r="BQ205" i="1" s="1"/>
  <c r="CD205" i="1" s="1"/>
  <c r="BQ206" i="1" a="1"/>
  <c r="BQ206" i="1" s="1"/>
  <c r="CD206" i="1" s="1"/>
  <c r="BQ207" i="1" a="1"/>
  <c r="BQ207" i="1" s="1"/>
  <c r="CD207" i="1" s="1"/>
  <c r="BQ208" i="1" a="1"/>
  <c r="BQ208" i="1" s="1"/>
  <c r="CD208" i="1" s="1"/>
  <c r="BQ114" i="1" a="1"/>
  <c r="BQ114" i="1" s="1"/>
  <c r="CD114" i="1" s="1"/>
  <c r="BQ210" i="1" a="1"/>
  <c r="BQ210" i="1" s="1"/>
  <c r="CD210" i="1" s="1"/>
  <c r="BQ211" i="1" a="1"/>
  <c r="BQ211" i="1" s="1"/>
  <c r="CD211" i="1" s="1"/>
  <c r="BQ212" i="1" a="1"/>
  <c r="BQ212" i="1" s="1"/>
  <c r="CD212" i="1" s="1"/>
  <c r="BQ213" i="1" a="1"/>
  <c r="BQ213" i="1" s="1"/>
  <c r="CD213" i="1" s="1"/>
  <c r="BQ214" i="1" a="1"/>
  <c r="BQ214" i="1" s="1"/>
  <c r="CD214" i="1" s="1"/>
  <c r="BQ215" i="1" a="1"/>
  <c r="BQ215" i="1" s="1"/>
  <c r="CD215" i="1" s="1"/>
  <c r="BQ216" i="1" a="1"/>
  <c r="BQ216" i="1" s="1"/>
  <c r="CD216" i="1" s="1"/>
  <c r="BQ217" i="1" a="1"/>
  <c r="BQ217" i="1" s="1"/>
  <c r="CD217" i="1" s="1"/>
  <c r="BQ218" i="1" a="1"/>
  <c r="BQ218" i="1" s="1"/>
  <c r="CD218" i="1" s="1"/>
  <c r="BQ219" i="1" a="1"/>
  <c r="BQ219" i="1" s="1"/>
  <c r="CD219" i="1" s="1"/>
  <c r="BQ220" i="1" a="1"/>
  <c r="BQ220" i="1" s="1"/>
  <c r="CD220" i="1" s="1"/>
  <c r="BQ221" i="1" a="1"/>
  <c r="BQ221" i="1" s="1"/>
  <c r="CD221" i="1" s="1"/>
  <c r="BQ222" i="1" a="1"/>
  <c r="BQ222" i="1" s="1"/>
  <c r="CD222" i="1" s="1"/>
  <c r="BQ223" i="1" a="1"/>
  <c r="BQ223" i="1" s="1"/>
  <c r="CD223" i="1" s="1"/>
  <c r="BQ224" i="1" a="1"/>
  <c r="BQ224" i="1" s="1"/>
  <c r="CD224" i="1" s="1"/>
  <c r="BQ225" i="1" a="1"/>
  <c r="BQ225" i="1" s="1"/>
  <c r="CD225" i="1" s="1"/>
  <c r="BQ226" i="1" a="1"/>
  <c r="BQ226" i="1" s="1"/>
  <c r="CD226" i="1" s="1"/>
  <c r="BQ227" i="1" a="1"/>
  <c r="BQ227" i="1" s="1"/>
  <c r="CD227" i="1" s="1"/>
  <c r="BQ228" i="1" a="1"/>
  <c r="BQ228" i="1" s="1"/>
  <c r="CD228" i="1" s="1"/>
  <c r="BQ229" i="1" a="1"/>
  <c r="BQ229" i="1" s="1"/>
  <c r="CD229" i="1" s="1"/>
  <c r="BQ230" i="1" a="1"/>
  <c r="BQ230" i="1" s="1"/>
  <c r="CD230" i="1" s="1"/>
  <c r="BQ231" i="1" a="1"/>
  <c r="BQ231" i="1" s="1"/>
  <c r="CD231" i="1" s="1"/>
  <c r="BQ232" i="1" a="1"/>
  <c r="BQ232" i="1" s="1"/>
  <c r="CD232" i="1" s="1"/>
  <c r="BQ233" i="1" a="1"/>
  <c r="BQ233" i="1" s="1"/>
  <c r="CD233" i="1" s="1"/>
  <c r="BQ234" i="1" a="1"/>
  <c r="BQ234" i="1" s="1"/>
  <c r="CD234" i="1" s="1"/>
  <c r="BQ235" i="1" a="1"/>
  <c r="BQ235" i="1" s="1"/>
  <c r="CD235" i="1" s="1"/>
  <c r="BQ237" i="1" a="1"/>
  <c r="BQ237" i="1" s="1"/>
  <c r="CD237" i="1" s="1"/>
  <c r="BQ239" i="1" a="1"/>
  <c r="BQ239" i="1" s="1"/>
  <c r="CD239" i="1" s="1"/>
  <c r="BQ240" i="1" a="1"/>
  <c r="BQ240" i="1" s="1"/>
  <c r="CD240" i="1" s="1"/>
  <c r="BQ241" i="1" a="1"/>
  <c r="BQ241" i="1" s="1"/>
  <c r="CD241" i="1" s="1"/>
  <c r="BQ242" i="1" a="1"/>
  <c r="BQ242" i="1" s="1"/>
  <c r="CD242" i="1" s="1"/>
  <c r="BQ243" i="1" a="1"/>
  <c r="BQ243" i="1" s="1"/>
  <c r="CD243" i="1" s="1"/>
  <c r="BQ244" i="1" a="1"/>
  <c r="BQ244" i="1" s="1"/>
  <c r="CD244" i="1" s="1"/>
  <c r="BQ246" i="1" a="1"/>
  <c r="BQ246" i="1" s="1"/>
  <c r="CD246" i="1" s="1"/>
  <c r="BQ247" i="1" a="1"/>
  <c r="BQ247" i="1" s="1"/>
  <c r="CD247" i="1" s="1"/>
  <c r="BQ248" i="1" a="1"/>
  <c r="BQ248" i="1" s="1"/>
  <c r="CD248" i="1" s="1"/>
  <c r="BQ249" i="1" a="1"/>
  <c r="BQ249" i="1" s="1"/>
  <c r="CD249" i="1" s="1"/>
  <c r="BQ250" i="1" a="1"/>
  <c r="BQ250" i="1" s="1"/>
  <c r="CD250" i="1" s="1"/>
  <c r="BQ251" i="1" a="1"/>
  <c r="BQ251" i="1" s="1"/>
  <c r="CD251" i="1" s="1"/>
  <c r="BQ252" i="1" a="1"/>
  <c r="BQ252" i="1" s="1"/>
  <c r="CD252" i="1" s="1"/>
  <c r="BQ253" i="1" a="1"/>
  <c r="BQ253" i="1" s="1"/>
  <c r="CD253" i="1" s="1"/>
  <c r="BQ254" i="1" a="1"/>
  <c r="BQ254" i="1" s="1"/>
  <c r="CD254" i="1" s="1"/>
  <c r="BQ202" i="1" a="1"/>
  <c r="BQ202" i="1" s="1"/>
  <c r="CD202" i="1" s="1"/>
  <c r="BQ256" i="1" a="1"/>
  <c r="BQ256" i="1" s="1"/>
  <c r="CD256" i="1" s="1"/>
  <c r="BQ257" i="1" a="1"/>
  <c r="BQ257" i="1" s="1"/>
  <c r="CD257" i="1" s="1"/>
  <c r="BQ258" i="1" a="1"/>
  <c r="BQ258" i="1" s="1"/>
  <c r="CD258" i="1" s="1"/>
  <c r="BQ259" i="1" a="1"/>
  <c r="BQ259" i="1" s="1"/>
  <c r="CD259" i="1" s="1"/>
  <c r="BQ260" i="1" a="1"/>
  <c r="BQ260" i="1" s="1"/>
  <c r="CD260" i="1" s="1"/>
  <c r="BQ261" i="1" a="1"/>
  <c r="BQ261" i="1" s="1"/>
  <c r="CD261" i="1" s="1"/>
  <c r="BQ262" i="1" a="1"/>
  <c r="BQ262" i="1" s="1"/>
  <c r="CD262" i="1" s="1"/>
  <c r="BQ263" i="1" a="1"/>
  <c r="BQ263" i="1" s="1"/>
  <c r="CD263" i="1" s="1"/>
  <c r="BQ264" i="1" a="1"/>
  <c r="BQ264" i="1" s="1"/>
  <c r="CD264" i="1" s="1"/>
  <c r="BQ265" i="1" a="1"/>
  <c r="BQ265" i="1" s="1"/>
  <c r="CD265" i="1" s="1"/>
  <c r="BQ266" i="1" a="1"/>
  <c r="BQ266" i="1" s="1"/>
  <c r="CD266" i="1" s="1"/>
  <c r="BQ267" i="1" a="1"/>
  <c r="BQ267" i="1" s="1"/>
  <c r="CD267" i="1" s="1"/>
  <c r="BQ268" i="1" a="1"/>
  <c r="BQ268" i="1" s="1"/>
  <c r="CD268" i="1" s="1"/>
  <c r="BQ269" i="1" a="1"/>
  <c r="BQ269" i="1" s="1"/>
  <c r="CD269" i="1" s="1"/>
  <c r="BQ270" i="1" a="1"/>
  <c r="BQ270" i="1" s="1"/>
  <c r="BQ271" i="1" a="1"/>
  <c r="BQ271" i="1" s="1"/>
  <c r="CD271" i="1" s="1"/>
  <c r="C266" i="9" l="1"/>
  <c r="C265" i="9"/>
  <c r="C263" i="9"/>
  <c r="C198" i="9"/>
  <c r="C243" i="9"/>
  <c r="C238" i="9"/>
  <c r="C233" i="9"/>
  <c r="C228" i="9"/>
  <c r="C224" i="9"/>
  <c r="C220" i="9"/>
  <c r="C216" i="9"/>
  <c r="C212" i="9"/>
  <c r="C208" i="9"/>
  <c r="C204" i="9"/>
  <c r="C200" i="9"/>
  <c r="C196" i="9"/>
  <c r="C192" i="9"/>
  <c r="C188" i="9"/>
  <c r="C184" i="9"/>
  <c r="C187" i="9"/>
  <c r="C172" i="9"/>
  <c r="C168" i="9"/>
  <c r="C164" i="9"/>
  <c r="C160" i="9"/>
  <c r="C155" i="9"/>
  <c r="C88" i="9"/>
  <c r="C147" i="9"/>
  <c r="C143" i="9"/>
  <c r="C139" i="9"/>
  <c r="C135" i="9"/>
  <c r="C131" i="9"/>
  <c r="C126" i="9"/>
  <c r="C121" i="9"/>
  <c r="C63" i="9"/>
  <c r="C112" i="9"/>
  <c r="C107" i="9"/>
  <c r="C103" i="9"/>
  <c r="C99" i="9"/>
  <c r="C95" i="9"/>
  <c r="C91" i="9"/>
  <c r="C159" i="9"/>
  <c r="C81" i="9"/>
  <c r="C77" i="9"/>
  <c r="C73" i="9"/>
  <c r="C69" i="9"/>
  <c r="C65" i="9"/>
  <c r="C60" i="9"/>
  <c r="C56" i="9"/>
  <c r="C52" i="9"/>
  <c r="C47" i="9"/>
  <c r="C43" i="9"/>
  <c r="C39" i="9"/>
  <c r="C35" i="9"/>
  <c r="C30" i="9"/>
  <c r="C26" i="9"/>
  <c r="C22" i="9"/>
  <c r="C267" i="9"/>
  <c r="C259" i="9"/>
  <c r="C255" i="9"/>
  <c r="C247" i="9"/>
  <c r="C262" i="9"/>
  <c r="C258" i="9"/>
  <c r="C254" i="9"/>
  <c r="C250" i="9"/>
  <c r="C246" i="9"/>
  <c r="C242" i="9"/>
  <c r="C237" i="9"/>
  <c r="C231" i="9"/>
  <c r="C227" i="9"/>
  <c r="C223" i="9"/>
  <c r="C219" i="9"/>
  <c r="C215" i="9"/>
  <c r="C211" i="9"/>
  <c r="C207" i="9"/>
  <c r="C203" i="9"/>
  <c r="C199" i="9"/>
  <c r="C195" i="9"/>
  <c r="C191" i="9"/>
  <c r="C31" i="9"/>
  <c r="C183" i="9"/>
  <c r="C179" i="9"/>
  <c r="C175" i="9"/>
  <c r="C171" i="9"/>
  <c r="C167" i="9"/>
  <c r="C163" i="9"/>
  <c r="C158" i="9"/>
  <c r="C154" i="9"/>
  <c r="C150" i="9"/>
  <c r="C146" i="9"/>
  <c r="C142" i="9"/>
  <c r="C138" i="9"/>
  <c r="C134" i="9"/>
  <c r="C130" i="9"/>
  <c r="C125" i="9"/>
  <c r="C149" i="9"/>
  <c r="C115" i="9"/>
  <c r="C111" i="9"/>
  <c r="C106" i="9"/>
  <c r="C102" i="9"/>
  <c r="C98" i="9"/>
  <c r="C94" i="9"/>
  <c r="C90" i="9"/>
  <c r="C84" i="9"/>
  <c r="C80" i="9"/>
  <c r="C76" i="9"/>
  <c r="C72" i="9"/>
  <c r="C68" i="9"/>
  <c r="C64" i="9"/>
  <c r="C59" i="9"/>
  <c r="C55" i="9"/>
  <c r="C50" i="9"/>
  <c r="C46" i="9"/>
  <c r="C42" i="9"/>
  <c r="C38" i="9"/>
  <c r="C34" i="9"/>
  <c r="C29" i="9"/>
  <c r="C25" i="9"/>
  <c r="C21" i="9"/>
  <c r="C261" i="9"/>
  <c r="C253" i="9"/>
  <c r="C240" i="9"/>
  <c r="C236" i="9"/>
  <c r="C230" i="9"/>
  <c r="C226" i="9"/>
  <c r="C222" i="9"/>
  <c r="C218" i="9"/>
  <c r="C214" i="9"/>
  <c r="C210" i="9"/>
  <c r="C206" i="9"/>
  <c r="C202" i="9"/>
  <c r="C251" i="9"/>
  <c r="C194" i="9"/>
  <c r="C190" i="9"/>
  <c r="C186" i="9"/>
  <c r="C15" i="9"/>
  <c r="C178" i="9"/>
  <c r="C174" i="9"/>
  <c r="C170" i="9"/>
  <c r="C166" i="9"/>
  <c r="C162" i="9"/>
  <c r="C157" i="9"/>
  <c r="C153" i="9"/>
  <c r="C116" i="9"/>
  <c r="C145" i="9"/>
  <c r="C141" i="9"/>
  <c r="C137" i="9"/>
  <c r="C133" i="9"/>
  <c r="C129" i="9"/>
  <c r="C124" i="9"/>
  <c r="C119" i="9"/>
  <c r="C114" i="9"/>
  <c r="C85" i="9"/>
  <c r="C105" i="9"/>
  <c r="C101" i="9"/>
  <c r="C97" i="9"/>
  <c r="C93" i="9"/>
  <c r="C89" i="9"/>
  <c r="C83" i="9"/>
  <c r="C79" i="9"/>
  <c r="C75" i="9"/>
  <c r="C71" i="9"/>
  <c r="C67" i="9"/>
  <c r="C62" i="9"/>
  <c r="C58" i="9"/>
  <c r="C54" i="9"/>
  <c r="C49" i="9"/>
  <c r="C45" i="9"/>
  <c r="C41" i="9"/>
  <c r="C37" i="9"/>
  <c r="C33" i="9"/>
  <c r="C28" i="9"/>
  <c r="C24" i="9"/>
  <c r="C20" i="9"/>
  <c r="C257" i="9"/>
  <c r="C249" i="9"/>
  <c r="C245" i="9"/>
  <c r="C264" i="9"/>
  <c r="C260" i="9"/>
  <c r="C256" i="9"/>
  <c r="C252" i="9"/>
  <c r="C248" i="9"/>
  <c r="C244" i="9"/>
  <c r="C239" i="9"/>
  <c r="C235" i="9"/>
  <c r="C229" i="9"/>
  <c r="C225" i="9"/>
  <c r="C221" i="9"/>
  <c r="C217" i="9"/>
  <c r="C213" i="9"/>
  <c r="C209" i="9"/>
  <c r="C110" i="9"/>
  <c r="C201" i="9"/>
  <c r="C197" i="9"/>
  <c r="C193" i="9"/>
  <c r="C189" i="9"/>
  <c r="C185" i="9"/>
  <c r="C181" i="9"/>
  <c r="C177" i="9"/>
  <c r="C173" i="9"/>
  <c r="C169" i="9"/>
  <c r="C165" i="9"/>
  <c r="C161" i="9"/>
  <c r="C156" i="9"/>
  <c r="C152" i="9"/>
  <c r="C148" i="9"/>
  <c r="C144" i="9"/>
  <c r="C140" i="9"/>
  <c r="C136" i="9"/>
  <c r="C132" i="9"/>
  <c r="C127" i="9"/>
  <c r="C122" i="9"/>
  <c r="C118" i="9"/>
  <c r="C113" i="9"/>
  <c r="C108" i="9"/>
  <c r="C104" i="9"/>
  <c r="C100" i="9"/>
  <c r="C96" i="9"/>
  <c r="C92" i="9"/>
  <c r="C87" i="9"/>
  <c r="C82" i="9"/>
  <c r="C78" i="9"/>
  <c r="C74" i="9"/>
  <c r="C70" i="9"/>
  <c r="C180" i="9"/>
  <c r="C123" i="9"/>
  <c r="C57" i="9"/>
  <c r="C53" i="9"/>
  <c r="C48" i="9"/>
  <c r="C44" i="9"/>
  <c r="C40" i="9"/>
  <c r="C36" i="9"/>
  <c r="C32" i="9"/>
  <c r="C27" i="9"/>
  <c r="C23" i="9"/>
  <c r="C19" i="9"/>
  <c r="CB271" i="1"/>
  <c r="CB259" i="1"/>
  <c r="CB251" i="1"/>
  <c r="CB247" i="1"/>
  <c r="CB242" i="1"/>
  <c r="CB237" i="1"/>
  <c r="CB232" i="1"/>
  <c r="CB228" i="1"/>
  <c r="CB224" i="1"/>
  <c r="CB220" i="1"/>
  <c r="CB216" i="1"/>
  <c r="CB212" i="1"/>
  <c r="CB208" i="1"/>
  <c r="CB204" i="1"/>
  <c r="CB200" i="1"/>
  <c r="CB196" i="1"/>
  <c r="CB192" i="1"/>
  <c r="CB188" i="1"/>
  <c r="CB191" i="1"/>
  <c r="CB176" i="1"/>
  <c r="CB172" i="1"/>
  <c r="CB168" i="1"/>
  <c r="CB164" i="1"/>
  <c r="CB159" i="1"/>
  <c r="CB92" i="1"/>
  <c r="CB151" i="1"/>
  <c r="CB147" i="1"/>
  <c r="CB143" i="1"/>
  <c r="CB139" i="1"/>
  <c r="CB135" i="1"/>
  <c r="CB130" i="1"/>
  <c r="CB125" i="1"/>
  <c r="CB67" i="1"/>
  <c r="CB116" i="1"/>
  <c r="CB111" i="1"/>
  <c r="CB107" i="1"/>
  <c r="CB103" i="1"/>
  <c r="CB99" i="1"/>
  <c r="CB95" i="1"/>
  <c r="CB163" i="1"/>
  <c r="CB86" i="1"/>
  <c r="CB82" i="1"/>
  <c r="CB78" i="1"/>
  <c r="CB74" i="1"/>
  <c r="CB184" i="1"/>
  <c r="CB127" i="1"/>
  <c r="CB61" i="1"/>
  <c r="CB57" i="1"/>
  <c r="CB52" i="1"/>
  <c r="CB48" i="1"/>
  <c r="CB44" i="1"/>
  <c r="CB40" i="1"/>
  <c r="CB36" i="1"/>
  <c r="CB31" i="1"/>
  <c r="CB27" i="1"/>
  <c r="CB23" i="1"/>
  <c r="CB267" i="1"/>
  <c r="CB202" i="1"/>
  <c r="CB270" i="1"/>
  <c r="CB266" i="1"/>
  <c r="CB262" i="1"/>
  <c r="CB258" i="1"/>
  <c r="CB254" i="1"/>
  <c r="CB250" i="1"/>
  <c r="CB246" i="1"/>
  <c r="CB241" i="1"/>
  <c r="CB235" i="1"/>
  <c r="CB231" i="1"/>
  <c r="CB227" i="1"/>
  <c r="CB223" i="1"/>
  <c r="CB219" i="1"/>
  <c r="CB215" i="1"/>
  <c r="CB211" i="1"/>
  <c r="CB207" i="1"/>
  <c r="CB203" i="1"/>
  <c r="CB199" i="1"/>
  <c r="CB195" i="1"/>
  <c r="CB35" i="1"/>
  <c r="CB187" i="1"/>
  <c r="CB183" i="1"/>
  <c r="CB179" i="1"/>
  <c r="CB175" i="1"/>
  <c r="CB171" i="1"/>
  <c r="CB167" i="1"/>
  <c r="CB162" i="1"/>
  <c r="CB158" i="1"/>
  <c r="CB154" i="1"/>
  <c r="CB150" i="1"/>
  <c r="CB146" i="1"/>
  <c r="CB142" i="1"/>
  <c r="CB138" i="1"/>
  <c r="CB134" i="1"/>
  <c r="CB129" i="1"/>
  <c r="CB153" i="1"/>
  <c r="CB119" i="1"/>
  <c r="CB115" i="1"/>
  <c r="CB110" i="1"/>
  <c r="CB106" i="1"/>
  <c r="CB102" i="1"/>
  <c r="CB98" i="1"/>
  <c r="CB94" i="1"/>
  <c r="CB124" i="1"/>
  <c r="CB85" i="1"/>
  <c r="CB81" i="1"/>
  <c r="CB77" i="1"/>
  <c r="CB73" i="1"/>
  <c r="CB69" i="1"/>
  <c r="CB64" i="1"/>
  <c r="CB60" i="1"/>
  <c r="CB56" i="1"/>
  <c r="CB51" i="1"/>
  <c r="CB47" i="1"/>
  <c r="CB43" i="1"/>
  <c r="CB39" i="1"/>
  <c r="CB34" i="1"/>
  <c r="CB30" i="1"/>
  <c r="CB26" i="1"/>
  <c r="CB269" i="1"/>
  <c r="CB261" i="1"/>
  <c r="CB253" i="1"/>
  <c r="CB244" i="1"/>
  <c r="CB240" i="1"/>
  <c r="CB234" i="1"/>
  <c r="CB230" i="1"/>
  <c r="CB226" i="1"/>
  <c r="CB222" i="1"/>
  <c r="CB218" i="1"/>
  <c r="CB214" i="1"/>
  <c r="CB210" i="1"/>
  <c r="CB206" i="1"/>
  <c r="CB255" i="1"/>
  <c r="CB198" i="1"/>
  <c r="CB194" i="1"/>
  <c r="CB190" i="1"/>
  <c r="CB19" i="1"/>
  <c r="CB182" i="1"/>
  <c r="CB178" i="1"/>
  <c r="CB174" i="1"/>
  <c r="CB170" i="1"/>
  <c r="CB166" i="1"/>
  <c r="CB161" i="1"/>
  <c r="CB157" i="1"/>
  <c r="CB120" i="1"/>
  <c r="CB149" i="1"/>
  <c r="CB145" i="1"/>
  <c r="CB141" i="1"/>
  <c r="CB137" i="1"/>
  <c r="CB133" i="1"/>
  <c r="CB128" i="1"/>
  <c r="CB123" i="1"/>
  <c r="CB118" i="1"/>
  <c r="CB89" i="1"/>
  <c r="CB109" i="1"/>
  <c r="CB105" i="1"/>
  <c r="CB101" i="1"/>
  <c r="CB97" i="1"/>
  <c r="CB93" i="1"/>
  <c r="CB88" i="1"/>
  <c r="CB84" i="1"/>
  <c r="CB80" i="1"/>
  <c r="CB76" i="1"/>
  <c r="CB72" i="1"/>
  <c r="CB68" i="1"/>
  <c r="CB63" i="1"/>
  <c r="CB59" i="1"/>
  <c r="CB54" i="1"/>
  <c r="CB50" i="1"/>
  <c r="CB46" i="1"/>
  <c r="CB42" i="1"/>
  <c r="CB38" i="1"/>
  <c r="CB33" i="1"/>
  <c r="CB29" i="1"/>
  <c r="CB25" i="1"/>
  <c r="CB263" i="1"/>
  <c r="CB265" i="1"/>
  <c r="CB257" i="1"/>
  <c r="CB249" i="1"/>
  <c r="CB268" i="1"/>
  <c r="CB264" i="1"/>
  <c r="CB260" i="1"/>
  <c r="CB256" i="1"/>
  <c r="CB252" i="1"/>
  <c r="CB248" i="1"/>
  <c r="CB243" i="1"/>
  <c r="CB239" i="1"/>
  <c r="CB233" i="1"/>
  <c r="CB229" i="1"/>
  <c r="CB225" i="1"/>
  <c r="CB221" i="1"/>
  <c r="CB217" i="1"/>
  <c r="CB213" i="1"/>
  <c r="CB114" i="1"/>
  <c r="CB205" i="1"/>
  <c r="CB201" i="1"/>
  <c r="CB197" i="1"/>
  <c r="CB193" i="1"/>
  <c r="CB189" i="1"/>
  <c r="CB185" i="1"/>
  <c r="CB181" i="1"/>
  <c r="CB177" i="1"/>
  <c r="CB173" i="1"/>
  <c r="CB169" i="1"/>
  <c r="CB165" i="1"/>
  <c r="CB160" i="1"/>
  <c r="CB156" i="1"/>
  <c r="CB152" i="1"/>
  <c r="CB148" i="1"/>
  <c r="CB144" i="1"/>
  <c r="CB140" i="1"/>
  <c r="CB136" i="1"/>
  <c r="CB131" i="1"/>
  <c r="CB126" i="1"/>
  <c r="CB122" i="1"/>
  <c r="CB117" i="1"/>
  <c r="CB112" i="1"/>
  <c r="CB108" i="1"/>
  <c r="CB104" i="1"/>
  <c r="CB100" i="1"/>
  <c r="CB96" i="1"/>
  <c r="CB91" i="1"/>
  <c r="CB87" i="1"/>
  <c r="CB83" i="1"/>
  <c r="CB79" i="1"/>
  <c r="CB75" i="1"/>
  <c r="CB71" i="1"/>
  <c r="CB66" i="1"/>
  <c r="CB62" i="1"/>
  <c r="CB58" i="1"/>
  <c r="CB53" i="1"/>
  <c r="CB49" i="1"/>
  <c r="CB45" i="1"/>
  <c r="CB41" i="1"/>
  <c r="CB37" i="1"/>
  <c r="CB32" i="1"/>
  <c r="CB28" i="1"/>
  <c r="CB24" i="1"/>
  <c r="EI269" i="1"/>
  <c r="EK269" i="1" s="1"/>
  <c r="EM269" i="1" s="1"/>
  <c r="EI265" i="1"/>
  <c r="EK265" i="1" s="1"/>
  <c r="EM265" i="1" s="1"/>
  <c r="EI261" i="1"/>
  <c r="EK261" i="1" s="1"/>
  <c r="EM261" i="1" s="1"/>
  <c r="EI257" i="1"/>
  <c r="EK257" i="1" s="1"/>
  <c r="EM257" i="1" s="1"/>
  <c r="EI253" i="1"/>
  <c r="EK253" i="1" s="1"/>
  <c r="EM253" i="1" s="1"/>
  <c r="EI249" i="1"/>
  <c r="EK249" i="1" s="1"/>
  <c r="EM249" i="1" s="1"/>
  <c r="EI244" i="1"/>
  <c r="EK244" i="1" s="1"/>
  <c r="EM244" i="1" s="1"/>
  <c r="EI240" i="1"/>
  <c r="EK240" i="1" s="1"/>
  <c r="EM240" i="1" s="1"/>
  <c r="EI234" i="1"/>
  <c r="EK234" i="1" s="1"/>
  <c r="EM234" i="1" s="1"/>
  <c r="EI230" i="1"/>
  <c r="EK230" i="1" s="1"/>
  <c r="EM230" i="1" s="1"/>
  <c r="EI226" i="1"/>
  <c r="EK226" i="1" s="1"/>
  <c r="EM226" i="1" s="1"/>
  <c r="EI222" i="1"/>
  <c r="EK222" i="1" s="1"/>
  <c r="EM222" i="1" s="1"/>
  <c r="EI218" i="1"/>
  <c r="EK218" i="1" s="1"/>
  <c r="EM218" i="1" s="1"/>
  <c r="EI214" i="1"/>
  <c r="EK214" i="1" s="1"/>
  <c r="EM214" i="1" s="1"/>
  <c r="EI210" i="1"/>
  <c r="EK210" i="1" s="1"/>
  <c r="EM210" i="1" s="1"/>
  <c r="EI206" i="1"/>
  <c r="EK206" i="1" s="1"/>
  <c r="EM206" i="1" s="1"/>
  <c r="EI255" i="1"/>
  <c r="EK255" i="1" s="1"/>
  <c r="EM255" i="1" s="1"/>
  <c r="EI198" i="1"/>
  <c r="EK198" i="1" s="1"/>
  <c r="EM198" i="1" s="1"/>
  <c r="EI194" i="1"/>
  <c r="EK194" i="1" s="1"/>
  <c r="EM194" i="1" s="1"/>
  <c r="EI190" i="1"/>
  <c r="EK190" i="1" s="1"/>
  <c r="EM190" i="1" s="1"/>
  <c r="EI182" i="1"/>
  <c r="EK182" i="1" s="1"/>
  <c r="EM182" i="1" s="1"/>
  <c r="EI178" i="1"/>
  <c r="EK178" i="1" s="1"/>
  <c r="EM178" i="1" s="1"/>
  <c r="EI174" i="1"/>
  <c r="EK174" i="1" s="1"/>
  <c r="EM174" i="1" s="1"/>
  <c r="EI170" i="1"/>
  <c r="EK170" i="1" s="1"/>
  <c r="EM170" i="1" s="1"/>
  <c r="EI166" i="1"/>
  <c r="EK166" i="1" s="1"/>
  <c r="EM166" i="1" s="1"/>
  <c r="EI161" i="1"/>
  <c r="EK161" i="1" s="1"/>
  <c r="EM161" i="1" s="1"/>
  <c r="EI157" i="1"/>
  <c r="EK157" i="1" s="1"/>
  <c r="EM157" i="1" s="1"/>
  <c r="EI149" i="1"/>
  <c r="EK149" i="1" s="1"/>
  <c r="EM149" i="1" s="1"/>
  <c r="EI145" i="1"/>
  <c r="EK145" i="1" s="1"/>
  <c r="EM145" i="1" s="1"/>
  <c r="EI141" i="1"/>
  <c r="EK141" i="1" s="1"/>
  <c r="EM141" i="1" s="1"/>
  <c r="EI137" i="1"/>
  <c r="EK137" i="1" s="1"/>
  <c r="EM137" i="1" s="1"/>
  <c r="EI133" i="1"/>
  <c r="EK133" i="1" s="1"/>
  <c r="EM133" i="1" s="1"/>
  <c r="EI128" i="1"/>
  <c r="EK128" i="1" s="1"/>
  <c r="EM128" i="1" s="1"/>
  <c r="EI123" i="1"/>
  <c r="EK123" i="1" s="1"/>
  <c r="EM123" i="1" s="1"/>
  <c r="EI119" i="1"/>
  <c r="EK119" i="1" s="1"/>
  <c r="EM119" i="1" s="1"/>
  <c r="EI115" i="1"/>
  <c r="EK115" i="1" s="1"/>
  <c r="EM115" i="1" s="1"/>
  <c r="EI110" i="1"/>
  <c r="EK110" i="1" s="1"/>
  <c r="EM110" i="1" s="1"/>
  <c r="EI106" i="1"/>
  <c r="EK106" i="1" s="1"/>
  <c r="EM106" i="1" s="1"/>
  <c r="EI102" i="1"/>
  <c r="EK102" i="1" s="1"/>
  <c r="EM102" i="1" s="1"/>
  <c r="EI98" i="1"/>
  <c r="EK98" i="1" s="1"/>
  <c r="EM98" i="1" s="1"/>
  <c r="EI94" i="1"/>
  <c r="EK94" i="1" s="1"/>
  <c r="EM94" i="1" s="1"/>
  <c r="EI163" i="1"/>
  <c r="EK163" i="1" s="1"/>
  <c r="EM163" i="1" s="1"/>
  <c r="EI86" i="1"/>
  <c r="EK86" i="1" s="1"/>
  <c r="EM86" i="1" s="1"/>
  <c r="EI82" i="1"/>
  <c r="EK82" i="1" s="1"/>
  <c r="EM82" i="1" s="1"/>
  <c r="EI78" i="1"/>
  <c r="EK78" i="1" s="1"/>
  <c r="EM78" i="1" s="1"/>
  <c r="EI74" i="1"/>
  <c r="EK74" i="1" s="1"/>
  <c r="EM74" i="1" s="1"/>
  <c r="EI184" i="1"/>
  <c r="EK184" i="1" s="1"/>
  <c r="EM184" i="1" s="1"/>
  <c r="EI127" i="1"/>
  <c r="EK127" i="1" s="1"/>
  <c r="EM127" i="1" s="1"/>
  <c r="EI61" i="1"/>
  <c r="EK61" i="1" s="1"/>
  <c r="EM61" i="1" s="1"/>
  <c r="EI57" i="1"/>
  <c r="EK57" i="1" s="1"/>
  <c r="EM57" i="1" s="1"/>
  <c r="EI52" i="1"/>
  <c r="EK52" i="1" s="1"/>
  <c r="EM52" i="1" s="1"/>
  <c r="EI48" i="1"/>
  <c r="EK48" i="1" s="1"/>
  <c r="EM48" i="1" s="1"/>
  <c r="EI44" i="1"/>
  <c r="EK44" i="1" s="1"/>
  <c r="EM44" i="1" s="1"/>
  <c r="EI40" i="1"/>
  <c r="EK40" i="1" s="1"/>
  <c r="EM40" i="1" s="1"/>
  <c r="EI36" i="1"/>
  <c r="EK36" i="1" s="1"/>
  <c r="EM36" i="1" s="1"/>
  <c r="EI31" i="1"/>
  <c r="EK31" i="1" s="1"/>
  <c r="EM31" i="1" s="1"/>
  <c r="EI27" i="1"/>
  <c r="EK27" i="1" s="1"/>
  <c r="EM27" i="1" s="1"/>
  <c r="EI23" i="1"/>
  <c r="EK23" i="1" s="1"/>
  <c r="EM23" i="1" s="1"/>
  <c r="EI271" i="1"/>
  <c r="EK271" i="1" s="1"/>
  <c r="EM271" i="1" s="1"/>
  <c r="EI268" i="1"/>
  <c r="EK268" i="1" s="1"/>
  <c r="EM268" i="1" s="1"/>
  <c r="EI264" i="1"/>
  <c r="EK264" i="1" s="1"/>
  <c r="EM264" i="1" s="1"/>
  <c r="EI260" i="1"/>
  <c r="EK260" i="1" s="1"/>
  <c r="EM260" i="1" s="1"/>
  <c r="EI256" i="1"/>
  <c r="EK256" i="1" s="1"/>
  <c r="EM256" i="1" s="1"/>
  <c r="EI252" i="1"/>
  <c r="EK252" i="1" s="1"/>
  <c r="EM252" i="1" s="1"/>
  <c r="EI248" i="1"/>
  <c r="EK248" i="1" s="1"/>
  <c r="EM248" i="1" s="1"/>
  <c r="EI243" i="1"/>
  <c r="EK243" i="1" s="1"/>
  <c r="EM243" i="1" s="1"/>
  <c r="EI239" i="1"/>
  <c r="EK239" i="1" s="1"/>
  <c r="EM239" i="1" s="1"/>
  <c r="EI233" i="1"/>
  <c r="EK233" i="1" s="1"/>
  <c r="EM233" i="1" s="1"/>
  <c r="EI229" i="1"/>
  <c r="EK229" i="1" s="1"/>
  <c r="EM229" i="1" s="1"/>
  <c r="EI225" i="1"/>
  <c r="EK225" i="1" s="1"/>
  <c r="EM225" i="1" s="1"/>
  <c r="EI221" i="1"/>
  <c r="EK221" i="1" s="1"/>
  <c r="EM221" i="1" s="1"/>
  <c r="EI217" i="1"/>
  <c r="EK217" i="1" s="1"/>
  <c r="EM217" i="1" s="1"/>
  <c r="EI213" i="1"/>
  <c r="EK213" i="1" s="1"/>
  <c r="EM213" i="1" s="1"/>
  <c r="EI205" i="1"/>
  <c r="EK205" i="1" s="1"/>
  <c r="EM205" i="1" s="1"/>
  <c r="EI201" i="1"/>
  <c r="EK201" i="1" s="1"/>
  <c r="EM201" i="1" s="1"/>
  <c r="EI197" i="1"/>
  <c r="EK197" i="1" s="1"/>
  <c r="EM197" i="1" s="1"/>
  <c r="EI193" i="1"/>
  <c r="EK193" i="1" s="1"/>
  <c r="EM193" i="1" s="1"/>
  <c r="EI189" i="1"/>
  <c r="EK189" i="1" s="1"/>
  <c r="EM189" i="1" s="1"/>
  <c r="EI185" i="1"/>
  <c r="EK185" i="1" s="1"/>
  <c r="EM185" i="1" s="1"/>
  <c r="EI181" i="1"/>
  <c r="EK181" i="1" s="1"/>
  <c r="EM181" i="1" s="1"/>
  <c r="EI177" i="1"/>
  <c r="EK177" i="1" s="1"/>
  <c r="EM177" i="1" s="1"/>
  <c r="EI173" i="1"/>
  <c r="EK173" i="1" s="1"/>
  <c r="EM173" i="1" s="1"/>
  <c r="EI169" i="1"/>
  <c r="EK169" i="1" s="1"/>
  <c r="EM169" i="1" s="1"/>
  <c r="EI165" i="1"/>
  <c r="EK165" i="1" s="1"/>
  <c r="EM165" i="1" s="1"/>
  <c r="EI160" i="1"/>
  <c r="EK160" i="1" s="1"/>
  <c r="EM160" i="1" s="1"/>
  <c r="EI156" i="1"/>
  <c r="EK156" i="1" s="1"/>
  <c r="EM156" i="1" s="1"/>
  <c r="EI152" i="1"/>
  <c r="EK152" i="1" s="1"/>
  <c r="EM152" i="1" s="1"/>
  <c r="EI148" i="1"/>
  <c r="EK148" i="1" s="1"/>
  <c r="EM148" i="1" s="1"/>
  <c r="EI144" i="1"/>
  <c r="EK144" i="1" s="1"/>
  <c r="EM144" i="1" s="1"/>
  <c r="EI140" i="1"/>
  <c r="EK140" i="1" s="1"/>
  <c r="EM140" i="1" s="1"/>
  <c r="EI136" i="1"/>
  <c r="EK136" i="1" s="1"/>
  <c r="EM136" i="1" s="1"/>
  <c r="EI131" i="1"/>
  <c r="EK131" i="1" s="1"/>
  <c r="EM131" i="1" s="1"/>
  <c r="EI126" i="1"/>
  <c r="EK126" i="1" s="1"/>
  <c r="EM126" i="1" s="1"/>
  <c r="EI122" i="1"/>
  <c r="EK122" i="1" s="1"/>
  <c r="EM122" i="1" s="1"/>
  <c r="EI118" i="1"/>
  <c r="EK118" i="1" s="1"/>
  <c r="EM118" i="1" s="1"/>
  <c r="EI109" i="1"/>
  <c r="EK109" i="1" s="1"/>
  <c r="EM109" i="1" s="1"/>
  <c r="EI105" i="1"/>
  <c r="EK105" i="1" s="1"/>
  <c r="EM105" i="1" s="1"/>
  <c r="EI101" i="1"/>
  <c r="EK101" i="1" s="1"/>
  <c r="EM101" i="1" s="1"/>
  <c r="EI97" i="1"/>
  <c r="EK97" i="1" s="1"/>
  <c r="EM97" i="1" s="1"/>
  <c r="EI93" i="1"/>
  <c r="EK93" i="1" s="1"/>
  <c r="EM93" i="1" s="1"/>
  <c r="EI124" i="1"/>
  <c r="EK124" i="1" s="1"/>
  <c r="EM124" i="1" s="1"/>
  <c r="EI85" i="1"/>
  <c r="EK85" i="1" s="1"/>
  <c r="EM85" i="1" s="1"/>
  <c r="EI81" i="1"/>
  <c r="EK81" i="1" s="1"/>
  <c r="EM81" i="1" s="1"/>
  <c r="EI77" i="1"/>
  <c r="EK77" i="1" s="1"/>
  <c r="EM77" i="1" s="1"/>
  <c r="EI73" i="1"/>
  <c r="EK73" i="1" s="1"/>
  <c r="EM73" i="1" s="1"/>
  <c r="EI69" i="1"/>
  <c r="EK69" i="1" s="1"/>
  <c r="EM69" i="1" s="1"/>
  <c r="EI64" i="1"/>
  <c r="EK64" i="1" s="1"/>
  <c r="EM64" i="1" s="1"/>
  <c r="EI60" i="1"/>
  <c r="EK60" i="1" s="1"/>
  <c r="EM60" i="1" s="1"/>
  <c r="EI56" i="1"/>
  <c r="EK56" i="1" s="1"/>
  <c r="EM56" i="1" s="1"/>
  <c r="EI51" i="1"/>
  <c r="EK51" i="1" s="1"/>
  <c r="EM51" i="1" s="1"/>
  <c r="EI47" i="1"/>
  <c r="EK47" i="1" s="1"/>
  <c r="EM47" i="1" s="1"/>
  <c r="EI43" i="1"/>
  <c r="EK43" i="1" s="1"/>
  <c r="EM43" i="1" s="1"/>
  <c r="EI39" i="1"/>
  <c r="EK39" i="1" s="1"/>
  <c r="EM39" i="1" s="1"/>
  <c r="EI34" i="1"/>
  <c r="EK34" i="1" s="1"/>
  <c r="EM34" i="1" s="1"/>
  <c r="EI30" i="1"/>
  <c r="EK30" i="1" s="1"/>
  <c r="EM30" i="1" s="1"/>
  <c r="EI26" i="1"/>
  <c r="EK26" i="1" s="1"/>
  <c r="EM26" i="1" s="1"/>
  <c r="EI267" i="1"/>
  <c r="EK267" i="1" s="1"/>
  <c r="EM267" i="1" s="1"/>
  <c r="EI263" i="1"/>
  <c r="EK263" i="1" s="1"/>
  <c r="EM263" i="1" s="1"/>
  <c r="EI259" i="1"/>
  <c r="EK259" i="1" s="1"/>
  <c r="EM259" i="1" s="1"/>
  <c r="EI202" i="1"/>
  <c r="EK202" i="1" s="1"/>
  <c r="EM202" i="1" s="1"/>
  <c r="EI251" i="1"/>
  <c r="EK251" i="1" s="1"/>
  <c r="EM251" i="1" s="1"/>
  <c r="EI247" i="1"/>
  <c r="EK247" i="1" s="1"/>
  <c r="EM247" i="1" s="1"/>
  <c r="EI242" i="1"/>
  <c r="EK242" i="1" s="1"/>
  <c r="EM242" i="1" s="1"/>
  <c r="EI237" i="1"/>
  <c r="EK237" i="1" s="1"/>
  <c r="EM237" i="1" s="1"/>
  <c r="EI232" i="1"/>
  <c r="EK232" i="1" s="1"/>
  <c r="EM232" i="1" s="1"/>
  <c r="EI228" i="1"/>
  <c r="EK228" i="1" s="1"/>
  <c r="EM228" i="1" s="1"/>
  <c r="EI224" i="1"/>
  <c r="EK224" i="1" s="1"/>
  <c r="EM224" i="1" s="1"/>
  <c r="EI220" i="1"/>
  <c r="EK220" i="1" s="1"/>
  <c r="EM220" i="1" s="1"/>
  <c r="EI216" i="1"/>
  <c r="EK216" i="1" s="1"/>
  <c r="EM216" i="1" s="1"/>
  <c r="EI212" i="1"/>
  <c r="EK212" i="1" s="1"/>
  <c r="EM212" i="1" s="1"/>
  <c r="EI208" i="1"/>
  <c r="EK208" i="1" s="1"/>
  <c r="EM208" i="1" s="1"/>
  <c r="EI204" i="1"/>
  <c r="EK204" i="1" s="1"/>
  <c r="EM204" i="1" s="1"/>
  <c r="EI200" i="1"/>
  <c r="EK200" i="1" s="1"/>
  <c r="EM200" i="1" s="1"/>
  <c r="EI196" i="1"/>
  <c r="EK196" i="1" s="1"/>
  <c r="EM196" i="1" s="1"/>
  <c r="EI192" i="1"/>
  <c r="EK192" i="1" s="1"/>
  <c r="EM192" i="1" s="1"/>
  <c r="EI188" i="1"/>
  <c r="EK188" i="1" s="1"/>
  <c r="EM188" i="1" s="1"/>
  <c r="EI191" i="1"/>
  <c r="EK191" i="1" s="1"/>
  <c r="EM191" i="1" s="1"/>
  <c r="EI176" i="1"/>
  <c r="EK176" i="1" s="1"/>
  <c r="EM176" i="1" s="1"/>
  <c r="EI172" i="1"/>
  <c r="EK172" i="1" s="1"/>
  <c r="EM172" i="1" s="1"/>
  <c r="EI168" i="1"/>
  <c r="EK168" i="1" s="1"/>
  <c r="EM168" i="1" s="1"/>
  <c r="EI164" i="1"/>
  <c r="EK164" i="1" s="1"/>
  <c r="EM164" i="1" s="1"/>
  <c r="EI159" i="1"/>
  <c r="EK159" i="1" s="1"/>
  <c r="EM159" i="1" s="1"/>
  <c r="EI92" i="1"/>
  <c r="EK92" i="1" s="1"/>
  <c r="EM92" i="1" s="1"/>
  <c r="EI151" i="1"/>
  <c r="EK151" i="1" s="1"/>
  <c r="EM151" i="1" s="1"/>
  <c r="EI147" i="1"/>
  <c r="EK147" i="1" s="1"/>
  <c r="EM147" i="1" s="1"/>
  <c r="EI143" i="1"/>
  <c r="EK143" i="1" s="1"/>
  <c r="EM143" i="1" s="1"/>
  <c r="EI139" i="1"/>
  <c r="EK139" i="1" s="1"/>
  <c r="EM139" i="1" s="1"/>
  <c r="EI135" i="1"/>
  <c r="EK135" i="1" s="1"/>
  <c r="EM135" i="1" s="1"/>
  <c r="EI130" i="1"/>
  <c r="EK130" i="1" s="1"/>
  <c r="EM130" i="1" s="1"/>
  <c r="EI125" i="1"/>
  <c r="EK125" i="1" s="1"/>
  <c r="EM125" i="1" s="1"/>
  <c r="EI117" i="1"/>
  <c r="EK117" i="1" s="1"/>
  <c r="EM117" i="1" s="1"/>
  <c r="EI112" i="1"/>
  <c r="EK112" i="1" s="1"/>
  <c r="EM112" i="1" s="1"/>
  <c r="EI108" i="1"/>
  <c r="EK108" i="1" s="1"/>
  <c r="EM108" i="1" s="1"/>
  <c r="EI104" i="1"/>
  <c r="EK104" i="1" s="1"/>
  <c r="EM104" i="1" s="1"/>
  <c r="EI100" i="1"/>
  <c r="EK100" i="1" s="1"/>
  <c r="EM100" i="1" s="1"/>
  <c r="EI96" i="1"/>
  <c r="EK96" i="1" s="1"/>
  <c r="EM96" i="1" s="1"/>
  <c r="EI88" i="1"/>
  <c r="EK88" i="1" s="1"/>
  <c r="EM88" i="1" s="1"/>
  <c r="EI84" i="1"/>
  <c r="EK84" i="1" s="1"/>
  <c r="EM84" i="1" s="1"/>
  <c r="EI80" i="1"/>
  <c r="EK80" i="1" s="1"/>
  <c r="EM80" i="1" s="1"/>
  <c r="EI76" i="1"/>
  <c r="EK76" i="1" s="1"/>
  <c r="EM76" i="1" s="1"/>
  <c r="EI72" i="1"/>
  <c r="EK72" i="1" s="1"/>
  <c r="EM72" i="1" s="1"/>
  <c r="EI68" i="1"/>
  <c r="EK68" i="1" s="1"/>
  <c r="EM68" i="1" s="1"/>
  <c r="EI63" i="1"/>
  <c r="EK63" i="1" s="1"/>
  <c r="EM63" i="1" s="1"/>
  <c r="EI59" i="1"/>
  <c r="EK59" i="1" s="1"/>
  <c r="EM59" i="1" s="1"/>
  <c r="EI54" i="1"/>
  <c r="EK54" i="1" s="1"/>
  <c r="EM54" i="1" s="1"/>
  <c r="EI50" i="1"/>
  <c r="EK50" i="1" s="1"/>
  <c r="EM50" i="1" s="1"/>
  <c r="EI46" i="1"/>
  <c r="EK46" i="1" s="1"/>
  <c r="EM46" i="1" s="1"/>
  <c r="EI42" i="1"/>
  <c r="EK42" i="1" s="1"/>
  <c r="EM42" i="1" s="1"/>
  <c r="EI38" i="1"/>
  <c r="EK38" i="1" s="1"/>
  <c r="EM38" i="1" s="1"/>
  <c r="EI33" i="1"/>
  <c r="EK33" i="1" s="1"/>
  <c r="EM33" i="1" s="1"/>
  <c r="EI29" i="1"/>
  <c r="EK29" i="1" s="1"/>
  <c r="EM29" i="1" s="1"/>
  <c r="EI25" i="1"/>
  <c r="EK25" i="1" s="1"/>
  <c r="EM25" i="1" s="1"/>
  <c r="EI270" i="1"/>
  <c r="EK270" i="1" s="1"/>
  <c r="EM270" i="1" s="1"/>
  <c r="EI266" i="1"/>
  <c r="EK266" i="1" s="1"/>
  <c r="EM266" i="1" s="1"/>
  <c r="EI262" i="1"/>
  <c r="EK262" i="1" s="1"/>
  <c r="EM262" i="1" s="1"/>
  <c r="EI258" i="1"/>
  <c r="EK258" i="1" s="1"/>
  <c r="EM258" i="1" s="1"/>
  <c r="EI254" i="1"/>
  <c r="EK254" i="1" s="1"/>
  <c r="EM254" i="1" s="1"/>
  <c r="EI250" i="1"/>
  <c r="EK250" i="1" s="1"/>
  <c r="EM250" i="1" s="1"/>
  <c r="EI246" i="1"/>
  <c r="EK246" i="1" s="1"/>
  <c r="EM246" i="1" s="1"/>
  <c r="EI241" i="1"/>
  <c r="EK241" i="1" s="1"/>
  <c r="EM241" i="1" s="1"/>
  <c r="EI235" i="1"/>
  <c r="EK235" i="1" s="1"/>
  <c r="EM235" i="1" s="1"/>
  <c r="EI231" i="1"/>
  <c r="EK231" i="1" s="1"/>
  <c r="EM231" i="1" s="1"/>
  <c r="EI227" i="1"/>
  <c r="EK227" i="1" s="1"/>
  <c r="EM227" i="1" s="1"/>
  <c r="EI223" i="1"/>
  <c r="EK223" i="1" s="1"/>
  <c r="EM223" i="1" s="1"/>
  <c r="EI219" i="1"/>
  <c r="EK219" i="1" s="1"/>
  <c r="EM219" i="1" s="1"/>
  <c r="EI215" i="1"/>
  <c r="EK215" i="1" s="1"/>
  <c r="EM215" i="1" s="1"/>
  <c r="EI211" i="1"/>
  <c r="EK211" i="1" s="1"/>
  <c r="EM211" i="1" s="1"/>
  <c r="EI207" i="1"/>
  <c r="EK207" i="1" s="1"/>
  <c r="EM207" i="1" s="1"/>
  <c r="EI203" i="1"/>
  <c r="EK203" i="1" s="1"/>
  <c r="EM203" i="1" s="1"/>
  <c r="EI199" i="1"/>
  <c r="EK199" i="1" s="1"/>
  <c r="EM199" i="1" s="1"/>
  <c r="EI195" i="1"/>
  <c r="EK195" i="1" s="1"/>
  <c r="EM195" i="1" s="1"/>
  <c r="EI35" i="1"/>
  <c r="EK35" i="1" s="1"/>
  <c r="EM35" i="1" s="1"/>
  <c r="EI187" i="1"/>
  <c r="EK187" i="1" s="1"/>
  <c r="EM187" i="1" s="1"/>
  <c r="EI183" i="1"/>
  <c r="EK183" i="1" s="1"/>
  <c r="EM183" i="1" s="1"/>
  <c r="EI179" i="1"/>
  <c r="EK179" i="1" s="1"/>
  <c r="EM179" i="1" s="1"/>
  <c r="EI175" i="1"/>
  <c r="EK175" i="1" s="1"/>
  <c r="EM175" i="1" s="1"/>
  <c r="EI171" i="1"/>
  <c r="EK171" i="1" s="1"/>
  <c r="EM171" i="1" s="1"/>
  <c r="EI167" i="1"/>
  <c r="EK167" i="1" s="1"/>
  <c r="EM167" i="1" s="1"/>
  <c r="EI162" i="1"/>
  <c r="EK162" i="1" s="1"/>
  <c r="EM162" i="1" s="1"/>
  <c r="EI158" i="1"/>
  <c r="EK158" i="1" s="1"/>
  <c r="EM158" i="1" s="1"/>
  <c r="EI154" i="1"/>
  <c r="EK154" i="1" s="1"/>
  <c r="EM154" i="1" s="1"/>
  <c r="EI150" i="1"/>
  <c r="EK150" i="1" s="1"/>
  <c r="EM150" i="1" s="1"/>
  <c r="EI146" i="1"/>
  <c r="EK146" i="1" s="1"/>
  <c r="EM146" i="1" s="1"/>
  <c r="EI142" i="1"/>
  <c r="EK142" i="1" s="1"/>
  <c r="EM142" i="1" s="1"/>
  <c r="EI138" i="1"/>
  <c r="EK138" i="1" s="1"/>
  <c r="EM138" i="1" s="1"/>
  <c r="EI134" i="1"/>
  <c r="EK134" i="1" s="1"/>
  <c r="EM134" i="1" s="1"/>
  <c r="EI129" i="1"/>
  <c r="EK129" i="1" s="1"/>
  <c r="EM129" i="1" s="1"/>
  <c r="EI116" i="1"/>
  <c r="EK116" i="1" s="1"/>
  <c r="EM116" i="1" s="1"/>
  <c r="EI111" i="1"/>
  <c r="EK111" i="1" s="1"/>
  <c r="EM111" i="1" s="1"/>
  <c r="EI107" i="1"/>
  <c r="EK107" i="1" s="1"/>
  <c r="EM107" i="1" s="1"/>
  <c r="EI103" i="1"/>
  <c r="EK103" i="1" s="1"/>
  <c r="EM103" i="1" s="1"/>
  <c r="EI99" i="1"/>
  <c r="EK99" i="1" s="1"/>
  <c r="EM99" i="1" s="1"/>
  <c r="EI95" i="1"/>
  <c r="EK95" i="1" s="1"/>
  <c r="EM95" i="1" s="1"/>
  <c r="EI91" i="1"/>
  <c r="EK91" i="1" s="1"/>
  <c r="EM91" i="1" s="1"/>
  <c r="EI87" i="1"/>
  <c r="EK87" i="1" s="1"/>
  <c r="EM87" i="1" s="1"/>
  <c r="EI83" i="1"/>
  <c r="EK83" i="1" s="1"/>
  <c r="EM83" i="1" s="1"/>
  <c r="EI79" i="1"/>
  <c r="EK79" i="1" s="1"/>
  <c r="EM79" i="1" s="1"/>
  <c r="EI75" i="1"/>
  <c r="EK75" i="1" s="1"/>
  <c r="EM75" i="1" s="1"/>
  <c r="EI71" i="1"/>
  <c r="EK71" i="1" s="1"/>
  <c r="EM71" i="1" s="1"/>
  <c r="EI66" i="1"/>
  <c r="EK66" i="1" s="1"/>
  <c r="EM66" i="1" s="1"/>
  <c r="EI62" i="1"/>
  <c r="EK62" i="1" s="1"/>
  <c r="EM62" i="1" s="1"/>
  <c r="EI58" i="1"/>
  <c r="EK58" i="1" s="1"/>
  <c r="EM58" i="1" s="1"/>
  <c r="EI53" i="1"/>
  <c r="EK53" i="1" s="1"/>
  <c r="EM53" i="1" s="1"/>
  <c r="EI49" i="1"/>
  <c r="EK49" i="1" s="1"/>
  <c r="EM49" i="1" s="1"/>
  <c r="EI45" i="1"/>
  <c r="EK45" i="1" s="1"/>
  <c r="EM45" i="1" s="1"/>
  <c r="EI41" i="1"/>
  <c r="EK41" i="1" s="1"/>
  <c r="EM41" i="1" s="1"/>
  <c r="EI37" i="1"/>
  <c r="EK37" i="1" s="1"/>
  <c r="EM37" i="1" s="1"/>
  <c r="EI32" i="1"/>
  <c r="EK32" i="1" s="1"/>
  <c r="EM32" i="1" s="1"/>
  <c r="EI28" i="1"/>
  <c r="EK28" i="1" s="1"/>
  <c r="EM28" i="1" s="1"/>
  <c r="EI24" i="1"/>
  <c r="EK24" i="1" s="1"/>
  <c r="EM24" i="1" s="1"/>
  <c r="EI180" i="1"/>
  <c r="EK180" i="1" s="1"/>
  <c r="EM180" i="1" s="1"/>
  <c r="EI153" i="1"/>
  <c r="EK153" i="1" s="1"/>
  <c r="EM153" i="1" s="1"/>
  <c r="EI120" i="1"/>
  <c r="EK120" i="1" s="1"/>
  <c r="EM120" i="1" s="1"/>
  <c r="EI114" i="1"/>
  <c r="EK114" i="1" s="1"/>
  <c r="EM114" i="1" s="1"/>
  <c r="EI89" i="1"/>
  <c r="EK89" i="1" s="1"/>
  <c r="EM89" i="1" s="1"/>
  <c r="EI70" i="1"/>
  <c r="EK70" i="1" s="1"/>
  <c r="EM70" i="1" s="1"/>
  <c r="EI67" i="1"/>
  <c r="EK67" i="1" s="1"/>
  <c r="EM67" i="1" s="1"/>
  <c r="EI19" i="1"/>
  <c r="EK19" i="1" s="1"/>
  <c r="EM19" i="1" s="1"/>
  <c r="EK155" i="1"/>
  <c r="EM155" i="1" s="1"/>
  <c r="DY256" i="1"/>
  <c r="DY244" i="1"/>
  <c r="DY224" i="1"/>
  <c r="DY204" i="1"/>
  <c r="DY192" i="1"/>
  <c r="DY172" i="1"/>
  <c r="DY160" i="1"/>
  <c r="DY141" i="1"/>
  <c r="DY129" i="1"/>
  <c r="DY109" i="1"/>
  <c r="DY97" i="1"/>
  <c r="DY93" i="1"/>
  <c r="DY124" i="1"/>
  <c r="DY85" i="1"/>
  <c r="DY81" i="1"/>
  <c r="DY77" i="1"/>
  <c r="DY73" i="1"/>
  <c r="DY69" i="1"/>
  <c r="DY127" i="1"/>
  <c r="DY61" i="1"/>
  <c r="DY57" i="1"/>
  <c r="DY53" i="1"/>
  <c r="DY49" i="1"/>
  <c r="DY45" i="1"/>
  <c r="DY41" i="1"/>
  <c r="DY37" i="1"/>
  <c r="DY33" i="1"/>
  <c r="DY29" i="1"/>
  <c r="DY25" i="1"/>
  <c r="DY21" i="1"/>
  <c r="DY17" i="1"/>
  <c r="DY13" i="1"/>
  <c r="DY9" i="1"/>
  <c r="DY271" i="1"/>
  <c r="DY268" i="1"/>
  <c r="DY264" i="1"/>
  <c r="DY257" i="1"/>
  <c r="DY253" i="1"/>
  <c r="DY245" i="1"/>
  <c r="DY241" i="1"/>
  <c r="DY233" i="1"/>
  <c r="DY225" i="1"/>
  <c r="DY217" i="1"/>
  <c r="DY114" i="1"/>
  <c r="DY201" i="1"/>
  <c r="DY197" i="1"/>
  <c r="DY189" i="1"/>
  <c r="DY181" i="1"/>
  <c r="DY173" i="1"/>
  <c r="DY165" i="1"/>
  <c r="DY157" i="1"/>
  <c r="DY146" i="1"/>
  <c r="DY138" i="1"/>
  <c r="DY130" i="1"/>
  <c r="DY122" i="1"/>
  <c r="DY118" i="1"/>
  <c r="DY110" i="1"/>
  <c r="DY106" i="1"/>
  <c r="DY98" i="1"/>
  <c r="DY94" i="1"/>
  <c r="DY163" i="1"/>
  <c r="DY86" i="1"/>
  <c r="DY82" i="1"/>
  <c r="DY78" i="1"/>
  <c r="DY74" i="1"/>
  <c r="DY184" i="1"/>
  <c r="DY66" i="1"/>
  <c r="DY62" i="1"/>
  <c r="DY54" i="1"/>
  <c r="DY46" i="1"/>
  <c r="DY38" i="1"/>
  <c r="DY30" i="1"/>
  <c r="DY22" i="1"/>
  <c r="DY186" i="1"/>
  <c r="DY267" i="1"/>
  <c r="DY252" i="1"/>
  <c r="DY236" i="1"/>
  <c r="DY228" i="1"/>
  <c r="DY220" i="1"/>
  <c r="DY208" i="1"/>
  <c r="DY196" i="1"/>
  <c r="DY191" i="1"/>
  <c r="DY176" i="1"/>
  <c r="DY168" i="1"/>
  <c r="DY120" i="1"/>
  <c r="DY145" i="1"/>
  <c r="DY137" i="1"/>
  <c r="DY125" i="1"/>
  <c r="DY113" i="1"/>
  <c r="DY101" i="1"/>
  <c r="DY269" i="1"/>
  <c r="DY266" i="1"/>
  <c r="DY263" i="1"/>
  <c r="DY259" i="1"/>
  <c r="DY202" i="1"/>
  <c r="DY251" i="1"/>
  <c r="DY247" i="1"/>
  <c r="DY243" i="1"/>
  <c r="DY239" i="1"/>
  <c r="DY235" i="1"/>
  <c r="DY231" i="1"/>
  <c r="DY227" i="1"/>
  <c r="DY223" i="1"/>
  <c r="DY219" i="1"/>
  <c r="DY215" i="1"/>
  <c r="DY211" i="1"/>
  <c r="DY207" i="1"/>
  <c r="DY203" i="1"/>
  <c r="DY199" i="1"/>
  <c r="DY195" i="1"/>
  <c r="DY35" i="1"/>
  <c r="DY187" i="1"/>
  <c r="DY183" i="1"/>
  <c r="DY179" i="1"/>
  <c r="DY175" i="1"/>
  <c r="DY171" i="1"/>
  <c r="DY167" i="1"/>
  <c r="DY65" i="1"/>
  <c r="DY159" i="1"/>
  <c r="DY92" i="1"/>
  <c r="DY152" i="1"/>
  <c r="DY148" i="1"/>
  <c r="DY144" i="1"/>
  <c r="DY140" i="1"/>
  <c r="DY136" i="1"/>
  <c r="DY132" i="1"/>
  <c r="DY128" i="1"/>
  <c r="DY153" i="1"/>
  <c r="DY67" i="1"/>
  <c r="DY116" i="1"/>
  <c r="DY112" i="1"/>
  <c r="DY108" i="1"/>
  <c r="DY104" i="1"/>
  <c r="DY100" i="1"/>
  <c r="DY96" i="1"/>
  <c r="DY88" i="1"/>
  <c r="DY84" i="1"/>
  <c r="DY80" i="1"/>
  <c r="DY76" i="1"/>
  <c r="DY72" i="1"/>
  <c r="DY68" i="1"/>
  <c r="DY64" i="1"/>
  <c r="DY60" i="1"/>
  <c r="DY56" i="1"/>
  <c r="DY52" i="1"/>
  <c r="DY48" i="1"/>
  <c r="DY44" i="1"/>
  <c r="DY40" i="1"/>
  <c r="DY36" i="1"/>
  <c r="DY32" i="1"/>
  <c r="DY28" i="1"/>
  <c r="DY24" i="1"/>
  <c r="DY20" i="1"/>
  <c r="DY16" i="1"/>
  <c r="DY12" i="1"/>
  <c r="DY261" i="1"/>
  <c r="DY249" i="1"/>
  <c r="DY237" i="1"/>
  <c r="DY229" i="1"/>
  <c r="DY221" i="1"/>
  <c r="DY213" i="1"/>
  <c r="DY205" i="1"/>
  <c r="DY193" i="1"/>
  <c r="DY185" i="1"/>
  <c r="DY177" i="1"/>
  <c r="DY169" i="1"/>
  <c r="DY161" i="1"/>
  <c r="DY150" i="1"/>
  <c r="DY142" i="1"/>
  <c r="DY134" i="1"/>
  <c r="DY126" i="1"/>
  <c r="DY89" i="1"/>
  <c r="DY102" i="1"/>
  <c r="DY58" i="1"/>
  <c r="DY50" i="1"/>
  <c r="DY42" i="1"/>
  <c r="DY34" i="1"/>
  <c r="DY26" i="1"/>
  <c r="DY18" i="1"/>
  <c r="DY10" i="1"/>
  <c r="DY270" i="1"/>
  <c r="DY260" i="1"/>
  <c r="DY248" i="1"/>
  <c r="DY240" i="1"/>
  <c r="DY232" i="1"/>
  <c r="DY216" i="1"/>
  <c r="DY212" i="1"/>
  <c r="DY200" i="1"/>
  <c r="DY188" i="1"/>
  <c r="DY155" i="1"/>
  <c r="DY164" i="1"/>
  <c r="DY156" i="1"/>
  <c r="DY149" i="1"/>
  <c r="DY133" i="1"/>
  <c r="DY70" i="1"/>
  <c r="DY117" i="1"/>
  <c r="DY105" i="1"/>
  <c r="DY265" i="1"/>
  <c r="DY262" i="1"/>
  <c r="DY258" i="1"/>
  <c r="DY254" i="1"/>
  <c r="DY250" i="1"/>
  <c r="DY246" i="1"/>
  <c r="DY242" i="1"/>
  <c r="DY238" i="1"/>
  <c r="DY234" i="1"/>
  <c r="DY230" i="1"/>
  <c r="DY226" i="1"/>
  <c r="DY222" i="1"/>
  <c r="DY218" i="1"/>
  <c r="DY214" i="1"/>
  <c r="DY210" i="1"/>
  <c r="DY206" i="1"/>
  <c r="DY255" i="1"/>
  <c r="DY198" i="1"/>
  <c r="DY194" i="1"/>
  <c r="DY190" i="1"/>
  <c r="DY19" i="1"/>
  <c r="DY182" i="1"/>
  <c r="DY178" i="1"/>
  <c r="DY174" i="1"/>
  <c r="DY170" i="1"/>
  <c r="DY166" i="1"/>
  <c r="DY162" i="1"/>
  <c r="DY158" i="1"/>
  <c r="DY154" i="1"/>
  <c r="DY151" i="1"/>
  <c r="DY147" i="1"/>
  <c r="DY143" i="1"/>
  <c r="DY139" i="1"/>
  <c r="DY135" i="1"/>
  <c r="DY131" i="1"/>
  <c r="DY14" i="1"/>
  <c r="DY123" i="1"/>
  <c r="DY119" i="1"/>
  <c r="DY115" i="1"/>
  <c r="DY111" i="1"/>
  <c r="DY107" i="1"/>
  <c r="DY103" i="1"/>
  <c r="DY99" i="1"/>
  <c r="DY95" i="1"/>
  <c r="DY91" i="1"/>
  <c r="DY87" i="1"/>
  <c r="DY83" i="1"/>
  <c r="DY79" i="1"/>
  <c r="DY75" i="1"/>
  <c r="DY71" i="1"/>
  <c r="DY121" i="1"/>
  <c r="DY63" i="1"/>
  <c r="DY59" i="1"/>
  <c r="DY55" i="1"/>
  <c r="DY51" i="1"/>
  <c r="DY47" i="1"/>
  <c r="DY43" i="1"/>
  <c r="DY39" i="1"/>
  <c r="DY209" i="1"/>
  <c r="DY31" i="1"/>
  <c r="DY27" i="1"/>
  <c r="DY23" i="1"/>
  <c r="DY15" i="1"/>
  <c r="DY11" i="1"/>
  <c r="DY7" i="1"/>
  <c r="CU11" i="1" l="1"/>
  <c r="CO63" i="1"/>
  <c r="CO71" i="1"/>
  <c r="CU79" i="1"/>
  <c r="CO91" i="1"/>
  <c r="CO95" i="1"/>
  <c r="CO135" i="1"/>
  <c r="CU139" i="1"/>
  <c r="CU151" i="1"/>
  <c r="CU222" i="1"/>
  <c r="CU226" i="1"/>
  <c r="CU10" i="1"/>
  <c r="CO18" i="1"/>
  <c r="CO22" i="1"/>
  <c r="CO26" i="1"/>
  <c r="CO30" i="1"/>
  <c r="CU34" i="1"/>
  <c r="CO38" i="1"/>
  <c r="CU46" i="1"/>
  <c r="CU50" i="1"/>
  <c r="CU54" i="1"/>
  <c r="CO62" i="1"/>
  <c r="CO66" i="1"/>
  <c r="CU184" i="1"/>
  <c r="CU74" i="1"/>
  <c r="CU78" i="1"/>
  <c r="CO82" i="1"/>
  <c r="CU86" i="1"/>
  <c r="CO163" i="1"/>
  <c r="CU98" i="1"/>
  <c r="CU102" i="1"/>
  <c r="CU106" i="1"/>
  <c r="CU89" i="1"/>
  <c r="CU118" i="1"/>
  <c r="CU122" i="1"/>
  <c r="CU126" i="1"/>
  <c r="CU130" i="1"/>
  <c r="CO134" i="1"/>
  <c r="CU138" i="1"/>
  <c r="CO146" i="1"/>
  <c r="CO150" i="1"/>
  <c r="CO157" i="1"/>
  <c r="CO161" i="1"/>
  <c r="CU165" i="1"/>
  <c r="CO173" i="1"/>
  <c r="CU177" i="1"/>
  <c r="CU181" i="1"/>
  <c r="CO189" i="1"/>
  <c r="CU193" i="1"/>
  <c r="CU197" i="1"/>
  <c r="CU205" i="1"/>
  <c r="CO114" i="1"/>
  <c r="CO217" i="1"/>
  <c r="CU225" i="1"/>
  <c r="CO229" i="1"/>
  <c r="CO233" i="1"/>
  <c r="CU237" i="1"/>
  <c r="CU241" i="1"/>
  <c r="CO245" i="1"/>
  <c r="CU249" i="1"/>
  <c r="CU253" i="1"/>
  <c r="CU257" i="1"/>
  <c r="CO261" i="1"/>
  <c r="CU264" i="1"/>
  <c r="CU268" i="1"/>
  <c r="CO271" i="1"/>
  <c r="CU7" i="1"/>
  <c r="CU15" i="1"/>
  <c r="CU23" i="1"/>
  <c r="CO31" i="1"/>
  <c r="CO39" i="1"/>
  <c r="CU51" i="1"/>
  <c r="CO75" i="1"/>
  <c r="CO99" i="1"/>
  <c r="CO107" i="1"/>
  <c r="CU111" i="1"/>
  <c r="CO119" i="1"/>
  <c r="CO14" i="1"/>
  <c r="CO147" i="1"/>
  <c r="CU166" i="1"/>
  <c r="CO174" i="1"/>
  <c r="CO182" i="1"/>
  <c r="CU190" i="1"/>
  <c r="CO198" i="1"/>
  <c r="CU206" i="1"/>
  <c r="CU210" i="1"/>
  <c r="CU234" i="1"/>
  <c r="CO250" i="1"/>
  <c r="CO258" i="1"/>
  <c r="CU9" i="1"/>
  <c r="CU17" i="1"/>
  <c r="CO25" i="1"/>
  <c r="CU33" i="1"/>
  <c r="CU37" i="1"/>
  <c r="CU69" i="1"/>
  <c r="CU77" i="1"/>
  <c r="CO85" i="1"/>
  <c r="CU113" i="1"/>
  <c r="CO70" i="1"/>
  <c r="CU156" i="1"/>
  <c r="CO168" i="1"/>
  <c r="CO200" i="1"/>
  <c r="CU208" i="1"/>
  <c r="CU220" i="1"/>
  <c r="CU232" i="1"/>
  <c r="CU252" i="1"/>
  <c r="CO267" i="1"/>
  <c r="CO90" i="1"/>
  <c r="CU209" i="1"/>
  <c r="CO43" i="1"/>
  <c r="CO47" i="1"/>
  <c r="CU55" i="1"/>
  <c r="CU59" i="1"/>
  <c r="CO83" i="1"/>
  <c r="CO131" i="1"/>
  <c r="CU158" i="1"/>
  <c r="CO162" i="1"/>
  <c r="CU170" i="1"/>
  <c r="CU178" i="1"/>
  <c r="CO19" i="1"/>
  <c r="CO194" i="1"/>
  <c r="CU255" i="1"/>
  <c r="CU230" i="1"/>
  <c r="CU242" i="1"/>
  <c r="CU246" i="1"/>
  <c r="CU254" i="1"/>
  <c r="CU262" i="1"/>
  <c r="CO13" i="1"/>
  <c r="CU29" i="1"/>
  <c r="CU41" i="1"/>
  <c r="CO49" i="1"/>
  <c r="CO127" i="1"/>
  <c r="CO73" i="1"/>
  <c r="CO81" i="1"/>
  <c r="CO124" i="1"/>
  <c r="CO101" i="1"/>
  <c r="CO129" i="1"/>
  <c r="CO160" i="1"/>
  <c r="CO172" i="1"/>
  <c r="CU196" i="1"/>
  <c r="CO204" i="1"/>
  <c r="CU228" i="1"/>
  <c r="CO236" i="1"/>
  <c r="CO256" i="1"/>
  <c r="CO8" i="1"/>
  <c r="CO16" i="1"/>
  <c r="CO24" i="1"/>
  <c r="CO36" i="1"/>
  <c r="CO40" i="1"/>
  <c r="CO48" i="1"/>
  <c r="CO52" i="1"/>
  <c r="CO56" i="1"/>
  <c r="CO64" i="1"/>
  <c r="CO68" i="1"/>
  <c r="CO72" i="1"/>
  <c r="CO80" i="1"/>
  <c r="CO84" i="1"/>
  <c r="CU88" i="1"/>
  <c r="CU104" i="1"/>
  <c r="CO112" i="1"/>
  <c r="CU67" i="1"/>
  <c r="CU128" i="1"/>
  <c r="CU136" i="1"/>
  <c r="CO140" i="1"/>
  <c r="CO144" i="1"/>
  <c r="CO152" i="1"/>
  <c r="CO65" i="1"/>
  <c r="CO167" i="1"/>
  <c r="CO171" i="1"/>
  <c r="CO175" i="1"/>
  <c r="CO179" i="1"/>
  <c r="CO183" i="1"/>
  <c r="CO35" i="1"/>
  <c r="CO195" i="1"/>
  <c r="CO199" i="1"/>
  <c r="CO211" i="1"/>
  <c r="CU215" i="1"/>
  <c r="CO231" i="1"/>
  <c r="CU239" i="1"/>
  <c r="CO247" i="1"/>
  <c r="CO251" i="1"/>
  <c r="CO202" i="1"/>
  <c r="CO259" i="1"/>
  <c r="CO263" i="1"/>
  <c r="CO266" i="1"/>
  <c r="CU269" i="1"/>
  <c r="CO197" i="1" l="1"/>
  <c r="CO184" i="1"/>
  <c r="CO226" i="1"/>
  <c r="CO50" i="1"/>
  <c r="CO77" i="1"/>
  <c r="CO17" i="1"/>
  <c r="CO54" i="1"/>
  <c r="CO46" i="1"/>
  <c r="CO34" i="1"/>
  <c r="CO79" i="1"/>
  <c r="CO11" i="1"/>
  <c r="CO205" i="1"/>
  <c r="CO78" i="1"/>
  <c r="CO210" i="1"/>
  <c r="CO23" i="1"/>
  <c r="CO252" i="1"/>
  <c r="CO151" i="1"/>
  <c r="CO190" i="1"/>
  <c r="CO118" i="1"/>
  <c r="CO208" i="1"/>
  <c r="CO51" i="1"/>
  <c r="CO262" i="1"/>
  <c r="CO242" i="1"/>
  <c r="CO158" i="1"/>
  <c r="CO106" i="1"/>
  <c r="CO98" i="1"/>
  <c r="CO170" i="1"/>
  <c r="CO122" i="1"/>
  <c r="CO89" i="1"/>
  <c r="CO255" i="1"/>
  <c r="CO225" i="1"/>
  <c r="CO138" i="1"/>
  <c r="CO130" i="1"/>
  <c r="CO102" i="1"/>
  <c r="CU13" i="1"/>
  <c r="CO249" i="1"/>
  <c r="CO156" i="1"/>
  <c r="CO264" i="1"/>
  <c r="CO257" i="1"/>
  <c r="CO10" i="1"/>
  <c r="CO59" i="1"/>
  <c r="CO139" i="1"/>
  <c r="CU14" i="1"/>
  <c r="CU107" i="1"/>
  <c r="CU233" i="1"/>
  <c r="CO181" i="1"/>
  <c r="CO241" i="1"/>
  <c r="CO165" i="1"/>
  <c r="CO206" i="1"/>
  <c r="CO220" i="1"/>
  <c r="CU263" i="1"/>
  <c r="CU247" i="1"/>
  <c r="CU231" i="1"/>
  <c r="CU194" i="1"/>
  <c r="CU85" i="1"/>
  <c r="CO7" i="1"/>
  <c r="CO136" i="1"/>
  <c r="CO104" i="1"/>
  <c r="CO67" i="1"/>
  <c r="CO193" i="1"/>
  <c r="CO177" i="1"/>
  <c r="CU72" i="1"/>
  <c r="CU56" i="1"/>
  <c r="CU40" i="1"/>
  <c r="CU24" i="1"/>
  <c r="CU8" i="1"/>
  <c r="CU160" i="1"/>
  <c r="CU129" i="1"/>
  <c r="CO33" i="1"/>
  <c r="CU90" i="1"/>
  <c r="CU182" i="1"/>
  <c r="CU147" i="1"/>
  <c r="CU39" i="1"/>
  <c r="CU189" i="1"/>
  <c r="CU173" i="1"/>
  <c r="CU62" i="1"/>
  <c r="CU38" i="1"/>
  <c r="CU135" i="1"/>
  <c r="CO113" i="1"/>
  <c r="CU199" i="1"/>
  <c r="CU183" i="1"/>
  <c r="CU167" i="1"/>
  <c r="CU152" i="1"/>
  <c r="CO234" i="1"/>
  <c r="CU124" i="1"/>
  <c r="CU19" i="1"/>
  <c r="CO269" i="1"/>
  <c r="CO239" i="1"/>
  <c r="CO128" i="1"/>
  <c r="CO209" i="1"/>
  <c r="CO41" i="1"/>
  <c r="CO55" i="1"/>
  <c r="CU258" i="1"/>
  <c r="CO29" i="1"/>
  <c r="CS235" i="1"/>
  <c r="CT235" i="1"/>
  <c r="CP235" i="1"/>
  <c r="CQ235" i="1"/>
  <c r="CS219" i="1"/>
  <c r="CT219" i="1"/>
  <c r="CP219" i="1"/>
  <c r="CQ219" i="1"/>
  <c r="CS203" i="1"/>
  <c r="CT203" i="1"/>
  <c r="CP203" i="1"/>
  <c r="CQ203" i="1"/>
  <c r="CS187" i="1"/>
  <c r="CT187" i="1"/>
  <c r="CP187" i="1"/>
  <c r="CQ187" i="1"/>
  <c r="CS92" i="1"/>
  <c r="CT92" i="1"/>
  <c r="CP92" i="1"/>
  <c r="CQ92" i="1"/>
  <c r="CS108" i="1"/>
  <c r="CT108" i="1"/>
  <c r="CP108" i="1"/>
  <c r="CQ108" i="1"/>
  <c r="CS180" i="1"/>
  <c r="CT180" i="1"/>
  <c r="CP180" i="1"/>
  <c r="CQ180" i="1"/>
  <c r="CS60" i="1"/>
  <c r="CT60" i="1"/>
  <c r="CP60" i="1"/>
  <c r="CQ60" i="1"/>
  <c r="CS44" i="1"/>
  <c r="CT44" i="1"/>
  <c r="CP44" i="1"/>
  <c r="CQ44" i="1"/>
  <c r="CT28" i="1"/>
  <c r="CP28" i="1"/>
  <c r="CQ28" i="1"/>
  <c r="CS28" i="1"/>
  <c r="CT12" i="1"/>
  <c r="CP12" i="1"/>
  <c r="CS12" i="1"/>
  <c r="CQ12" i="1"/>
  <c r="CT216" i="1"/>
  <c r="CP216" i="1"/>
  <c r="CQ216" i="1"/>
  <c r="CS216" i="1"/>
  <c r="CT176" i="1"/>
  <c r="CP176" i="1"/>
  <c r="CQ176" i="1"/>
  <c r="CS176" i="1"/>
  <c r="CT109" i="1"/>
  <c r="CP109" i="1"/>
  <c r="CQ109" i="1"/>
  <c r="CS109" i="1"/>
  <c r="CT97" i="1"/>
  <c r="CS97" i="1"/>
  <c r="CP97" i="1"/>
  <c r="CQ97" i="1"/>
  <c r="CS265" i="1"/>
  <c r="CT265" i="1"/>
  <c r="CP265" i="1"/>
  <c r="CQ265" i="1"/>
  <c r="CS218" i="1"/>
  <c r="CT218" i="1"/>
  <c r="CP218" i="1"/>
  <c r="CQ218" i="1"/>
  <c r="CT143" i="1"/>
  <c r="CS143" i="1"/>
  <c r="CP143" i="1"/>
  <c r="CQ143" i="1"/>
  <c r="CT115" i="1"/>
  <c r="CP115" i="1"/>
  <c r="CS115" i="1"/>
  <c r="CQ115" i="1"/>
  <c r="CT47" i="1"/>
  <c r="CS47" i="1"/>
  <c r="CP47" i="1"/>
  <c r="CQ47" i="1"/>
  <c r="CS27" i="1"/>
  <c r="CT27" i="1"/>
  <c r="CP27" i="1"/>
  <c r="CQ27" i="1"/>
  <c r="CT260" i="1"/>
  <c r="CQ260" i="1"/>
  <c r="CP260" i="1"/>
  <c r="CS260" i="1"/>
  <c r="CT240" i="1"/>
  <c r="CQ240" i="1"/>
  <c r="CS240" i="1"/>
  <c r="CP240" i="1"/>
  <c r="CS238" i="1"/>
  <c r="CT238" i="1"/>
  <c r="CP238" i="1"/>
  <c r="CQ238" i="1"/>
  <c r="CS271" i="1"/>
  <c r="CT271" i="1"/>
  <c r="CP271" i="1"/>
  <c r="CQ271" i="1"/>
  <c r="CQ221" i="1"/>
  <c r="CS221" i="1"/>
  <c r="CT221" i="1"/>
  <c r="CP221" i="1"/>
  <c r="CQ213" i="1"/>
  <c r="CS213" i="1"/>
  <c r="CP213" i="1"/>
  <c r="CT213" i="1"/>
  <c r="CS94" i="1"/>
  <c r="CT94" i="1"/>
  <c r="CQ94" i="1"/>
  <c r="CP94" i="1"/>
  <c r="CS18" i="1"/>
  <c r="CT18" i="1"/>
  <c r="CQ18" i="1"/>
  <c r="CP18" i="1"/>
  <c r="CS223" i="1"/>
  <c r="CT223" i="1"/>
  <c r="CP223" i="1"/>
  <c r="CQ223" i="1"/>
  <c r="CU219" i="1"/>
  <c r="CO213" i="1"/>
  <c r="CS207" i="1"/>
  <c r="CT207" i="1"/>
  <c r="CP207" i="1"/>
  <c r="CQ207" i="1"/>
  <c r="CU203" i="1"/>
  <c r="CU92" i="1"/>
  <c r="CS112" i="1"/>
  <c r="CP112" i="1"/>
  <c r="CQ112" i="1"/>
  <c r="CT112" i="1"/>
  <c r="CU108" i="1"/>
  <c r="CS96" i="1"/>
  <c r="CP96" i="1"/>
  <c r="CQ96" i="1"/>
  <c r="CT96" i="1"/>
  <c r="CU180" i="1"/>
  <c r="CS153" i="1"/>
  <c r="CT153" i="1"/>
  <c r="CP153" i="1"/>
  <c r="CQ153" i="1"/>
  <c r="CS76" i="1"/>
  <c r="CT76" i="1"/>
  <c r="CP76" i="1"/>
  <c r="CQ76" i="1"/>
  <c r="CT117" i="1"/>
  <c r="CP117" i="1"/>
  <c r="CQ117" i="1"/>
  <c r="CS117" i="1"/>
  <c r="CT53" i="1"/>
  <c r="CP53" i="1"/>
  <c r="CQ53" i="1"/>
  <c r="CS53" i="1"/>
  <c r="CT149" i="1"/>
  <c r="CP149" i="1"/>
  <c r="CQ149" i="1"/>
  <c r="CS149" i="1"/>
  <c r="CT141" i="1"/>
  <c r="CP141" i="1"/>
  <c r="CQ141" i="1"/>
  <c r="CS141" i="1"/>
  <c r="CT61" i="1"/>
  <c r="CP61" i="1"/>
  <c r="CQ61" i="1"/>
  <c r="CS61" i="1"/>
  <c r="CS250" i="1"/>
  <c r="CT250" i="1"/>
  <c r="CP250" i="1"/>
  <c r="CQ250" i="1"/>
  <c r="CS146" i="1"/>
  <c r="CQ146" i="1"/>
  <c r="CT146" i="1"/>
  <c r="CP146" i="1"/>
  <c r="CO60" i="1"/>
  <c r="CO44" i="1"/>
  <c r="CO61" i="1"/>
  <c r="CU266" i="1"/>
  <c r="CS159" i="1"/>
  <c r="CP159" i="1"/>
  <c r="CT159" i="1"/>
  <c r="CQ159" i="1"/>
  <c r="CS144" i="1"/>
  <c r="CP144" i="1"/>
  <c r="CQ144" i="1"/>
  <c r="CT144" i="1"/>
  <c r="CU44" i="1"/>
  <c r="CS32" i="1"/>
  <c r="CP32" i="1"/>
  <c r="CQ32" i="1"/>
  <c r="CT32" i="1"/>
  <c r="CU28" i="1"/>
  <c r="CT16" i="1"/>
  <c r="CS16" i="1"/>
  <c r="CP16" i="1"/>
  <c r="CQ16" i="1"/>
  <c r="CU12" i="1"/>
  <c r="CT244" i="1"/>
  <c r="CQ244" i="1"/>
  <c r="CS244" i="1"/>
  <c r="CP244" i="1"/>
  <c r="CT224" i="1"/>
  <c r="CP224" i="1"/>
  <c r="CQ224" i="1"/>
  <c r="CS224" i="1"/>
  <c r="CU216" i="1"/>
  <c r="CT204" i="1"/>
  <c r="CP204" i="1"/>
  <c r="CQ204" i="1"/>
  <c r="CS204" i="1"/>
  <c r="CP191" i="1"/>
  <c r="CS191" i="1"/>
  <c r="CQ191" i="1"/>
  <c r="CT191" i="1"/>
  <c r="CU176" i="1"/>
  <c r="CS164" i="1"/>
  <c r="CP164" i="1"/>
  <c r="CT164" i="1"/>
  <c r="CQ164" i="1"/>
  <c r="CT145" i="1"/>
  <c r="CS145" i="1"/>
  <c r="CP145" i="1"/>
  <c r="CQ145" i="1"/>
  <c r="CT125" i="1"/>
  <c r="CP125" i="1"/>
  <c r="CQ125" i="1"/>
  <c r="CS125" i="1"/>
  <c r="CU117" i="1"/>
  <c r="CU97" i="1"/>
  <c r="CT73" i="1"/>
  <c r="CS73" i="1"/>
  <c r="CP73" i="1"/>
  <c r="CQ73" i="1"/>
  <c r="CU127" i="1"/>
  <c r="CU53" i="1"/>
  <c r="CS254" i="1"/>
  <c r="CT254" i="1"/>
  <c r="CP254" i="1"/>
  <c r="CQ254" i="1"/>
  <c r="CT19" i="1"/>
  <c r="CS19" i="1"/>
  <c r="CP19" i="1"/>
  <c r="CQ19" i="1"/>
  <c r="CT162" i="1"/>
  <c r="CS162" i="1"/>
  <c r="CP162" i="1"/>
  <c r="CQ162" i="1"/>
  <c r="CU143" i="1"/>
  <c r="CT123" i="1"/>
  <c r="CP123" i="1"/>
  <c r="CS123" i="1"/>
  <c r="CQ123" i="1"/>
  <c r="CO109" i="1"/>
  <c r="CU47" i="1"/>
  <c r="CU27" i="1"/>
  <c r="CU260" i="1"/>
  <c r="CT248" i="1"/>
  <c r="CQ248" i="1"/>
  <c r="CS248" i="1"/>
  <c r="CP248" i="1"/>
  <c r="CO218" i="1"/>
  <c r="CS155" i="1"/>
  <c r="CP155" i="1"/>
  <c r="CT155" i="1"/>
  <c r="CQ155" i="1"/>
  <c r="CP168" i="1"/>
  <c r="CS168" i="1"/>
  <c r="CQ168" i="1"/>
  <c r="CT168" i="1"/>
  <c r="CO248" i="1"/>
  <c r="CS198" i="1"/>
  <c r="CT198" i="1"/>
  <c r="CP198" i="1"/>
  <c r="CQ198" i="1"/>
  <c r="CO145" i="1"/>
  <c r="CO125" i="1"/>
  <c r="CO37" i="1"/>
  <c r="CU271" i="1"/>
  <c r="CS261" i="1"/>
  <c r="CP261" i="1"/>
  <c r="CQ261" i="1"/>
  <c r="CT261" i="1"/>
  <c r="CS245" i="1"/>
  <c r="CP245" i="1"/>
  <c r="CQ245" i="1"/>
  <c r="CT245" i="1"/>
  <c r="CQ229" i="1"/>
  <c r="CS229" i="1"/>
  <c r="CP229" i="1"/>
  <c r="CT229" i="1"/>
  <c r="CO219" i="1"/>
  <c r="CQ201" i="1"/>
  <c r="CS201" i="1"/>
  <c r="CP201" i="1"/>
  <c r="CT201" i="1"/>
  <c r="CS185" i="1"/>
  <c r="CT185" i="1"/>
  <c r="CQ185" i="1"/>
  <c r="CP185" i="1"/>
  <c r="CS169" i="1"/>
  <c r="CT169" i="1"/>
  <c r="CQ169" i="1"/>
  <c r="CP169" i="1"/>
  <c r="CS161" i="1"/>
  <c r="CQ161" i="1"/>
  <c r="CT161" i="1"/>
  <c r="CP161" i="1"/>
  <c r="CO159" i="1"/>
  <c r="CS142" i="1"/>
  <c r="CT142" i="1"/>
  <c r="CQ142" i="1"/>
  <c r="CP142" i="1"/>
  <c r="CS134" i="1"/>
  <c r="CT134" i="1"/>
  <c r="CQ134" i="1"/>
  <c r="CP134" i="1"/>
  <c r="CS110" i="1"/>
  <c r="CT110" i="1"/>
  <c r="CQ110" i="1"/>
  <c r="CP110" i="1"/>
  <c r="CS66" i="1"/>
  <c r="CQ66" i="1"/>
  <c r="CT66" i="1"/>
  <c r="CP66" i="1"/>
  <c r="CS58" i="1"/>
  <c r="CQ58" i="1"/>
  <c r="CT58" i="1"/>
  <c r="CP58" i="1"/>
  <c r="CS42" i="1"/>
  <c r="CQ42" i="1"/>
  <c r="CT42" i="1"/>
  <c r="CP42" i="1"/>
  <c r="CT186" i="1"/>
  <c r="CQ186" i="1"/>
  <c r="CP186" i="1"/>
  <c r="CS186" i="1"/>
  <c r="CS214" i="1"/>
  <c r="CT214" i="1"/>
  <c r="CP214" i="1"/>
  <c r="CQ214" i="1"/>
  <c r="CU91" i="1"/>
  <c r="CS243" i="1"/>
  <c r="CT243" i="1"/>
  <c r="CP243" i="1"/>
  <c r="CQ243" i="1"/>
  <c r="CS227" i="1"/>
  <c r="CT227" i="1"/>
  <c r="CP227" i="1"/>
  <c r="CQ227" i="1"/>
  <c r="CU223" i="1"/>
  <c r="CS211" i="1"/>
  <c r="CT211" i="1"/>
  <c r="CP211" i="1"/>
  <c r="CQ211" i="1"/>
  <c r="CU207" i="1"/>
  <c r="CO201" i="1"/>
  <c r="CS195" i="1"/>
  <c r="CT195" i="1"/>
  <c r="CP195" i="1"/>
  <c r="CQ195" i="1"/>
  <c r="CU35" i="1"/>
  <c r="CO185" i="1"/>
  <c r="CP179" i="1"/>
  <c r="CS179" i="1"/>
  <c r="CQ179" i="1"/>
  <c r="CT179" i="1"/>
  <c r="CU175" i="1"/>
  <c r="CO169" i="1"/>
  <c r="CP65" i="1"/>
  <c r="CS65" i="1"/>
  <c r="CQ65" i="1"/>
  <c r="CT65" i="1"/>
  <c r="CU159" i="1"/>
  <c r="CS148" i="1"/>
  <c r="CT148" i="1"/>
  <c r="CP148" i="1"/>
  <c r="CQ148" i="1"/>
  <c r="CU144" i="1"/>
  <c r="CS132" i="1"/>
  <c r="CT132" i="1"/>
  <c r="CP132" i="1"/>
  <c r="CQ132" i="1"/>
  <c r="CS116" i="1"/>
  <c r="CT116" i="1"/>
  <c r="CP116" i="1"/>
  <c r="CQ116" i="1"/>
  <c r="CU112" i="1"/>
  <c r="CS100" i="1"/>
  <c r="CT100" i="1"/>
  <c r="CP100" i="1"/>
  <c r="CQ100" i="1"/>
  <c r="CU96" i="1"/>
  <c r="CS84" i="1"/>
  <c r="CT84" i="1"/>
  <c r="CP84" i="1"/>
  <c r="CQ84" i="1"/>
  <c r="CU80" i="1"/>
  <c r="CO74" i="1"/>
  <c r="CS68" i="1"/>
  <c r="CT68" i="1"/>
  <c r="CP68" i="1"/>
  <c r="CQ68" i="1"/>
  <c r="CU64" i="1"/>
  <c r="CO58" i="1"/>
  <c r="CS52" i="1"/>
  <c r="CT52" i="1"/>
  <c r="CP52" i="1"/>
  <c r="CQ52" i="1"/>
  <c r="CU48" i="1"/>
  <c r="CO42" i="1"/>
  <c r="CS36" i="1"/>
  <c r="CT36" i="1"/>
  <c r="CP36" i="1"/>
  <c r="CQ36" i="1"/>
  <c r="CU32" i="1"/>
  <c r="CT20" i="1"/>
  <c r="CS20" i="1"/>
  <c r="CP20" i="1"/>
  <c r="CQ20" i="1"/>
  <c r="CU16" i="1"/>
  <c r="CU256" i="1"/>
  <c r="CU244" i="1"/>
  <c r="CU224" i="1"/>
  <c r="CT212" i="1"/>
  <c r="CP212" i="1"/>
  <c r="CQ212" i="1"/>
  <c r="CS212" i="1"/>
  <c r="CU204" i="1"/>
  <c r="CT192" i="1"/>
  <c r="CP192" i="1"/>
  <c r="CQ192" i="1"/>
  <c r="CS192" i="1"/>
  <c r="CU191" i="1"/>
  <c r="CP172" i="1"/>
  <c r="CQ172" i="1"/>
  <c r="CS172" i="1"/>
  <c r="CT172" i="1"/>
  <c r="CU164" i="1"/>
  <c r="CP120" i="1"/>
  <c r="CS120" i="1"/>
  <c r="CQ120" i="1"/>
  <c r="CT120" i="1"/>
  <c r="CU145" i="1"/>
  <c r="CU125" i="1"/>
  <c r="CO115" i="1"/>
  <c r="CT101" i="1"/>
  <c r="CP101" i="1"/>
  <c r="CQ101" i="1"/>
  <c r="CS101" i="1"/>
  <c r="CT81" i="1"/>
  <c r="CS81" i="1"/>
  <c r="CP81" i="1"/>
  <c r="CQ81" i="1"/>
  <c r="CU73" i="1"/>
  <c r="CT49" i="1"/>
  <c r="CS49" i="1"/>
  <c r="CP49" i="1"/>
  <c r="CQ49" i="1"/>
  <c r="CS242" i="1"/>
  <c r="CT242" i="1"/>
  <c r="CP242" i="1"/>
  <c r="CQ242" i="1"/>
  <c r="CS194" i="1"/>
  <c r="CT194" i="1"/>
  <c r="CP194" i="1"/>
  <c r="CQ194" i="1"/>
  <c r="CO191" i="1"/>
  <c r="CU162" i="1"/>
  <c r="CO120" i="1"/>
  <c r="CO141" i="1"/>
  <c r="CT131" i="1"/>
  <c r="CP131" i="1"/>
  <c r="CS131" i="1"/>
  <c r="CQ131" i="1"/>
  <c r="CU123" i="1"/>
  <c r="CT103" i="1"/>
  <c r="CS103" i="1"/>
  <c r="CP103" i="1"/>
  <c r="CQ103" i="1"/>
  <c r="CT83" i="1"/>
  <c r="CP83" i="1"/>
  <c r="CS83" i="1"/>
  <c r="CQ83" i="1"/>
  <c r="CT43" i="1"/>
  <c r="CP43" i="1"/>
  <c r="CQ43" i="1"/>
  <c r="CS43" i="1"/>
  <c r="CT270" i="1"/>
  <c r="CS270" i="1"/>
  <c r="CP270" i="1"/>
  <c r="CQ270" i="1"/>
  <c r="CU248" i="1"/>
  <c r="CO238" i="1"/>
  <c r="CO214" i="1"/>
  <c r="CT200" i="1"/>
  <c r="CP200" i="1"/>
  <c r="CQ200" i="1"/>
  <c r="CS200" i="1"/>
  <c r="CT188" i="1"/>
  <c r="CP188" i="1"/>
  <c r="CQ188" i="1"/>
  <c r="CS188" i="1"/>
  <c r="CU155" i="1"/>
  <c r="CU168" i="1"/>
  <c r="CT133" i="1"/>
  <c r="CP133" i="1"/>
  <c r="CQ133" i="1"/>
  <c r="CS133" i="1"/>
  <c r="CT70" i="1"/>
  <c r="CS70" i="1"/>
  <c r="CP70" i="1"/>
  <c r="CQ70" i="1"/>
  <c r="CO103" i="1"/>
  <c r="CT57" i="1"/>
  <c r="CS57" i="1"/>
  <c r="CP57" i="1"/>
  <c r="CQ57" i="1"/>
  <c r="CT45" i="1"/>
  <c r="CP45" i="1"/>
  <c r="CQ45" i="1"/>
  <c r="CS45" i="1"/>
  <c r="CS25" i="1"/>
  <c r="CT25" i="1"/>
  <c r="CP25" i="1"/>
  <c r="CQ25" i="1"/>
  <c r="CO244" i="1"/>
  <c r="CS234" i="1"/>
  <c r="CT234" i="1"/>
  <c r="CP234" i="1"/>
  <c r="CQ234" i="1"/>
  <c r="CU198" i="1"/>
  <c r="CO188" i="1"/>
  <c r="CT174" i="1"/>
  <c r="CP174" i="1"/>
  <c r="CS174" i="1"/>
  <c r="CQ174" i="1"/>
  <c r="CO133" i="1"/>
  <c r="CT119" i="1"/>
  <c r="CS119" i="1"/>
  <c r="CP119" i="1"/>
  <c r="CQ119" i="1"/>
  <c r="CT99" i="1"/>
  <c r="CP99" i="1"/>
  <c r="CS99" i="1"/>
  <c r="CQ99" i="1"/>
  <c r="CT75" i="1"/>
  <c r="CP75" i="1"/>
  <c r="CQ75" i="1"/>
  <c r="CS75" i="1"/>
  <c r="CO57" i="1"/>
  <c r="CO45" i="1"/>
  <c r="CS31" i="1"/>
  <c r="CT31" i="1"/>
  <c r="CP31" i="1"/>
  <c r="CQ31" i="1"/>
  <c r="CU261" i="1"/>
  <c r="CU245" i="1"/>
  <c r="CO243" i="1"/>
  <c r="CO235" i="1"/>
  <c r="CU229" i="1"/>
  <c r="CO227" i="1"/>
  <c r="CQ217" i="1"/>
  <c r="CS217" i="1"/>
  <c r="CP217" i="1"/>
  <c r="CT217" i="1"/>
  <c r="CQ114" i="1"/>
  <c r="CS114" i="1"/>
  <c r="CT114" i="1"/>
  <c r="CP114" i="1"/>
  <c r="CO207" i="1"/>
  <c r="CU201" i="1"/>
  <c r="CU185" i="1"/>
  <c r="CS177" i="1"/>
  <c r="CQ177" i="1"/>
  <c r="CT177" i="1"/>
  <c r="CP177" i="1"/>
  <c r="CU169" i="1"/>
  <c r="CU161" i="1"/>
  <c r="CS157" i="1"/>
  <c r="CQ157" i="1"/>
  <c r="CT157" i="1"/>
  <c r="CP157" i="1"/>
  <c r="CS150" i="1"/>
  <c r="CT150" i="1"/>
  <c r="CQ150" i="1"/>
  <c r="CP150" i="1"/>
  <c r="CU142" i="1"/>
  <c r="CU134" i="1"/>
  <c r="CO132" i="1"/>
  <c r="CO153" i="1"/>
  <c r="CO116" i="1"/>
  <c r="CU110" i="1"/>
  <c r="CO108" i="1"/>
  <c r="CO100" i="1"/>
  <c r="CS163" i="1"/>
  <c r="CQ163" i="1"/>
  <c r="CT163" i="1"/>
  <c r="CP163" i="1"/>
  <c r="CS82" i="1"/>
  <c r="CQ82" i="1"/>
  <c r="CT82" i="1"/>
  <c r="CP82" i="1"/>
  <c r="CU66" i="1"/>
  <c r="CU58" i="1"/>
  <c r="CU42" i="1"/>
  <c r="CT30" i="1"/>
  <c r="CS30" i="1"/>
  <c r="CQ30" i="1"/>
  <c r="CP30" i="1"/>
  <c r="CS22" i="1"/>
  <c r="CT22" i="1"/>
  <c r="CQ22" i="1"/>
  <c r="CP22" i="1"/>
  <c r="CU186" i="1"/>
  <c r="CO12" i="1"/>
  <c r="CU214" i="1"/>
  <c r="CT95" i="1"/>
  <c r="CS95" i="1"/>
  <c r="CP95" i="1"/>
  <c r="CQ95" i="1"/>
  <c r="CT71" i="1"/>
  <c r="CS71" i="1"/>
  <c r="CP71" i="1"/>
  <c r="CQ71" i="1"/>
  <c r="CT63" i="1"/>
  <c r="CS63" i="1"/>
  <c r="CP63" i="1"/>
  <c r="CQ63" i="1"/>
  <c r="CS266" i="1"/>
  <c r="CT266" i="1"/>
  <c r="CP266" i="1"/>
  <c r="CQ266" i="1"/>
  <c r="CS251" i="1"/>
  <c r="CT251" i="1"/>
  <c r="CP251" i="1"/>
  <c r="CQ251" i="1"/>
  <c r="CS171" i="1"/>
  <c r="CT171" i="1"/>
  <c r="CP171" i="1"/>
  <c r="CQ171" i="1"/>
  <c r="CS140" i="1"/>
  <c r="CT140" i="1"/>
  <c r="CP140" i="1"/>
  <c r="CQ140" i="1"/>
  <c r="CT236" i="1"/>
  <c r="CQ236" i="1"/>
  <c r="CS236" i="1"/>
  <c r="CP236" i="1"/>
  <c r="CT196" i="1"/>
  <c r="CP196" i="1"/>
  <c r="CQ196" i="1"/>
  <c r="CS196" i="1"/>
  <c r="CT137" i="1"/>
  <c r="CS137" i="1"/>
  <c r="CP137" i="1"/>
  <c r="CQ137" i="1"/>
  <c r="CT127" i="1"/>
  <c r="CS127" i="1"/>
  <c r="CP127" i="1"/>
  <c r="CQ127" i="1"/>
  <c r="CT21" i="1"/>
  <c r="CP21" i="1"/>
  <c r="CQ21" i="1"/>
  <c r="CS21" i="1"/>
  <c r="CT267" i="1"/>
  <c r="CS267" i="1"/>
  <c r="CP267" i="1"/>
  <c r="CQ267" i="1"/>
  <c r="CT105" i="1"/>
  <c r="CS105" i="1"/>
  <c r="CP105" i="1"/>
  <c r="CQ105" i="1"/>
  <c r="CT93" i="1"/>
  <c r="CP93" i="1"/>
  <c r="CQ93" i="1"/>
  <c r="CS93" i="1"/>
  <c r="CS9" i="1"/>
  <c r="CT9" i="1"/>
  <c r="CP9" i="1"/>
  <c r="CQ9" i="1"/>
  <c r="CO117" i="1"/>
  <c r="CT87" i="1"/>
  <c r="CS87" i="1"/>
  <c r="CP87" i="1"/>
  <c r="CQ87" i="1"/>
  <c r="CS15" i="1"/>
  <c r="CT15" i="1"/>
  <c r="CP15" i="1"/>
  <c r="CQ15" i="1"/>
  <c r="CO203" i="1"/>
  <c r="CO187" i="1"/>
  <c r="CS86" i="1"/>
  <c r="CT86" i="1"/>
  <c r="CQ86" i="1"/>
  <c r="CP86" i="1"/>
  <c r="CO76" i="1"/>
  <c r="CS26" i="1"/>
  <c r="CQ26" i="1"/>
  <c r="CT26" i="1"/>
  <c r="CP26" i="1"/>
  <c r="CT154" i="1"/>
  <c r="CS154" i="1"/>
  <c r="CP154" i="1"/>
  <c r="CQ154" i="1"/>
  <c r="CT91" i="1"/>
  <c r="CP91" i="1"/>
  <c r="CS91" i="1"/>
  <c r="CQ91" i="1"/>
  <c r="CT79" i="1"/>
  <c r="CS79" i="1"/>
  <c r="CP79" i="1"/>
  <c r="CQ79" i="1"/>
  <c r="CT121" i="1"/>
  <c r="CP121" i="1"/>
  <c r="CQ121" i="1"/>
  <c r="CS121" i="1"/>
  <c r="CS269" i="1"/>
  <c r="CT269" i="1"/>
  <c r="CQ269" i="1"/>
  <c r="CP269" i="1"/>
  <c r="CS202" i="1"/>
  <c r="CT202" i="1"/>
  <c r="CP202" i="1"/>
  <c r="CQ202" i="1"/>
  <c r="CU251" i="1"/>
  <c r="CS239" i="1"/>
  <c r="CT239" i="1"/>
  <c r="CP239" i="1"/>
  <c r="CQ239" i="1"/>
  <c r="CU235" i="1"/>
  <c r="CS35" i="1"/>
  <c r="CT35" i="1"/>
  <c r="CP35" i="1"/>
  <c r="CQ35" i="1"/>
  <c r="CU187" i="1"/>
  <c r="CS175" i="1"/>
  <c r="CP175" i="1"/>
  <c r="CT175" i="1"/>
  <c r="CQ175" i="1"/>
  <c r="CU171" i="1"/>
  <c r="CU140" i="1"/>
  <c r="CS128" i="1"/>
  <c r="CP128" i="1"/>
  <c r="CQ128" i="1"/>
  <c r="CT128" i="1"/>
  <c r="CU153" i="1"/>
  <c r="CO86" i="1"/>
  <c r="CS80" i="1"/>
  <c r="CP80" i="1"/>
  <c r="CQ80" i="1"/>
  <c r="CT80" i="1"/>
  <c r="CU76" i="1"/>
  <c r="CS64" i="1"/>
  <c r="CP64" i="1"/>
  <c r="CQ64" i="1"/>
  <c r="CT64" i="1"/>
  <c r="CU60" i="1"/>
  <c r="CS48" i="1"/>
  <c r="CP48" i="1"/>
  <c r="CQ48" i="1"/>
  <c r="CT48" i="1"/>
  <c r="CT256" i="1"/>
  <c r="CQ256" i="1"/>
  <c r="CS256" i="1"/>
  <c r="CP256" i="1"/>
  <c r="CU236" i="1"/>
  <c r="CU137" i="1"/>
  <c r="CO87" i="1"/>
  <c r="CT41" i="1"/>
  <c r="CS41" i="1"/>
  <c r="CP41" i="1"/>
  <c r="CQ41" i="1"/>
  <c r="CS29" i="1"/>
  <c r="CT29" i="1"/>
  <c r="CP29" i="1"/>
  <c r="CQ29" i="1"/>
  <c r="CU21" i="1"/>
  <c r="CS262" i="1"/>
  <c r="CT262" i="1"/>
  <c r="CP262" i="1"/>
  <c r="CQ262" i="1"/>
  <c r="CS230" i="1"/>
  <c r="CT230" i="1"/>
  <c r="CP230" i="1"/>
  <c r="CQ230" i="1"/>
  <c r="CO216" i="1"/>
  <c r="CO176" i="1"/>
  <c r="CU115" i="1"/>
  <c r="CO97" i="1"/>
  <c r="CT55" i="1"/>
  <c r="CS55" i="1"/>
  <c r="CP55" i="1"/>
  <c r="CQ55" i="1"/>
  <c r="CT209" i="1"/>
  <c r="CP209" i="1"/>
  <c r="CQ209" i="1"/>
  <c r="CS209" i="1"/>
  <c r="CU267" i="1"/>
  <c r="CU240" i="1"/>
  <c r="CO230" i="1"/>
  <c r="CP156" i="1"/>
  <c r="CQ156" i="1"/>
  <c r="CS156" i="1"/>
  <c r="CT156" i="1"/>
  <c r="CU149" i="1"/>
  <c r="CT113" i="1"/>
  <c r="CS113" i="1"/>
  <c r="CP113" i="1"/>
  <c r="CQ113" i="1"/>
  <c r="CU105" i="1"/>
  <c r="CU93" i="1"/>
  <c r="CT69" i="1"/>
  <c r="CP69" i="1"/>
  <c r="CQ69" i="1"/>
  <c r="CS69" i="1"/>
  <c r="CU61" i="1"/>
  <c r="CT37" i="1"/>
  <c r="CP37" i="1"/>
  <c r="CQ37" i="1"/>
  <c r="CS37" i="1"/>
  <c r="CS17" i="1"/>
  <c r="CP17" i="1"/>
  <c r="CT17" i="1"/>
  <c r="CQ17" i="1"/>
  <c r="CS258" i="1"/>
  <c r="CT258" i="1"/>
  <c r="CP258" i="1"/>
  <c r="CQ258" i="1"/>
  <c r="CS210" i="1"/>
  <c r="CT210" i="1"/>
  <c r="CP210" i="1"/>
  <c r="CQ210" i="1"/>
  <c r="CS190" i="1"/>
  <c r="CT190" i="1"/>
  <c r="CP190" i="1"/>
  <c r="CQ190" i="1"/>
  <c r="CO155" i="1"/>
  <c r="CT166" i="1"/>
  <c r="CS166" i="1"/>
  <c r="CP166" i="1"/>
  <c r="CQ166" i="1"/>
  <c r="CO137" i="1"/>
  <c r="CT111" i="1"/>
  <c r="CS111" i="1"/>
  <c r="CP111" i="1"/>
  <c r="CQ111" i="1"/>
  <c r="CO105" i="1"/>
  <c r="CU87" i="1"/>
  <c r="CO69" i="1"/>
  <c r="CS23" i="1"/>
  <c r="CT23" i="1"/>
  <c r="CP23" i="1"/>
  <c r="CQ23" i="1"/>
  <c r="CS268" i="1"/>
  <c r="CP268" i="1"/>
  <c r="CT268" i="1"/>
  <c r="CQ268" i="1"/>
  <c r="CS253" i="1"/>
  <c r="CP253" i="1"/>
  <c r="CT253" i="1"/>
  <c r="CQ253" i="1"/>
  <c r="CS237" i="1"/>
  <c r="CP237" i="1"/>
  <c r="CT237" i="1"/>
  <c r="CQ237" i="1"/>
  <c r="CU221" i="1"/>
  <c r="CU213" i="1"/>
  <c r="CQ193" i="1"/>
  <c r="CS193" i="1"/>
  <c r="CT193" i="1"/>
  <c r="CP193" i="1"/>
  <c r="CU146" i="1"/>
  <c r="CS126" i="1"/>
  <c r="CT126" i="1"/>
  <c r="CQ126" i="1"/>
  <c r="CP126" i="1"/>
  <c r="CS118" i="1"/>
  <c r="CT118" i="1"/>
  <c r="CQ118" i="1"/>
  <c r="CP118" i="1"/>
  <c r="CS102" i="1"/>
  <c r="CT102" i="1"/>
  <c r="CQ102" i="1"/>
  <c r="CP102" i="1"/>
  <c r="CU94" i="1"/>
  <c r="CO180" i="1"/>
  <c r="CS74" i="1"/>
  <c r="CQ74" i="1"/>
  <c r="CT74" i="1"/>
  <c r="CP74" i="1"/>
  <c r="CS50" i="1"/>
  <c r="CQ50" i="1"/>
  <c r="CT50" i="1"/>
  <c r="CP50" i="1"/>
  <c r="CS34" i="1"/>
  <c r="CQ34" i="1"/>
  <c r="CT34" i="1"/>
  <c r="CP34" i="1"/>
  <c r="CO32" i="1"/>
  <c r="CU26" i="1"/>
  <c r="CU18" i="1"/>
  <c r="CS222" i="1"/>
  <c r="CT222" i="1"/>
  <c r="CP222" i="1"/>
  <c r="CQ222" i="1"/>
  <c r="CT151" i="1"/>
  <c r="CS151" i="1"/>
  <c r="CP151" i="1"/>
  <c r="CQ151" i="1"/>
  <c r="CT139" i="1"/>
  <c r="CP139" i="1"/>
  <c r="CQ139" i="1"/>
  <c r="CS139" i="1"/>
  <c r="CU121" i="1"/>
  <c r="CS11" i="1"/>
  <c r="CT11" i="1"/>
  <c r="CP11" i="1"/>
  <c r="CQ11" i="1"/>
  <c r="CS259" i="1"/>
  <c r="CT259" i="1"/>
  <c r="CP259" i="1"/>
  <c r="CQ259" i="1"/>
  <c r="CU202" i="1"/>
  <c r="CO268" i="1"/>
  <c r="CS263" i="1"/>
  <c r="CT263" i="1"/>
  <c r="CP263" i="1"/>
  <c r="CQ263" i="1"/>
  <c r="CU259" i="1"/>
  <c r="CO253" i="1"/>
  <c r="CS247" i="1"/>
  <c r="CT247" i="1"/>
  <c r="CP247" i="1"/>
  <c r="CQ247" i="1"/>
  <c r="CU243" i="1"/>
  <c r="CO237" i="1"/>
  <c r="CS231" i="1"/>
  <c r="CT231" i="1"/>
  <c r="CP231" i="1"/>
  <c r="CQ231" i="1"/>
  <c r="CU227" i="1"/>
  <c r="CO221" i="1"/>
  <c r="CS215" i="1"/>
  <c r="CT215" i="1"/>
  <c r="CP215" i="1"/>
  <c r="CQ215" i="1"/>
  <c r="CU211" i="1"/>
  <c r="CS199" i="1"/>
  <c r="CT199" i="1"/>
  <c r="CP199" i="1"/>
  <c r="CQ199" i="1"/>
  <c r="CU195" i="1"/>
  <c r="CT183" i="1"/>
  <c r="CP183" i="1"/>
  <c r="CQ183" i="1"/>
  <c r="CS183" i="1"/>
  <c r="CU179" i="1"/>
  <c r="CT167" i="1"/>
  <c r="CP167" i="1"/>
  <c r="CQ167" i="1"/>
  <c r="CS167" i="1"/>
  <c r="CU65" i="1"/>
  <c r="CT152" i="1"/>
  <c r="CP152" i="1"/>
  <c r="CQ152" i="1"/>
  <c r="CS152" i="1"/>
  <c r="CU148" i="1"/>
  <c r="CO142" i="1"/>
  <c r="CS136" i="1"/>
  <c r="CP136" i="1"/>
  <c r="CQ136" i="1"/>
  <c r="CT136" i="1"/>
  <c r="CU132" i="1"/>
  <c r="CO126" i="1"/>
  <c r="CS67" i="1"/>
  <c r="CP67" i="1"/>
  <c r="CQ67" i="1"/>
  <c r="CT67" i="1"/>
  <c r="CU116" i="1"/>
  <c r="CO110" i="1"/>
  <c r="CS104" i="1"/>
  <c r="CP104" i="1"/>
  <c r="CQ104" i="1"/>
  <c r="CT104" i="1"/>
  <c r="CU100" i="1"/>
  <c r="CO94" i="1"/>
  <c r="CS88" i="1"/>
  <c r="CP88" i="1"/>
  <c r="CQ88" i="1"/>
  <c r="CT88" i="1"/>
  <c r="CU84" i="1"/>
  <c r="CS72" i="1"/>
  <c r="CP72" i="1"/>
  <c r="CQ72" i="1"/>
  <c r="CT72" i="1"/>
  <c r="CU68" i="1"/>
  <c r="CS56" i="1"/>
  <c r="CP56" i="1"/>
  <c r="CQ56" i="1"/>
  <c r="CT56" i="1"/>
  <c r="CU52" i="1"/>
  <c r="CS40" i="1"/>
  <c r="CP40" i="1"/>
  <c r="CQ40" i="1"/>
  <c r="CT40" i="1"/>
  <c r="CU36" i="1"/>
  <c r="CT24" i="1"/>
  <c r="CS24" i="1"/>
  <c r="CP24" i="1"/>
  <c r="CQ24" i="1"/>
  <c r="CU20" i="1"/>
  <c r="CO186" i="1"/>
  <c r="CT8" i="1"/>
  <c r="CS8" i="1"/>
  <c r="CP8" i="1"/>
  <c r="CQ8" i="1"/>
  <c r="CO265" i="1"/>
  <c r="CO254" i="1"/>
  <c r="CT228" i="1"/>
  <c r="CP228" i="1"/>
  <c r="CQ228" i="1"/>
  <c r="CS228" i="1"/>
  <c r="CO222" i="1"/>
  <c r="CU212" i="1"/>
  <c r="CU192" i="1"/>
  <c r="CU172" i="1"/>
  <c r="CT160" i="1"/>
  <c r="CP160" i="1"/>
  <c r="CQ160" i="1"/>
  <c r="CS160" i="1"/>
  <c r="CU120" i="1"/>
  <c r="CO143" i="1"/>
  <c r="CT129" i="1"/>
  <c r="CS129" i="1"/>
  <c r="CP129" i="1"/>
  <c r="CQ129" i="1"/>
  <c r="CO123" i="1"/>
  <c r="CU109" i="1"/>
  <c r="CU101" i="1"/>
  <c r="CT124" i="1"/>
  <c r="CS124" i="1"/>
  <c r="CP124" i="1"/>
  <c r="CQ124" i="1"/>
  <c r="CU81" i="1"/>
  <c r="CU49" i="1"/>
  <c r="CO27" i="1"/>
  <c r="CS13" i="1"/>
  <c r="CT13" i="1"/>
  <c r="CP13" i="1"/>
  <c r="CQ13" i="1"/>
  <c r="CU265" i="1"/>
  <c r="CO260" i="1"/>
  <c r="CS246" i="1"/>
  <c r="CT246" i="1"/>
  <c r="CP246" i="1"/>
  <c r="CQ246" i="1"/>
  <c r="CO240" i="1"/>
  <c r="CO228" i="1"/>
  <c r="CU218" i="1"/>
  <c r="CS255" i="1"/>
  <c r="CT255" i="1"/>
  <c r="CP255" i="1"/>
  <c r="CQ255" i="1"/>
  <c r="CO192" i="1"/>
  <c r="CT178" i="1"/>
  <c r="CS178" i="1"/>
  <c r="CP178" i="1"/>
  <c r="CQ178" i="1"/>
  <c r="CT170" i="1"/>
  <c r="CS170" i="1"/>
  <c r="CP170" i="1"/>
  <c r="CQ170" i="1"/>
  <c r="CT158" i="1"/>
  <c r="CP158" i="1"/>
  <c r="CS158" i="1"/>
  <c r="CQ158" i="1"/>
  <c r="CO149" i="1"/>
  <c r="CU131" i="1"/>
  <c r="CU103" i="1"/>
  <c r="CU83" i="1"/>
  <c r="CT59" i="1"/>
  <c r="CP59" i="1"/>
  <c r="CS59" i="1"/>
  <c r="CQ59" i="1"/>
  <c r="CO53" i="1"/>
  <c r="CU43" i="1"/>
  <c r="CS90" i="1"/>
  <c r="CT90" i="1"/>
  <c r="CP90" i="1"/>
  <c r="CQ90" i="1"/>
  <c r="CU270" i="1"/>
  <c r="CT252" i="1"/>
  <c r="CQ252" i="1"/>
  <c r="CS252" i="1"/>
  <c r="CP252" i="1"/>
  <c r="CO246" i="1"/>
  <c r="CT232" i="1"/>
  <c r="CP232" i="1"/>
  <c r="CQ232" i="1"/>
  <c r="CS232" i="1"/>
  <c r="CT220" i="1"/>
  <c r="CP220" i="1"/>
  <c r="CQ220" i="1"/>
  <c r="CS220" i="1"/>
  <c r="CT208" i="1"/>
  <c r="CP208" i="1"/>
  <c r="CQ208" i="1"/>
  <c r="CS208" i="1"/>
  <c r="CU200" i="1"/>
  <c r="CU188" i="1"/>
  <c r="CO178" i="1"/>
  <c r="CO166" i="1"/>
  <c r="CO154" i="1"/>
  <c r="CU141" i="1"/>
  <c r="CU133" i="1"/>
  <c r="CU70" i="1"/>
  <c r="CO111" i="1"/>
  <c r="CT85" i="1"/>
  <c r="CP85" i="1"/>
  <c r="CQ85" i="1"/>
  <c r="CS85" i="1"/>
  <c r="CT77" i="1"/>
  <c r="CP77" i="1"/>
  <c r="CQ77" i="1"/>
  <c r="CS77" i="1"/>
  <c r="CO121" i="1"/>
  <c r="CU57" i="1"/>
  <c r="CU45" i="1"/>
  <c r="CT33" i="1"/>
  <c r="CS33" i="1"/>
  <c r="CP33" i="1"/>
  <c r="CQ33" i="1"/>
  <c r="CU25" i="1"/>
  <c r="CO15" i="1"/>
  <c r="CO270" i="1"/>
  <c r="CU250" i="1"/>
  <c r="CU238" i="1"/>
  <c r="CO232" i="1"/>
  <c r="CO224" i="1"/>
  <c r="CS206" i="1"/>
  <c r="CT206" i="1"/>
  <c r="CP206" i="1"/>
  <c r="CQ206" i="1"/>
  <c r="CO196" i="1"/>
  <c r="CT182" i="1"/>
  <c r="CS182" i="1"/>
  <c r="CP182" i="1"/>
  <c r="CQ182" i="1"/>
  <c r="CU174" i="1"/>
  <c r="CO164" i="1"/>
  <c r="CT147" i="1"/>
  <c r="CP147" i="1"/>
  <c r="CS147" i="1"/>
  <c r="CQ147" i="1"/>
  <c r="CT14" i="1"/>
  <c r="CS14" i="1"/>
  <c r="CP14" i="1"/>
  <c r="CQ14" i="1"/>
  <c r="CU119" i="1"/>
  <c r="CT107" i="1"/>
  <c r="CP107" i="1"/>
  <c r="CQ107" i="1"/>
  <c r="CS107" i="1"/>
  <c r="CU99" i="1"/>
  <c r="CO93" i="1"/>
  <c r="CU75" i="1"/>
  <c r="CT51" i="1"/>
  <c r="CP51" i="1"/>
  <c r="CS51" i="1"/>
  <c r="CQ51" i="1"/>
  <c r="CT39" i="1"/>
  <c r="CS39" i="1"/>
  <c r="CP39" i="1"/>
  <c r="CQ39" i="1"/>
  <c r="CU31" i="1"/>
  <c r="CO21" i="1"/>
  <c r="CS7" i="1"/>
  <c r="CT7" i="1"/>
  <c r="CP7" i="1"/>
  <c r="CQ7" i="1"/>
  <c r="CS264" i="1"/>
  <c r="CQ264" i="1"/>
  <c r="CT264" i="1"/>
  <c r="CP264" i="1"/>
  <c r="CS257" i="1"/>
  <c r="CT257" i="1"/>
  <c r="CP257" i="1"/>
  <c r="CQ257" i="1"/>
  <c r="CS249" i="1"/>
  <c r="CQ249" i="1"/>
  <c r="CT249" i="1"/>
  <c r="CP249" i="1"/>
  <c r="CS241" i="1"/>
  <c r="CT241" i="1"/>
  <c r="CQ241" i="1"/>
  <c r="CP241" i="1"/>
  <c r="CQ233" i="1"/>
  <c r="CS233" i="1"/>
  <c r="CT233" i="1"/>
  <c r="CP233" i="1"/>
  <c r="CQ225" i="1"/>
  <c r="CS225" i="1"/>
  <c r="CT225" i="1"/>
  <c r="CP225" i="1"/>
  <c r="CO223" i="1"/>
  <c r="CU217" i="1"/>
  <c r="CO215" i="1"/>
  <c r="CU114" i="1"/>
  <c r="CQ205" i="1"/>
  <c r="CS205" i="1"/>
  <c r="CT205" i="1"/>
  <c r="CP205" i="1"/>
  <c r="CQ197" i="1"/>
  <c r="CS197" i="1"/>
  <c r="CP197" i="1"/>
  <c r="CT197" i="1"/>
  <c r="CQ189" i="1"/>
  <c r="CS189" i="1"/>
  <c r="CT189" i="1"/>
  <c r="CP189" i="1"/>
  <c r="CS181" i="1"/>
  <c r="CQ181" i="1"/>
  <c r="CT181" i="1"/>
  <c r="CP181" i="1"/>
  <c r="CS173" i="1"/>
  <c r="CQ173" i="1"/>
  <c r="CT173" i="1"/>
  <c r="CP173" i="1"/>
  <c r="CS165" i="1"/>
  <c r="CQ165" i="1"/>
  <c r="CP165" i="1"/>
  <c r="CT165" i="1"/>
  <c r="CU157" i="1"/>
  <c r="CO92" i="1"/>
  <c r="CU150" i="1"/>
  <c r="CO148" i="1"/>
  <c r="CS138" i="1"/>
  <c r="CQ138" i="1"/>
  <c r="CT138" i="1"/>
  <c r="CP138" i="1"/>
  <c r="CS130" i="1"/>
  <c r="CQ130" i="1"/>
  <c r="CT130" i="1"/>
  <c r="CP130" i="1"/>
  <c r="CS122" i="1"/>
  <c r="CQ122" i="1"/>
  <c r="CT122" i="1"/>
  <c r="CP122" i="1"/>
  <c r="CS89" i="1"/>
  <c r="CQ89" i="1"/>
  <c r="CT89" i="1"/>
  <c r="CP89" i="1"/>
  <c r="CS106" i="1"/>
  <c r="CQ106" i="1"/>
  <c r="CT106" i="1"/>
  <c r="CP106" i="1"/>
  <c r="CS98" i="1"/>
  <c r="CQ98" i="1"/>
  <c r="CT98" i="1"/>
  <c r="CP98" i="1"/>
  <c r="CO96" i="1"/>
  <c r="CU163" i="1"/>
  <c r="CO88" i="1"/>
  <c r="CU82" i="1"/>
  <c r="CS78" i="1"/>
  <c r="CT78" i="1"/>
  <c r="CQ78" i="1"/>
  <c r="CP78" i="1"/>
  <c r="CS184" i="1"/>
  <c r="CT184" i="1"/>
  <c r="CQ184" i="1"/>
  <c r="CP184" i="1"/>
  <c r="CS62" i="1"/>
  <c r="CT62" i="1"/>
  <c r="CQ62" i="1"/>
  <c r="CP62" i="1"/>
  <c r="CS54" i="1"/>
  <c r="CT54" i="1"/>
  <c r="CQ54" i="1"/>
  <c r="CP54" i="1"/>
  <c r="CS46" i="1"/>
  <c r="CT46" i="1"/>
  <c r="CQ46" i="1"/>
  <c r="CP46" i="1"/>
  <c r="CS38" i="1"/>
  <c r="CT38" i="1"/>
  <c r="CQ38" i="1"/>
  <c r="CP38" i="1"/>
  <c r="CU30" i="1"/>
  <c r="CO28" i="1"/>
  <c r="CU22" i="1"/>
  <c r="CO20" i="1"/>
  <c r="CS10" i="1"/>
  <c r="CQ10" i="1"/>
  <c r="CT10" i="1"/>
  <c r="CP10" i="1"/>
  <c r="CS226" i="1"/>
  <c r="CT226" i="1"/>
  <c r="CP226" i="1"/>
  <c r="CQ226" i="1"/>
  <c r="CO212" i="1"/>
  <c r="CU154" i="1"/>
  <c r="CT135" i="1"/>
  <c r="CS135" i="1"/>
  <c r="CP135" i="1"/>
  <c r="CQ135" i="1"/>
  <c r="CU95" i="1"/>
  <c r="CU71" i="1"/>
  <c r="CU63" i="1"/>
  <c r="CO9" i="1"/>
  <c r="CV250" i="1" l="1" a="1"/>
  <c r="CV250" i="1" s="1"/>
  <c r="CW172" i="1" a="1"/>
  <c r="CW172" i="1" s="1"/>
  <c r="CW242" i="1" a="1"/>
  <c r="CW242" i="1" s="1"/>
  <c r="CW211" i="1" a="1"/>
  <c r="CW211" i="1" s="1"/>
  <c r="CW127" i="1" a="1"/>
  <c r="CW127" i="1" s="1"/>
  <c r="CW140" i="1" a="1"/>
  <c r="CW140" i="1" s="1"/>
  <c r="CV171" i="1" a="1"/>
  <c r="CV171" i="1" s="1"/>
  <c r="CV251" i="1" a="1"/>
  <c r="CV251" i="1" s="1"/>
  <c r="CV266" i="1" a="1"/>
  <c r="CV266" i="1" s="1"/>
  <c r="CW75" i="1" a="1"/>
  <c r="CW75" i="1" s="1"/>
  <c r="CV194" i="1" a="1"/>
  <c r="CV194" i="1" s="1"/>
  <c r="CW165" i="1" a="1"/>
  <c r="CW165" i="1" s="1"/>
  <c r="CW257" i="1" a="1"/>
  <c r="CW257" i="1" s="1"/>
  <c r="CV182" i="1" a="1"/>
  <c r="CV182" i="1" s="1"/>
  <c r="CV23" i="1" a="1"/>
  <c r="CV23" i="1" s="1"/>
  <c r="CW269" i="1" a="1"/>
  <c r="CW269" i="1" s="1"/>
  <c r="CV26" i="1" a="1"/>
  <c r="CV26" i="1" s="1"/>
  <c r="CV158" i="1" a="1"/>
  <c r="CV158" i="1" s="1"/>
  <c r="CV124" i="1" a="1"/>
  <c r="CV124" i="1" s="1"/>
  <c r="CW8" i="1" a="1"/>
  <c r="CW8" i="1" s="1"/>
  <c r="CV40" i="1" a="1"/>
  <c r="CV40" i="1" s="1"/>
  <c r="CW167" i="1" a="1"/>
  <c r="CW167" i="1" s="1"/>
  <c r="CV231" i="1" a="1"/>
  <c r="CV231" i="1" s="1"/>
  <c r="CV263" i="1" a="1"/>
  <c r="CV263" i="1" s="1"/>
  <c r="CW139" i="1" a="1"/>
  <c r="CW139" i="1" s="1"/>
  <c r="CW193" i="1" a="1"/>
  <c r="CW193" i="1" s="1"/>
  <c r="CW209" i="1" a="1"/>
  <c r="CW209" i="1" s="1"/>
  <c r="CV29" i="1" a="1"/>
  <c r="CV29" i="1" s="1"/>
  <c r="CW48" i="1" a="1"/>
  <c r="CW48" i="1" s="1"/>
  <c r="CV128" i="1" a="1"/>
  <c r="CV128" i="1" s="1"/>
  <c r="CW226" i="1" a="1"/>
  <c r="CW226" i="1" s="1"/>
  <c r="CW7" i="1" a="1"/>
  <c r="CW7" i="1" s="1"/>
  <c r="CV63" i="1" a="1"/>
  <c r="CV63" i="1" s="1"/>
  <c r="CV70" i="1" a="1"/>
  <c r="CV70" i="1" s="1"/>
  <c r="CV49" i="1" a="1"/>
  <c r="CV49" i="1" s="1"/>
  <c r="CW101" i="1" a="1"/>
  <c r="CW101" i="1" s="1"/>
  <c r="CW52" i="1" a="1"/>
  <c r="CW52" i="1" s="1"/>
  <c r="CW134" i="1" a="1"/>
  <c r="CW134" i="1" s="1"/>
  <c r="CW162" i="1" a="1"/>
  <c r="CW162" i="1" s="1"/>
  <c r="CV47" i="1" a="1"/>
  <c r="CV47" i="1" s="1"/>
  <c r="CW197" i="1" a="1"/>
  <c r="CW197" i="1" s="1"/>
  <c r="CW90" i="1" a="1"/>
  <c r="CW90" i="1" s="1"/>
  <c r="CV95" i="1" a="1"/>
  <c r="CV95" i="1" s="1"/>
  <c r="CV198" i="1" a="1"/>
  <c r="CV198" i="1" s="1"/>
  <c r="CW206" i="1" a="1"/>
  <c r="CW206" i="1" s="1"/>
  <c r="CW33" i="1" a="1"/>
  <c r="CW33" i="1" s="1"/>
  <c r="CV77" i="1" a="1"/>
  <c r="CV77" i="1" s="1"/>
  <c r="CV85" i="1" a="1"/>
  <c r="CV85" i="1" s="1"/>
  <c r="CW252" i="1" a="1"/>
  <c r="CW252" i="1" s="1"/>
  <c r="CV90" i="1" a="1"/>
  <c r="CV90" i="1" s="1"/>
  <c r="CW13" i="1" a="1"/>
  <c r="CW13" i="1" s="1"/>
  <c r="CW56" i="1" a="1"/>
  <c r="CW56" i="1" s="1"/>
  <c r="CV104" i="1" a="1"/>
  <c r="CV104" i="1" s="1"/>
  <c r="CV136" i="1" a="1"/>
  <c r="CV136" i="1" s="1"/>
  <c r="CV183" i="1" a="1"/>
  <c r="CV183" i="1" s="1"/>
  <c r="CV199" i="1" a="1"/>
  <c r="CV199" i="1" s="1"/>
  <c r="CW34" i="1" a="1"/>
  <c r="CW34" i="1" s="1"/>
  <c r="CV50" i="1" a="1"/>
  <c r="CV50" i="1" s="1"/>
  <c r="CV156" i="1" a="1"/>
  <c r="CV156" i="1" s="1"/>
  <c r="CV64" i="1" a="1"/>
  <c r="CV64" i="1" s="1"/>
  <c r="CV175" i="1" a="1"/>
  <c r="CV175" i="1" s="1"/>
  <c r="CV239" i="1" a="1"/>
  <c r="CV239" i="1" s="1"/>
  <c r="CW79" i="1" a="1"/>
  <c r="CW79" i="1" s="1"/>
  <c r="CV127" i="1" a="1"/>
  <c r="CV127" i="1" s="1"/>
  <c r="CW171" i="1" a="1"/>
  <c r="CW171" i="1" s="1"/>
  <c r="CW82" i="1" a="1"/>
  <c r="CW82" i="1" s="1"/>
  <c r="CW150" i="1" a="1"/>
  <c r="CW150" i="1" s="1"/>
  <c r="CW174" i="1" a="1"/>
  <c r="CW174" i="1" s="1"/>
  <c r="CW25" i="1" a="1"/>
  <c r="CW25" i="1" s="1"/>
  <c r="CW70" i="1" a="1"/>
  <c r="CW70" i="1" s="1"/>
  <c r="CW81" i="1" a="1"/>
  <c r="CW81" i="1" s="1"/>
  <c r="CV172" i="1" a="1"/>
  <c r="CV172" i="1" s="1"/>
  <c r="CW66" i="1" a="1"/>
  <c r="CW66" i="1" s="1"/>
  <c r="CV73" i="1" a="1"/>
  <c r="CV73" i="1" s="1"/>
  <c r="CW204" i="1" a="1"/>
  <c r="CW204" i="1" s="1"/>
  <c r="CV144" i="1" a="1"/>
  <c r="CV144" i="1" s="1"/>
  <c r="CW250" i="1" a="1"/>
  <c r="CW250" i="1" s="1"/>
  <c r="CW18" i="1" a="1"/>
  <c r="CW18" i="1" s="1"/>
  <c r="CW202" i="1" a="1"/>
  <c r="CW202" i="1" s="1"/>
  <c r="CV84" i="1" a="1"/>
  <c r="CV84" i="1" s="1"/>
  <c r="CV135" i="1" a="1"/>
  <c r="CV135" i="1" s="1"/>
  <c r="CW39" i="1" a="1"/>
  <c r="CW39" i="1" s="1"/>
  <c r="CV107" i="1" a="1"/>
  <c r="CV107" i="1" s="1"/>
  <c r="CW14" i="1" a="1"/>
  <c r="CW14" i="1" s="1"/>
  <c r="CV208" i="1" a="1"/>
  <c r="CV208" i="1" s="1"/>
  <c r="CW220" i="1" a="1"/>
  <c r="CW220" i="1" s="1"/>
  <c r="CV255" i="1" a="1"/>
  <c r="CV255" i="1" s="1"/>
  <c r="CV160" i="1" a="1"/>
  <c r="CV160" i="1" s="1"/>
  <c r="CW24" i="1" a="1"/>
  <c r="CW24" i="1" s="1"/>
  <c r="CV72" i="1" a="1"/>
  <c r="CV72" i="1" s="1"/>
  <c r="CV247" i="1" a="1"/>
  <c r="CV247" i="1" s="1"/>
  <c r="CW259" i="1" a="1"/>
  <c r="CW259" i="1" s="1"/>
  <c r="CV11" i="1" a="1"/>
  <c r="CV11" i="1" s="1"/>
  <c r="CW190" i="1" a="1"/>
  <c r="CW190" i="1" s="1"/>
  <c r="CV210" i="1" a="1"/>
  <c r="CV210" i="1" s="1"/>
  <c r="CV258" i="1" a="1"/>
  <c r="CV258" i="1" s="1"/>
  <c r="CW83" i="1" a="1"/>
  <c r="CW83" i="1" s="1"/>
  <c r="CV113" i="1" a="1"/>
  <c r="CV113" i="1" s="1"/>
  <c r="CW156" i="1" a="1"/>
  <c r="CW156" i="1" s="1"/>
  <c r="CV256" i="1" a="1"/>
  <c r="CV256" i="1" s="1"/>
  <c r="CW80" i="1" a="1"/>
  <c r="CW80" i="1" s="1"/>
  <c r="CW175" i="1" a="1"/>
  <c r="CW175" i="1" s="1"/>
  <c r="CV35" i="1" a="1"/>
  <c r="CV35" i="1" s="1"/>
  <c r="CW91" i="1" a="1"/>
  <c r="CW91" i="1" s="1"/>
  <c r="CV22" i="1" a="1"/>
  <c r="CV22" i="1" s="1"/>
  <c r="CW114" i="1" a="1"/>
  <c r="CW114" i="1" s="1"/>
  <c r="CW68" i="1" a="1"/>
  <c r="CW68" i="1" s="1"/>
  <c r="CV161" i="1" a="1"/>
  <c r="CV161" i="1" s="1"/>
  <c r="CV16" i="1" a="1"/>
  <c r="CV16" i="1" s="1"/>
  <c r="CW271" i="1" a="1"/>
  <c r="CW271" i="1" s="1"/>
  <c r="CW71" i="1" a="1"/>
  <c r="CW71" i="1" s="1"/>
  <c r="CW10" i="1" a="1"/>
  <c r="CW10" i="1" s="1"/>
  <c r="CV38" i="1" a="1"/>
  <c r="CV38" i="1" s="1"/>
  <c r="CV46" i="1" a="1"/>
  <c r="CV46" i="1" s="1"/>
  <c r="CW54" i="1" a="1"/>
  <c r="CW54" i="1" s="1"/>
  <c r="CW62" i="1" a="1"/>
  <c r="CW62" i="1" s="1"/>
  <c r="CW184" i="1" a="1"/>
  <c r="CW184" i="1" s="1"/>
  <c r="CW78" i="1" a="1"/>
  <c r="CW78" i="1" s="1"/>
  <c r="CW98" i="1" a="1"/>
  <c r="CW98" i="1" s="1"/>
  <c r="CW106" i="1" a="1"/>
  <c r="CW106" i="1" s="1"/>
  <c r="CW89" i="1" a="1"/>
  <c r="CW89" i="1" s="1"/>
  <c r="CV122" i="1" a="1"/>
  <c r="CV122" i="1" s="1"/>
  <c r="CW130" i="1" a="1"/>
  <c r="CW130" i="1" s="1"/>
  <c r="CV138" i="1" a="1"/>
  <c r="CV138" i="1" s="1"/>
  <c r="CV165" i="1" a="1"/>
  <c r="CV165" i="1" s="1"/>
  <c r="CW173" i="1" a="1"/>
  <c r="CW173" i="1" s="1"/>
  <c r="CV181" i="1" a="1"/>
  <c r="CV181" i="1" s="1"/>
  <c r="CW189" i="1" a="1"/>
  <c r="CW189" i="1" s="1"/>
  <c r="CV197" i="1" a="1"/>
  <c r="CV197" i="1" s="1"/>
  <c r="CV205" i="1" a="1"/>
  <c r="CV205" i="1" s="1"/>
  <c r="CW225" i="1" a="1"/>
  <c r="CW225" i="1" s="1"/>
  <c r="CV233" i="1" a="1"/>
  <c r="CV233" i="1" s="1"/>
  <c r="CV241" i="1" a="1"/>
  <c r="CV241" i="1" s="1"/>
  <c r="CV249" i="1" a="1"/>
  <c r="CV249" i="1" s="1"/>
  <c r="CV264" i="1" a="1"/>
  <c r="CV264" i="1" s="1"/>
  <c r="CV39" i="1" a="1"/>
  <c r="CV39" i="1" s="1"/>
  <c r="CW51" i="1" a="1"/>
  <c r="CW51" i="1" s="1"/>
  <c r="CV99" i="1" a="1"/>
  <c r="CV99" i="1" s="1"/>
  <c r="CW107" i="1" a="1"/>
  <c r="CW107" i="1" s="1"/>
  <c r="CV147" i="1" a="1"/>
  <c r="CV147" i="1" s="1"/>
  <c r="CW43" i="1" a="1"/>
  <c r="CW43" i="1" s="1"/>
  <c r="CW59" i="1" a="1"/>
  <c r="CW59" i="1" s="1"/>
  <c r="CW170" i="1" a="1"/>
  <c r="CW170" i="1" s="1"/>
  <c r="CW129" i="1" a="1"/>
  <c r="CW129" i="1" s="1"/>
  <c r="CV67" i="1" a="1"/>
  <c r="CV67" i="1" s="1"/>
  <c r="CV152" i="1" a="1"/>
  <c r="CV152" i="1" s="1"/>
  <c r="CW151" i="1" a="1"/>
  <c r="CW151" i="1" s="1"/>
  <c r="CW102" i="1" a="1"/>
  <c r="CW102" i="1" s="1"/>
  <c r="CW118" i="1" a="1"/>
  <c r="CW118" i="1" s="1"/>
  <c r="CV146" i="1" a="1"/>
  <c r="CV146" i="1" s="1"/>
  <c r="CW210" i="1" a="1"/>
  <c r="CW210" i="1" s="1"/>
  <c r="CW258" i="1" a="1"/>
  <c r="CW258" i="1" s="1"/>
  <c r="CW17" i="1" a="1"/>
  <c r="CW17" i="1" s="1"/>
  <c r="CV55" i="1" a="1"/>
  <c r="CV55" i="1" s="1"/>
  <c r="CV262" i="1" a="1"/>
  <c r="CV262" i="1" s="1"/>
  <c r="CW239" i="1" a="1"/>
  <c r="CW239" i="1" s="1"/>
  <c r="CV261" i="1" a="1"/>
  <c r="CV261" i="1" s="1"/>
  <c r="CW267" i="1" a="1"/>
  <c r="CW267" i="1" s="1"/>
  <c r="CW236" i="1" a="1"/>
  <c r="CW236" i="1" s="1"/>
  <c r="CV150" i="1" a="1"/>
  <c r="CV150" i="1" s="1"/>
  <c r="CV177" i="1" a="1"/>
  <c r="CV177" i="1" s="1"/>
  <c r="CV114" i="1" a="1"/>
  <c r="CV114" i="1" s="1"/>
  <c r="CV217" i="1" a="1"/>
  <c r="CV217" i="1" s="1"/>
  <c r="CW99" i="1" a="1"/>
  <c r="CW99" i="1" s="1"/>
  <c r="CV119" i="1" a="1"/>
  <c r="CV119" i="1" s="1"/>
  <c r="CV234" i="1" a="1"/>
  <c r="CV234" i="1" s="1"/>
  <c r="CV25" i="1" a="1"/>
  <c r="CV25" i="1" s="1"/>
  <c r="CV200" i="1" a="1"/>
  <c r="CV200" i="1" s="1"/>
  <c r="CV43" i="1" a="1"/>
  <c r="CV43" i="1" s="1"/>
  <c r="CV83" i="1" a="1"/>
  <c r="CV83" i="1" s="1"/>
  <c r="CW131" i="1" a="1"/>
  <c r="CW131" i="1" s="1"/>
  <c r="CW194" i="1" a="1"/>
  <c r="CW194" i="1" s="1"/>
  <c r="CV242" i="1" a="1"/>
  <c r="CV242" i="1" s="1"/>
  <c r="CV81" i="1" a="1"/>
  <c r="CV81" i="1" s="1"/>
  <c r="CW36" i="1" a="1"/>
  <c r="CW36" i="1" s="1"/>
  <c r="CV68" i="1" a="1"/>
  <c r="CV68" i="1" s="1"/>
  <c r="CW65" i="1" a="1"/>
  <c r="CW65" i="1" s="1"/>
  <c r="CV195" i="1" a="1"/>
  <c r="CV195" i="1" s="1"/>
  <c r="CV211" i="1" a="1"/>
  <c r="CV211" i="1" s="1"/>
  <c r="CW229" i="1" a="1"/>
  <c r="CW229" i="1" s="1"/>
  <c r="CW245" i="1" a="1"/>
  <c r="CW245" i="1" s="1"/>
  <c r="CW261" i="1" a="1"/>
  <c r="CW261" i="1" s="1"/>
  <c r="CV168" i="1" a="1"/>
  <c r="CV168" i="1" s="1"/>
  <c r="CV162" i="1" a="1"/>
  <c r="CV162" i="1" s="1"/>
  <c r="CW19" i="1" a="1"/>
  <c r="CW19" i="1" s="1"/>
  <c r="CV271" i="1" a="1"/>
  <c r="CV271" i="1" s="1"/>
  <c r="CV186" i="1" a="1"/>
  <c r="CV186" i="1" s="1"/>
  <c r="CW186" i="1" a="1"/>
  <c r="CW186" i="1" s="1"/>
  <c r="CW205" i="1" a="1"/>
  <c r="CW205" i="1" s="1"/>
  <c r="CV237" i="1" a="1"/>
  <c r="CV237" i="1" s="1"/>
  <c r="CW237" i="1" a="1"/>
  <c r="CW237" i="1" s="1"/>
  <c r="CV14" i="1" a="1"/>
  <c r="CV14" i="1" s="1"/>
  <c r="CV54" i="1" a="1"/>
  <c r="CV54" i="1" s="1"/>
  <c r="CV203" i="1" a="1"/>
  <c r="CV203" i="1" s="1"/>
  <c r="CW203" i="1" a="1"/>
  <c r="CW203" i="1" s="1"/>
  <c r="CV106" i="1" a="1"/>
  <c r="CV106" i="1" s="1"/>
  <c r="CW217" i="1" a="1"/>
  <c r="CW217" i="1" s="1"/>
  <c r="CW84" i="1" a="1"/>
  <c r="CW84" i="1" s="1"/>
  <c r="CW22" i="1" a="1"/>
  <c r="CW22" i="1" s="1"/>
  <c r="CW38" i="1" a="1"/>
  <c r="CW38" i="1" s="1"/>
  <c r="CW128" i="1" a="1"/>
  <c r="CW128" i="1" s="1"/>
  <c r="CV202" i="1" a="1"/>
  <c r="CV202" i="1" s="1"/>
  <c r="CW73" i="1" a="1"/>
  <c r="CW73" i="1" s="1"/>
  <c r="CV170" i="1" a="1"/>
  <c r="CV170" i="1" s="1"/>
  <c r="CW67" i="1" a="1"/>
  <c r="CW67" i="1" s="1"/>
  <c r="CW179" i="1" a="1"/>
  <c r="CW179" i="1" s="1"/>
  <c r="CV204" i="1" a="1"/>
  <c r="CV204" i="1" s="1"/>
  <c r="CW198" i="1" a="1"/>
  <c r="CW198" i="1" s="1"/>
  <c r="CW168" i="1" a="1"/>
  <c r="CW168" i="1" s="1"/>
  <c r="CV79" i="1" a="1"/>
  <c r="CV79" i="1" s="1"/>
  <c r="CV34" i="1" a="1"/>
  <c r="CV34" i="1" s="1"/>
  <c r="CV82" i="1" a="1"/>
  <c r="CV82" i="1" s="1"/>
  <c r="CV89" i="1" a="1"/>
  <c r="CV89" i="1" s="1"/>
  <c r="CW64" i="1" a="1"/>
  <c r="CW64" i="1" s="1"/>
  <c r="CW199" i="1" a="1"/>
  <c r="CW199" i="1" s="1"/>
  <c r="CV91" i="1" a="1"/>
  <c r="CV91" i="1" s="1"/>
  <c r="CW266" i="1" a="1"/>
  <c r="CW266" i="1" s="1"/>
  <c r="CV48" i="1" a="1"/>
  <c r="CV48" i="1" s="1"/>
  <c r="CW40" i="1" a="1"/>
  <c r="CW40" i="1" s="1"/>
  <c r="CW26" i="1" a="1"/>
  <c r="CW26" i="1" s="1"/>
  <c r="CW256" i="1" a="1"/>
  <c r="CW256" i="1" s="1"/>
  <c r="CW20" i="1" a="1"/>
  <c r="CW20" i="1" s="1"/>
  <c r="CV20" i="1" a="1"/>
  <c r="CV20" i="1" s="1"/>
  <c r="CW196" i="1" a="1"/>
  <c r="CW196" i="1" s="1"/>
  <c r="CV196" i="1" a="1"/>
  <c r="CV196" i="1" s="1"/>
  <c r="CV178" i="1" a="1"/>
  <c r="CV178" i="1" s="1"/>
  <c r="CW178" i="1" a="1"/>
  <c r="CW178" i="1" s="1"/>
  <c r="CW192" i="1" a="1"/>
  <c r="CW192" i="1" s="1"/>
  <c r="CV192" i="1" a="1"/>
  <c r="CV192" i="1" s="1"/>
  <c r="CV78" i="1" a="1"/>
  <c r="CV78" i="1" s="1"/>
  <c r="CV142" i="1" a="1"/>
  <c r="CV142" i="1" s="1"/>
  <c r="CW142" i="1" a="1"/>
  <c r="CW142" i="1" s="1"/>
  <c r="CV268" i="1" a="1"/>
  <c r="CV268" i="1" s="1"/>
  <c r="CW268" i="1" a="1"/>
  <c r="CW268" i="1" s="1"/>
  <c r="CV51" i="1" a="1"/>
  <c r="CV51" i="1" s="1"/>
  <c r="CW11" i="1" a="1"/>
  <c r="CW11" i="1" s="1"/>
  <c r="CW181" i="1" a="1"/>
  <c r="CW181" i="1" s="1"/>
  <c r="CV53" i="1" a="1"/>
  <c r="CV53" i="1" s="1"/>
  <c r="CW53" i="1" a="1"/>
  <c r="CW53" i="1" s="1"/>
  <c r="CV71" i="1" a="1"/>
  <c r="CV71" i="1" s="1"/>
  <c r="CW123" i="1" a="1"/>
  <c r="CW123" i="1" s="1"/>
  <c r="CV123" i="1" a="1"/>
  <c r="CV123" i="1" s="1"/>
  <c r="CW182" i="1" a="1"/>
  <c r="CW182" i="1" s="1"/>
  <c r="CW255" i="1" a="1"/>
  <c r="CW255" i="1" s="1"/>
  <c r="CW46" i="1" a="1"/>
  <c r="CW46" i="1" s="1"/>
  <c r="CV62" i="1" a="1"/>
  <c r="CV62" i="1" s="1"/>
  <c r="CV173" i="1" a="1"/>
  <c r="CV173" i="1" s="1"/>
  <c r="CV189" i="1" a="1"/>
  <c r="CV189" i="1" s="1"/>
  <c r="CW249" i="1" a="1"/>
  <c r="CW249" i="1" s="1"/>
  <c r="CV32" i="1" a="1"/>
  <c r="CV32" i="1" s="1"/>
  <c r="CW32" i="1" a="1"/>
  <c r="CW32" i="1" s="1"/>
  <c r="CW152" i="1" a="1"/>
  <c r="CW152" i="1" s="1"/>
  <c r="CW69" i="1" a="1"/>
  <c r="CW69" i="1" s="1"/>
  <c r="CV69" i="1" a="1"/>
  <c r="CV69" i="1" s="1"/>
  <c r="CV155" i="1" a="1"/>
  <c r="CV155" i="1" s="1"/>
  <c r="CW155" i="1" a="1"/>
  <c r="CW155" i="1" s="1"/>
  <c r="CV139" i="1" a="1"/>
  <c r="CV139" i="1" s="1"/>
  <c r="CV17" i="1" a="1"/>
  <c r="CV17" i="1" s="1"/>
  <c r="CW97" i="1" a="1"/>
  <c r="CW97" i="1" s="1"/>
  <c r="CV97" i="1" a="1"/>
  <c r="CV97" i="1" s="1"/>
  <c r="CV176" i="1" a="1"/>
  <c r="CV176" i="1" s="1"/>
  <c r="CW176" i="1" a="1"/>
  <c r="CW176" i="1" s="1"/>
  <c r="CV118" i="1" a="1"/>
  <c r="CV118" i="1" s="1"/>
  <c r="CV245" i="1" a="1"/>
  <c r="CV245" i="1" s="1"/>
  <c r="CW136" i="1" a="1"/>
  <c r="CW136" i="1" s="1"/>
  <c r="CW263" i="1" a="1"/>
  <c r="CW263" i="1" s="1"/>
  <c r="CV75" i="1" a="1"/>
  <c r="CV75" i="1" s="1"/>
  <c r="CV41" i="1" a="1"/>
  <c r="CV41" i="1" s="1"/>
  <c r="CW47" i="1" a="1"/>
  <c r="CW47" i="1" s="1"/>
  <c r="CW146" i="1" a="1"/>
  <c r="CW146" i="1" s="1"/>
  <c r="CW241" i="1" a="1"/>
  <c r="CW241" i="1" s="1"/>
  <c r="CV12" i="1" a="1"/>
  <c r="CV12" i="1" s="1"/>
  <c r="CW12" i="1" a="1"/>
  <c r="CW12" i="1" s="1"/>
  <c r="CV116" i="1" a="1"/>
  <c r="CV116" i="1" s="1"/>
  <c r="CW116" i="1" a="1"/>
  <c r="CW116" i="1" s="1"/>
  <c r="CV235" i="1" a="1"/>
  <c r="CV235" i="1" s="1"/>
  <c r="CW235" i="1" a="1"/>
  <c r="CW235" i="1" s="1"/>
  <c r="CW45" i="1" a="1"/>
  <c r="CW45" i="1" s="1"/>
  <c r="CV45" i="1" a="1"/>
  <c r="CV45" i="1" s="1"/>
  <c r="CV103" i="1" a="1"/>
  <c r="CV103" i="1" s="1"/>
  <c r="CW103" i="1" a="1"/>
  <c r="CW103" i="1" s="1"/>
  <c r="CW238" i="1" a="1"/>
  <c r="CW238" i="1" s="1"/>
  <c r="CV238" i="1" a="1"/>
  <c r="CV238" i="1" s="1"/>
  <c r="CW191" i="1" a="1"/>
  <c r="CW191" i="1" s="1"/>
  <c r="CV191" i="1" a="1"/>
  <c r="CV191" i="1" s="1"/>
  <c r="CW95" i="1" a="1"/>
  <c r="CW95" i="1" s="1"/>
  <c r="CW135" i="1" a="1"/>
  <c r="CW135" i="1" s="1"/>
  <c r="CW234" i="1" a="1"/>
  <c r="CW234" i="1" s="1"/>
  <c r="CV163" i="1" a="1"/>
  <c r="CV163" i="1" s="1"/>
  <c r="CW138" i="1" a="1"/>
  <c r="CW138" i="1" s="1"/>
  <c r="CV169" i="1" a="1"/>
  <c r="CV169" i="1" s="1"/>
  <c r="CW169" i="1" a="1"/>
  <c r="CW169" i="1" s="1"/>
  <c r="CW201" i="1" a="1"/>
  <c r="CW201" i="1" s="1"/>
  <c r="CV201" i="1" a="1"/>
  <c r="CV201" i="1" s="1"/>
  <c r="CW264" i="1" a="1"/>
  <c r="CW264" i="1" s="1"/>
  <c r="CW37" i="1" a="1"/>
  <c r="CW37" i="1" s="1"/>
  <c r="CV37" i="1" a="1"/>
  <c r="CV37" i="1" s="1"/>
  <c r="CV206" i="1" a="1"/>
  <c r="CV206" i="1" s="1"/>
  <c r="CW109" i="1" a="1"/>
  <c r="CW109" i="1" s="1"/>
  <c r="CV109" i="1" a="1"/>
  <c r="CV109" i="1" s="1"/>
  <c r="CV60" i="1" a="1"/>
  <c r="CV60" i="1" s="1"/>
  <c r="CW60" i="1" a="1"/>
  <c r="CW60" i="1" s="1"/>
  <c r="CW195" i="1" a="1"/>
  <c r="CW195" i="1" s="1"/>
  <c r="CV66" i="1" a="1"/>
  <c r="CV66" i="1" s="1"/>
  <c r="CV102" i="1" a="1"/>
  <c r="CV102" i="1" s="1"/>
  <c r="CV179" i="1" a="1"/>
  <c r="CV179" i="1" s="1"/>
  <c r="CW148" i="1" a="1"/>
  <c r="CW148" i="1" s="1"/>
  <c r="CV148" i="1" a="1"/>
  <c r="CV148" i="1" s="1"/>
  <c r="CW260" i="1" a="1"/>
  <c r="CW260" i="1" s="1"/>
  <c r="CV260" i="1" a="1"/>
  <c r="CV260" i="1" s="1"/>
  <c r="CV110" i="1" a="1"/>
  <c r="CV110" i="1" s="1"/>
  <c r="CW110" i="1" a="1"/>
  <c r="CW110" i="1" s="1"/>
  <c r="CW124" i="1" a="1"/>
  <c r="CW124" i="1" s="1"/>
  <c r="CV8" i="1" a="1"/>
  <c r="CV8" i="1" s="1"/>
  <c r="CW188" i="1" a="1"/>
  <c r="CW188" i="1" s="1"/>
  <c r="CV188" i="1" a="1"/>
  <c r="CV188" i="1" s="1"/>
  <c r="CW163" i="1" a="1"/>
  <c r="CW163" i="1" s="1"/>
  <c r="CV248" i="1" a="1"/>
  <c r="CV248" i="1" s="1"/>
  <c r="CW248" i="1" a="1"/>
  <c r="CW248" i="1" s="1"/>
  <c r="CW208" i="1" a="1"/>
  <c r="CW208" i="1" s="1"/>
  <c r="CW158" i="1" a="1"/>
  <c r="CW158" i="1" s="1"/>
  <c r="CV134" i="1" a="1"/>
  <c r="CV134" i="1" s="1"/>
  <c r="CV52" i="1" a="1"/>
  <c r="CV52" i="1" s="1"/>
  <c r="CV220" i="1" a="1"/>
  <c r="CV220" i="1" s="1"/>
  <c r="CV224" i="1" a="1"/>
  <c r="CV224" i="1" s="1"/>
  <c r="CW224" i="1" a="1"/>
  <c r="CW224" i="1" s="1"/>
  <c r="CW28" i="1" a="1"/>
  <c r="CW28" i="1" s="1"/>
  <c r="CV28" i="1" a="1"/>
  <c r="CV28" i="1" s="1"/>
  <c r="CW164" i="1" a="1"/>
  <c r="CW164" i="1" s="1"/>
  <c r="CV164" i="1" a="1"/>
  <c r="CV164" i="1" s="1"/>
  <c r="CV232" i="1" a="1"/>
  <c r="CV232" i="1" s="1"/>
  <c r="CW232" i="1" a="1"/>
  <c r="CW232" i="1" s="1"/>
  <c r="CW111" i="1" a="1"/>
  <c r="CW111" i="1" s="1"/>
  <c r="CV111" i="1" a="1"/>
  <c r="CV111" i="1" s="1"/>
  <c r="CV154" i="1" a="1"/>
  <c r="CV154" i="1" s="1"/>
  <c r="CW154" i="1" a="1"/>
  <c r="CW154" i="1" s="1"/>
  <c r="CV33" i="1" a="1"/>
  <c r="CV33" i="1" s="1"/>
  <c r="CW228" i="1" a="1"/>
  <c r="CW228" i="1" s="1"/>
  <c r="CV228" i="1" a="1"/>
  <c r="CV228" i="1" s="1"/>
  <c r="CW27" i="1" a="1"/>
  <c r="CW27" i="1" s="1"/>
  <c r="CV27" i="1" a="1"/>
  <c r="CV27" i="1" s="1"/>
  <c r="CV59" i="1" a="1"/>
  <c r="CV59" i="1" s="1"/>
  <c r="CV143" i="1" a="1"/>
  <c r="CV143" i="1" s="1"/>
  <c r="CW143" i="1" a="1"/>
  <c r="CW143" i="1" s="1"/>
  <c r="CW254" i="1" a="1"/>
  <c r="CW254" i="1" s="1"/>
  <c r="CV254" i="1" a="1"/>
  <c r="CV254" i="1" s="1"/>
  <c r="CW30" i="1" a="1"/>
  <c r="CW30" i="1" s="1"/>
  <c r="CV94" i="1" a="1"/>
  <c r="CV94" i="1" s="1"/>
  <c r="CW94" i="1" a="1"/>
  <c r="CW94" i="1" s="1"/>
  <c r="CV126" i="1" a="1"/>
  <c r="CV126" i="1" s="1"/>
  <c r="CW126" i="1" a="1"/>
  <c r="CW126" i="1" s="1"/>
  <c r="CV157" i="1" a="1"/>
  <c r="CV157" i="1" s="1"/>
  <c r="CV221" i="1" a="1"/>
  <c r="CV221" i="1" s="1"/>
  <c r="CW221" i="1" a="1"/>
  <c r="CW221" i="1" s="1"/>
  <c r="CW253" i="1" a="1"/>
  <c r="CW253" i="1" s="1"/>
  <c r="CV253" i="1" a="1"/>
  <c r="CV253" i="1" s="1"/>
  <c r="CV24" i="1" a="1"/>
  <c r="CV24" i="1" s="1"/>
  <c r="CW180" i="1" a="1"/>
  <c r="CW180" i="1" s="1"/>
  <c r="CV180" i="1" a="1"/>
  <c r="CV180" i="1" s="1"/>
  <c r="CW31" i="1" a="1"/>
  <c r="CW31" i="1" s="1"/>
  <c r="CW230" i="1" a="1"/>
  <c r="CW230" i="1" s="1"/>
  <c r="CV230" i="1" a="1"/>
  <c r="CV230" i="1" s="1"/>
  <c r="CV216" i="1" a="1"/>
  <c r="CV216" i="1" s="1"/>
  <c r="CW216" i="1" a="1"/>
  <c r="CW216" i="1" s="1"/>
  <c r="CV87" i="1" a="1"/>
  <c r="CV87" i="1" s="1"/>
  <c r="CW87" i="1" a="1"/>
  <c r="CW87" i="1" s="1"/>
  <c r="CV229" i="1" a="1"/>
  <c r="CV229" i="1" s="1"/>
  <c r="CW113" i="1" a="1"/>
  <c r="CW113" i="1" s="1"/>
  <c r="CV36" i="1" a="1"/>
  <c r="CV36" i="1" s="1"/>
  <c r="CW23" i="1" a="1"/>
  <c r="CW23" i="1" s="1"/>
  <c r="CW55" i="1" a="1"/>
  <c r="CW55" i="1" s="1"/>
  <c r="CV131" i="1" a="1"/>
  <c r="CV131" i="1" s="1"/>
  <c r="CV19" i="1" a="1"/>
  <c r="CV19" i="1" s="1"/>
  <c r="CV129" i="1" a="1"/>
  <c r="CV129" i="1" s="1"/>
  <c r="CV151" i="1" a="1"/>
  <c r="CV151" i="1" s="1"/>
  <c r="CV130" i="1" a="1"/>
  <c r="CV130" i="1" s="1"/>
  <c r="CW177" i="1" a="1"/>
  <c r="CW177" i="1" s="1"/>
  <c r="CV257" i="1" a="1"/>
  <c r="CV257" i="1" s="1"/>
  <c r="CW100" i="1" a="1"/>
  <c r="CW100" i="1" s="1"/>
  <c r="CV100" i="1" a="1"/>
  <c r="CV100" i="1" s="1"/>
  <c r="CV153" i="1" a="1"/>
  <c r="CV153" i="1" s="1"/>
  <c r="CW153" i="1" a="1"/>
  <c r="CW153" i="1" s="1"/>
  <c r="CW207" i="1" a="1"/>
  <c r="CW207" i="1" s="1"/>
  <c r="CV207" i="1" a="1"/>
  <c r="CV207" i="1" s="1"/>
  <c r="CV243" i="1" a="1"/>
  <c r="CV243" i="1" s="1"/>
  <c r="CW243" i="1" a="1"/>
  <c r="CW243" i="1" s="1"/>
  <c r="CW57" i="1" a="1"/>
  <c r="CW57" i="1" s="1"/>
  <c r="CV57" i="1" a="1"/>
  <c r="CV57" i="1" s="1"/>
  <c r="CW244" i="1" a="1"/>
  <c r="CW244" i="1" s="1"/>
  <c r="CV244" i="1" a="1"/>
  <c r="CV244" i="1" s="1"/>
  <c r="CW147" i="1" a="1"/>
  <c r="CW147" i="1" s="1"/>
  <c r="CV214" i="1" a="1"/>
  <c r="CV214" i="1" s="1"/>
  <c r="CW214" i="1" a="1"/>
  <c r="CW214" i="1" s="1"/>
  <c r="CV141" i="1" a="1"/>
  <c r="CV141" i="1" s="1"/>
  <c r="CW141" i="1" a="1"/>
  <c r="CW141" i="1" s="1"/>
  <c r="CV252" i="1" a="1"/>
  <c r="CV252" i="1" s="1"/>
  <c r="CW63" i="1" a="1"/>
  <c r="CW63" i="1" s="1"/>
  <c r="CV10" i="1" a="1"/>
  <c r="CV10" i="1" s="1"/>
  <c r="CV42" i="1" a="1"/>
  <c r="CV42" i="1" s="1"/>
  <c r="CW42" i="1" a="1"/>
  <c r="CW42" i="1" s="1"/>
  <c r="CV74" i="1" a="1"/>
  <c r="CV74" i="1" s="1"/>
  <c r="CW74" i="1" a="1"/>
  <c r="CW74" i="1" s="1"/>
  <c r="CW122" i="1" a="1"/>
  <c r="CW122" i="1" s="1"/>
  <c r="CW233" i="1" a="1"/>
  <c r="CW233" i="1" s="1"/>
  <c r="CV159" i="1" a="1"/>
  <c r="CV159" i="1" s="1"/>
  <c r="CW159" i="1" a="1"/>
  <c r="CW159" i="1" s="1"/>
  <c r="CV125" i="1" a="1"/>
  <c r="CV125" i="1" s="1"/>
  <c r="CW125" i="1" a="1"/>
  <c r="CW125" i="1" s="1"/>
  <c r="CV184" i="1" a="1"/>
  <c r="CV184" i="1" s="1"/>
  <c r="CW44" i="1" a="1"/>
  <c r="CW44" i="1" s="1"/>
  <c r="CV44" i="1" a="1"/>
  <c r="CV44" i="1" s="1"/>
  <c r="CV112" i="1" a="1"/>
  <c r="CV112" i="1" s="1"/>
  <c r="CV65" i="1" a="1"/>
  <c r="CV65" i="1" s="1"/>
  <c r="CW247" i="1" a="1"/>
  <c r="CW247" i="1" s="1"/>
  <c r="CV269" i="1" a="1"/>
  <c r="CV269" i="1" s="1"/>
  <c r="CW160" i="1" a="1"/>
  <c r="CW160" i="1" s="1"/>
  <c r="CW119" i="1" a="1"/>
  <c r="CW119" i="1" s="1"/>
  <c r="CW200" i="1" a="1"/>
  <c r="CW200" i="1" s="1"/>
  <c r="CW262" i="1" a="1"/>
  <c r="CW262" i="1" s="1"/>
  <c r="CV193" i="1" a="1"/>
  <c r="CV193" i="1" s="1"/>
  <c r="CW213" i="1" a="1"/>
  <c r="CW213" i="1" s="1"/>
  <c r="CV213" i="1" a="1"/>
  <c r="CV213" i="1" s="1"/>
  <c r="CW104" i="1" a="1"/>
  <c r="CW104" i="1" s="1"/>
  <c r="CW144" i="1" a="1"/>
  <c r="CW144" i="1" s="1"/>
  <c r="CW231" i="1" a="1"/>
  <c r="CW231" i="1" s="1"/>
  <c r="CW29" i="1" a="1"/>
  <c r="CW29" i="1" s="1"/>
  <c r="CV174" i="1" a="1"/>
  <c r="CV174" i="1" s="1"/>
  <c r="CV101" i="1" a="1"/>
  <c r="CV101" i="1" s="1"/>
  <c r="CV209" i="1" a="1"/>
  <c r="CV209" i="1" s="1"/>
  <c r="CV190" i="1" a="1"/>
  <c r="CV190" i="1" s="1"/>
  <c r="CV18" i="1" a="1"/>
  <c r="CV18" i="1" s="1"/>
  <c r="CW50" i="1" a="1"/>
  <c r="CW50" i="1" s="1"/>
  <c r="CV98" i="1" a="1"/>
  <c r="CV98" i="1" s="1"/>
  <c r="CW161" i="1" a="1"/>
  <c r="CW161" i="1" s="1"/>
  <c r="CV225" i="1" a="1"/>
  <c r="CV225" i="1" s="1"/>
  <c r="CV13" i="1" a="1"/>
  <c r="CV13" i="1" s="1"/>
  <c r="CV140" i="1" a="1"/>
  <c r="CV140" i="1" s="1"/>
  <c r="CV167" i="1" a="1"/>
  <c r="CV167" i="1" s="1"/>
  <c r="CV259" i="1" a="1"/>
  <c r="CV259" i="1" s="1"/>
  <c r="CV56" i="1" a="1"/>
  <c r="CV56" i="1" s="1"/>
  <c r="CW85" i="1" a="1"/>
  <c r="CW85" i="1" s="1"/>
  <c r="CW35" i="1" a="1"/>
  <c r="CW35" i="1" s="1"/>
  <c r="CW183" i="1" a="1"/>
  <c r="CW183" i="1" s="1"/>
  <c r="CV267" i="1" a="1"/>
  <c r="CV267" i="1" s="1"/>
  <c r="CW72" i="1" a="1"/>
  <c r="CW72" i="1" s="1"/>
  <c r="CW251" i="1" a="1"/>
  <c r="CW251" i="1" s="1"/>
  <c r="CV236" i="1" a="1"/>
  <c r="CV236" i="1" s="1"/>
  <c r="CV80" i="1" a="1"/>
  <c r="CV80" i="1" s="1"/>
  <c r="CV21" i="1" a="1"/>
  <c r="CV21" i="1" s="1"/>
  <c r="CW21" i="1" a="1"/>
  <c r="CW21" i="1" s="1"/>
  <c r="CW137" i="1" a="1"/>
  <c r="CW137" i="1" s="1"/>
  <c r="CV137" i="1" a="1"/>
  <c r="CV137" i="1" s="1"/>
  <c r="CV76" i="1" a="1"/>
  <c r="CV76" i="1" s="1"/>
  <c r="CW76" i="1" a="1"/>
  <c r="CW76" i="1" s="1"/>
  <c r="CW41" i="1" a="1"/>
  <c r="CW41" i="1" s="1"/>
  <c r="CV7" i="1" a="1"/>
  <c r="CV7" i="1" s="1"/>
  <c r="CV226" i="1" a="1"/>
  <c r="CV226" i="1" s="1"/>
  <c r="CW58" i="1" a="1"/>
  <c r="CW58" i="1" s="1"/>
  <c r="CV58" i="1" a="1"/>
  <c r="CV58" i="1" s="1"/>
  <c r="CW77" i="1" a="1"/>
  <c r="CW77" i="1" s="1"/>
  <c r="CW16" i="1" a="1"/>
  <c r="CW16" i="1" s="1"/>
  <c r="CW88" i="1" a="1"/>
  <c r="CW88" i="1" s="1"/>
  <c r="CV88" i="1" a="1"/>
  <c r="CV88" i="1" s="1"/>
  <c r="CV215" i="1" a="1"/>
  <c r="CV215" i="1" s="1"/>
  <c r="CW215" i="1" a="1"/>
  <c r="CW215" i="1" s="1"/>
  <c r="CW9" i="1" a="1"/>
  <c r="CW9" i="1" s="1"/>
  <c r="CV9" i="1" a="1"/>
  <c r="CV9" i="1" s="1"/>
  <c r="CW92" i="1" a="1"/>
  <c r="CW92" i="1" s="1"/>
  <c r="CV92" i="1" a="1"/>
  <c r="CV92" i="1" s="1"/>
  <c r="CV270" i="1" a="1"/>
  <c r="CV270" i="1" s="1"/>
  <c r="CW270" i="1" a="1"/>
  <c r="CW270" i="1" s="1"/>
  <c r="CW212" i="1" a="1"/>
  <c r="CW212" i="1" s="1"/>
  <c r="CV212" i="1" a="1"/>
  <c r="CV212" i="1" s="1"/>
  <c r="CV96" i="1" a="1"/>
  <c r="CV96" i="1" s="1"/>
  <c r="CW96" i="1" a="1"/>
  <c r="CW96" i="1" s="1"/>
  <c r="CW223" i="1" a="1"/>
  <c r="CW223" i="1" s="1"/>
  <c r="CV223" i="1" a="1"/>
  <c r="CV223" i="1" s="1"/>
  <c r="CV93" i="1" a="1"/>
  <c r="CV93" i="1" s="1"/>
  <c r="CW93" i="1" a="1"/>
  <c r="CW93" i="1" s="1"/>
  <c r="CV15" i="1" a="1"/>
  <c r="CV15" i="1" s="1"/>
  <c r="CW15" i="1" a="1"/>
  <c r="CW15" i="1" s="1"/>
  <c r="CW121" i="1" a="1"/>
  <c r="CW121" i="1" s="1"/>
  <c r="CV121" i="1" a="1"/>
  <c r="CV121" i="1" s="1"/>
  <c r="CW166" i="1" a="1"/>
  <c r="CW166" i="1" s="1"/>
  <c r="CV166" i="1" a="1"/>
  <c r="CV166" i="1" s="1"/>
  <c r="CV246" i="1" a="1"/>
  <c r="CV246" i="1" s="1"/>
  <c r="CW246" i="1" a="1"/>
  <c r="CW246" i="1" s="1"/>
  <c r="CW149" i="1" a="1"/>
  <c r="CW149" i="1" s="1"/>
  <c r="CV149" i="1" a="1"/>
  <c r="CV149" i="1" s="1"/>
  <c r="CV240" i="1" a="1"/>
  <c r="CV240" i="1" s="1"/>
  <c r="CW240" i="1" a="1"/>
  <c r="CW240" i="1" s="1"/>
  <c r="CW222" i="1" a="1"/>
  <c r="CW222" i="1" s="1"/>
  <c r="CV222" i="1" a="1"/>
  <c r="CV222" i="1" s="1"/>
  <c r="CV265" i="1" a="1"/>
  <c r="CV265" i="1" s="1"/>
  <c r="CW265" i="1" a="1"/>
  <c r="CW265" i="1" s="1"/>
  <c r="CV30" i="1" a="1"/>
  <c r="CV30" i="1" s="1"/>
  <c r="CW157" i="1" a="1"/>
  <c r="CW157" i="1" s="1"/>
  <c r="CW49" i="1" a="1"/>
  <c r="CW49" i="1" s="1"/>
  <c r="CV105" i="1" a="1"/>
  <c r="CV105" i="1" s="1"/>
  <c r="CW105" i="1" a="1"/>
  <c r="CW105" i="1" s="1"/>
  <c r="CV31" i="1" a="1"/>
  <c r="CV31" i="1" s="1"/>
  <c r="CV86" i="1" a="1"/>
  <c r="CV86" i="1" s="1"/>
  <c r="CW86" i="1" a="1"/>
  <c r="CW86" i="1" s="1"/>
  <c r="CW187" i="1" a="1"/>
  <c r="CW187" i="1" s="1"/>
  <c r="CV187" i="1" a="1"/>
  <c r="CV187" i="1" s="1"/>
  <c r="CV117" i="1" a="1"/>
  <c r="CV117" i="1" s="1"/>
  <c r="CW117" i="1" a="1"/>
  <c r="CW117" i="1" s="1"/>
  <c r="CW108" i="1" a="1"/>
  <c r="CW108" i="1" s="1"/>
  <c r="CV108" i="1" a="1"/>
  <c r="CV108" i="1" s="1"/>
  <c r="CW132" i="1" a="1"/>
  <c r="CW132" i="1" s="1"/>
  <c r="CV132" i="1" a="1"/>
  <c r="CV132" i="1" s="1"/>
  <c r="CW227" i="1" a="1"/>
  <c r="CW227" i="1" s="1"/>
  <c r="CV227" i="1" a="1"/>
  <c r="CV227" i="1" s="1"/>
  <c r="CV133" i="1" a="1"/>
  <c r="CV133" i="1" s="1"/>
  <c r="CW133" i="1" a="1"/>
  <c r="CW133" i="1" s="1"/>
  <c r="CV120" i="1" a="1"/>
  <c r="CV120" i="1" s="1"/>
  <c r="CW120" i="1" a="1"/>
  <c r="CW120" i="1" s="1"/>
  <c r="CV115" i="1" a="1"/>
  <c r="CV115" i="1" s="1"/>
  <c r="CW115" i="1" a="1"/>
  <c r="CW115" i="1" s="1"/>
  <c r="CV185" i="1" a="1"/>
  <c r="CV185" i="1" s="1"/>
  <c r="CW185" i="1" a="1"/>
  <c r="CW185" i="1" s="1"/>
  <c r="CV219" i="1" a="1"/>
  <c r="CV219" i="1" s="1"/>
  <c r="CW219" i="1" a="1"/>
  <c r="CW219" i="1" s="1"/>
  <c r="CW145" i="1" a="1"/>
  <c r="CW145" i="1" s="1"/>
  <c r="CV145" i="1" a="1"/>
  <c r="CV145" i="1" s="1"/>
  <c r="CV218" i="1" a="1"/>
  <c r="CV218" i="1" s="1"/>
  <c r="CW218" i="1" a="1"/>
  <c r="CW218" i="1" s="1"/>
  <c r="CV61" i="1" a="1"/>
  <c r="CV61" i="1" s="1"/>
  <c r="CW61" i="1" a="1"/>
  <c r="CW61" i="1" s="1"/>
  <c r="CW112" i="1" a="1"/>
  <c r="CW112" i="1" s="1"/>
  <c r="CX258" i="1" l="1"/>
  <c r="DL258" i="1" s="1"/>
  <c r="CX113" i="1"/>
  <c r="DD113" i="1" s="1"/>
  <c r="CX216" i="1"/>
  <c r="CX13" i="1"/>
  <c r="CY13" i="1" s="1"/>
  <c r="CX101" i="1"/>
  <c r="CX127" i="1"/>
  <c r="CY127" i="1" s="1"/>
  <c r="CX210" i="1"/>
  <c r="DC210" i="1" s="1"/>
  <c r="CX95" i="1"/>
  <c r="DC95" i="1" s="1"/>
  <c r="CX124" i="1"/>
  <c r="CY124" i="1" s="1"/>
  <c r="CX209" i="1"/>
  <c r="CY209" i="1" s="1"/>
  <c r="CX79" i="1"/>
  <c r="DG79" i="1" s="1"/>
  <c r="CX250" i="1"/>
  <c r="DC250" i="1" s="1"/>
  <c r="CX112" i="1"/>
  <c r="DG112" i="1" s="1"/>
  <c r="CX267" i="1"/>
  <c r="DA267" i="1" s="1"/>
  <c r="CX242" i="1"/>
  <c r="CX252" i="1"/>
  <c r="DB252" i="1" s="1"/>
  <c r="CX158" i="1"/>
  <c r="CX40" i="1"/>
  <c r="CX34" i="1"/>
  <c r="CX194" i="1"/>
  <c r="CX25" i="1"/>
  <c r="CX160" i="1"/>
  <c r="CX10" i="1"/>
  <c r="CX66" i="1"/>
  <c r="CZ66" i="1" s="1"/>
  <c r="CX75" i="1"/>
  <c r="CX182" i="1"/>
  <c r="CX48" i="1"/>
  <c r="CX140" i="1"/>
  <c r="DB140" i="1" s="1"/>
  <c r="CX129" i="1"/>
  <c r="CX206" i="1"/>
  <c r="CX139" i="1"/>
  <c r="CX175" i="1"/>
  <c r="CZ175" i="1" s="1"/>
  <c r="CX161" i="1"/>
  <c r="CX104" i="1"/>
  <c r="CX63" i="1"/>
  <c r="CX52" i="1"/>
  <c r="CX197" i="1"/>
  <c r="CX138" i="1"/>
  <c r="CX135" i="1"/>
  <c r="CX172" i="1"/>
  <c r="CX171" i="1"/>
  <c r="CX226" i="1"/>
  <c r="CX183" i="1"/>
  <c r="CX190" i="1"/>
  <c r="CX249" i="1"/>
  <c r="CX173" i="1"/>
  <c r="CX255" i="1"/>
  <c r="CX202" i="1"/>
  <c r="CX162" i="1"/>
  <c r="CX150" i="1"/>
  <c r="CX165" i="1"/>
  <c r="CX251" i="1"/>
  <c r="CX231" i="1"/>
  <c r="CX204" i="1"/>
  <c r="CX211" i="1"/>
  <c r="CX49" i="1"/>
  <c r="CX77" i="1"/>
  <c r="CX72" i="1"/>
  <c r="CX269" i="1"/>
  <c r="CX177" i="1"/>
  <c r="CX55" i="1"/>
  <c r="CX81" i="1"/>
  <c r="CX107" i="1"/>
  <c r="CX156" i="1"/>
  <c r="CX236" i="1"/>
  <c r="CX225" i="1"/>
  <c r="CX29" i="1"/>
  <c r="CX151" i="1"/>
  <c r="CX264" i="1"/>
  <c r="CX263" i="1"/>
  <c r="CX71" i="1"/>
  <c r="CX181" i="1"/>
  <c r="CX26" i="1"/>
  <c r="CX14" i="1"/>
  <c r="CX7" i="1"/>
  <c r="CX35" i="1"/>
  <c r="CX257" i="1"/>
  <c r="CX195" i="1"/>
  <c r="CX199" i="1"/>
  <c r="CX198" i="1"/>
  <c r="CX85" i="1"/>
  <c r="CX98" i="1"/>
  <c r="CX144" i="1"/>
  <c r="CX234" i="1"/>
  <c r="CX64" i="1"/>
  <c r="CX170" i="1"/>
  <c r="CX68" i="1"/>
  <c r="CX56" i="1"/>
  <c r="CX174" i="1"/>
  <c r="CX262" i="1"/>
  <c r="CX247" i="1"/>
  <c r="CX130" i="1"/>
  <c r="CX228" i="1"/>
  <c r="CX8" i="1"/>
  <c r="CX47" i="1"/>
  <c r="CX266" i="1"/>
  <c r="CX84" i="1"/>
  <c r="CX54" i="1"/>
  <c r="CX261" i="1"/>
  <c r="CX51" i="1"/>
  <c r="CX83" i="1"/>
  <c r="CX100" i="1"/>
  <c r="CX221" i="1"/>
  <c r="CX254" i="1"/>
  <c r="CX232" i="1"/>
  <c r="CX200" i="1"/>
  <c r="CX184" i="1"/>
  <c r="CX89" i="1"/>
  <c r="CX38" i="1"/>
  <c r="CX167" i="1"/>
  <c r="CX24" i="1"/>
  <c r="CX220" i="1"/>
  <c r="CX118" i="1"/>
  <c r="CX57" i="1"/>
  <c r="CX16" i="1"/>
  <c r="CX193" i="1"/>
  <c r="CX11" i="1"/>
  <c r="CX22" i="1"/>
  <c r="CX239" i="1"/>
  <c r="CX39" i="1"/>
  <c r="CX132" i="1"/>
  <c r="CX207" i="1"/>
  <c r="CX215" i="1"/>
  <c r="CX80" i="1"/>
  <c r="CX42" i="1"/>
  <c r="CX23" i="1"/>
  <c r="CX229" i="1"/>
  <c r="CX94" i="1"/>
  <c r="CX134" i="1"/>
  <c r="CX241" i="1"/>
  <c r="CX17" i="1"/>
  <c r="CX67" i="1"/>
  <c r="CX128" i="1"/>
  <c r="CX99" i="1"/>
  <c r="CX187" i="1"/>
  <c r="CX222" i="1"/>
  <c r="CX119" i="1"/>
  <c r="CX122" i="1"/>
  <c r="CX19" i="1"/>
  <c r="CX110" i="1"/>
  <c r="CX245" i="1"/>
  <c r="CX46" i="1"/>
  <c r="CX205" i="1"/>
  <c r="CX271" i="1"/>
  <c r="CX114" i="1"/>
  <c r="CX152" i="1"/>
  <c r="CX78" i="1"/>
  <c r="CX227" i="1"/>
  <c r="CX65" i="1"/>
  <c r="CX59" i="1"/>
  <c r="CX146" i="1"/>
  <c r="CX97" i="1"/>
  <c r="CX62" i="1"/>
  <c r="CX91" i="1"/>
  <c r="CX70" i="1"/>
  <c r="CX90" i="1"/>
  <c r="CX61" i="1"/>
  <c r="CX145" i="1"/>
  <c r="CX185" i="1"/>
  <c r="CX133" i="1"/>
  <c r="CX265" i="1"/>
  <c r="CX240" i="1"/>
  <c r="CX121" i="1"/>
  <c r="CX212" i="1"/>
  <c r="CX9" i="1"/>
  <c r="CX88" i="1"/>
  <c r="CX125" i="1"/>
  <c r="CX233" i="1"/>
  <c r="CX214" i="1"/>
  <c r="CX147" i="1"/>
  <c r="CX244" i="1"/>
  <c r="CX243" i="1"/>
  <c r="CX131" i="1"/>
  <c r="CX230" i="1"/>
  <c r="CX253" i="1"/>
  <c r="CX143" i="1"/>
  <c r="CX27" i="1"/>
  <c r="CX28" i="1"/>
  <c r="CX148" i="1"/>
  <c r="CX37" i="1"/>
  <c r="CX191" i="1"/>
  <c r="CX238" i="1"/>
  <c r="CX45" i="1"/>
  <c r="CX176" i="1"/>
  <c r="CX32" i="1"/>
  <c r="CX189" i="1"/>
  <c r="CX123" i="1"/>
  <c r="CX142" i="1"/>
  <c r="CX196" i="1"/>
  <c r="CX256" i="1"/>
  <c r="CX115" i="1"/>
  <c r="CX120" i="1"/>
  <c r="CX157" i="1"/>
  <c r="CX93" i="1"/>
  <c r="CX50" i="1"/>
  <c r="CX36" i="1"/>
  <c r="CX33" i="1"/>
  <c r="CX208" i="1"/>
  <c r="CX163" i="1"/>
  <c r="CX60" i="1"/>
  <c r="CX235" i="1"/>
  <c r="CX136" i="1"/>
  <c r="CX82" i="1"/>
  <c r="CX73" i="1"/>
  <c r="CX217" i="1"/>
  <c r="CX186" i="1"/>
  <c r="CX259" i="1"/>
  <c r="CX18" i="1"/>
  <c r="CX102" i="1"/>
  <c r="CX53" i="1"/>
  <c r="CX168" i="1"/>
  <c r="CX106" i="1"/>
  <c r="CX43" i="1"/>
  <c r="CX108" i="1"/>
  <c r="CX117" i="1"/>
  <c r="CX15" i="1"/>
  <c r="CX58" i="1"/>
  <c r="CX44" i="1"/>
  <c r="CX153" i="1"/>
  <c r="CX31" i="1"/>
  <c r="CX111" i="1"/>
  <c r="CX164" i="1"/>
  <c r="CX188" i="1"/>
  <c r="CX201" i="1"/>
  <c r="CX86" i="1"/>
  <c r="CX105" i="1"/>
  <c r="CX149" i="1"/>
  <c r="CX246" i="1"/>
  <c r="CX166" i="1"/>
  <c r="CX223" i="1"/>
  <c r="CX96" i="1"/>
  <c r="CX270" i="1"/>
  <c r="CX92" i="1"/>
  <c r="CX137" i="1"/>
  <c r="CX213" i="1"/>
  <c r="CX159" i="1"/>
  <c r="CX87" i="1"/>
  <c r="CX180" i="1"/>
  <c r="CX30" i="1"/>
  <c r="CX154" i="1"/>
  <c r="CX224" i="1"/>
  <c r="CX248" i="1"/>
  <c r="CX260" i="1"/>
  <c r="CX109" i="1"/>
  <c r="CX169" i="1"/>
  <c r="CX103" i="1"/>
  <c r="CX12" i="1"/>
  <c r="CX69" i="1"/>
  <c r="CX192" i="1"/>
  <c r="CX179" i="1"/>
  <c r="CX218" i="1"/>
  <c r="CX219" i="1"/>
  <c r="CX41" i="1"/>
  <c r="CX76" i="1"/>
  <c r="CX21" i="1"/>
  <c r="CX74" i="1"/>
  <c r="CX141" i="1"/>
  <c r="CX126" i="1"/>
  <c r="CX116" i="1"/>
  <c r="CX155" i="1"/>
  <c r="CX268" i="1"/>
  <c r="CX178" i="1"/>
  <c r="CX20" i="1"/>
  <c r="CX203" i="1"/>
  <c r="CX237" i="1"/>
  <c r="CY258" i="1" l="1"/>
  <c r="DB258" i="1"/>
  <c r="DA258" i="1"/>
  <c r="CZ258" i="1"/>
  <c r="CZ113" i="1"/>
  <c r="DJ113" i="1"/>
  <c r="DI258" i="1"/>
  <c r="DD258" i="1"/>
  <c r="DH258" i="1"/>
  <c r="DF258" i="1"/>
  <c r="DK258" i="1"/>
  <c r="DC258" i="1"/>
  <c r="DE258" i="1"/>
  <c r="DJ258" i="1"/>
  <c r="DG258" i="1"/>
  <c r="DH113" i="1"/>
  <c r="DI113" i="1"/>
  <c r="DK113" i="1"/>
  <c r="DC113" i="1"/>
  <c r="DL113" i="1"/>
  <c r="DG113" i="1"/>
  <c r="CY113" i="1"/>
  <c r="DB113" i="1"/>
  <c r="DE113" i="1"/>
  <c r="DA113" i="1"/>
  <c r="DF113" i="1"/>
  <c r="DI267" i="1"/>
  <c r="DC101" i="1"/>
  <c r="DA101" i="1"/>
  <c r="DE101" i="1"/>
  <c r="DB101" i="1"/>
  <c r="DF101" i="1"/>
  <c r="DD101" i="1"/>
  <c r="DA186" i="1"/>
  <c r="DE186" i="1"/>
  <c r="DD186" i="1"/>
  <c r="DB186" i="1"/>
  <c r="DF186" i="1"/>
  <c r="DC186" i="1"/>
  <c r="DD127" i="1"/>
  <c r="DB127" i="1"/>
  <c r="DI127" i="1"/>
  <c r="DG127" i="1"/>
  <c r="DK127" i="1"/>
  <c r="DF127" i="1"/>
  <c r="DC127" i="1"/>
  <c r="DA127" i="1"/>
  <c r="DJ127" i="1"/>
  <c r="DE127" i="1"/>
  <c r="DL127" i="1"/>
  <c r="CZ127" i="1"/>
  <c r="DH127" i="1"/>
  <c r="DJ210" i="1"/>
  <c r="DD210" i="1"/>
  <c r="DL210" i="1"/>
  <c r="DF210" i="1"/>
  <c r="DB210" i="1"/>
  <c r="DH210" i="1"/>
  <c r="DE210" i="1"/>
  <c r="CY210" i="1"/>
  <c r="DA210" i="1"/>
  <c r="DI210" i="1"/>
  <c r="DG210" i="1"/>
  <c r="CZ210" i="1"/>
  <c r="DK210" i="1"/>
  <c r="DI13" i="1"/>
  <c r="DA13" i="1"/>
  <c r="DE124" i="1"/>
  <c r="CZ79" i="1"/>
  <c r="DF124" i="1"/>
  <c r="CZ95" i="1"/>
  <c r="CZ13" i="1"/>
  <c r="DA250" i="1"/>
  <c r="DB13" i="1"/>
  <c r="DJ95" i="1"/>
  <c r="CY250" i="1"/>
  <c r="DB95" i="1"/>
  <c r="CZ250" i="1"/>
  <c r="DF95" i="1"/>
  <c r="DA95" i="1"/>
  <c r="DB250" i="1"/>
  <c r="DG95" i="1"/>
  <c r="DK250" i="1"/>
  <c r="DH13" i="1"/>
  <c r="DI79" i="1"/>
  <c r="DJ250" i="1"/>
  <c r="DD13" i="1"/>
  <c r="DI95" i="1"/>
  <c r="DK13" i="1"/>
  <c r="DE95" i="1"/>
  <c r="DF13" i="1"/>
  <c r="DG13" i="1"/>
  <c r="DL95" i="1"/>
  <c r="DL13" i="1"/>
  <c r="DK95" i="1"/>
  <c r="DJ13" i="1"/>
  <c r="DH95" i="1"/>
  <c r="DE13" i="1"/>
  <c r="DC13" i="1"/>
  <c r="CY95" i="1"/>
  <c r="DK124" i="1"/>
  <c r="DA124" i="1"/>
  <c r="DI124" i="1"/>
  <c r="DD95" i="1"/>
  <c r="DJ209" i="1"/>
  <c r="DH209" i="1"/>
  <c r="CZ209" i="1"/>
  <c r="DA112" i="1"/>
  <c r="CZ124" i="1"/>
  <c r="DB209" i="1"/>
  <c r="DI209" i="1"/>
  <c r="DJ124" i="1"/>
  <c r="DD124" i="1"/>
  <c r="DG124" i="1"/>
  <c r="DF209" i="1"/>
  <c r="DG209" i="1"/>
  <c r="DL124" i="1"/>
  <c r="DL209" i="1"/>
  <c r="DD209" i="1"/>
  <c r="DB124" i="1"/>
  <c r="DA209" i="1"/>
  <c r="DK209" i="1"/>
  <c r="DH124" i="1"/>
  <c r="DC124" i="1"/>
  <c r="DE209" i="1"/>
  <c r="DC209" i="1"/>
  <c r="DI250" i="1"/>
  <c r="DD250" i="1"/>
  <c r="DH250" i="1"/>
  <c r="DB79" i="1"/>
  <c r="DJ79" i="1"/>
  <c r="DL79" i="1"/>
  <c r="DA79" i="1"/>
  <c r="CZ267" i="1"/>
  <c r="DH79" i="1"/>
  <c r="DK79" i="1"/>
  <c r="DD79" i="1"/>
  <c r="DF79" i="1"/>
  <c r="DC79" i="1"/>
  <c r="CY79" i="1"/>
  <c r="DE250" i="1"/>
  <c r="DE79" i="1"/>
  <c r="DF250" i="1"/>
  <c r="DL250" i="1"/>
  <c r="DG250" i="1"/>
  <c r="DI112" i="1"/>
  <c r="DD112" i="1"/>
  <c r="DL112" i="1"/>
  <c r="DB267" i="1"/>
  <c r="DF112" i="1"/>
  <c r="DC112" i="1"/>
  <c r="DE112" i="1"/>
  <c r="CY112" i="1"/>
  <c r="CZ112" i="1"/>
  <c r="DJ112" i="1"/>
  <c r="DH112" i="1"/>
  <c r="DB112" i="1"/>
  <c r="DK112" i="1"/>
  <c r="CY116" i="1"/>
  <c r="DL116" i="1"/>
  <c r="CY218" i="1"/>
  <c r="DL218" i="1"/>
  <c r="CY260" i="1"/>
  <c r="DL260" i="1"/>
  <c r="CY159" i="1"/>
  <c r="DL159" i="1"/>
  <c r="CY201" i="1"/>
  <c r="DL201" i="1"/>
  <c r="CY15" i="1"/>
  <c r="DL15" i="1"/>
  <c r="CY217" i="1"/>
  <c r="DL217" i="1"/>
  <c r="CY157" i="1"/>
  <c r="DL157" i="1"/>
  <c r="CY191" i="1"/>
  <c r="DL191" i="1"/>
  <c r="CY214" i="1"/>
  <c r="DL214" i="1"/>
  <c r="CY61" i="1"/>
  <c r="DL61" i="1"/>
  <c r="CY65" i="1"/>
  <c r="DL65" i="1"/>
  <c r="CY245" i="1"/>
  <c r="DL245" i="1"/>
  <c r="CY128" i="1"/>
  <c r="DL128" i="1"/>
  <c r="CY207" i="1"/>
  <c r="DL207" i="1"/>
  <c r="CY167" i="1"/>
  <c r="DL167" i="1"/>
  <c r="CY54" i="1"/>
  <c r="DL54" i="1"/>
  <c r="CY262" i="1"/>
  <c r="DL262" i="1"/>
  <c r="CY7" i="1"/>
  <c r="DL7" i="1"/>
  <c r="CY29" i="1"/>
  <c r="DL29" i="1"/>
  <c r="CY211" i="1"/>
  <c r="DL211" i="1"/>
  <c r="CY135" i="1"/>
  <c r="DL135" i="1"/>
  <c r="CY161" i="1"/>
  <c r="DL161" i="1"/>
  <c r="CY75" i="1"/>
  <c r="DL75" i="1"/>
  <c r="CY237" i="1"/>
  <c r="DL237" i="1"/>
  <c r="CY268" i="1"/>
  <c r="DL268" i="1"/>
  <c r="CY126" i="1"/>
  <c r="DL126" i="1"/>
  <c r="CY76" i="1"/>
  <c r="DL76" i="1"/>
  <c r="CY179" i="1"/>
  <c r="DL179" i="1"/>
  <c r="CY103" i="1"/>
  <c r="DL103" i="1"/>
  <c r="CY248" i="1"/>
  <c r="DL248" i="1"/>
  <c r="CY180" i="1"/>
  <c r="DL180" i="1"/>
  <c r="CY213" i="1"/>
  <c r="DL213" i="1"/>
  <c r="CY96" i="1"/>
  <c r="DL96" i="1"/>
  <c r="CY149" i="1"/>
  <c r="DL149" i="1"/>
  <c r="CY188" i="1"/>
  <c r="DL188" i="1"/>
  <c r="CY153" i="1"/>
  <c r="DL153" i="1"/>
  <c r="CY117" i="1"/>
  <c r="DL117" i="1"/>
  <c r="CY106" i="1"/>
  <c r="DL106" i="1"/>
  <c r="CY18" i="1"/>
  <c r="DL18" i="1"/>
  <c r="CY73" i="1"/>
  <c r="DL73" i="1"/>
  <c r="CY60" i="1"/>
  <c r="DL60" i="1"/>
  <c r="CY36" i="1"/>
  <c r="DL36" i="1"/>
  <c r="CY120" i="1"/>
  <c r="DL120" i="1"/>
  <c r="CY142" i="1"/>
  <c r="DL142" i="1"/>
  <c r="CY176" i="1"/>
  <c r="DL176" i="1"/>
  <c r="CY37" i="1"/>
  <c r="DL37" i="1"/>
  <c r="CY143" i="1"/>
  <c r="DL143" i="1"/>
  <c r="CY243" i="1"/>
  <c r="DL243" i="1"/>
  <c r="CY233" i="1"/>
  <c r="DL233" i="1"/>
  <c r="CY212" i="1"/>
  <c r="DL212" i="1"/>
  <c r="CY133" i="1"/>
  <c r="DL133" i="1"/>
  <c r="CY90" i="1"/>
  <c r="DL90" i="1"/>
  <c r="CY97" i="1"/>
  <c r="DL97" i="1"/>
  <c r="CY227" i="1"/>
  <c r="DL227" i="1"/>
  <c r="CY271" i="1"/>
  <c r="DL271" i="1"/>
  <c r="CY110" i="1"/>
  <c r="DL110" i="1"/>
  <c r="CY222" i="1"/>
  <c r="DL222" i="1"/>
  <c r="CY67" i="1"/>
  <c r="DL67" i="1"/>
  <c r="CY134" i="1"/>
  <c r="DL134" i="1"/>
  <c r="CY42" i="1"/>
  <c r="DL42" i="1"/>
  <c r="CY132" i="1"/>
  <c r="DL132" i="1"/>
  <c r="CY11" i="1"/>
  <c r="DL11" i="1"/>
  <c r="CY118" i="1"/>
  <c r="DL118" i="1"/>
  <c r="CY38" i="1"/>
  <c r="DL38" i="1"/>
  <c r="CY232" i="1"/>
  <c r="DL232" i="1"/>
  <c r="CY83" i="1"/>
  <c r="DL83" i="1"/>
  <c r="CY84" i="1"/>
  <c r="DL84" i="1"/>
  <c r="CY228" i="1"/>
  <c r="DL228" i="1"/>
  <c r="CY174" i="1"/>
  <c r="DL174" i="1"/>
  <c r="CY170" i="1"/>
  <c r="DL170" i="1"/>
  <c r="CY98" i="1"/>
  <c r="DL98" i="1"/>
  <c r="CY195" i="1"/>
  <c r="DL195" i="1"/>
  <c r="CY14" i="1"/>
  <c r="DL14" i="1"/>
  <c r="CY263" i="1"/>
  <c r="DL263" i="1"/>
  <c r="CY225" i="1"/>
  <c r="DL225" i="1"/>
  <c r="CY81" i="1"/>
  <c r="DL81" i="1"/>
  <c r="CY72" i="1"/>
  <c r="DL72" i="1"/>
  <c r="CY204" i="1"/>
  <c r="DL204" i="1"/>
  <c r="CY150" i="1"/>
  <c r="DL150" i="1"/>
  <c r="CY173" i="1"/>
  <c r="DL173" i="1"/>
  <c r="CY226" i="1"/>
  <c r="DL226" i="1"/>
  <c r="CY138" i="1"/>
  <c r="DL138" i="1"/>
  <c r="CY52" i="1"/>
  <c r="DL52" i="1"/>
  <c r="CY175" i="1"/>
  <c r="DL175" i="1"/>
  <c r="CY140" i="1"/>
  <c r="DL140" i="1"/>
  <c r="CY66" i="1"/>
  <c r="DL66" i="1"/>
  <c r="CY194" i="1"/>
  <c r="DL194" i="1"/>
  <c r="CY252" i="1"/>
  <c r="DL252" i="1"/>
  <c r="CY270" i="1"/>
  <c r="DL270" i="1"/>
  <c r="CY43" i="1"/>
  <c r="DL43" i="1"/>
  <c r="CY235" i="1"/>
  <c r="DL235" i="1"/>
  <c r="CY196" i="1"/>
  <c r="DL196" i="1"/>
  <c r="CY27" i="1"/>
  <c r="DL27" i="1"/>
  <c r="CY265" i="1"/>
  <c r="DL265" i="1"/>
  <c r="CY114" i="1"/>
  <c r="DL114" i="1"/>
  <c r="CY22" i="1"/>
  <c r="DL22" i="1"/>
  <c r="CY100" i="1"/>
  <c r="DL100" i="1"/>
  <c r="CY8" i="1"/>
  <c r="DL8" i="1"/>
  <c r="CY144" i="1"/>
  <c r="DL144" i="1"/>
  <c r="CY71" i="1"/>
  <c r="DL71" i="1"/>
  <c r="CY269" i="1"/>
  <c r="DL269" i="1"/>
  <c r="CY255" i="1"/>
  <c r="DL255" i="1"/>
  <c r="CY25" i="1"/>
  <c r="DL25" i="1"/>
  <c r="CY192" i="1"/>
  <c r="DL192" i="1"/>
  <c r="CY216" i="1"/>
  <c r="DL216" i="1"/>
  <c r="CY105" i="1"/>
  <c r="DL105" i="1"/>
  <c r="CY108" i="1"/>
  <c r="DL108" i="1"/>
  <c r="CY82" i="1"/>
  <c r="DL82" i="1"/>
  <c r="CY50" i="1"/>
  <c r="DL50" i="1"/>
  <c r="CY123" i="1"/>
  <c r="DL123" i="1"/>
  <c r="CY45" i="1"/>
  <c r="DL45" i="1"/>
  <c r="CY148" i="1"/>
  <c r="DL148" i="1"/>
  <c r="CY253" i="1"/>
  <c r="DL253" i="1"/>
  <c r="CY244" i="1"/>
  <c r="DL244" i="1"/>
  <c r="CY125" i="1"/>
  <c r="DL125" i="1"/>
  <c r="CY121" i="1"/>
  <c r="DL121" i="1"/>
  <c r="CY185" i="1"/>
  <c r="DL185" i="1"/>
  <c r="CY70" i="1"/>
  <c r="DL70" i="1"/>
  <c r="CY146" i="1"/>
  <c r="DL146" i="1"/>
  <c r="CY78" i="1"/>
  <c r="DL78" i="1"/>
  <c r="CY205" i="1"/>
  <c r="DL205" i="1"/>
  <c r="CY19" i="1"/>
  <c r="DL19" i="1"/>
  <c r="CY187" i="1"/>
  <c r="DL187" i="1"/>
  <c r="CY17" i="1"/>
  <c r="DL17" i="1"/>
  <c r="CY94" i="1"/>
  <c r="DL94" i="1"/>
  <c r="CY80" i="1"/>
  <c r="DL80" i="1"/>
  <c r="CY39" i="1"/>
  <c r="DL39" i="1"/>
  <c r="CY193" i="1"/>
  <c r="DL193" i="1"/>
  <c r="CY220" i="1"/>
  <c r="DL220" i="1"/>
  <c r="CY89" i="1"/>
  <c r="DL89" i="1"/>
  <c r="CY254" i="1"/>
  <c r="DL254" i="1"/>
  <c r="CY51" i="1"/>
  <c r="DL51" i="1"/>
  <c r="CY266" i="1"/>
  <c r="DL266" i="1"/>
  <c r="CY130" i="1"/>
  <c r="DL130" i="1"/>
  <c r="CY101" i="1"/>
  <c r="DL101" i="1"/>
  <c r="CY64" i="1"/>
  <c r="DL64" i="1"/>
  <c r="CY85" i="1"/>
  <c r="DL85" i="1"/>
  <c r="CY257" i="1"/>
  <c r="DL257" i="1"/>
  <c r="CY26" i="1"/>
  <c r="DL26" i="1"/>
  <c r="CY264" i="1"/>
  <c r="DL264" i="1"/>
  <c r="CY236" i="1"/>
  <c r="DL236" i="1"/>
  <c r="CY55" i="1"/>
  <c r="DL55" i="1"/>
  <c r="CY77" i="1"/>
  <c r="DL77" i="1"/>
  <c r="CY231" i="1"/>
  <c r="DL231" i="1"/>
  <c r="CY162" i="1"/>
  <c r="DL162" i="1"/>
  <c r="CY249" i="1"/>
  <c r="DL249" i="1"/>
  <c r="CY171" i="1"/>
  <c r="DL171" i="1"/>
  <c r="CY63" i="1"/>
  <c r="DL63" i="1"/>
  <c r="CY139" i="1"/>
  <c r="DL139" i="1"/>
  <c r="CY48" i="1"/>
  <c r="DL48" i="1"/>
  <c r="CY10" i="1"/>
  <c r="DL10" i="1"/>
  <c r="CY34" i="1"/>
  <c r="DL34" i="1"/>
  <c r="CY242" i="1"/>
  <c r="DL242" i="1"/>
  <c r="CY178" i="1"/>
  <c r="DL178" i="1"/>
  <c r="CY21" i="1"/>
  <c r="DL21" i="1"/>
  <c r="CY12" i="1"/>
  <c r="DL12" i="1"/>
  <c r="CY30" i="1"/>
  <c r="DL30" i="1"/>
  <c r="CY246" i="1"/>
  <c r="DL246" i="1"/>
  <c r="CY31" i="1"/>
  <c r="DL31" i="1"/>
  <c r="CY102" i="1"/>
  <c r="DL102" i="1"/>
  <c r="CY33" i="1"/>
  <c r="DL33" i="1"/>
  <c r="CY32" i="1"/>
  <c r="DL32" i="1"/>
  <c r="CY131" i="1"/>
  <c r="DL131" i="1"/>
  <c r="CY9" i="1"/>
  <c r="DL9" i="1"/>
  <c r="CY62" i="1"/>
  <c r="DL62" i="1"/>
  <c r="CY119" i="1"/>
  <c r="DL119" i="1"/>
  <c r="CY23" i="1"/>
  <c r="DL23" i="1"/>
  <c r="CY57" i="1"/>
  <c r="DL57" i="1"/>
  <c r="CY200" i="1"/>
  <c r="DL200" i="1"/>
  <c r="CY68" i="1"/>
  <c r="DL68" i="1"/>
  <c r="CY199" i="1"/>
  <c r="DL199" i="1"/>
  <c r="CY107" i="1"/>
  <c r="DL107" i="1"/>
  <c r="CY165" i="1"/>
  <c r="DL165" i="1"/>
  <c r="CY183" i="1"/>
  <c r="DL183" i="1"/>
  <c r="CY197" i="1"/>
  <c r="DL197" i="1"/>
  <c r="CY129" i="1"/>
  <c r="DL129" i="1"/>
  <c r="CY158" i="1"/>
  <c r="DL158" i="1"/>
  <c r="CY203" i="1"/>
  <c r="DL203" i="1"/>
  <c r="CY141" i="1"/>
  <c r="DL141" i="1"/>
  <c r="CY41" i="1"/>
  <c r="DL41" i="1"/>
  <c r="CY169" i="1"/>
  <c r="DL169" i="1"/>
  <c r="CY224" i="1"/>
  <c r="DL224" i="1"/>
  <c r="CY137" i="1"/>
  <c r="DL137" i="1"/>
  <c r="CY223" i="1"/>
  <c r="DL223" i="1"/>
  <c r="CY164" i="1"/>
  <c r="DL164" i="1"/>
  <c r="CY44" i="1"/>
  <c r="DL44" i="1"/>
  <c r="CY168" i="1"/>
  <c r="DL168" i="1"/>
  <c r="CY259" i="1"/>
  <c r="DL259" i="1"/>
  <c r="CY163" i="1"/>
  <c r="DL163" i="1"/>
  <c r="CY115" i="1"/>
  <c r="DL115" i="1"/>
  <c r="CY20" i="1"/>
  <c r="DL20" i="1"/>
  <c r="CY155" i="1"/>
  <c r="DL155" i="1"/>
  <c r="CY74" i="1"/>
  <c r="DL74" i="1"/>
  <c r="CY219" i="1"/>
  <c r="DL219" i="1"/>
  <c r="CY69" i="1"/>
  <c r="DL69" i="1"/>
  <c r="CY109" i="1"/>
  <c r="DL109" i="1"/>
  <c r="CY154" i="1"/>
  <c r="DL154" i="1"/>
  <c r="CY87" i="1"/>
  <c r="DL87" i="1"/>
  <c r="CY92" i="1"/>
  <c r="DL92" i="1"/>
  <c r="CY166" i="1"/>
  <c r="DL166" i="1"/>
  <c r="CY86" i="1"/>
  <c r="DL86" i="1"/>
  <c r="CY111" i="1"/>
  <c r="DL111" i="1"/>
  <c r="CY58" i="1"/>
  <c r="DL58" i="1"/>
  <c r="CY53" i="1"/>
  <c r="DL53" i="1"/>
  <c r="CY186" i="1"/>
  <c r="DL186" i="1"/>
  <c r="CY136" i="1"/>
  <c r="DL136" i="1"/>
  <c r="CY208" i="1"/>
  <c r="DL208" i="1"/>
  <c r="CY93" i="1"/>
  <c r="DL93" i="1"/>
  <c r="CY256" i="1"/>
  <c r="DL256" i="1"/>
  <c r="CY189" i="1"/>
  <c r="DL189" i="1"/>
  <c r="CY238" i="1"/>
  <c r="DL238" i="1"/>
  <c r="CY28" i="1"/>
  <c r="DL28" i="1"/>
  <c r="CY230" i="1"/>
  <c r="DL230" i="1"/>
  <c r="CY147" i="1"/>
  <c r="DL147" i="1"/>
  <c r="CY88" i="1"/>
  <c r="DL88" i="1"/>
  <c r="CY240" i="1"/>
  <c r="DL240" i="1"/>
  <c r="CY145" i="1"/>
  <c r="DL145" i="1"/>
  <c r="CY91" i="1"/>
  <c r="DL91" i="1"/>
  <c r="CY59" i="1"/>
  <c r="DL59" i="1"/>
  <c r="CY152" i="1"/>
  <c r="DL152" i="1"/>
  <c r="CY46" i="1"/>
  <c r="DL46" i="1"/>
  <c r="CY122" i="1"/>
  <c r="DL122" i="1"/>
  <c r="CY99" i="1"/>
  <c r="DL99" i="1"/>
  <c r="CY241" i="1"/>
  <c r="DL241" i="1"/>
  <c r="CY229" i="1"/>
  <c r="DL229" i="1"/>
  <c r="CY215" i="1"/>
  <c r="DL215" i="1"/>
  <c r="CY239" i="1"/>
  <c r="DL239" i="1"/>
  <c r="CY16" i="1"/>
  <c r="DL16" i="1"/>
  <c r="CY24" i="1"/>
  <c r="DL24" i="1"/>
  <c r="CY184" i="1"/>
  <c r="DL184" i="1"/>
  <c r="CY221" i="1"/>
  <c r="DL221" i="1"/>
  <c r="CY261" i="1"/>
  <c r="DL261" i="1"/>
  <c r="CY47" i="1"/>
  <c r="DL47" i="1"/>
  <c r="CY247" i="1"/>
  <c r="DL247" i="1"/>
  <c r="CY56" i="1"/>
  <c r="DL56" i="1"/>
  <c r="CY234" i="1"/>
  <c r="DL234" i="1"/>
  <c r="CY198" i="1"/>
  <c r="DL198" i="1"/>
  <c r="CY35" i="1"/>
  <c r="DL35" i="1"/>
  <c r="CY181" i="1"/>
  <c r="DL181" i="1"/>
  <c r="CY151" i="1"/>
  <c r="DL151" i="1"/>
  <c r="CY156" i="1"/>
  <c r="DL156" i="1"/>
  <c r="CY177" i="1"/>
  <c r="DL177" i="1"/>
  <c r="CY49" i="1"/>
  <c r="DL49" i="1"/>
  <c r="CY251" i="1"/>
  <c r="DL251" i="1"/>
  <c r="CY202" i="1"/>
  <c r="DL202" i="1"/>
  <c r="CY190" i="1"/>
  <c r="DL190" i="1"/>
  <c r="CY172" i="1"/>
  <c r="DL172" i="1"/>
  <c r="CY104" i="1"/>
  <c r="DL104" i="1"/>
  <c r="CY206" i="1"/>
  <c r="DL206" i="1"/>
  <c r="CY182" i="1"/>
  <c r="DL182" i="1"/>
  <c r="CY160" i="1"/>
  <c r="DL160" i="1"/>
  <c r="CY40" i="1"/>
  <c r="DL40" i="1"/>
  <c r="CY267" i="1"/>
  <c r="DL267" i="1"/>
  <c r="DE20" i="1"/>
  <c r="DF20" i="1"/>
  <c r="DC20" i="1"/>
  <c r="DD20" i="1"/>
  <c r="DG20" i="1"/>
  <c r="DH20" i="1"/>
  <c r="DC219" i="1"/>
  <c r="DG219" i="1"/>
  <c r="DE219" i="1"/>
  <c r="DF219" i="1"/>
  <c r="DH219" i="1"/>
  <c r="DD219" i="1"/>
  <c r="DE154" i="1"/>
  <c r="DF154" i="1"/>
  <c r="DG154" i="1"/>
  <c r="DC154" i="1"/>
  <c r="DH154" i="1"/>
  <c r="DD154" i="1"/>
  <c r="DC92" i="1"/>
  <c r="DG92" i="1"/>
  <c r="DD92" i="1"/>
  <c r="DH92" i="1"/>
  <c r="DE92" i="1"/>
  <c r="DF92" i="1"/>
  <c r="DC111" i="1"/>
  <c r="DG111" i="1"/>
  <c r="DF111" i="1"/>
  <c r="DH111" i="1"/>
  <c r="DD111" i="1"/>
  <c r="DE111" i="1"/>
  <c r="DC53" i="1"/>
  <c r="DG53" i="1"/>
  <c r="DD53" i="1"/>
  <c r="DH53" i="1"/>
  <c r="DE53" i="1"/>
  <c r="DF53" i="1"/>
  <c r="DE136" i="1"/>
  <c r="DF136" i="1"/>
  <c r="DG136" i="1"/>
  <c r="DC136" i="1"/>
  <c r="DH136" i="1"/>
  <c r="DD136" i="1"/>
  <c r="DE256" i="1"/>
  <c r="DG256" i="1"/>
  <c r="DC256" i="1"/>
  <c r="DH256" i="1"/>
  <c r="DD256" i="1"/>
  <c r="DF256" i="1"/>
  <c r="DE28" i="1"/>
  <c r="DF28" i="1"/>
  <c r="DC28" i="1"/>
  <c r="DH28" i="1"/>
  <c r="DD28" i="1"/>
  <c r="DG28" i="1"/>
  <c r="DC147" i="1"/>
  <c r="DG147" i="1"/>
  <c r="DD147" i="1"/>
  <c r="DE147" i="1"/>
  <c r="DF147" i="1"/>
  <c r="DH147" i="1"/>
  <c r="DC145" i="1"/>
  <c r="DG145" i="1"/>
  <c r="DE145" i="1"/>
  <c r="DF145" i="1"/>
  <c r="DH145" i="1"/>
  <c r="DD145" i="1"/>
  <c r="DC59" i="1"/>
  <c r="DG59" i="1"/>
  <c r="DD59" i="1"/>
  <c r="DH59" i="1"/>
  <c r="DE59" i="1"/>
  <c r="DF59" i="1"/>
  <c r="DE122" i="1"/>
  <c r="DD122" i="1"/>
  <c r="DF122" i="1"/>
  <c r="DG122" i="1"/>
  <c r="DC122" i="1"/>
  <c r="DH122" i="1"/>
  <c r="DC241" i="1"/>
  <c r="DG241" i="1"/>
  <c r="DF241" i="1"/>
  <c r="DD241" i="1"/>
  <c r="DH241" i="1"/>
  <c r="DE241" i="1"/>
  <c r="DC239" i="1"/>
  <c r="DG239" i="1"/>
  <c r="DH239" i="1"/>
  <c r="DE239" i="1"/>
  <c r="DD239" i="1"/>
  <c r="DF239" i="1"/>
  <c r="DE184" i="1"/>
  <c r="DG184" i="1"/>
  <c r="DC184" i="1"/>
  <c r="DH184" i="1"/>
  <c r="DD184" i="1"/>
  <c r="DF184" i="1"/>
  <c r="DE130" i="1"/>
  <c r="DD130" i="1"/>
  <c r="DF130" i="1"/>
  <c r="DG130" i="1"/>
  <c r="DH130" i="1"/>
  <c r="DC130" i="1"/>
  <c r="DE64" i="1"/>
  <c r="DF64" i="1"/>
  <c r="DC64" i="1"/>
  <c r="DG64" i="1"/>
  <c r="DH64" i="1"/>
  <c r="DD64" i="1"/>
  <c r="DC257" i="1"/>
  <c r="DG257" i="1"/>
  <c r="DF257" i="1"/>
  <c r="DD257" i="1"/>
  <c r="DH257" i="1"/>
  <c r="DE257" i="1"/>
  <c r="DC264" i="1"/>
  <c r="DG264" i="1"/>
  <c r="DF264" i="1"/>
  <c r="DH264" i="1"/>
  <c r="DD264" i="1"/>
  <c r="DE264" i="1"/>
  <c r="DC77" i="1"/>
  <c r="DG77" i="1"/>
  <c r="DH77" i="1"/>
  <c r="DD77" i="1"/>
  <c r="DE77" i="1"/>
  <c r="DF77" i="1"/>
  <c r="DE162" i="1"/>
  <c r="DF162" i="1"/>
  <c r="DG162" i="1"/>
  <c r="DC162" i="1"/>
  <c r="DH162" i="1"/>
  <c r="DD162" i="1"/>
  <c r="DC171" i="1"/>
  <c r="DG171" i="1"/>
  <c r="DD171" i="1"/>
  <c r="DH171" i="1"/>
  <c r="DE171" i="1"/>
  <c r="DF171" i="1"/>
  <c r="DC63" i="1"/>
  <c r="DG63" i="1"/>
  <c r="DD63" i="1"/>
  <c r="DH63" i="1"/>
  <c r="DE63" i="1"/>
  <c r="DF63" i="1"/>
  <c r="DE48" i="1"/>
  <c r="DF48" i="1"/>
  <c r="DC48" i="1"/>
  <c r="DG48" i="1"/>
  <c r="DH48" i="1"/>
  <c r="DD48" i="1"/>
  <c r="DB10" i="1"/>
  <c r="DE10" i="1"/>
  <c r="DF10" i="1"/>
  <c r="DG10" i="1"/>
  <c r="DC10" i="1"/>
  <c r="DD10" i="1"/>
  <c r="DH10" i="1"/>
  <c r="DE34" i="1"/>
  <c r="DF34" i="1"/>
  <c r="DG34" i="1"/>
  <c r="DD34" i="1"/>
  <c r="DH34" i="1"/>
  <c r="DC34" i="1"/>
  <c r="DJ242" i="1"/>
  <c r="DE242" i="1"/>
  <c r="DF242" i="1"/>
  <c r="DH242" i="1"/>
  <c r="DG242" i="1"/>
  <c r="DC242" i="1"/>
  <c r="DD242" i="1"/>
  <c r="DE178" i="1"/>
  <c r="DF178" i="1"/>
  <c r="DC178" i="1"/>
  <c r="DH178" i="1"/>
  <c r="DG178" i="1"/>
  <c r="DD178" i="1"/>
  <c r="DE116" i="1"/>
  <c r="DC116" i="1"/>
  <c r="DH116" i="1"/>
  <c r="DD116" i="1"/>
  <c r="DF116" i="1"/>
  <c r="DG116" i="1"/>
  <c r="DC21" i="1"/>
  <c r="DG21" i="1"/>
  <c r="DD21" i="1"/>
  <c r="DH21" i="1"/>
  <c r="DE21" i="1"/>
  <c r="DF21" i="1"/>
  <c r="DE218" i="1"/>
  <c r="DF218" i="1"/>
  <c r="DH218" i="1"/>
  <c r="DG218" i="1"/>
  <c r="DC218" i="1"/>
  <c r="DD218" i="1"/>
  <c r="DE12" i="1"/>
  <c r="DF12" i="1"/>
  <c r="DC12" i="1"/>
  <c r="DH12" i="1"/>
  <c r="DD12" i="1"/>
  <c r="DG12" i="1"/>
  <c r="DE260" i="1"/>
  <c r="DD260" i="1"/>
  <c r="DG260" i="1"/>
  <c r="DF260" i="1"/>
  <c r="DH260" i="1"/>
  <c r="DC260" i="1"/>
  <c r="DE30" i="1"/>
  <c r="DF30" i="1"/>
  <c r="DG30" i="1"/>
  <c r="DH30" i="1"/>
  <c r="DC30" i="1"/>
  <c r="DD30" i="1"/>
  <c r="DC159" i="1"/>
  <c r="DG159" i="1"/>
  <c r="DD159" i="1"/>
  <c r="DH159" i="1"/>
  <c r="DE159" i="1"/>
  <c r="DF159" i="1"/>
  <c r="DE270" i="1"/>
  <c r="DG270" i="1"/>
  <c r="DC270" i="1"/>
  <c r="DH270" i="1"/>
  <c r="DD270" i="1"/>
  <c r="DF270" i="1"/>
  <c r="DE246" i="1"/>
  <c r="DC246" i="1"/>
  <c r="DH246" i="1"/>
  <c r="DF246" i="1"/>
  <c r="DD246" i="1"/>
  <c r="DG246" i="1"/>
  <c r="DC201" i="1"/>
  <c r="DG201" i="1"/>
  <c r="DF201" i="1"/>
  <c r="DH201" i="1"/>
  <c r="DD201" i="1"/>
  <c r="DE201" i="1"/>
  <c r="DC31" i="1"/>
  <c r="DG31" i="1"/>
  <c r="DD31" i="1"/>
  <c r="DH31" i="1"/>
  <c r="DE31" i="1"/>
  <c r="DF31" i="1"/>
  <c r="DC15" i="1"/>
  <c r="DG15" i="1"/>
  <c r="DD15" i="1"/>
  <c r="DH15" i="1"/>
  <c r="DE15" i="1"/>
  <c r="DF15" i="1"/>
  <c r="DC43" i="1"/>
  <c r="DG43" i="1"/>
  <c r="DD43" i="1"/>
  <c r="DH43" i="1"/>
  <c r="DE43" i="1"/>
  <c r="DF43" i="1"/>
  <c r="DE102" i="1"/>
  <c r="DG102" i="1"/>
  <c r="DC102" i="1"/>
  <c r="DH102" i="1"/>
  <c r="DD102" i="1"/>
  <c r="DF102" i="1"/>
  <c r="DC217" i="1"/>
  <c r="DG217" i="1"/>
  <c r="DF217" i="1"/>
  <c r="DD217" i="1"/>
  <c r="DH217" i="1"/>
  <c r="DE217" i="1"/>
  <c r="DC235" i="1"/>
  <c r="DG235" i="1"/>
  <c r="DE235" i="1"/>
  <c r="DH235" i="1"/>
  <c r="DF235" i="1"/>
  <c r="DD235" i="1"/>
  <c r="DC33" i="1"/>
  <c r="DG33" i="1"/>
  <c r="DD33" i="1"/>
  <c r="DH33" i="1"/>
  <c r="DE33" i="1"/>
  <c r="DF33" i="1"/>
  <c r="DC157" i="1"/>
  <c r="DG157" i="1"/>
  <c r="DD157" i="1"/>
  <c r="DH157" i="1"/>
  <c r="DE157" i="1"/>
  <c r="DF157" i="1"/>
  <c r="DE196" i="1"/>
  <c r="DD196" i="1"/>
  <c r="DF196" i="1"/>
  <c r="DG196" i="1"/>
  <c r="DH196" i="1"/>
  <c r="DC196" i="1"/>
  <c r="DE32" i="1"/>
  <c r="DF32" i="1"/>
  <c r="DC32" i="1"/>
  <c r="DG32" i="1"/>
  <c r="DH32" i="1"/>
  <c r="DD32" i="1"/>
  <c r="DE191" i="1"/>
  <c r="DG191" i="1"/>
  <c r="DC191" i="1"/>
  <c r="DH191" i="1"/>
  <c r="DD191" i="1"/>
  <c r="DF191" i="1"/>
  <c r="DC27" i="1"/>
  <c r="DG27" i="1"/>
  <c r="DD27" i="1"/>
  <c r="DH27" i="1"/>
  <c r="DE27" i="1"/>
  <c r="DF27" i="1"/>
  <c r="DC131" i="1"/>
  <c r="DG131" i="1"/>
  <c r="DD131" i="1"/>
  <c r="DE131" i="1"/>
  <c r="DF131" i="1"/>
  <c r="DH131" i="1"/>
  <c r="DE214" i="1"/>
  <c r="DC214" i="1"/>
  <c r="DH214" i="1"/>
  <c r="DD214" i="1"/>
  <c r="DF214" i="1"/>
  <c r="DG214" i="1"/>
  <c r="DC9" i="1"/>
  <c r="DG9" i="1"/>
  <c r="DD9" i="1"/>
  <c r="DH9" i="1"/>
  <c r="DE9" i="1"/>
  <c r="DF9" i="1"/>
  <c r="DE265" i="1"/>
  <c r="DF265" i="1"/>
  <c r="DC265" i="1"/>
  <c r="DG265" i="1"/>
  <c r="DH265" i="1"/>
  <c r="DD265" i="1"/>
  <c r="DC61" i="1"/>
  <c r="DG61" i="1"/>
  <c r="DD61" i="1"/>
  <c r="DH61" i="1"/>
  <c r="DE61" i="1"/>
  <c r="DF61" i="1"/>
  <c r="DE62" i="1"/>
  <c r="DF62" i="1"/>
  <c r="DG62" i="1"/>
  <c r="DH62" i="1"/>
  <c r="DC62" i="1"/>
  <c r="DD62" i="1"/>
  <c r="DC65" i="1"/>
  <c r="DG65" i="1"/>
  <c r="DD65" i="1"/>
  <c r="DH65" i="1"/>
  <c r="DE65" i="1"/>
  <c r="DF65" i="1"/>
  <c r="DC114" i="1"/>
  <c r="DG114" i="1"/>
  <c r="DF114" i="1"/>
  <c r="DH114" i="1"/>
  <c r="DD114" i="1"/>
  <c r="DE114" i="1"/>
  <c r="DC245" i="1"/>
  <c r="DG245" i="1"/>
  <c r="DD245" i="1"/>
  <c r="DE245" i="1"/>
  <c r="DF245" i="1"/>
  <c r="DH245" i="1"/>
  <c r="DC119" i="1"/>
  <c r="DG119" i="1"/>
  <c r="DF119" i="1"/>
  <c r="DH119" i="1"/>
  <c r="DD119" i="1"/>
  <c r="DE119" i="1"/>
  <c r="DE128" i="1"/>
  <c r="DF128" i="1"/>
  <c r="DG128" i="1"/>
  <c r="DH128" i="1"/>
  <c r="DC128" i="1"/>
  <c r="DD128" i="1"/>
  <c r="DC23" i="1"/>
  <c r="DG23" i="1"/>
  <c r="DD23" i="1"/>
  <c r="DH23" i="1"/>
  <c r="DF23" i="1"/>
  <c r="DE23" i="1"/>
  <c r="DC207" i="1"/>
  <c r="DG207" i="1"/>
  <c r="DH207" i="1"/>
  <c r="DE207" i="1"/>
  <c r="DD207" i="1"/>
  <c r="DF207" i="1"/>
  <c r="DE22" i="1"/>
  <c r="DF22" i="1"/>
  <c r="DG22" i="1"/>
  <c r="DC22" i="1"/>
  <c r="DD22" i="1"/>
  <c r="DH22" i="1"/>
  <c r="DC57" i="1"/>
  <c r="DG57" i="1"/>
  <c r="DD57" i="1"/>
  <c r="DH57" i="1"/>
  <c r="DE57" i="1"/>
  <c r="DF57" i="1"/>
  <c r="DC167" i="1"/>
  <c r="DG167" i="1"/>
  <c r="DD167" i="1"/>
  <c r="DH167" i="1"/>
  <c r="DE167" i="1"/>
  <c r="DF167" i="1"/>
  <c r="DE200" i="1"/>
  <c r="DG200" i="1"/>
  <c r="DD200" i="1"/>
  <c r="DC200" i="1"/>
  <c r="DH200" i="1"/>
  <c r="DF200" i="1"/>
  <c r="DE100" i="1"/>
  <c r="DC100" i="1"/>
  <c r="DH100" i="1"/>
  <c r="DD100" i="1"/>
  <c r="DF100" i="1"/>
  <c r="DG100" i="1"/>
  <c r="DC261" i="1"/>
  <c r="DG261" i="1"/>
  <c r="DD261" i="1"/>
  <c r="DE261" i="1"/>
  <c r="DF261" i="1"/>
  <c r="DH261" i="1"/>
  <c r="DC47" i="1"/>
  <c r="DG47" i="1"/>
  <c r="DD47" i="1"/>
  <c r="DH47" i="1"/>
  <c r="DE47" i="1"/>
  <c r="DF47" i="1"/>
  <c r="DC247" i="1"/>
  <c r="DG247" i="1"/>
  <c r="DH247" i="1"/>
  <c r="DD247" i="1"/>
  <c r="DE247" i="1"/>
  <c r="DF247" i="1"/>
  <c r="DE56" i="1"/>
  <c r="DF56" i="1"/>
  <c r="DC56" i="1"/>
  <c r="DD56" i="1"/>
  <c r="DG56" i="1"/>
  <c r="DH56" i="1"/>
  <c r="DE234" i="1"/>
  <c r="DF234" i="1"/>
  <c r="DC234" i="1"/>
  <c r="DG234" i="1"/>
  <c r="DH234" i="1"/>
  <c r="DD234" i="1"/>
  <c r="DE198" i="1"/>
  <c r="DC198" i="1"/>
  <c r="DH198" i="1"/>
  <c r="DF198" i="1"/>
  <c r="DD198" i="1"/>
  <c r="DG198" i="1"/>
  <c r="DC35" i="1"/>
  <c r="DG35" i="1"/>
  <c r="DH35" i="1"/>
  <c r="DE35" i="1"/>
  <c r="DD35" i="1"/>
  <c r="DF35" i="1"/>
  <c r="DC181" i="1"/>
  <c r="DG181" i="1"/>
  <c r="DD181" i="1"/>
  <c r="DF181" i="1"/>
  <c r="DE181" i="1"/>
  <c r="DH181" i="1"/>
  <c r="DE151" i="1"/>
  <c r="DF151" i="1"/>
  <c r="DG151" i="1"/>
  <c r="DC151" i="1"/>
  <c r="DH151" i="1"/>
  <c r="DD151" i="1"/>
  <c r="DE156" i="1"/>
  <c r="DF156" i="1"/>
  <c r="DC156" i="1"/>
  <c r="DG156" i="1"/>
  <c r="DD156" i="1"/>
  <c r="DH156" i="1"/>
  <c r="DC177" i="1"/>
  <c r="DG177" i="1"/>
  <c r="DD177" i="1"/>
  <c r="DH177" i="1"/>
  <c r="DE177" i="1"/>
  <c r="DF177" i="1"/>
  <c r="DC49" i="1"/>
  <c r="DG49" i="1"/>
  <c r="DD49" i="1"/>
  <c r="DH49" i="1"/>
  <c r="DE49" i="1"/>
  <c r="DF49" i="1"/>
  <c r="DC251" i="1"/>
  <c r="DG251" i="1"/>
  <c r="DE251" i="1"/>
  <c r="DH251" i="1"/>
  <c r="DF251" i="1"/>
  <c r="DD251" i="1"/>
  <c r="DC202" i="1"/>
  <c r="DG202" i="1"/>
  <c r="DH202" i="1"/>
  <c r="DE202" i="1"/>
  <c r="DD202" i="1"/>
  <c r="DF202" i="1"/>
  <c r="DE190" i="1"/>
  <c r="DC190" i="1"/>
  <c r="DH190" i="1"/>
  <c r="DF190" i="1"/>
  <c r="DD190" i="1"/>
  <c r="DG190" i="1"/>
  <c r="DA172" i="1"/>
  <c r="DE172" i="1"/>
  <c r="DF172" i="1"/>
  <c r="DC172" i="1"/>
  <c r="DG172" i="1"/>
  <c r="DD172" i="1"/>
  <c r="DH172" i="1"/>
  <c r="DE104" i="1"/>
  <c r="DF104" i="1"/>
  <c r="DG104" i="1"/>
  <c r="DC104" i="1"/>
  <c r="DH104" i="1"/>
  <c r="DD104" i="1"/>
  <c r="DE206" i="1"/>
  <c r="DC206" i="1"/>
  <c r="DH206" i="1"/>
  <c r="DD206" i="1"/>
  <c r="DF206" i="1"/>
  <c r="DG206" i="1"/>
  <c r="DI182" i="1"/>
  <c r="DE182" i="1"/>
  <c r="DC182" i="1"/>
  <c r="DH182" i="1"/>
  <c r="DF182" i="1"/>
  <c r="DD182" i="1"/>
  <c r="DG182" i="1"/>
  <c r="DE160" i="1"/>
  <c r="DF160" i="1"/>
  <c r="DC160" i="1"/>
  <c r="DG160" i="1"/>
  <c r="DD160" i="1"/>
  <c r="DH160" i="1"/>
  <c r="DJ40" i="1"/>
  <c r="DE40" i="1"/>
  <c r="DF40" i="1"/>
  <c r="DC40" i="1"/>
  <c r="DD40" i="1"/>
  <c r="DG40" i="1"/>
  <c r="DH40" i="1"/>
  <c r="DE267" i="1"/>
  <c r="DD267" i="1"/>
  <c r="DF267" i="1"/>
  <c r="DG267" i="1"/>
  <c r="DC267" i="1"/>
  <c r="DH267" i="1"/>
  <c r="DE155" i="1"/>
  <c r="DD155" i="1"/>
  <c r="DG155" i="1"/>
  <c r="DF155" i="1"/>
  <c r="DH155" i="1"/>
  <c r="DC155" i="1"/>
  <c r="DC109" i="1"/>
  <c r="DG109" i="1"/>
  <c r="DH109" i="1"/>
  <c r="DD109" i="1"/>
  <c r="DE109" i="1"/>
  <c r="DF109" i="1"/>
  <c r="DE166" i="1"/>
  <c r="DF166" i="1"/>
  <c r="DG166" i="1"/>
  <c r="DC166" i="1"/>
  <c r="DH166" i="1"/>
  <c r="DD166" i="1"/>
  <c r="DE208" i="1"/>
  <c r="DG208" i="1"/>
  <c r="DC208" i="1"/>
  <c r="DH208" i="1"/>
  <c r="DD208" i="1"/>
  <c r="DF208" i="1"/>
  <c r="DE238" i="1"/>
  <c r="DC238" i="1"/>
  <c r="DH238" i="1"/>
  <c r="DD238" i="1"/>
  <c r="DF238" i="1"/>
  <c r="DG238" i="1"/>
  <c r="DE240" i="1"/>
  <c r="DG240" i="1"/>
  <c r="DC240" i="1"/>
  <c r="DH240" i="1"/>
  <c r="DD240" i="1"/>
  <c r="DF240" i="1"/>
  <c r="DC152" i="1"/>
  <c r="DG152" i="1"/>
  <c r="DD152" i="1"/>
  <c r="DH152" i="1"/>
  <c r="DE152" i="1"/>
  <c r="DF152" i="1"/>
  <c r="DC229" i="1"/>
  <c r="DG229" i="1"/>
  <c r="DD229" i="1"/>
  <c r="DE229" i="1"/>
  <c r="DF229" i="1"/>
  <c r="DH229" i="1"/>
  <c r="DE16" i="1"/>
  <c r="DF16" i="1"/>
  <c r="DC16" i="1"/>
  <c r="DG16" i="1"/>
  <c r="DH16" i="1"/>
  <c r="DD16" i="1"/>
  <c r="DC51" i="1"/>
  <c r="DG51" i="1"/>
  <c r="DD51" i="1"/>
  <c r="DH51" i="1"/>
  <c r="DE51" i="1"/>
  <c r="DF51" i="1"/>
  <c r="DG101" i="1"/>
  <c r="DH101" i="1"/>
  <c r="DE236" i="1"/>
  <c r="DD236" i="1"/>
  <c r="DF236" i="1"/>
  <c r="DG236" i="1"/>
  <c r="DC236" i="1"/>
  <c r="DH236" i="1"/>
  <c r="DC237" i="1"/>
  <c r="DG237" i="1"/>
  <c r="DD237" i="1"/>
  <c r="DF237" i="1"/>
  <c r="DE237" i="1"/>
  <c r="DH237" i="1"/>
  <c r="DE76" i="1"/>
  <c r="DC76" i="1"/>
  <c r="DH76" i="1"/>
  <c r="DD76" i="1"/>
  <c r="DF76" i="1"/>
  <c r="DG76" i="1"/>
  <c r="DE248" i="1"/>
  <c r="DG248" i="1"/>
  <c r="DD248" i="1"/>
  <c r="DC248" i="1"/>
  <c r="DH248" i="1"/>
  <c r="DF248" i="1"/>
  <c r="DE96" i="1"/>
  <c r="DF96" i="1"/>
  <c r="DG96" i="1"/>
  <c r="DH96" i="1"/>
  <c r="DC96" i="1"/>
  <c r="DD96" i="1"/>
  <c r="DE153" i="1"/>
  <c r="DC153" i="1"/>
  <c r="DH153" i="1"/>
  <c r="DD153" i="1"/>
  <c r="DF153" i="1"/>
  <c r="DG153" i="1"/>
  <c r="DC73" i="1"/>
  <c r="DG73" i="1"/>
  <c r="DE73" i="1"/>
  <c r="DF73" i="1"/>
  <c r="DH73" i="1"/>
  <c r="DD73" i="1"/>
  <c r="DE142" i="1"/>
  <c r="DG142" i="1"/>
  <c r="DC142" i="1"/>
  <c r="DH142" i="1"/>
  <c r="DD142" i="1"/>
  <c r="DF142" i="1"/>
  <c r="DC143" i="1"/>
  <c r="DG143" i="1"/>
  <c r="DF143" i="1"/>
  <c r="DH143" i="1"/>
  <c r="DD143" i="1"/>
  <c r="DE143" i="1"/>
  <c r="DC233" i="1"/>
  <c r="DG233" i="1"/>
  <c r="DF233" i="1"/>
  <c r="DH233" i="1"/>
  <c r="DD233" i="1"/>
  <c r="DE233" i="1"/>
  <c r="DC133" i="1"/>
  <c r="DG133" i="1"/>
  <c r="DH133" i="1"/>
  <c r="DD133" i="1"/>
  <c r="DE133" i="1"/>
  <c r="DF133" i="1"/>
  <c r="DC97" i="1"/>
  <c r="DG97" i="1"/>
  <c r="DE97" i="1"/>
  <c r="DF97" i="1"/>
  <c r="DH97" i="1"/>
  <c r="DD97" i="1"/>
  <c r="DC271" i="1"/>
  <c r="DG271" i="1"/>
  <c r="DF271" i="1"/>
  <c r="DD271" i="1"/>
  <c r="DH271" i="1"/>
  <c r="DE271" i="1"/>
  <c r="DE110" i="1"/>
  <c r="DG110" i="1"/>
  <c r="DC110" i="1"/>
  <c r="DH110" i="1"/>
  <c r="DD110" i="1"/>
  <c r="DF110" i="1"/>
  <c r="DE222" i="1"/>
  <c r="DC222" i="1"/>
  <c r="DH222" i="1"/>
  <c r="DF222" i="1"/>
  <c r="DD222" i="1"/>
  <c r="DG222" i="1"/>
  <c r="DE67" i="1"/>
  <c r="DF67" i="1"/>
  <c r="DG67" i="1"/>
  <c r="DC67" i="1"/>
  <c r="DH67" i="1"/>
  <c r="DD67" i="1"/>
  <c r="DE134" i="1"/>
  <c r="DG134" i="1"/>
  <c r="DC134" i="1"/>
  <c r="DH134" i="1"/>
  <c r="DD134" i="1"/>
  <c r="DF134" i="1"/>
  <c r="DE42" i="1"/>
  <c r="DF42" i="1"/>
  <c r="DG42" i="1"/>
  <c r="DC42" i="1"/>
  <c r="DD42" i="1"/>
  <c r="DH42" i="1"/>
  <c r="DE132" i="1"/>
  <c r="DC132" i="1"/>
  <c r="DH132" i="1"/>
  <c r="DD132" i="1"/>
  <c r="DF132" i="1"/>
  <c r="DG132" i="1"/>
  <c r="DC11" i="1"/>
  <c r="DG11" i="1"/>
  <c r="DD11" i="1"/>
  <c r="DH11" i="1"/>
  <c r="DE11" i="1"/>
  <c r="DF11" i="1"/>
  <c r="DE118" i="1"/>
  <c r="DG118" i="1"/>
  <c r="DC118" i="1"/>
  <c r="DH118" i="1"/>
  <c r="DD118" i="1"/>
  <c r="DF118" i="1"/>
  <c r="DE38" i="1"/>
  <c r="DF38" i="1"/>
  <c r="DG38" i="1"/>
  <c r="DC38" i="1"/>
  <c r="DD38" i="1"/>
  <c r="DH38" i="1"/>
  <c r="DE232" i="1"/>
  <c r="DG232" i="1"/>
  <c r="DD232" i="1"/>
  <c r="DC232" i="1"/>
  <c r="DH232" i="1"/>
  <c r="DF232" i="1"/>
  <c r="DE54" i="1"/>
  <c r="DF54" i="1"/>
  <c r="DG54" i="1"/>
  <c r="DC54" i="1"/>
  <c r="DD54" i="1"/>
  <c r="DH54" i="1"/>
  <c r="DE262" i="1"/>
  <c r="DC262" i="1"/>
  <c r="DH262" i="1"/>
  <c r="DF262" i="1"/>
  <c r="DD262" i="1"/>
  <c r="DG262" i="1"/>
  <c r="DE68" i="1"/>
  <c r="DC68" i="1"/>
  <c r="DH68" i="1"/>
  <c r="DD68" i="1"/>
  <c r="DF68" i="1"/>
  <c r="DG68" i="1"/>
  <c r="DE144" i="1"/>
  <c r="DF144" i="1"/>
  <c r="DG144" i="1"/>
  <c r="DH144" i="1"/>
  <c r="DC144" i="1"/>
  <c r="DD144" i="1"/>
  <c r="DC199" i="1"/>
  <c r="DG199" i="1"/>
  <c r="DH199" i="1"/>
  <c r="DD199" i="1"/>
  <c r="DE199" i="1"/>
  <c r="DF199" i="1"/>
  <c r="DC7" i="1"/>
  <c r="DG7" i="1"/>
  <c r="DE7" i="1"/>
  <c r="DF7" i="1"/>
  <c r="DH7" i="1"/>
  <c r="DD7" i="1"/>
  <c r="DC71" i="1"/>
  <c r="DG71" i="1"/>
  <c r="DF71" i="1"/>
  <c r="DH71" i="1"/>
  <c r="DD71" i="1"/>
  <c r="DE71" i="1"/>
  <c r="DC29" i="1"/>
  <c r="DG29" i="1"/>
  <c r="DD29" i="1"/>
  <c r="DH29" i="1"/>
  <c r="DE29" i="1"/>
  <c r="DF29" i="1"/>
  <c r="DC107" i="1"/>
  <c r="DG107" i="1"/>
  <c r="DD107" i="1"/>
  <c r="DE107" i="1"/>
  <c r="DF107" i="1"/>
  <c r="DH107" i="1"/>
  <c r="DC269" i="1"/>
  <c r="DG269" i="1"/>
  <c r="DH269" i="1"/>
  <c r="DE269" i="1"/>
  <c r="DD269" i="1"/>
  <c r="DF269" i="1"/>
  <c r="DC211" i="1"/>
  <c r="DG211" i="1"/>
  <c r="DE211" i="1"/>
  <c r="DH211" i="1"/>
  <c r="DF211" i="1"/>
  <c r="DD211" i="1"/>
  <c r="DC165" i="1"/>
  <c r="DG165" i="1"/>
  <c r="DD165" i="1"/>
  <c r="DH165" i="1"/>
  <c r="DE165" i="1"/>
  <c r="DF165" i="1"/>
  <c r="DE255" i="1"/>
  <c r="DF255" i="1"/>
  <c r="DC255" i="1"/>
  <c r="DG255" i="1"/>
  <c r="DH255" i="1"/>
  <c r="DD255" i="1"/>
  <c r="DC183" i="1"/>
  <c r="DG183" i="1"/>
  <c r="DH183" i="1"/>
  <c r="DE183" i="1"/>
  <c r="DD183" i="1"/>
  <c r="DF183" i="1"/>
  <c r="DC135" i="1"/>
  <c r="DG135" i="1"/>
  <c r="DF135" i="1"/>
  <c r="DH135" i="1"/>
  <c r="DD135" i="1"/>
  <c r="DE135" i="1"/>
  <c r="DC197" i="1"/>
  <c r="DG197" i="1"/>
  <c r="DD197" i="1"/>
  <c r="DF197" i="1"/>
  <c r="DE197" i="1"/>
  <c r="DH197" i="1"/>
  <c r="DI161" i="1"/>
  <c r="DC161" i="1"/>
  <c r="DG161" i="1"/>
  <c r="DD161" i="1"/>
  <c r="DH161" i="1"/>
  <c r="DE161" i="1"/>
  <c r="DF161" i="1"/>
  <c r="DC129" i="1"/>
  <c r="DG129" i="1"/>
  <c r="DE129" i="1"/>
  <c r="DF129" i="1"/>
  <c r="DH129" i="1"/>
  <c r="DD129" i="1"/>
  <c r="DA75" i="1"/>
  <c r="DC75" i="1"/>
  <c r="DG75" i="1"/>
  <c r="DD75" i="1"/>
  <c r="DE75" i="1"/>
  <c r="DF75" i="1"/>
  <c r="DH75" i="1"/>
  <c r="DC25" i="1"/>
  <c r="DG25" i="1"/>
  <c r="DD25" i="1"/>
  <c r="DH25" i="1"/>
  <c r="DE25" i="1"/>
  <c r="DF25" i="1"/>
  <c r="DE158" i="1"/>
  <c r="DF158" i="1"/>
  <c r="DG158" i="1"/>
  <c r="DC158" i="1"/>
  <c r="DH158" i="1"/>
  <c r="DD158" i="1"/>
  <c r="DE74" i="1"/>
  <c r="DD74" i="1"/>
  <c r="DF74" i="1"/>
  <c r="DG74" i="1"/>
  <c r="DC74" i="1"/>
  <c r="DH74" i="1"/>
  <c r="DC69" i="1"/>
  <c r="DG69" i="1"/>
  <c r="DH69" i="1"/>
  <c r="DD69" i="1"/>
  <c r="DE69" i="1"/>
  <c r="DF69" i="1"/>
  <c r="DC87" i="1"/>
  <c r="DG87" i="1"/>
  <c r="DF87" i="1"/>
  <c r="DH87" i="1"/>
  <c r="DD87" i="1"/>
  <c r="DE87" i="1"/>
  <c r="DE86" i="1"/>
  <c r="DG86" i="1"/>
  <c r="DC86" i="1"/>
  <c r="DH86" i="1"/>
  <c r="DD86" i="1"/>
  <c r="DF86" i="1"/>
  <c r="DE58" i="1"/>
  <c r="DF58" i="1"/>
  <c r="DG58" i="1"/>
  <c r="DC58" i="1"/>
  <c r="DD58" i="1"/>
  <c r="DH58" i="1"/>
  <c r="DG186" i="1"/>
  <c r="DH186" i="1"/>
  <c r="DC93" i="1"/>
  <c r="DG93" i="1"/>
  <c r="DH93" i="1"/>
  <c r="DD93" i="1"/>
  <c r="DE93" i="1"/>
  <c r="DF93" i="1"/>
  <c r="DC189" i="1"/>
  <c r="DG189" i="1"/>
  <c r="DD189" i="1"/>
  <c r="DF189" i="1"/>
  <c r="DE189" i="1"/>
  <c r="DH189" i="1"/>
  <c r="DE230" i="1"/>
  <c r="DC230" i="1"/>
  <c r="DH230" i="1"/>
  <c r="DF230" i="1"/>
  <c r="DD230" i="1"/>
  <c r="DG230" i="1"/>
  <c r="DE88" i="1"/>
  <c r="DF88" i="1"/>
  <c r="DG88" i="1"/>
  <c r="DC88" i="1"/>
  <c r="DH88" i="1"/>
  <c r="DD88" i="1"/>
  <c r="DC91" i="1"/>
  <c r="DG91" i="1"/>
  <c r="DD91" i="1"/>
  <c r="DE91" i="1"/>
  <c r="DF91" i="1"/>
  <c r="DH91" i="1"/>
  <c r="DE46" i="1"/>
  <c r="DF46" i="1"/>
  <c r="DG46" i="1"/>
  <c r="DH46" i="1"/>
  <c r="DC46" i="1"/>
  <c r="DD46" i="1"/>
  <c r="DC99" i="1"/>
  <c r="DG99" i="1"/>
  <c r="DD99" i="1"/>
  <c r="DE99" i="1"/>
  <c r="DF99" i="1"/>
  <c r="DH99" i="1"/>
  <c r="DC215" i="1"/>
  <c r="DG215" i="1"/>
  <c r="DH215" i="1"/>
  <c r="DE215" i="1"/>
  <c r="DD215" i="1"/>
  <c r="DF215" i="1"/>
  <c r="DE24" i="1"/>
  <c r="DF24" i="1"/>
  <c r="DC24" i="1"/>
  <c r="DD24" i="1"/>
  <c r="DG24" i="1"/>
  <c r="DH24" i="1"/>
  <c r="DC221" i="1"/>
  <c r="DG221" i="1"/>
  <c r="DD221" i="1"/>
  <c r="DE221" i="1"/>
  <c r="DF221" i="1"/>
  <c r="DH221" i="1"/>
  <c r="DC266" i="1"/>
  <c r="DG266" i="1"/>
  <c r="DE266" i="1"/>
  <c r="DH266" i="1"/>
  <c r="DF266" i="1"/>
  <c r="DD266" i="1"/>
  <c r="DC85" i="1"/>
  <c r="DG85" i="1"/>
  <c r="DH85" i="1"/>
  <c r="DD85" i="1"/>
  <c r="DE85" i="1"/>
  <c r="DF85" i="1"/>
  <c r="DE26" i="1"/>
  <c r="DF26" i="1"/>
  <c r="DG26" i="1"/>
  <c r="DC26" i="1"/>
  <c r="DD26" i="1"/>
  <c r="DH26" i="1"/>
  <c r="DC55" i="1"/>
  <c r="DG55" i="1"/>
  <c r="DD55" i="1"/>
  <c r="DH55" i="1"/>
  <c r="DF55" i="1"/>
  <c r="DE55" i="1"/>
  <c r="DC231" i="1"/>
  <c r="DG231" i="1"/>
  <c r="DH231" i="1"/>
  <c r="DD231" i="1"/>
  <c r="DE231" i="1"/>
  <c r="DF231" i="1"/>
  <c r="DC249" i="1"/>
  <c r="DG249" i="1"/>
  <c r="DF249" i="1"/>
  <c r="DH249" i="1"/>
  <c r="DD249" i="1"/>
  <c r="DE249" i="1"/>
  <c r="CZ139" i="1"/>
  <c r="DC139" i="1"/>
  <c r="DG139" i="1"/>
  <c r="DD139" i="1"/>
  <c r="DE139" i="1"/>
  <c r="DF139" i="1"/>
  <c r="DH139" i="1"/>
  <c r="DC268" i="1"/>
  <c r="DG268" i="1"/>
  <c r="DD268" i="1"/>
  <c r="DF268" i="1"/>
  <c r="DE268" i="1"/>
  <c r="DH268" i="1"/>
  <c r="DE126" i="1"/>
  <c r="DG126" i="1"/>
  <c r="DC126" i="1"/>
  <c r="DH126" i="1"/>
  <c r="DD126" i="1"/>
  <c r="DF126" i="1"/>
  <c r="DC179" i="1"/>
  <c r="DG179" i="1"/>
  <c r="DE179" i="1"/>
  <c r="DH179" i="1"/>
  <c r="DF179" i="1"/>
  <c r="DD179" i="1"/>
  <c r="DC103" i="1"/>
  <c r="DG103" i="1"/>
  <c r="DF103" i="1"/>
  <c r="DH103" i="1"/>
  <c r="DD103" i="1"/>
  <c r="DE103" i="1"/>
  <c r="DE180" i="1"/>
  <c r="DC180" i="1"/>
  <c r="DH180" i="1"/>
  <c r="DD180" i="1"/>
  <c r="DF180" i="1"/>
  <c r="DG180" i="1"/>
  <c r="DC213" i="1"/>
  <c r="DG213" i="1"/>
  <c r="DD213" i="1"/>
  <c r="DF213" i="1"/>
  <c r="DE213" i="1"/>
  <c r="DH213" i="1"/>
  <c r="DC149" i="1"/>
  <c r="DG149" i="1"/>
  <c r="DH149" i="1"/>
  <c r="DD149" i="1"/>
  <c r="DE149" i="1"/>
  <c r="DF149" i="1"/>
  <c r="DE188" i="1"/>
  <c r="DD188" i="1"/>
  <c r="DG188" i="1"/>
  <c r="DF188" i="1"/>
  <c r="DC188" i="1"/>
  <c r="DH188" i="1"/>
  <c r="DC117" i="1"/>
  <c r="DG117" i="1"/>
  <c r="DH117" i="1"/>
  <c r="DD117" i="1"/>
  <c r="DE117" i="1"/>
  <c r="DF117" i="1"/>
  <c r="DE106" i="1"/>
  <c r="DD106" i="1"/>
  <c r="DF106" i="1"/>
  <c r="DG106" i="1"/>
  <c r="DC106" i="1"/>
  <c r="DH106" i="1"/>
  <c r="DE18" i="1"/>
  <c r="DF18" i="1"/>
  <c r="DG18" i="1"/>
  <c r="DD18" i="1"/>
  <c r="DH18" i="1"/>
  <c r="DC18" i="1"/>
  <c r="DE60" i="1"/>
  <c r="DF60" i="1"/>
  <c r="DC60" i="1"/>
  <c r="DH60" i="1"/>
  <c r="DD60" i="1"/>
  <c r="DG60" i="1"/>
  <c r="DE36" i="1"/>
  <c r="DF36" i="1"/>
  <c r="DC36" i="1"/>
  <c r="DD36" i="1"/>
  <c r="DG36" i="1"/>
  <c r="DH36" i="1"/>
  <c r="DE120" i="1"/>
  <c r="DF120" i="1"/>
  <c r="DC120" i="1"/>
  <c r="DG120" i="1"/>
  <c r="DD120" i="1"/>
  <c r="DH120" i="1"/>
  <c r="DE176" i="1"/>
  <c r="DF176" i="1"/>
  <c r="DC176" i="1"/>
  <c r="DG176" i="1"/>
  <c r="DD176" i="1"/>
  <c r="DH176" i="1"/>
  <c r="DC37" i="1"/>
  <c r="DG37" i="1"/>
  <c r="DD37" i="1"/>
  <c r="DH37" i="1"/>
  <c r="DE37" i="1"/>
  <c r="DF37" i="1"/>
  <c r="DC243" i="1"/>
  <c r="DG243" i="1"/>
  <c r="DE243" i="1"/>
  <c r="DF243" i="1"/>
  <c r="DH243" i="1"/>
  <c r="DD243" i="1"/>
  <c r="DE212" i="1"/>
  <c r="DD212" i="1"/>
  <c r="DF212" i="1"/>
  <c r="DG212" i="1"/>
  <c r="DH212" i="1"/>
  <c r="DC212" i="1"/>
  <c r="DC90" i="1"/>
  <c r="DG90" i="1"/>
  <c r="DD90" i="1"/>
  <c r="DH90" i="1"/>
  <c r="DE90" i="1"/>
  <c r="DF90" i="1"/>
  <c r="DC227" i="1"/>
  <c r="DG227" i="1"/>
  <c r="DE227" i="1"/>
  <c r="DF227" i="1"/>
  <c r="DH227" i="1"/>
  <c r="DD227" i="1"/>
  <c r="DC203" i="1"/>
  <c r="DG203" i="1"/>
  <c r="DE203" i="1"/>
  <c r="DH203" i="1"/>
  <c r="DF203" i="1"/>
  <c r="DD203" i="1"/>
  <c r="DC141" i="1"/>
  <c r="DG141" i="1"/>
  <c r="DH141" i="1"/>
  <c r="DD141" i="1"/>
  <c r="DE141" i="1"/>
  <c r="DF141" i="1"/>
  <c r="DC41" i="1"/>
  <c r="DG41" i="1"/>
  <c r="DD41" i="1"/>
  <c r="DH41" i="1"/>
  <c r="DE41" i="1"/>
  <c r="DF41" i="1"/>
  <c r="DE192" i="1"/>
  <c r="DG192" i="1"/>
  <c r="DD192" i="1"/>
  <c r="DC192" i="1"/>
  <c r="DH192" i="1"/>
  <c r="DF192" i="1"/>
  <c r="DC169" i="1"/>
  <c r="DG169" i="1"/>
  <c r="DD169" i="1"/>
  <c r="DH169" i="1"/>
  <c r="DE169" i="1"/>
  <c r="DF169" i="1"/>
  <c r="DE224" i="1"/>
  <c r="DG224" i="1"/>
  <c r="DD224" i="1"/>
  <c r="DC224" i="1"/>
  <c r="DH224" i="1"/>
  <c r="DF224" i="1"/>
  <c r="DE216" i="1"/>
  <c r="DG216" i="1"/>
  <c r="DC216" i="1"/>
  <c r="DH216" i="1"/>
  <c r="DD216" i="1"/>
  <c r="DF216" i="1"/>
  <c r="DC137" i="1"/>
  <c r="DG137" i="1"/>
  <c r="DE137" i="1"/>
  <c r="DF137" i="1"/>
  <c r="DH137" i="1"/>
  <c r="DD137" i="1"/>
  <c r="DC223" i="1"/>
  <c r="DG223" i="1"/>
  <c r="DH223" i="1"/>
  <c r="DD223" i="1"/>
  <c r="DE223" i="1"/>
  <c r="DF223" i="1"/>
  <c r="DC105" i="1"/>
  <c r="DG105" i="1"/>
  <c r="DE105" i="1"/>
  <c r="DF105" i="1"/>
  <c r="DH105" i="1"/>
  <c r="DD105" i="1"/>
  <c r="DE164" i="1"/>
  <c r="DF164" i="1"/>
  <c r="DC164" i="1"/>
  <c r="DG164" i="1"/>
  <c r="DD164" i="1"/>
  <c r="DH164" i="1"/>
  <c r="DE44" i="1"/>
  <c r="DF44" i="1"/>
  <c r="DC44" i="1"/>
  <c r="DH44" i="1"/>
  <c r="DD44" i="1"/>
  <c r="DG44" i="1"/>
  <c r="DE108" i="1"/>
  <c r="DC108" i="1"/>
  <c r="DH108" i="1"/>
  <c r="DD108" i="1"/>
  <c r="DF108" i="1"/>
  <c r="DG108" i="1"/>
  <c r="DE168" i="1"/>
  <c r="DF168" i="1"/>
  <c r="DC168" i="1"/>
  <c r="DG168" i="1"/>
  <c r="DD168" i="1"/>
  <c r="DH168" i="1"/>
  <c r="DC259" i="1"/>
  <c r="DG259" i="1"/>
  <c r="DE259" i="1"/>
  <c r="DF259" i="1"/>
  <c r="DH259" i="1"/>
  <c r="DD259" i="1"/>
  <c r="DE82" i="1"/>
  <c r="DD82" i="1"/>
  <c r="DF82" i="1"/>
  <c r="DG82" i="1"/>
  <c r="DH82" i="1"/>
  <c r="DC82" i="1"/>
  <c r="DE163" i="1"/>
  <c r="DD163" i="1"/>
  <c r="DF163" i="1"/>
  <c r="DG163" i="1"/>
  <c r="DC163" i="1"/>
  <c r="DH163" i="1"/>
  <c r="DE50" i="1"/>
  <c r="DF50" i="1"/>
  <c r="DG50" i="1"/>
  <c r="DD50" i="1"/>
  <c r="DH50" i="1"/>
  <c r="DC50" i="1"/>
  <c r="DC115" i="1"/>
  <c r="DG115" i="1"/>
  <c r="DD115" i="1"/>
  <c r="DE115" i="1"/>
  <c r="DF115" i="1"/>
  <c r="DH115" i="1"/>
  <c r="DC123" i="1"/>
  <c r="DG123" i="1"/>
  <c r="DD123" i="1"/>
  <c r="DE123" i="1"/>
  <c r="DF123" i="1"/>
  <c r="DH123" i="1"/>
  <c r="DC45" i="1"/>
  <c r="DG45" i="1"/>
  <c r="DD45" i="1"/>
  <c r="DH45" i="1"/>
  <c r="DE45" i="1"/>
  <c r="DF45" i="1"/>
  <c r="DE148" i="1"/>
  <c r="DC148" i="1"/>
  <c r="DH148" i="1"/>
  <c r="DD148" i="1"/>
  <c r="DF148" i="1"/>
  <c r="DG148" i="1"/>
  <c r="DC253" i="1"/>
  <c r="DG253" i="1"/>
  <c r="DD253" i="1"/>
  <c r="DF253" i="1"/>
  <c r="DE253" i="1"/>
  <c r="DH253" i="1"/>
  <c r="DE244" i="1"/>
  <c r="DD244" i="1"/>
  <c r="DG244" i="1"/>
  <c r="DF244" i="1"/>
  <c r="DH244" i="1"/>
  <c r="DC244" i="1"/>
  <c r="DC125" i="1"/>
  <c r="DG125" i="1"/>
  <c r="DH125" i="1"/>
  <c r="DD125" i="1"/>
  <c r="DE125" i="1"/>
  <c r="DF125" i="1"/>
  <c r="DC121" i="1"/>
  <c r="DG121" i="1"/>
  <c r="DD121" i="1"/>
  <c r="DE121" i="1"/>
  <c r="DF121" i="1"/>
  <c r="DH121" i="1"/>
  <c r="DC185" i="1"/>
  <c r="DG185" i="1"/>
  <c r="DF185" i="1"/>
  <c r="DD185" i="1"/>
  <c r="DH185" i="1"/>
  <c r="DE185" i="1"/>
  <c r="DC70" i="1"/>
  <c r="DG70" i="1"/>
  <c r="DE70" i="1"/>
  <c r="DF70" i="1"/>
  <c r="DH70" i="1"/>
  <c r="DD70" i="1"/>
  <c r="DE146" i="1"/>
  <c r="DD146" i="1"/>
  <c r="DF146" i="1"/>
  <c r="DG146" i="1"/>
  <c r="DH146" i="1"/>
  <c r="DC146" i="1"/>
  <c r="DE78" i="1"/>
  <c r="DG78" i="1"/>
  <c r="DC78" i="1"/>
  <c r="DH78" i="1"/>
  <c r="DD78" i="1"/>
  <c r="DF78" i="1"/>
  <c r="DC205" i="1"/>
  <c r="DG205" i="1"/>
  <c r="DD205" i="1"/>
  <c r="DF205" i="1"/>
  <c r="DE205" i="1"/>
  <c r="DH205" i="1"/>
  <c r="DE19" i="1"/>
  <c r="DF19" i="1"/>
  <c r="DC19" i="1"/>
  <c r="DH19" i="1"/>
  <c r="DG19" i="1"/>
  <c r="DD19" i="1"/>
  <c r="DC187" i="1"/>
  <c r="DG187" i="1"/>
  <c r="DE187" i="1"/>
  <c r="DH187" i="1"/>
  <c r="DF187" i="1"/>
  <c r="DD187" i="1"/>
  <c r="DC17" i="1"/>
  <c r="DG17" i="1"/>
  <c r="DD17" i="1"/>
  <c r="DH17" i="1"/>
  <c r="DE17" i="1"/>
  <c r="DF17" i="1"/>
  <c r="DE94" i="1"/>
  <c r="DG94" i="1"/>
  <c r="DC94" i="1"/>
  <c r="DH94" i="1"/>
  <c r="DD94" i="1"/>
  <c r="DF94" i="1"/>
  <c r="DE80" i="1"/>
  <c r="DF80" i="1"/>
  <c r="DG80" i="1"/>
  <c r="DH80" i="1"/>
  <c r="DC80" i="1"/>
  <c r="DD80" i="1"/>
  <c r="DC39" i="1"/>
  <c r="DG39" i="1"/>
  <c r="DD39" i="1"/>
  <c r="DH39" i="1"/>
  <c r="DF39" i="1"/>
  <c r="DE39" i="1"/>
  <c r="DC193" i="1"/>
  <c r="DG193" i="1"/>
  <c r="DF193" i="1"/>
  <c r="DD193" i="1"/>
  <c r="DH193" i="1"/>
  <c r="DE193" i="1"/>
  <c r="DE220" i="1"/>
  <c r="DD220" i="1"/>
  <c r="DG220" i="1"/>
  <c r="DF220" i="1"/>
  <c r="DC220" i="1"/>
  <c r="DH220" i="1"/>
  <c r="DE89" i="1"/>
  <c r="DD89" i="1"/>
  <c r="DF89" i="1"/>
  <c r="DG89" i="1"/>
  <c r="DH89" i="1"/>
  <c r="DC89" i="1"/>
  <c r="DE254" i="1"/>
  <c r="DC254" i="1"/>
  <c r="DH254" i="1"/>
  <c r="DD254" i="1"/>
  <c r="DF254" i="1"/>
  <c r="DG254" i="1"/>
  <c r="DA242" i="1"/>
  <c r="DC83" i="1"/>
  <c r="DG83" i="1"/>
  <c r="DD83" i="1"/>
  <c r="DE83" i="1"/>
  <c r="DF83" i="1"/>
  <c r="DH83" i="1"/>
  <c r="DE84" i="1"/>
  <c r="DC84" i="1"/>
  <c r="DH84" i="1"/>
  <c r="DD84" i="1"/>
  <c r="DF84" i="1"/>
  <c r="DG84" i="1"/>
  <c r="DE228" i="1"/>
  <c r="DD228" i="1"/>
  <c r="DG228" i="1"/>
  <c r="DF228" i="1"/>
  <c r="DH228" i="1"/>
  <c r="DC228" i="1"/>
  <c r="DE174" i="1"/>
  <c r="DF174" i="1"/>
  <c r="DG174" i="1"/>
  <c r="DC174" i="1"/>
  <c r="DH174" i="1"/>
  <c r="DD174" i="1"/>
  <c r="DE170" i="1"/>
  <c r="DF170" i="1"/>
  <c r="DG170" i="1"/>
  <c r="DC170" i="1"/>
  <c r="DH170" i="1"/>
  <c r="DD170" i="1"/>
  <c r="DE98" i="1"/>
  <c r="DD98" i="1"/>
  <c r="DF98" i="1"/>
  <c r="DG98" i="1"/>
  <c r="DH98" i="1"/>
  <c r="DC98" i="1"/>
  <c r="DC195" i="1"/>
  <c r="DG195" i="1"/>
  <c r="DE195" i="1"/>
  <c r="DH195" i="1"/>
  <c r="DF195" i="1"/>
  <c r="DD195" i="1"/>
  <c r="DC14" i="1"/>
  <c r="DG14" i="1"/>
  <c r="DF14" i="1"/>
  <c r="DH14" i="1"/>
  <c r="DD14" i="1"/>
  <c r="DE14" i="1"/>
  <c r="DC263" i="1"/>
  <c r="DG263" i="1"/>
  <c r="DH263" i="1"/>
  <c r="DD263" i="1"/>
  <c r="DE263" i="1"/>
  <c r="DF263" i="1"/>
  <c r="DC225" i="1"/>
  <c r="DG225" i="1"/>
  <c r="DF225" i="1"/>
  <c r="DH225" i="1"/>
  <c r="DD225" i="1"/>
  <c r="DE225" i="1"/>
  <c r="DC81" i="1"/>
  <c r="DG81" i="1"/>
  <c r="DE81" i="1"/>
  <c r="DF81" i="1"/>
  <c r="DH81" i="1"/>
  <c r="DD81" i="1"/>
  <c r="DE72" i="1"/>
  <c r="DF72" i="1"/>
  <c r="DG72" i="1"/>
  <c r="DC72" i="1"/>
  <c r="DH72" i="1"/>
  <c r="DD72" i="1"/>
  <c r="DE204" i="1"/>
  <c r="DD204" i="1"/>
  <c r="DF204" i="1"/>
  <c r="DG204" i="1"/>
  <c r="DC204" i="1"/>
  <c r="DH204" i="1"/>
  <c r="DE150" i="1"/>
  <c r="DG150" i="1"/>
  <c r="DC150" i="1"/>
  <c r="DH150" i="1"/>
  <c r="DD150" i="1"/>
  <c r="DF150" i="1"/>
  <c r="DC173" i="1"/>
  <c r="DG173" i="1"/>
  <c r="DD173" i="1"/>
  <c r="DH173" i="1"/>
  <c r="DE173" i="1"/>
  <c r="DF173" i="1"/>
  <c r="DE226" i="1"/>
  <c r="DF226" i="1"/>
  <c r="DC226" i="1"/>
  <c r="DH226" i="1"/>
  <c r="DG226" i="1"/>
  <c r="DD226" i="1"/>
  <c r="DE138" i="1"/>
  <c r="DD138" i="1"/>
  <c r="DF138" i="1"/>
  <c r="DG138" i="1"/>
  <c r="DC138" i="1"/>
  <c r="DH138" i="1"/>
  <c r="DE52" i="1"/>
  <c r="DF52" i="1"/>
  <c r="DC52" i="1"/>
  <c r="DD52" i="1"/>
  <c r="DG52" i="1"/>
  <c r="DH52" i="1"/>
  <c r="DC175" i="1"/>
  <c r="DG175" i="1"/>
  <c r="DD175" i="1"/>
  <c r="DH175" i="1"/>
  <c r="DE175" i="1"/>
  <c r="DF175" i="1"/>
  <c r="DI140" i="1"/>
  <c r="DE140" i="1"/>
  <c r="DC140" i="1"/>
  <c r="DH140" i="1"/>
  <c r="DD140" i="1"/>
  <c r="DF140" i="1"/>
  <c r="DG140" i="1"/>
  <c r="DF66" i="1"/>
  <c r="DD66" i="1"/>
  <c r="DC66" i="1"/>
  <c r="DE66" i="1"/>
  <c r="DG66" i="1"/>
  <c r="DH66" i="1"/>
  <c r="DE194" i="1"/>
  <c r="DF194" i="1"/>
  <c r="DH194" i="1"/>
  <c r="DG194" i="1"/>
  <c r="DC194" i="1"/>
  <c r="DD194" i="1"/>
  <c r="DE252" i="1"/>
  <c r="DD252" i="1"/>
  <c r="DF252" i="1"/>
  <c r="DG252" i="1"/>
  <c r="DC252" i="1"/>
  <c r="DH252" i="1"/>
  <c r="DH8" i="1"/>
  <c r="DD8" i="1"/>
  <c r="DE8" i="1"/>
  <c r="DG8" i="1"/>
  <c r="DC8" i="1"/>
  <c r="DF8" i="1"/>
  <c r="DB194" i="1"/>
  <c r="DK267" i="1"/>
  <c r="DJ267" i="1"/>
  <c r="DA52" i="1"/>
  <c r="DI194" i="1"/>
  <c r="DJ66" i="1"/>
  <c r="DA252" i="1"/>
  <c r="DA175" i="1"/>
  <c r="DB66" i="1"/>
  <c r="CZ140" i="1"/>
  <c r="CZ194" i="1"/>
  <c r="CZ52" i="1"/>
  <c r="DK140" i="1"/>
  <c r="DI25" i="1"/>
  <c r="DI52" i="1"/>
  <c r="DK175" i="1"/>
  <c r="DB175" i="1"/>
  <c r="DA66" i="1"/>
  <c r="DA140" i="1"/>
  <c r="CZ252" i="1"/>
  <c r="DA194" i="1"/>
  <c r="DB52" i="1"/>
  <c r="DA25" i="1"/>
  <c r="DI66" i="1"/>
  <c r="DJ252" i="1"/>
  <c r="DA161" i="1"/>
  <c r="CZ75" i="1"/>
  <c r="DB158" i="1"/>
  <c r="DJ158" i="1"/>
  <c r="CZ242" i="1"/>
  <c r="DI242" i="1"/>
  <c r="DB242" i="1"/>
  <c r="DK242" i="1"/>
  <c r="DK52" i="1"/>
  <c r="DJ140" i="1"/>
  <c r="DJ175" i="1"/>
  <c r="DK194" i="1"/>
  <c r="DI252" i="1"/>
  <c r="DJ52" i="1"/>
  <c r="DI175" i="1"/>
  <c r="DJ194" i="1"/>
  <c r="DK66" i="1"/>
  <c r="DK252" i="1"/>
  <c r="DA160" i="1"/>
  <c r="DB104" i="1"/>
  <c r="DJ182" i="1"/>
  <c r="DA182" i="1"/>
  <c r="DJ206" i="1"/>
  <c r="DI104" i="1"/>
  <c r="DB40" i="1"/>
  <c r="DB129" i="1"/>
  <c r="CZ182" i="1"/>
  <c r="CZ25" i="1"/>
  <c r="DA158" i="1"/>
  <c r="DA206" i="1"/>
  <c r="DK25" i="1"/>
  <c r="DI129" i="1"/>
  <c r="DI158" i="1"/>
  <c r="DI40" i="1"/>
  <c r="DB160" i="1"/>
  <c r="DB25" i="1"/>
  <c r="CZ158" i="1"/>
  <c r="CZ104" i="1"/>
  <c r="CZ206" i="1"/>
  <c r="DJ25" i="1"/>
  <c r="DK158" i="1"/>
  <c r="DI75" i="1"/>
  <c r="DA34" i="1"/>
  <c r="DJ34" i="1"/>
  <c r="CZ34" i="1"/>
  <c r="DA40" i="1"/>
  <c r="CZ160" i="1"/>
  <c r="DA63" i="1"/>
  <c r="DK40" i="1"/>
  <c r="DI63" i="1"/>
  <c r="DI34" i="1"/>
  <c r="DB34" i="1"/>
  <c r="CZ40" i="1"/>
  <c r="DB182" i="1"/>
  <c r="DA104" i="1"/>
  <c r="DB206" i="1"/>
  <c r="DK182" i="1"/>
  <c r="DI160" i="1"/>
  <c r="DK34" i="1"/>
  <c r="DK104" i="1"/>
  <c r="DB139" i="1"/>
  <c r="DI139" i="1"/>
  <c r="DJ48" i="1"/>
  <c r="DA48" i="1"/>
  <c r="DI10" i="1"/>
  <c r="CZ48" i="1"/>
  <c r="DA139" i="1"/>
  <c r="CZ63" i="1"/>
  <c r="DK139" i="1"/>
  <c r="DK63" i="1"/>
  <c r="DK48" i="1"/>
  <c r="DB63" i="1"/>
  <c r="DJ139" i="1"/>
  <c r="DJ63" i="1"/>
  <c r="DI48" i="1"/>
  <c r="DI206" i="1"/>
  <c r="DJ10" i="1"/>
  <c r="DK160" i="1"/>
  <c r="CZ10" i="1"/>
  <c r="DA10" i="1"/>
  <c r="DB48" i="1"/>
  <c r="DK206" i="1"/>
  <c r="DK10" i="1"/>
  <c r="DJ160" i="1"/>
  <c r="DJ104" i="1"/>
  <c r="DA129" i="1"/>
  <c r="CZ161" i="1"/>
  <c r="DB197" i="1"/>
  <c r="DB75" i="1"/>
  <c r="DK129" i="1"/>
  <c r="DJ161" i="1"/>
  <c r="DJ197" i="1"/>
  <c r="DK75" i="1"/>
  <c r="DA197" i="1"/>
  <c r="DJ129" i="1"/>
  <c r="DK161" i="1"/>
  <c r="DK197" i="1"/>
  <c r="DJ75" i="1"/>
  <c r="CZ129" i="1"/>
  <c r="DB161" i="1"/>
  <c r="CZ197" i="1"/>
  <c r="DI197" i="1"/>
  <c r="CZ172" i="1"/>
  <c r="DB138" i="1"/>
  <c r="DA135" i="1"/>
  <c r="DA14" i="1"/>
  <c r="DB81" i="1"/>
  <c r="DB150" i="1"/>
  <c r="DA173" i="1"/>
  <c r="CZ138" i="1"/>
  <c r="DA138" i="1"/>
  <c r="DJ270" i="1"/>
  <c r="DK270" i="1"/>
  <c r="DI270" i="1"/>
  <c r="DI20" i="1"/>
  <c r="DJ20" i="1"/>
  <c r="DK20" i="1"/>
  <c r="DI74" i="1"/>
  <c r="DJ74" i="1"/>
  <c r="DK74" i="1"/>
  <c r="DJ109" i="1"/>
  <c r="DK109" i="1"/>
  <c r="DI109" i="1"/>
  <c r="DI92" i="1"/>
  <c r="DJ92" i="1"/>
  <c r="DK92" i="1"/>
  <c r="DJ111" i="1"/>
  <c r="DK111" i="1"/>
  <c r="DI111" i="1"/>
  <c r="DI136" i="1"/>
  <c r="DJ136" i="1"/>
  <c r="DK136" i="1"/>
  <c r="DJ256" i="1"/>
  <c r="DK256" i="1"/>
  <c r="DI256" i="1"/>
  <c r="DJ45" i="1"/>
  <c r="DK45" i="1"/>
  <c r="DI45" i="1"/>
  <c r="DJ125" i="1"/>
  <c r="DK125" i="1"/>
  <c r="DI125" i="1"/>
  <c r="DJ70" i="1"/>
  <c r="DK70" i="1"/>
  <c r="DI70" i="1"/>
  <c r="DI78" i="1"/>
  <c r="DJ78" i="1"/>
  <c r="DK78" i="1"/>
  <c r="DI187" i="1"/>
  <c r="DJ187" i="1"/>
  <c r="DK187" i="1"/>
  <c r="DJ17" i="1"/>
  <c r="DK17" i="1"/>
  <c r="DI17" i="1"/>
  <c r="DJ39" i="1"/>
  <c r="DK39" i="1"/>
  <c r="DI39" i="1"/>
  <c r="DJ220" i="1"/>
  <c r="DK220" i="1"/>
  <c r="DI220" i="1"/>
  <c r="DI8" i="1"/>
  <c r="DJ8" i="1"/>
  <c r="DK8" i="1"/>
  <c r="DI144" i="1"/>
  <c r="DJ144" i="1"/>
  <c r="DK144" i="1"/>
  <c r="DJ71" i="1"/>
  <c r="DK71" i="1"/>
  <c r="DI71" i="1"/>
  <c r="DJ107" i="1"/>
  <c r="DK107" i="1"/>
  <c r="DI107" i="1"/>
  <c r="DJ255" i="1"/>
  <c r="DK255" i="1"/>
  <c r="DI255" i="1"/>
  <c r="DJ135" i="1"/>
  <c r="DK135" i="1"/>
  <c r="DI135" i="1"/>
  <c r="DJ178" i="1"/>
  <c r="DK178" i="1"/>
  <c r="DI178" i="1"/>
  <c r="DI116" i="1"/>
  <c r="DJ116" i="1"/>
  <c r="DK116" i="1"/>
  <c r="DJ21" i="1"/>
  <c r="DK21" i="1"/>
  <c r="DI21" i="1"/>
  <c r="DJ218" i="1"/>
  <c r="DK218" i="1"/>
  <c r="DI218" i="1"/>
  <c r="DI12" i="1"/>
  <c r="DJ12" i="1"/>
  <c r="DK12" i="1"/>
  <c r="DJ260" i="1"/>
  <c r="DK260" i="1"/>
  <c r="DI260" i="1"/>
  <c r="DI30" i="1"/>
  <c r="DJ30" i="1"/>
  <c r="DK30" i="1"/>
  <c r="DI159" i="1"/>
  <c r="DJ159" i="1"/>
  <c r="DK159" i="1"/>
  <c r="DJ246" i="1"/>
  <c r="DK246" i="1"/>
  <c r="DI246" i="1"/>
  <c r="DI201" i="1"/>
  <c r="DK201" i="1"/>
  <c r="DJ201" i="1"/>
  <c r="DJ31" i="1"/>
  <c r="DK31" i="1"/>
  <c r="DI31" i="1"/>
  <c r="DJ15" i="1"/>
  <c r="DK15" i="1"/>
  <c r="DI15" i="1"/>
  <c r="DJ43" i="1"/>
  <c r="DK43" i="1"/>
  <c r="DI43" i="1"/>
  <c r="DI102" i="1"/>
  <c r="DJ102" i="1"/>
  <c r="DK102" i="1"/>
  <c r="DI217" i="1"/>
  <c r="DK217" i="1"/>
  <c r="DJ217" i="1"/>
  <c r="DI235" i="1"/>
  <c r="DJ235" i="1"/>
  <c r="DK235" i="1"/>
  <c r="DJ33" i="1"/>
  <c r="DK33" i="1"/>
  <c r="DI33" i="1"/>
  <c r="DI157" i="1"/>
  <c r="DK157" i="1"/>
  <c r="DJ157" i="1"/>
  <c r="DJ196" i="1"/>
  <c r="DK196" i="1"/>
  <c r="DI196" i="1"/>
  <c r="DI32" i="1"/>
  <c r="DJ32" i="1"/>
  <c r="DK32" i="1"/>
  <c r="DJ238" i="1"/>
  <c r="DK238" i="1"/>
  <c r="DI238" i="1"/>
  <c r="DI28" i="1"/>
  <c r="DJ28" i="1"/>
  <c r="DK28" i="1"/>
  <c r="DJ230" i="1"/>
  <c r="DK230" i="1"/>
  <c r="DI230" i="1"/>
  <c r="DJ147" i="1"/>
  <c r="DK147" i="1"/>
  <c r="DI147" i="1"/>
  <c r="DI88" i="1"/>
  <c r="DK88" i="1"/>
  <c r="DJ88" i="1"/>
  <c r="DJ240" i="1"/>
  <c r="DK240" i="1"/>
  <c r="DI240" i="1"/>
  <c r="DJ145" i="1"/>
  <c r="DK145" i="1"/>
  <c r="DI145" i="1"/>
  <c r="DJ91" i="1"/>
  <c r="DK91" i="1"/>
  <c r="DI91" i="1"/>
  <c r="DJ59" i="1"/>
  <c r="DK59" i="1"/>
  <c r="DI59" i="1"/>
  <c r="DI152" i="1"/>
  <c r="DJ152" i="1"/>
  <c r="DK152" i="1"/>
  <c r="DI46" i="1"/>
  <c r="DJ46" i="1"/>
  <c r="DK46" i="1"/>
  <c r="DI122" i="1"/>
  <c r="DJ122" i="1"/>
  <c r="DK122" i="1"/>
  <c r="DJ99" i="1"/>
  <c r="DK99" i="1"/>
  <c r="DI99" i="1"/>
  <c r="DI241" i="1"/>
  <c r="DK241" i="1"/>
  <c r="DJ241" i="1"/>
  <c r="DI229" i="1"/>
  <c r="DK229" i="1"/>
  <c r="DJ229" i="1"/>
  <c r="DI215" i="1"/>
  <c r="DJ215" i="1"/>
  <c r="DK215" i="1"/>
  <c r="DI239" i="1"/>
  <c r="DJ239" i="1"/>
  <c r="DK239" i="1"/>
  <c r="DI16" i="1"/>
  <c r="DJ16" i="1"/>
  <c r="DK16" i="1"/>
  <c r="DI24" i="1"/>
  <c r="DJ24" i="1"/>
  <c r="DK24" i="1"/>
  <c r="DI184" i="1"/>
  <c r="DJ184" i="1"/>
  <c r="DK184" i="1"/>
  <c r="DI221" i="1"/>
  <c r="DK221" i="1"/>
  <c r="DJ221" i="1"/>
  <c r="DJ83" i="1"/>
  <c r="DK83" i="1"/>
  <c r="DI83" i="1"/>
  <c r="DI84" i="1"/>
  <c r="DJ84" i="1"/>
  <c r="DK84" i="1"/>
  <c r="DJ228" i="1"/>
  <c r="DK228" i="1"/>
  <c r="DI228" i="1"/>
  <c r="DJ174" i="1"/>
  <c r="DK174" i="1"/>
  <c r="DI174" i="1"/>
  <c r="DJ170" i="1"/>
  <c r="DK170" i="1"/>
  <c r="DI170" i="1"/>
  <c r="DI98" i="1"/>
  <c r="DJ98" i="1"/>
  <c r="DK98" i="1"/>
  <c r="DI195" i="1"/>
  <c r="DJ195" i="1"/>
  <c r="DK195" i="1"/>
  <c r="DJ14" i="1"/>
  <c r="DK14" i="1"/>
  <c r="DI14" i="1"/>
  <c r="DI263" i="1"/>
  <c r="DJ263" i="1"/>
  <c r="DK263" i="1"/>
  <c r="DI225" i="1"/>
  <c r="DK225" i="1"/>
  <c r="DJ225" i="1"/>
  <c r="DJ81" i="1"/>
  <c r="DK81" i="1"/>
  <c r="DI81" i="1"/>
  <c r="DI72" i="1"/>
  <c r="DK72" i="1"/>
  <c r="DJ72" i="1"/>
  <c r="DJ204" i="1"/>
  <c r="DK204" i="1"/>
  <c r="DI204" i="1"/>
  <c r="DI150" i="1"/>
  <c r="DK150" i="1"/>
  <c r="DJ150" i="1"/>
  <c r="DI173" i="1"/>
  <c r="DK173" i="1"/>
  <c r="DJ173" i="1"/>
  <c r="DJ226" i="1"/>
  <c r="DK226" i="1"/>
  <c r="DI226" i="1"/>
  <c r="DI138" i="1"/>
  <c r="DK138" i="1"/>
  <c r="DJ138" i="1"/>
  <c r="DI219" i="1"/>
  <c r="DJ219" i="1"/>
  <c r="DK219" i="1"/>
  <c r="DJ87" i="1"/>
  <c r="DK87" i="1"/>
  <c r="DI87" i="1"/>
  <c r="DI86" i="1"/>
  <c r="DJ86" i="1"/>
  <c r="DK86" i="1"/>
  <c r="DJ53" i="1"/>
  <c r="DK53" i="1"/>
  <c r="DI53" i="1"/>
  <c r="DJ93" i="1"/>
  <c r="DK93" i="1"/>
  <c r="DI93" i="1"/>
  <c r="DI253" i="1"/>
  <c r="DK253" i="1"/>
  <c r="DJ253" i="1"/>
  <c r="DJ121" i="1"/>
  <c r="DK121" i="1"/>
  <c r="DI121" i="1"/>
  <c r="DI205" i="1"/>
  <c r="DK205" i="1"/>
  <c r="DJ205" i="1"/>
  <c r="DI80" i="1"/>
  <c r="DK80" i="1"/>
  <c r="DJ80" i="1"/>
  <c r="DI89" i="1"/>
  <c r="DJ89" i="1"/>
  <c r="DK89" i="1"/>
  <c r="DJ262" i="1"/>
  <c r="DK262" i="1"/>
  <c r="DI262" i="1"/>
  <c r="DJ7" i="1"/>
  <c r="DK7" i="1"/>
  <c r="DI7" i="1"/>
  <c r="DI211" i="1"/>
  <c r="DJ211" i="1"/>
  <c r="DK211" i="1"/>
  <c r="DI126" i="1"/>
  <c r="DK126" i="1"/>
  <c r="DJ126" i="1"/>
  <c r="DJ103" i="1"/>
  <c r="DK103" i="1"/>
  <c r="DI103" i="1"/>
  <c r="DI96" i="1"/>
  <c r="DK96" i="1"/>
  <c r="DJ96" i="1"/>
  <c r="DI153" i="1"/>
  <c r="DJ153" i="1"/>
  <c r="DK153" i="1"/>
  <c r="DJ73" i="1"/>
  <c r="DK73" i="1"/>
  <c r="DI73" i="1"/>
  <c r="DJ120" i="1"/>
  <c r="DK120" i="1"/>
  <c r="DI120" i="1"/>
  <c r="DJ176" i="1"/>
  <c r="DK176" i="1"/>
  <c r="DI176" i="1"/>
  <c r="DJ27" i="1"/>
  <c r="DK27" i="1"/>
  <c r="DI27" i="1"/>
  <c r="DJ214" i="1"/>
  <c r="DK214" i="1"/>
  <c r="DI214" i="1"/>
  <c r="DJ9" i="1"/>
  <c r="DK9" i="1"/>
  <c r="DI9" i="1"/>
  <c r="DJ265" i="1"/>
  <c r="DK265" i="1"/>
  <c r="DI265" i="1"/>
  <c r="DJ61" i="1"/>
  <c r="DK61" i="1"/>
  <c r="DI61" i="1"/>
  <c r="DI62" i="1"/>
  <c r="DJ62" i="1"/>
  <c r="DK62" i="1"/>
  <c r="DI65" i="1"/>
  <c r="DJ65" i="1"/>
  <c r="DK65" i="1"/>
  <c r="DI114" i="1"/>
  <c r="DK114" i="1"/>
  <c r="DJ114" i="1"/>
  <c r="DI245" i="1"/>
  <c r="DK245" i="1"/>
  <c r="DJ245" i="1"/>
  <c r="DJ119" i="1"/>
  <c r="DK119" i="1"/>
  <c r="DI119" i="1"/>
  <c r="DI128" i="1"/>
  <c r="DJ128" i="1"/>
  <c r="DK128" i="1"/>
  <c r="DJ23" i="1"/>
  <c r="DK23" i="1"/>
  <c r="DI23" i="1"/>
  <c r="DI207" i="1"/>
  <c r="DJ207" i="1"/>
  <c r="DK207" i="1"/>
  <c r="DI22" i="1"/>
  <c r="DJ22" i="1"/>
  <c r="DK22" i="1"/>
  <c r="DJ57" i="1"/>
  <c r="DK57" i="1"/>
  <c r="DI57" i="1"/>
  <c r="DI167" i="1"/>
  <c r="DJ167" i="1"/>
  <c r="DK167" i="1"/>
  <c r="DJ200" i="1"/>
  <c r="DK200" i="1"/>
  <c r="DI200" i="1"/>
  <c r="DI100" i="1"/>
  <c r="DJ100" i="1"/>
  <c r="DK100" i="1"/>
  <c r="DJ51" i="1"/>
  <c r="DK51" i="1"/>
  <c r="DI51" i="1"/>
  <c r="DI266" i="1"/>
  <c r="DJ266" i="1"/>
  <c r="DK266" i="1"/>
  <c r="DI130" i="1"/>
  <c r="DK130" i="1"/>
  <c r="DJ130" i="1"/>
  <c r="DJ101" i="1"/>
  <c r="DK101" i="1"/>
  <c r="DI101" i="1"/>
  <c r="DI64" i="1"/>
  <c r="DK64" i="1"/>
  <c r="DJ64" i="1"/>
  <c r="DJ85" i="1"/>
  <c r="DK85" i="1"/>
  <c r="DI85" i="1"/>
  <c r="DI257" i="1"/>
  <c r="DK257" i="1"/>
  <c r="DJ257" i="1"/>
  <c r="DI26" i="1"/>
  <c r="DJ26" i="1"/>
  <c r="DK26" i="1"/>
  <c r="DI264" i="1"/>
  <c r="DK264" i="1"/>
  <c r="DJ264" i="1"/>
  <c r="DJ236" i="1"/>
  <c r="DK236" i="1"/>
  <c r="DI236" i="1"/>
  <c r="DJ55" i="1"/>
  <c r="DK55" i="1"/>
  <c r="DI55" i="1"/>
  <c r="DJ77" i="1"/>
  <c r="DK77" i="1"/>
  <c r="DI77" i="1"/>
  <c r="DI231" i="1"/>
  <c r="DJ231" i="1"/>
  <c r="DK231" i="1"/>
  <c r="DJ162" i="1"/>
  <c r="DK162" i="1"/>
  <c r="DI162" i="1"/>
  <c r="DI249" i="1"/>
  <c r="DK249" i="1"/>
  <c r="DJ249" i="1"/>
  <c r="DI171" i="1"/>
  <c r="DJ171" i="1"/>
  <c r="DK171" i="1"/>
  <c r="DJ155" i="1"/>
  <c r="DK155" i="1"/>
  <c r="DI155" i="1"/>
  <c r="DJ69" i="1"/>
  <c r="DK69" i="1"/>
  <c r="DI69" i="1"/>
  <c r="DJ154" i="1"/>
  <c r="DK154" i="1"/>
  <c r="DI154" i="1"/>
  <c r="DJ166" i="1"/>
  <c r="DK166" i="1"/>
  <c r="DI166" i="1"/>
  <c r="DI58" i="1"/>
  <c r="DJ58" i="1"/>
  <c r="DK58" i="1"/>
  <c r="DI186" i="1"/>
  <c r="DJ186" i="1"/>
  <c r="DK186" i="1"/>
  <c r="DJ208" i="1"/>
  <c r="DK208" i="1"/>
  <c r="DI208" i="1"/>
  <c r="DI189" i="1"/>
  <c r="DK189" i="1"/>
  <c r="DJ189" i="1"/>
  <c r="DI148" i="1"/>
  <c r="DJ148" i="1"/>
  <c r="DK148" i="1"/>
  <c r="DJ244" i="1"/>
  <c r="DK244" i="1"/>
  <c r="DI244" i="1"/>
  <c r="DI185" i="1"/>
  <c r="DK185" i="1"/>
  <c r="DJ185" i="1"/>
  <c r="DI146" i="1"/>
  <c r="DK146" i="1"/>
  <c r="DJ146" i="1"/>
  <c r="DJ19" i="1"/>
  <c r="DK19" i="1"/>
  <c r="DI19" i="1"/>
  <c r="DI94" i="1"/>
  <c r="DJ94" i="1"/>
  <c r="DK94" i="1"/>
  <c r="DI193" i="1"/>
  <c r="DK193" i="1"/>
  <c r="DJ193" i="1"/>
  <c r="DJ254" i="1"/>
  <c r="DK254" i="1"/>
  <c r="DI254" i="1"/>
  <c r="DI54" i="1"/>
  <c r="DJ54" i="1"/>
  <c r="DK54" i="1"/>
  <c r="DI68" i="1"/>
  <c r="DJ68" i="1"/>
  <c r="DK68" i="1"/>
  <c r="DI199" i="1"/>
  <c r="DJ199" i="1"/>
  <c r="DK199" i="1"/>
  <c r="DJ29" i="1"/>
  <c r="DK29" i="1"/>
  <c r="DI29" i="1"/>
  <c r="DI269" i="1"/>
  <c r="DJ269" i="1"/>
  <c r="DK269" i="1"/>
  <c r="DI165" i="1"/>
  <c r="DK165" i="1"/>
  <c r="DJ165" i="1"/>
  <c r="DI183" i="1"/>
  <c r="DJ183" i="1"/>
  <c r="DK183" i="1"/>
  <c r="DI237" i="1"/>
  <c r="DK237" i="1"/>
  <c r="DJ237" i="1"/>
  <c r="DI268" i="1"/>
  <c r="DK268" i="1"/>
  <c r="DJ268" i="1"/>
  <c r="DI76" i="1"/>
  <c r="DJ76" i="1"/>
  <c r="DK76" i="1"/>
  <c r="DI179" i="1"/>
  <c r="DJ179" i="1"/>
  <c r="DK179" i="1"/>
  <c r="DJ248" i="1"/>
  <c r="DK248" i="1"/>
  <c r="DI248" i="1"/>
  <c r="DI180" i="1"/>
  <c r="DJ180" i="1"/>
  <c r="DK180" i="1"/>
  <c r="DI213" i="1"/>
  <c r="DK213" i="1"/>
  <c r="DJ213" i="1"/>
  <c r="DJ149" i="1"/>
  <c r="DK149" i="1"/>
  <c r="DI149" i="1"/>
  <c r="DJ188" i="1"/>
  <c r="DK188" i="1"/>
  <c r="DI188" i="1"/>
  <c r="DJ117" i="1"/>
  <c r="DK117" i="1"/>
  <c r="DI117" i="1"/>
  <c r="DI106" i="1"/>
  <c r="DJ106" i="1"/>
  <c r="DK106" i="1"/>
  <c r="DI18" i="1"/>
  <c r="DJ18" i="1"/>
  <c r="DK18" i="1"/>
  <c r="DI60" i="1"/>
  <c r="DJ60" i="1"/>
  <c r="DK60" i="1"/>
  <c r="DI36" i="1"/>
  <c r="DJ36" i="1"/>
  <c r="DK36" i="1"/>
  <c r="DI142" i="1"/>
  <c r="DK142" i="1"/>
  <c r="DJ142" i="1"/>
  <c r="DJ191" i="1"/>
  <c r="DK191" i="1"/>
  <c r="DI191" i="1"/>
  <c r="DJ131" i="1"/>
  <c r="DK131" i="1"/>
  <c r="DI131" i="1"/>
  <c r="DI203" i="1"/>
  <c r="DJ203" i="1"/>
  <c r="DK203" i="1"/>
  <c r="DJ141" i="1"/>
  <c r="DK141" i="1"/>
  <c r="DI141" i="1"/>
  <c r="DJ41" i="1"/>
  <c r="DK41" i="1"/>
  <c r="DI41" i="1"/>
  <c r="DJ192" i="1"/>
  <c r="DK192" i="1"/>
  <c r="DI192" i="1"/>
  <c r="DI169" i="1"/>
  <c r="DK169" i="1"/>
  <c r="DJ169" i="1"/>
  <c r="DJ224" i="1"/>
  <c r="DK224" i="1"/>
  <c r="DI224" i="1"/>
  <c r="DJ216" i="1"/>
  <c r="DK216" i="1"/>
  <c r="DI216" i="1"/>
  <c r="DJ137" i="1"/>
  <c r="DK137" i="1"/>
  <c r="DI137" i="1"/>
  <c r="DI223" i="1"/>
  <c r="DJ223" i="1"/>
  <c r="DK223" i="1"/>
  <c r="DJ105" i="1"/>
  <c r="DK105" i="1"/>
  <c r="DI105" i="1"/>
  <c r="DJ164" i="1"/>
  <c r="DK164" i="1"/>
  <c r="DI164" i="1"/>
  <c r="DI44" i="1"/>
  <c r="DJ44" i="1"/>
  <c r="DK44" i="1"/>
  <c r="DI108" i="1"/>
  <c r="DJ108" i="1"/>
  <c r="DK108" i="1"/>
  <c r="DJ168" i="1"/>
  <c r="DK168" i="1"/>
  <c r="DI168" i="1"/>
  <c r="DI259" i="1"/>
  <c r="DJ259" i="1"/>
  <c r="DK259" i="1"/>
  <c r="DI82" i="1"/>
  <c r="DJ82" i="1"/>
  <c r="DK82" i="1"/>
  <c r="DI163" i="1"/>
  <c r="DJ163" i="1"/>
  <c r="DK163" i="1"/>
  <c r="DI50" i="1"/>
  <c r="DJ50" i="1"/>
  <c r="DK50" i="1"/>
  <c r="DJ115" i="1"/>
  <c r="DK115" i="1"/>
  <c r="DI115" i="1"/>
  <c r="DJ123" i="1"/>
  <c r="DK123" i="1"/>
  <c r="DI123" i="1"/>
  <c r="DJ37" i="1"/>
  <c r="DK37" i="1"/>
  <c r="DI37" i="1"/>
  <c r="DJ143" i="1"/>
  <c r="DK143" i="1"/>
  <c r="DI143" i="1"/>
  <c r="DI243" i="1"/>
  <c r="DJ243" i="1"/>
  <c r="DK243" i="1"/>
  <c r="DI233" i="1"/>
  <c r="DK233" i="1"/>
  <c r="DJ233" i="1"/>
  <c r="DJ212" i="1"/>
  <c r="DK212" i="1"/>
  <c r="DI212" i="1"/>
  <c r="DJ133" i="1"/>
  <c r="DK133" i="1"/>
  <c r="DI133" i="1"/>
  <c r="DJ90" i="1"/>
  <c r="DK90" i="1"/>
  <c r="DI90" i="1"/>
  <c r="DJ97" i="1"/>
  <c r="DK97" i="1"/>
  <c r="DI97" i="1"/>
  <c r="DI227" i="1"/>
  <c r="DJ227" i="1"/>
  <c r="DK227" i="1"/>
  <c r="DI271" i="1"/>
  <c r="DK271" i="1"/>
  <c r="DJ271" i="1"/>
  <c r="DI110" i="1"/>
  <c r="DJ110" i="1"/>
  <c r="DK110" i="1"/>
  <c r="DJ222" i="1"/>
  <c r="DK222" i="1"/>
  <c r="DI222" i="1"/>
  <c r="DI67" i="1"/>
  <c r="DK67" i="1"/>
  <c r="DJ67" i="1"/>
  <c r="DI134" i="1"/>
  <c r="DK134" i="1"/>
  <c r="DJ134" i="1"/>
  <c r="DI42" i="1"/>
  <c r="DJ42" i="1"/>
  <c r="DK42" i="1"/>
  <c r="DI132" i="1"/>
  <c r="DJ132" i="1"/>
  <c r="DK132" i="1"/>
  <c r="DJ11" i="1"/>
  <c r="DK11" i="1"/>
  <c r="DI11" i="1"/>
  <c r="DI118" i="1"/>
  <c r="DJ118" i="1"/>
  <c r="DK118" i="1"/>
  <c r="DI38" i="1"/>
  <c r="DJ38" i="1"/>
  <c r="DK38" i="1"/>
  <c r="DJ232" i="1"/>
  <c r="DK232" i="1"/>
  <c r="DI232" i="1"/>
  <c r="CZ135" i="1"/>
  <c r="DI261" i="1"/>
  <c r="DK261" i="1"/>
  <c r="DJ261" i="1"/>
  <c r="DJ47" i="1"/>
  <c r="DK47" i="1"/>
  <c r="DI47" i="1"/>
  <c r="DI247" i="1"/>
  <c r="DJ247" i="1"/>
  <c r="DK247" i="1"/>
  <c r="DI56" i="1"/>
  <c r="DK56" i="1"/>
  <c r="DJ56" i="1"/>
  <c r="DJ234" i="1"/>
  <c r="DK234" i="1"/>
  <c r="DI234" i="1"/>
  <c r="DJ198" i="1"/>
  <c r="DK198" i="1"/>
  <c r="DI198" i="1"/>
  <c r="DI35" i="1"/>
  <c r="DJ35" i="1"/>
  <c r="DK35" i="1"/>
  <c r="DI181" i="1"/>
  <c r="DK181" i="1"/>
  <c r="DJ181" i="1"/>
  <c r="DJ151" i="1"/>
  <c r="DK151" i="1"/>
  <c r="DI151" i="1"/>
  <c r="DJ156" i="1"/>
  <c r="DK156" i="1"/>
  <c r="DI156" i="1"/>
  <c r="DI177" i="1"/>
  <c r="DK177" i="1"/>
  <c r="DJ177" i="1"/>
  <c r="DJ49" i="1"/>
  <c r="DK49" i="1"/>
  <c r="DI49" i="1"/>
  <c r="DI251" i="1"/>
  <c r="DJ251" i="1"/>
  <c r="DK251" i="1"/>
  <c r="DI202" i="1"/>
  <c r="DJ202" i="1"/>
  <c r="DK202" i="1"/>
  <c r="DJ190" i="1"/>
  <c r="DK190" i="1"/>
  <c r="DI190" i="1"/>
  <c r="DJ172" i="1"/>
  <c r="DK172" i="1"/>
  <c r="DI172" i="1"/>
  <c r="DA8" i="1"/>
  <c r="DB29" i="1"/>
  <c r="DB83" i="1"/>
  <c r="DB84" i="1"/>
  <c r="CZ228" i="1"/>
  <c r="CZ174" i="1"/>
  <c r="CZ170" i="1"/>
  <c r="DB98" i="1"/>
  <c r="CZ195" i="1"/>
  <c r="DB14" i="1"/>
  <c r="DB71" i="1"/>
  <c r="CZ269" i="1"/>
  <c r="DB135" i="1"/>
  <c r="CZ266" i="1"/>
  <c r="DA130" i="1"/>
  <c r="DB64" i="1"/>
  <c r="DA257" i="1"/>
  <c r="CZ264" i="1"/>
  <c r="CZ231" i="1"/>
  <c r="CZ171" i="1"/>
  <c r="DB7" i="1"/>
  <c r="CZ183" i="1"/>
  <c r="CZ261" i="1"/>
  <c r="CZ247" i="1"/>
  <c r="CZ35" i="1"/>
  <c r="DA181" i="1"/>
  <c r="CZ151" i="1"/>
  <c r="CZ156" i="1"/>
  <c r="DA202" i="1"/>
  <c r="CZ190" i="1"/>
  <c r="DA171" i="1"/>
  <c r="DA26" i="1"/>
  <c r="DB172" i="1"/>
  <c r="DB249" i="1"/>
  <c r="CZ257" i="1"/>
  <c r="CZ51" i="1"/>
  <c r="DA85" i="1"/>
  <c r="DB171" i="1"/>
  <c r="CZ162" i="1"/>
  <c r="DB231" i="1"/>
  <c r="CZ236" i="1"/>
  <c r="CZ249" i="1"/>
  <c r="DA174" i="1"/>
  <c r="DA71" i="1"/>
  <c r="CZ211" i="1"/>
  <c r="DB130" i="1"/>
  <c r="DA199" i="1"/>
  <c r="DB54" i="1"/>
  <c r="DB255" i="1"/>
  <c r="DA68" i="1"/>
  <c r="CZ144" i="1"/>
  <c r="CZ255" i="1"/>
  <c r="CZ165" i="1"/>
  <c r="CZ8" i="1"/>
  <c r="CZ199" i="1"/>
  <c r="CZ7" i="1"/>
  <c r="CZ71" i="1"/>
  <c r="DB183" i="1"/>
  <c r="DB8" i="1"/>
  <c r="DA255" i="1"/>
  <c r="DB107" i="1"/>
  <c r="DA183" i="1"/>
  <c r="DA144" i="1"/>
  <c r="DA211" i="1"/>
  <c r="DB262" i="1"/>
  <c r="DA170" i="1"/>
  <c r="CZ81" i="1"/>
  <c r="DB263" i="1"/>
  <c r="DA263" i="1"/>
  <c r="DB225" i="1"/>
  <c r="DA225" i="1"/>
  <c r="DB228" i="1"/>
  <c r="CZ204" i="1"/>
  <c r="DA72" i="1"/>
  <c r="CZ72" i="1"/>
  <c r="CZ226" i="1"/>
  <c r="CZ173" i="1"/>
  <c r="DA150" i="1"/>
  <c r="DA81" i="1"/>
  <c r="CZ14" i="1"/>
  <c r="CZ263" i="1"/>
  <c r="CZ225" i="1"/>
  <c r="DA226" i="1"/>
  <c r="DB226" i="1"/>
  <c r="DA228" i="1"/>
  <c r="DB204" i="1"/>
  <c r="DA204" i="1"/>
  <c r="DB72" i="1"/>
  <c r="DB173" i="1"/>
  <c r="DA195" i="1"/>
  <c r="CZ150" i="1"/>
  <c r="DA83" i="1"/>
  <c r="CZ202" i="1"/>
  <c r="CZ77" i="1"/>
  <c r="DA156" i="1"/>
  <c r="CZ198" i="1"/>
  <c r="DA190" i="1"/>
  <c r="DA251" i="1"/>
  <c r="DB190" i="1"/>
  <c r="CZ251" i="1"/>
  <c r="CZ68" i="1"/>
  <c r="DA177" i="1"/>
  <c r="CZ49" i="1"/>
  <c r="DA107" i="1"/>
  <c r="CZ29" i="1"/>
  <c r="DA165" i="1"/>
  <c r="DA262" i="1"/>
  <c r="DB269" i="1"/>
  <c r="DA269" i="1"/>
  <c r="DB156" i="1"/>
  <c r="DB251" i="1"/>
  <c r="CZ177" i="1"/>
  <c r="DB202" i="1"/>
  <c r="DB199" i="1"/>
  <c r="DA7" i="1"/>
  <c r="DB177" i="1"/>
  <c r="DB49" i="1"/>
  <c r="DA49" i="1"/>
  <c r="CZ107" i="1"/>
  <c r="DB165" i="1"/>
  <c r="DB211" i="1"/>
  <c r="DA231" i="1"/>
  <c r="DB26" i="1"/>
  <c r="DA236" i="1"/>
  <c r="DA51" i="1"/>
  <c r="DA64" i="1"/>
  <c r="CZ64" i="1"/>
  <c r="DB85" i="1"/>
  <c r="CZ130" i="1"/>
  <c r="DA162" i="1"/>
  <c r="CZ55" i="1"/>
  <c r="DA77" i="1"/>
  <c r="DB264" i="1"/>
  <c r="DA264" i="1"/>
  <c r="DB236" i="1"/>
  <c r="DB51" i="1"/>
  <c r="DB266" i="1"/>
  <c r="DA266" i="1"/>
  <c r="CZ101" i="1"/>
  <c r="DB162" i="1"/>
  <c r="DA55" i="1"/>
  <c r="DB77" i="1"/>
  <c r="DA249" i="1"/>
  <c r="DB257" i="1"/>
  <c r="CZ26" i="1"/>
  <c r="CZ85" i="1"/>
  <c r="DB55" i="1"/>
  <c r="DB151" i="1"/>
  <c r="DB247" i="1"/>
  <c r="DB56" i="1"/>
  <c r="DB198" i="1"/>
  <c r="DA35" i="1"/>
  <c r="DB68" i="1"/>
  <c r="DB181" i="1"/>
  <c r="DA29" i="1"/>
  <c r="DB144" i="1"/>
  <c r="CZ54" i="1"/>
  <c r="CZ262" i="1"/>
  <c r="DA54" i="1"/>
  <c r="DA247" i="1"/>
  <c r="DA198" i="1"/>
  <c r="DB35" i="1"/>
  <c r="DA234" i="1"/>
  <c r="DB234" i="1"/>
  <c r="CZ47" i="1"/>
  <c r="CZ56" i="1"/>
  <c r="CZ234" i="1"/>
  <c r="CZ181" i="1"/>
  <c r="DA151" i="1"/>
  <c r="DA47" i="1"/>
  <c r="DA56" i="1"/>
  <c r="DB261" i="1"/>
  <c r="DA261" i="1"/>
  <c r="DB47" i="1"/>
  <c r="DB195" i="1"/>
  <c r="DB170" i="1"/>
  <c r="CZ83" i="1"/>
  <c r="DA84" i="1"/>
  <c r="CZ84" i="1"/>
  <c r="DB174" i="1"/>
  <c r="CZ98" i="1"/>
  <c r="DA98" i="1"/>
  <c r="CZ270" i="1"/>
  <c r="DA270" i="1"/>
  <c r="DB270" i="1"/>
  <c r="CZ203" i="1"/>
  <c r="DA203" i="1"/>
  <c r="DB203" i="1"/>
  <c r="DA141" i="1"/>
  <c r="DB141" i="1"/>
  <c r="CZ141" i="1"/>
  <c r="CZ192" i="1"/>
  <c r="DA192" i="1"/>
  <c r="DB192" i="1"/>
  <c r="CZ224" i="1"/>
  <c r="DA224" i="1"/>
  <c r="DB224" i="1"/>
  <c r="DA137" i="1"/>
  <c r="DB137" i="1"/>
  <c r="CZ137" i="1"/>
  <c r="DB105" i="1"/>
  <c r="CZ105" i="1"/>
  <c r="DA105" i="1"/>
  <c r="CZ44" i="1"/>
  <c r="DA44" i="1"/>
  <c r="DB44" i="1"/>
  <c r="DB108" i="1"/>
  <c r="CZ108" i="1"/>
  <c r="DA108" i="1"/>
  <c r="DA259" i="1"/>
  <c r="DB259" i="1"/>
  <c r="CZ259" i="1"/>
  <c r="DB163" i="1"/>
  <c r="CZ163" i="1"/>
  <c r="DA163" i="1"/>
  <c r="DA115" i="1"/>
  <c r="DB115" i="1"/>
  <c r="CZ115" i="1"/>
  <c r="DA123" i="1"/>
  <c r="DB123" i="1"/>
  <c r="CZ123" i="1"/>
  <c r="CZ37" i="1"/>
  <c r="DA37" i="1"/>
  <c r="DB37" i="1"/>
  <c r="CZ243" i="1"/>
  <c r="DB243" i="1"/>
  <c r="DA243" i="1"/>
  <c r="CZ212" i="1"/>
  <c r="DA212" i="1"/>
  <c r="DB212" i="1"/>
  <c r="DA90" i="1"/>
  <c r="DB90" i="1"/>
  <c r="CZ90" i="1"/>
  <c r="DA271" i="1"/>
  <c r="CZ271" i="1"/>
  <c r="DB271" i="1"/>
  <c r="CZ222" i="1"/>
  <c r="DA222" i="1"/>
  <c r="DB222" i="1"/>
  <c r="DA67" i="1"/>
  <c r="DB67" i="1"/>
  <c r="CZ67" i="1"/>
  <c r="DA132" i="1"/>
  <c r="DB132" i="1"/>
  <c r="CZ132" i="1"/>
  <c r="DA118" i="1"/>
  <c r="DB118" i="1"/>
  <c r="CZ118" i="1"/>
  <c r="CZ232" i="1"/>
  <c r="DA232" i="1"/>
  <c r="DB232" i="1"/>
  <c r="DA20" i="1"/>
  <c r="DB20" i="1"/>
  <c r="CZ20" i="1"/>
  <c r="CZ155" i="1"/>
  <c r="DA155" i="1"/>
  <c r="DB155" i="1"/>
  <c r="DB74" i="1"/>
  <c r="CZ74" i="1"/>
  <c r="DA74" i="1"/>
  <c r="CZ219" i="1"/>
  <c r="DA219" i="1"/>
  <c r="DB219" i="1"/>
  <c r="DB69" i="1"/>
  <c r="CZ69" i="1"/>
  <c r="DA69" i="1"/>
  <c r="DA109" i="1"/>
  <c r="DB109" i="1"/>
  <c r="CZ109" i="1"/>
  <c r="CZ154" i="1"/>
  <c r="DA154" i="1"/>
  <c r="DB154" i="1"/>
  <c r="DB87" i="1"/>
  <c r="CZ87" i="1"/>
  <c r="DA87" i="1"/>
  <c r="CZ92" i="1"/>
  <c r="DA92" i="1"/>
  <c r="DB92" i="1"/>
  <c r="CZ166" i="1"/>
  <c r="DA166" i="1"/>
  <c r="DB166" i="1"/>
  <c r="DB86" i="1"/>
  <c r="CZ86" i="1"/>
  <c r="DA86" i="1"/>
  <c r="DA111" i="1"/>
  <c r="DB111" i="1"/>
  <c r="CZ111" i="1"/>
  <c r="CZ58" i="1"/>
  <c r="DA58" i="1"/>
  <c r="DB58" i="1"/>
  <c r="CZ53" i="1"/>
  <c r="DA53" i="1"/>
  <c r="DB53" i="1"/>
  <c r="CZ186" i="1"/>
  <c r="DA136" i="1"/>
  <c r="DB136" i="1"/>
  <c r="CZ136" i="1"/>
  <c r="CZ208" i="1"/>
  <c r="DA208" i="1"/>
  <c r="DB208" i="1"/>
  <c r="DB93" i="1"/>
  <c r="CZ93" i="1"/>
  <c r="DA93" i="1"/>
  <c r="DA256" i="1"/>
  <c r="DB256" i="1"/>
  <c r="CZ256" i="1"/>
  <c r="CZ189" i="1"/>
  <c r="DA189" i="1"/>
  <c r="DB189" i="1"/>
  <c r="CZ45" i="1"/>
  <c r="DA45" i="1"/>
  <c r="DB45" i="1"/>
  <c r="DA148" i="1"/>
  <c r="DB148" i="1"/>
  <c r="CZ148" i="1"/>
  <c r="DA253" i="1"/>
  <c r="DB253" i="1"/>
  <c r="CZ253" i="1"/>
  <c r="CZ244" i="1"/>
  <c r="DA244" i="1"/>
  <c r="DB244" i="1"/>
  <c r="DA125" i="1"/>
  <c r="DB125" i="1"/>
  <c r="CZ125" i="1"/>
  <c r="DB121" i="1"/>
  <c r="CZ121" i="1"/>
  <c r="DA121" i="1"/>
  <c r="CZ185" i="1"/>
  <c r="DA185" i="1"/>
  <c r="DB185" i="1"/>
  <c r="DA70" i="1"/>
  <c r="DB70" i="1"/>
  <c r="CZ70" i="1"/>
  <c r="DA146" i="1"/>
  <c r="DB146" i="1"/>
  <c r="CZ146" i="1"/>
  <c r="DB78" i="1"/>
  <c r="CZ78" i="1"/>
  <c r="DA78" i="1"/>
  <c r="CZ205" i="1"/>
  <c r="DA205" i="1"/>
  <c r="DB205" i="1"/>
  <c r="CZ19" i="1"/>
  <c r="DA19" i="1"/>
  <c r="DB19" i="1"/>
  <c r="CZ187" i="1"/>
  <c r="DA187" i="1"/>
  <c r="DB187" i="1"/>
  <c r="DA17" i="1"/>
  <c r="DB17" i="1"/>
  <c r="CZ17" i="1"/>
  <c r="DB94" i="1"/>
  <c r="CZ94" i="1"/>
  <c r="DA94" i="1"/>
  <c r="DB80" i="1"/>
  <c r="CZ80" i="1"/>
  <c r="DA80" i="1"/>
  <c r="CZ39" i="1"/>
  <c r="DA39" i="1"/>
  <c r="DB39" i="1"/>
  <c r="CZ193" i="1"/>
  <c r="DA193" i="1"/>
  <c r="DB193" i="1"/>
  <c r="CZ220" i="1"/>
  <c r="DA220" i="1"/>
  <c r="DB220" i="1"/>
  <c r="DA89" i="1"/>
  <c r="DB89" i="1"/>
  <c r="CZ89" i="1"/>
  <c r="DA254" i="1"/>
  <c r="DB254" i="1"/>
  <c r="CZ254" i="1"/>
  <c r="CZ178" i="1"/>
  <c r="DA178" i="1"/>
  <c r="DB178" i="1"/>
  <c r="DA21" i="1"/>
  <c r="DB21" i="1"/>
  <c r="CZ21" i="1"/>
  <c r="DA260" i="1"/>
  <c r="CZ260" i="1"/>
  <c r="DB260" i="1"/>
  <c r="CZ159" i="1"/>
  <c r="DA159" i="1"/>
  <c r="DB159" i="1"/>
  <c r="CZ201" i="1"/>
  <c r="DA201" i="1"/>
  <c r="DB201" i="1"/>
  <c r="CZ43" i="1"/>
  <c r="DA43" i="1"/>
  <c r="DB43" i="1"/>
  <c r="CZ217" i="1"/>
  <c r="DA217" i="1"/>
  <c r="DB217" i="1"/>
  <c r="DA33" i="1"/>
  <c r="DB33" i="1"/>
  <c r="CZ33" i="1"/>
  <c r="CZ196" i="1"/>
  <c r="DA196" i="1"/>
  <c r="DB196" i="1"/>
  <c r="DA28" i="1"/>
  <c r="DB28" i="1"/>
  <c r="CZ28" i="1"/>
  <c r="DA147" i="1"/>
  <c r="DB147" i="1"/>
  <c r="CZ147" i="1"/>
  <c r="DB91" i="1"/>
  <c r="CZ91" i="1"/>
  <c r="DA91" i="1"/>
  <c r="CZ46" i="1"/>
  <c r="DA46" i="1"/>
  <c r="DB46" i="1"/>
  <c r="CZ241" i="1"/>
  <c r="DA241" i="1"/>
  <c r="DB241" i="1"/>
  <c r="CZ239" i="1"/>
  <c r="DB239" i="1"/>
  <c r="DA239" i="1"/>
  <c r="CZ221" i="1"/>
  <c r="DA221" i="1"/>
  <c r="DB221" i="1"/>
  <c r="CZ41" i="1"/>
  <c r="DA41" i="1"/>
  <c r="DB41" i="1"/>
  <c r="CZ169" i="1"/>
  <c r="DA169" i="1"/>
  <c r="DB169" i="1"/>
  <c r="CZ216" i="1"/>
  <c r="DA216" i="1"/>
  <c r="DB216" i="1"/>
  <c r="CZ223" i="1"/>
  <c r="DB223" i="1"/>
  <c r="DA223" i="1"/>
  <c r="CZ164" i="1"/>
  <c r="DA164" i="1"/>
  <c r="DB164" i="1"/>
  <c r="CZ168" i="1"/>
  <c r="DA168" i="1"/>
  <c r="DB168" i="1"/>
  <c r="DB82" i="1"/>
  <c r="CZ82" i="1"/>
  <c r="DA82" i="1"/>
  <c r="CZ50" i="1"/>
  <c r="DA50" i="1"/>
  <c r="DB50" i="1"/>
  <c r="DA143" i="1"/>
  <c r="DB143" i="1"/>
  <c r="CZ143" i="1"/>
  <c r="CZ233" i="1"/>
  <c r="DA233" i="1"/>
  <c r="DB233" i="1"/>
  <c r="DA133" i="1"/>
  <c r="DB133" i="1"/>
  <c r="CZ133" i="1"/>
  <c r="DB97" i="1"/>
  <c r="CZ97" i="1"/>
  <c r="DA97" i="1"/>
  <c r="CZ227" i="1"/>
  <c r="DB227" i="1"/>
  <c r="DA227" i="1"/>
  <c r="DA110" i="1"/>
  <c r="DB110" i="1"/>
  <c r="CZ110" i="1"/>
  <c r="DA134" i="1"/>
  <c r="DB134" i="1"/>
  <c r="CZ134" i="1"/>
  <c r="CZ42" i="1"/>
  <c r="DA42" i="1"/>
  <c r="DB42" i="1"/>
  <c r="DA11" i="1"/>
  <c r="DB11" i="1"/>
  <c r="CZ11" i="1"/>
  <c r="CZ38" i="1"/>
  <c r="DA38" i="1"/>
  <c r="DB38" i="1"/>
  <c r="DA116" i="1"/>
  <c r="DB116" i="1"/>
  <c r="CZ116" i="1"/>
  <c r="CZ218" i="1"/>
  <c r="DA218" i="1"/>
  <c r="DB218" i="1"/>
  <c r="DA12" i="1"/>
  <c r="DB12" i="1"/>
  <c r="CZ12" i="1"/>
  <c r="DA30" i="1"/>
  <c r="DB30" i="1"/>
  <c r="CZ30" i="1"/>
  <c r="CZ246" i="1"/>
  <c r="DA246" i="1"/>
  <c r="DB246" i="1"/>
  <c r="DA31" i="1"/>
  <c r="DB31" i="1"/>
  <c r="CZ31" i="1"/>
  <c r="DA15" i="1"/>
  <c r="DB15" i="1"/>
  <c r="CZ15" i="1"/>
  <c r="DB102" i="1"/>
  <c r="CZ102" i="1"/>
  <c r="DA102" i="1"/>
  <c r="CZ235" i="1"/>
  <c r="DB235" i="1"/>
  <c r="DA235" i="1"/>
  <c r="CZ157" i="1"/>
  <c r="DA157" i="1"/>
  <c r="DB157" i="1"/>
  <c r="DA32" i="1"/>
  <c r="DB32" i="1"/>
  <c r="CZ32" i="1"/>
  <c r="CZ238" i="1"/>
  <c r="DB238" i="1"/>
  <c r="DA238" i="1"/>
  <c r="CZ230" i="1"/>
  <c r="DB230" i="1"/>
  <c r="DA230" i="1"/>
  <c r="DB88" i="1"/>
  <c r="CZ88" i="1"/>
  <c r="DA88" i="1"/>
  <c r="CZ240" i="1"/>
  <c r="DA240" i="1"/>
  <c r="DB240" i="1"/>
  <c r="DA145" i="1"/>
  <c r="DB145" i="1"/>
  <c r="CZ145" i="1"/>
  <c r="CZ59" i="1"/>
  <c r="DA59" i="1"/>
  <c r="DB59" i="1"/>
  <c r="CZ152" i="1"/>
  <c r="DA152" i="1"/>
  <c r="DB152" i="1"/>
  <c r="DA122" i="1"/>
  <c r="DB122" i="1"/>
  <c r="CZ122" i="1"/>
  <c r="DB99" i="1"/>
  <c r="CZ99" i="1"/>
  <c r="DA99" i="1"/>
  <c r="CZ229" i="1"/>
  <c r="DA229" i="1"/>
  <c r="DB229" i="1"/>
  <c r="CZ215" i="1"/>
  <c r="DA215" i="1"/>
  <c r="DB215" i="1"/>
  <c r="DA16" i="1"/>
  <c r="DB16" i="1"/>
  <c r="CZ16" i="1"/>
  <c r="DA24" i="1"/>
  <c r="DB24" i="1"/>
  <c r="CZ24" i="1"/>
  <c r="DB184" i="1"/>
  <c r="CZ184" i="1"/>
  <c r="DA184" i="1"/>
  <c r="CZ237" i="1"/>
  <c r="DA237" i="1"/>
  <c r="DB237" i="1"/>
  <c r="DA268" i="1"/>
  <c r="CZ268" i="1"/>
  <c r="DB268" i="1"/>
  <c r="DA126" i="1"/>
  <c r="DB126" i="1"/>
  <c r="CZ126" i="1"/>
  <c r="DB76" i="1"/>
  <c r="CZ76" i="1"/>
  <c r="DA76" i="1"/>
  <c r="CZ179" i="1"/>
  <c r="DA179" i="1"/>
  <c r="DB179" i="1"/>
  <c r="DB103" i="1"/>
  <c r="CZ103" i="1"/>
  <c r="DA103" i="1"/>
  <c r="CZ248" i="1"/>
  <c r="DA248" i="1"/>
  <c r="DB248" i="1"/>
  <c r="DB180" i="1"/>
  <c r="CZ180" i="1"/>
  <c r="DA180" i="1"/>
  <c r="CZ213" i="1"/>
  <c r="DA213" i="1"/>
  <c r="DB213" i="1"/>
  <c r="DB96" i="1"/>
  <c r="CZ96" i="1"/>
  <c r="DA96" i="1"/>
  <c r="DA149" i="1"/>
  <c r="DB149" i="1"/>
  <c r="CZ149" i="1"/>
  <c r="CZ188" i="1"/>
  <c r="DA188" i="1"/>
  <c r="DB188" i="1"/>
  <c r="DA153" i="1"/>
  <c r="DB153" i="1"/>
  <c r="CZ153" i="1"/>
  <c r="DA117" i="1"/>
  <c r="DB117" i="1"/>
  <c r="CZ117" i="1"/>
  <c r="DB106" i="1"/>
  <c r="CZ106" i="1"/>
  <c r="DA106" i="1"/>
  <c r="DA18" i="1"/>
  <c r="DB18" i="1"/>
  <c r="CZ18" i="1"/>
  <c r="DB73" i="1"/>
  <c r="CZ73" i="1"/>
  <c r="DA73" i="1"/>
  <c r="CZ60" i="1"/>
  <c r="DA60" i="1"/>
  <c r="DB60" i="1"/>
  <c r="CZ36" i="1"/>
  <c r="DA36" i="1"/>
  <c r="DB36" i="1"/>
  <c r="CZ120" i="1"/>
  <c r="DA120" i="1"/>
  <c r="DB120" i="1"/>
  <c r="DA142" i="1"/>
  <c r="DB142" i="1"/>
  <c r="CZ142" i="1"/>
  <c r="CZ176" i="1"/>
  <c r="DA176" i="1"/>
  <c r="DB176" i="1"/>
  <c r="CZ191" i="1"/>
  <c r="DA191" i="1"/>
  <c r="DB191" i="1"/>
  <c r="DA27" i="1"/>
  <c r="DB27" i="1"/>
  <c r="CZ27" i="1"/>
  <c r="DA131" i="1"/>
  <c r="DB131" i="1"/>
  <c r="CZ131" i="1"/>
  <c r="CZ214" i="1"/>
  <c r="DA214" i="1"/>
  <c r="DB214" i="1"/>
  <c r="DA9" i="1"/>
  <c r="DB9" i="1"/>
  <c r="CZ9" i="1"/>
  <c r="DA265" i="1"/>
  <c r="CZ265" i="1"/>
  <c r="DB265" i="1"/>
  <c r="CZ61" i="1"/>
  <c r="DA61" i="1"/>
  <c r="DB61" i="1"/>
  <c r="CZ62" i="1"/>
  <c r="DA62" i="1"/>
  <c r="DB62" i="1"/>
  <c r="CZ65" i="1"/>
  <c r="DA65" i="1"/>
  <c r="DB65" i="1"/>
  <c r="CZ114" i="1"/>
  <c r="DA114" i="1"/>
  <c r="DB114" i="1"/>
  <c r="CZ245" i="1"/>
  <c r="DA245" i="1"/>
  <c r="DB245" i="1"/>
  <c r="DA119" i="1"/>
  <c r="DB119" i="1"/>
  <c r="CZ119" i="1"/>
  <c r="DA128" i="1"/>
  <c r="DB128" i="1"/>
  <c r="CZ128" i="1"/>
  <c r="DA23" i="1"/>
  <c r="DB23" i="1"/>
  <c r="CZ23" i="1"/>
  <c r="CZ207" i="1"/>
  <c r="DA207" i="1"/>
  <c r="DB207" i="1"/>
  <c r="DA22" i="1"/>
  <c r="DB22" i="1"/>
  <c r="CZ22" i="1"/>
  <c r="CZ57" i="1"/>
  <c r="DA57" i="1"/>
  <c r="DB57" i="1"/>
  <c r="CZ167" i="1"/>
  <c r="DA167" i="1"/>
  <c r="DB167" i="1"/>
  <c r="CZ200" i="1"/>
  <c r="DA200" i="1"/>
  <c r="DB200" i="1"/>
  <c r="DB100" i="1"/>
  <c r="CZ100" i="1"/>
  <c r="DA100" i="1"/>
  <c r="DN258" i="1" l="1" a="1"/>
  <c r="DN258" i="1" s="1"/>
  <c r="DR258" i="1" s="1"/>
  <c r="DO258" i="1" a="1"/>
  <c r="DO258" i="1" s="1"/>
  <c r="DS258" i="1" s="1"/>
  <c r="DO113" i="1" a="1"/>
  <c r="DO113" i="1" s="1"/>
  <c r="DS113" i="1" s="1"/>
  <c r="DN113" i="1" a="1"/>
  <c r="DN113" i="1" s="1"/>
  <c r="DR113" i="1" s="1"/>
  <c r="DO127" i="1" a="1"/>
  <c r="DO127" i="1" s="1"/>
  <c r="DN127" i="1" a="1"/>
  <c r="DN127" i="1" s="1"/>
  <c r="DN210" i="1" a="1"/>
  <c r="DN210" i="1" s="1"/>
  <c r="DO210" i="1" a="1"/>
  <c r="DO210" i="1" s="1"/>
  <c r="DN95" i="1" a="1"/>
  <c r="DN95" i="1" s="1"/>
  <c r="DN13" i="1" a="1"/>
  <c r="DN13" i="1" s="1"/>
  <c r="DO13" i="1" a="1"/>
  <c r="DO13" i="1" s="1"/>
  <c r="DO95" i="1" a="1"/>
  <c r="DO95" i="1" s="1"/>
  <c r="DN124" i="1" a="1"/>
  <c r="DN124" i="1" s="1"/>
  <c r="DN209" i="1" a="1"/>
  <c r="DN209" i="1" s="1"/>
  <c r="DO209" i="1" a="1"/>
  <c r="DO209" i="1" s="1"/>
  <c r="DO124" i="1" a="1"/>
  <c r="DO124" i="1" s="1"/>
  <c r="DO79" i="1" a="1"/>
  <c r="DO79" i="1" s="1"/>
  <c r="DO250" i="1" a="1"/>
  <c r="DO250" i="1" s="1"/>
  <c r="DN79" i="1" a="1"/>
  <c r="DN79" i="1" s="1"/>
  <c r="DN250" i="1" a="1"/>
  <c r="DN250" i="1" s="1"/>
  <c r="DO112" i="1" a="1"/>
  <c r="DO112" i="1" s="1"/>
  <c r="DN112" i="1" a="1"/>
  <c r="DN112" i="1" s="1"/>
  <c r="DN270" i="1" a="1"/>
  <c r="DN270" i="1" s="1"/>
  <c r="DO270" i="1" a="1"/>
  <c r="DO270" i="1" s="1"/>
  <c r="DN267" i="1" a="1"/>
  <c r="DN267" i="1" s="1"/>
  <c r="DO267" i="1" a="1"/>
  <c r="DO267" i="1" s="1"/>
  <c r="DS267" i="1" s="1"/>
  <c r="DO160" i="1" a="1"/>
  <c r="DO160" i="1" s="1"/>
  <c r="DN160" i="1" a="1"/>
  <c r="DN160" i="1" s="1"/>
  <c r="DO206" i="1" a="1"/>
  <c r="DO206" i="1" s="1"/>
  <c r="DN206" i="1" a="1"/>
  <c r="DN206" i="1" s="1"/>
  <c r="DO172" i="1" a="1"/>
  <c r="DO172" i="1" s="1"/>
  <c r="DN172" i="1" a="1"/>
  <c r="DN172" i="1" s="1"/>
  <c r="DO202" i="1" a="1"/>
  <c r="DO202" i="1" s="1"/>
  <c r="DN202" i="1" a="1"/>
  <c r="DN202" i="1" s="1"/>
  <c r="DO49" i="1" a="1"/>
  <c r="DO49" i="1" s="1"/>
  <c r="DN49" i="1" a="1"/>
  <c r="DN49" i="1" s="1"/>
  <c r="DO156" i="1" a="1"/>
  <c r="DO156" i="1" s="1"/>
  <c r="DN156" i="1" a="1"/>
  <c r="DN156" i="1" s="1"/>
  <c r="DN181" i="1" a="1"/>
  <c r="DN181" i="1" s="1"/>
  <c r="DO181" i="1" a="1"/>
  <c r="DO181" i="1" s="1"/>
  <c r="DO198" i="1" a="1"/>
  <c r="DO198" i="1" s="1"/>
  <c r="DN198" i="1" a="1"/>
  <c r="DN198" i="1" s="1"/>
  <c r="DO56" i="1" a="1"/>
  <c r="DO56" i="1" s="1"/>
  <c r="DN56" i="1" a="1"/>
  <c r="DN56" i="1" s="1"/>
  <c r="DO47" i="1" a="1"/>
  <c r="DO47" i="1" s="1"/>
  <c r="DN47" i="1" a="1"/>
  <c r="DN47" i="1" s="1"/>
  <c r="DN221" i="1" a="1"/>
  <c r="DN221" i="1" s="1"/>
  <c r="DO221" i="1" a="1"/>
  <c r="DO221" i="1" s="1"/>
  <c r="DO24" i="1" a="1"/>
  <c r="DO24" i="1" s="1"/>
  <c r="DN24" i="1" a="1"/>
  <c r="DN24" i="1" s="1"/>
  <c r="DO239" i="1" a="1"/>
  <c r="DO239" i="1" s="1"/>
  <c r="DN239" i="1" a="1"/>
  <c r="DN239" i="1" s="1"/>
  <c r="DN229" i="1" a="1"/>
  <c r="DN229" i="1" s="1"/>
  <c r="DO229" i="1" a="1"/>
  <c r="DO229" i="1" s="1"/>
  <c r="DN99" i="1" a="1"/>
  <c r="DN99" i="1" s="1"/>
  <c r="DO99" i="1" a="1"/>
  <c r="DO99" i="1" s="1"/>
  <c r="DN46" i="1" a="1"/>
  <c r="DN46" i="1" s="1"/>
  <c r="DO46" i="1" a="1"/>
  <c r="DO46" i="1" s="1"/>
  <c r="DN59" i="1" a="1"/>
  <c r="DN59" i="1" s="1"/>
  <c r="DO59" i="1" a="1"/>
  <c r="DO59" i="1" s="1"/>
  <c r="DO145" i="1" a="1"/>
  <c r="DO145" i="1" s="1"/>
  <c r="DN145" i="1" a="1"/>
  <c r="DN145" i="1" s="1"/>
  <c r="DO88" i="1" a="1"/>
  <c r="DO88" i="1" s="1"/>
  <c r="DN88" i="1" a="1"/>
  <c r="DN88" i="1" s="1"/>
  <c r="DO230" i="1" a="1"/>
  <c r="DO230" i="1" s="1"/>
  <c r="DN230" i="1" a="1"/>
  <c r="DN230" i="1" s="1"/>
  <c r="DN238" i="1" a="1"/>
  <c r="DN238" i="1" s="1"/>
  <c r="DO238" i="1" a="1"/>
  <c r="DO238" i="1" s="1"/>
  <c r="DN256" i="1" a="1"/>
  <c r="DN256" i="1" s="1"/>
  <c r="DO256" i="1" a="1"/>
  <c r="DO256" i="1" s="1"/>
  <c r="DO208" i="1" a="1"/>
  <c r="DO208" i="1" s="1"/>
  <c r="DN208" i="1" a="1"/>
  <c r="DN208" i="1" s="1"/>
  <c r="DN186" i="1" a="1"/>
  <c r="DN186" i="1" s="1"/>
  <c r="DO186" i="1" a="1"/>
  <c r="DO186" i="1" s="1"/>
  <c r="DN111" i="1" a="1"/>
  <c r="DN111" i="1" s="1"/>
  <c r="DO111" i="1" a="1"/>
  <c r="DO111" i="1" s="1"/>
  <c r="DO166" i="1" a="1"/>
  <c r="DO166" i="1" s="1"/>
  <c r="DN166" i="1" a="1"/>
  <c r="DN166" i="1" s="1"/>
  <c r="DN87" i="1" a="1"/>
  <c r="DN87" i="1" s="1"/>
  <c r="DO87" i="1" a="1"/>
  <c r="DO87" i="1" s="1"/>
  <c r="DN109" i="1" a="1"/>
  <c r="DN109" i="1" s="1"/>
  <c r="DO109" i="1" a="1"/>
  <c r="DO109" i="1" s="1"/>
  <c r="DN219" i="1" a="1"/>
  <c r="DN219" i="1" s="1"/>
  <c r="DO219" i="1" a="1"/>
  <c r="DO219" i="1" s="1"/>
  <c r="DO155" i="1" a="1"/>
  <c r="DO155" i="1" s="1"/>
  <c r="DN155" i="1" a="1"/>
  <c r="DN155" i="1" s="1"/>
  <c r="DN115" i="1" a="1"/>
  <c r="DN115" i="1" s="1"/>
  <c r="DO115" i="1" a="1"/>
  <c r="DO115" i="1" s="1"/>
  <c r="DO259" i="1" a="1"/>
  <c r="DO259" i="1" s="1"/>
  <c r="DN259" i="1" a="1"/>
  <c r="DN259" i="1" s="1"/>
  <c r="DN44" i="1" a="1"/>
  <c r="DN44" i="1" s="1"/>
  <c r="DO44" i="1" a="1"/>
  <c r="DO44" i="1" s="1"/>
  <c r="DN223" i="1" a="1"/>
  <c r="DN223" i="1" s="1"/>
  <c r="DO223" i="1" a="1"/>
  <c r="DO223" i="1" s="1"/>
  <c r="DO224" i="1" a="1"/>
  <c r="DO224" i="1" s="1"/>
  <c r="DN224" i="1" a="1"/>
  <c r="DN224" i="1" s="1"/>
  <c r="DN41" i="1" a="1"/>
  <c r="DN41" i="1" s="1"/>
  <c r="DO41" i="1" a="1"/>
  <c r="DO41" i="1" s="1"/>
  <c r="DN203" i="1" a="1"/>
  <c r="DN203" i="1" s="1"/>
  <c r="DO203" i="1" a="1"/>
  <c r="DO203" i="1" s="1"/>
  <c r="DO129" i="1" a="1"/>
  <c r="DO129" i="1" s="1"/>
  <c r="DN129" i="1" a="1"/>
  <c r="DN129" i="1" s="1"/>
  <c r="DN183" i="1" a="1"/>
  <c r="DN183" i="1" s="1"/>
  <c r="DO183" i="1" a="1"/>
  <c r="DO183" i="1" s="1"/>
  <c r="DN107" i="1" a="1"/>
  <c r="DN107" i="1" s="1"/>
  <c r="DO107" i="1" a="1"/>
  <c r="DO107" i="1" s="1"/>
  <c r="DN68" i="1" a="1"/>
  <c r="DN68" i="1" s="1"/>
  <c r="DO68" i="1" a="1"/>
  <c r="DO68" i="1" s="1"/>
  <c r="DN57" i="1" a="1"/>
  <c r="DN57" i="1" s="1"/>
  <c r="DO57" i="1" a="1"/>
  <c r="DO57" i="1" s="1"/>
  <c r="DN119" i="1" a="1"/>
  <c r="DN119" i="1" s="1"/>
  <c r="DO119" i="1" a="1"/>
  <c r="DO119" i="1" s="1"/>
  <c r="DN9" i="1" a="1"/>
  <c r="DN9" i="1" s="1"/>
  <c r="DO9" i="1" a="1"/>
  <c r="DO9" i="1" s="1"/>
  <c r="DN32" i="1" a="1"/>
  <c r="DN32" i="1" s="1"/>
  <c r="DO32" i="1" a="1"/>
  <c r="DO32" i="1" s="1"/>
  <c r="DN102" i="1" a="1"/>
  <c r="DN102" i="1" s="1"/>
  <c r="DO102" i="1" a="1"/>
  <c r="DO102" i="1" s="1"/>
  <c r="DN246" i="1" a="1"/>
  <c r="DN246" i="1" s="1"/>
  <c r="DO246" i="1" a="1"/>
  <c r="DO246" i="1" s="1"/>
  <c r="DN12" i="1" a="1"/>
  <c r="DN12" i="1" s="1"/>
  <c r="DO12" i="1" a="1"/>
  <c r="DO12" i="1" s="1"/>
  <c r="DO178" i="1" a="1"/>
  <c r="DO178" i="1" s="1"/>
  <c r="DN178" i="1" a="1"/>
  <c r="DN178" i="1" s="1"/>
  <c r="DN48" i="1" a="1"/>
  <c r="DN48" i="1" s="1"/>
  <c r="DO48" i="1" a="1"/>
  <c r="DO48" i="1" s="1"/>
  <c r="DN249" i="1" a="1"/>
  <c r="DN249" i="1" s="1"/>
  <c r="DO249" i="1" a="1"/>
  <c r="DO249" i="1" s="1"/>
  <c r="DN231" i="1" a="1"/>
  <c r="DN231" i="1" s="1"/>
  <c r="DO231" i="1" a="1"/>
  <c r="DO231" i="1" s="1"/>
  <c r="DN55" i="1" a="1"/>
  <c r="DN55" i="1" s="1"/>
  <c r="DO55" i="1" a="1"/>
  <c r="DO55" i="1" s="1"/>
  <c r="DN264" i="1" a="1"/>
  <c r="DN264" i="1" s="1"/>
  <c r="DO264" i="1" a="1"/>
  <c r="DO264" i="1" s="1"/>
  <c r="DN257" i="1" a="1"/>
  <c r="DN257" i="1" s="1"/>
  <c r="DO257" i="1" a="1"/>
  <c r="DO257" i="1" s="1"/>
  <c r="DN64" i="1" a="1"/>
  <c r="DN64" i="1" s="1"/>
  <c r="DO64" i="1" a="1"/>
  <c r="DO64" i="1" s="1"/>
  <c r="DN130" i="1" a="1"/>
  <c r="DN130" i="1" s="1"/>
  <c r="DO130" i="1" a="1"/>
  <c r="DO130" i="1" s="1"/>
  <c r="DN51" i="1" a="1"/>
  <c r="DN51" i="1" s="1"/>
  <c r="DO51" i="1" a="1"/>
  <c r="DO51" i="1" s="1"/>
  <c r="DN89" i="1" a="1"/>
  <c r="DN89" i="1" s="1"/>
  <c r="DO89" i="1" a="1"/>
  <c r="DO89" i="1" s="1"/>
  <c r="DN193" i="1" a="1"/>
  <c r="DN193" i="1" s="1"/>
  <c r="DO193" i="1" a="1"/>
  <c r="DO193" i="1" s="1"/>
  <c r="DN80" i="1" a="1"/>
  <c r="DN80" i="1" s="1"/>
  <c r="DO80" i="1" a="1"/>
  <c r="DO80" i="1" s="1"/>
  <c r="DO17" i="1" a="1"/>
  <c r="DO17" i="1" s="1"/>
  <c r="DN17" i="1" a="1"/>
  <c r="DN17" i="1" s="1"/>
  <c r="DO19" i="1" a="1"/>
  <c r="DO19" i="1" s="1"/>
  <c r="DN19" i="1" a="1"/>
  <c r="DN19" i="1" s="1"/>
  <c r="DN78" i="1" a="1"/>
  <c r="DN78" i="1" s="1"/>
  <c r="DO78" i="1" a="1"/>
  <c r="DO78" i="1" s="1"/>
  <c r="DO70" i="1" a="1"/>
  <c r="DO70" i="1" s="1"/>
  <c r="DN70" i="1" a="1"/>
  <c r="DN70" i="1" s="1"/>
  <c r="DN121" i="1" a="1"/>
  <c r="DN121" i="1" s="1"/>
  <c r="DO121" i="1" a="1"/>
  <c r="DO121" i="1" s="1"/>
  <c r="DN244" i="1" a="1"/>
  <c r="DN244" i="1" s="1"/>
  <c r="DO244" i="1" a="1"/>
  <c r="DO244" i="1" s="1"/>
  <c r="DN148" i="1" a="1"/>
  <c r="DN148" i="1" s="1"/>
  <c r="DO148" i="1" a="1"/>
  <c r="DO148" i="1" s="1"/>
  <c r="DN123" i="1" a="1"/>
  <c r="DN123" i="1" s="1"/>
  <c r="DO123" i="1" a="1"/>
  <c r="DO123" i="1" s="1"/>
  <c r="DN82" i="1" a="1"/>
  <c r="DN82" i="1" s="1"/>
  <c r="DO82" i="1" a="1"/>
  <c r="DO82" i="1" s="1"/>
  <c r="DN105" i="1" a="1"/>
  <c r="DN105" i="1" s="1"/>
  <c r="DO105" i="1" a="1"/>
  <c r="DO105" i="1" s="1"/>
  <c r="DO192" i="1" a="1"/>
  <c r="DO192" i="1" s="1"/>
  <c r="DN192" i="1" a="1"/>
  <c r="DN192" i="1" s="1"/>
  <c r="DN25" i="1" a="1"/>
  <c r="DN25" i="1" s="1"/>
  <c r="DR25" i="1" s="1"/>
  <c r="DO25" i="1" a="1"/>
  <c r="DO25" i="1" s="1"/>
  <c r="DO269" i="1" a="1"/>
  <c r="DO269" i="1" s="1"/>
  <c r="DN269" i="1" a="1"/>
  <c r="DN269" i="1" s="1"/>
  <c r="DN144" i="1" a="1"/>
  <c r="DN144" i="1" s="1"/>
  <c r="DO144" i="1" a="1"/>
  <c r="DO144" i="1" s="1"/>
  <c r="DN100" i="1" a="1"/>
  <c r="DN100" i="1" s="1"/>
  <c r="DO100" i="1" a="1"/>
  <c r="DO100" i="1" s="1"/>
  <c r="DN265" i="1" a="1"/>
  <c r="DN265" i="1" s="1"/>
  <c r="DO265" i="1" a="1"/>
  <c r="DO265" i="1" s="1"/>
  <c r="DO196" i="1" a="1"/>
  <c r="DO196" i="1" s="1"/>
  <c r="DN196" i="1" a="1"/>
  <c r="DN196" i="1" s="1"/>
  <c r="DN43" i="1" a="1"/>
  <c r="DN43" i="1" s="1"/>
  <c r="DO43" i="1" a="1"/>
  <c r="DO43" i="1" s="1"/>
  <c r="DN252" i="1" a="1"/>
  <c r="DN252" i="1" s="1"/>
  <c r="DO252" i="1" a="1"/>
  <c r="DO252" i="1" s="1"/>
  <c r="DN66" i="1" a="1"/>
  <c r="DN66" i="1" s="1"/>
  <c r="DO66" i="1" a="1"/>
  <c r="DO66" i="1" s="1"/>
  <c r="DN175" i="1" a="1"/>
  <c r="DN175" i="1" s="1"/>
  <c r="DO175" i="1" a="1"/>
  <c r="DO175" i="1" s="1"/>
  <c r="DN138" i="1" a="1"/>
  <c r="DN138" i="1" s="1"/>
  <c r="DO138" i="1" a="1"/>
  <c r="DO138" i="1" s="1"/>
  <c r="DN173" i="1" a="1"/>
  <c r="DN173" i="1" s="1"/>
  <c r="DO173" i="1" a="1"/>
  <c r="DO173" i="1" s="1"/>
  <c r="DO204" i="1" a="1"/>
  <c r="DO204" i="1" s="1"/>
  <c r="DN204" i="1" a="1"/>
  <c r="DN204" i="1" s="1"/>
  <c r="DO81" i="1" a="1"/>
  <c r="DO81" i="1" s="1"/>
  <c r="DN81" i="1" a="1"/>
  <c r="DN81" i="1" s="1"/>
  <c r="DO263" i="1" a="1"/>
  <c r="DO263" i="1" s="1"/>
  <c r="DN263" i="1" a="1"/>
  <c r="DN263" i="1" s="1"/>
  <c r="DN195" i="1" a="1"/>
  <c r="DN195" i="1" s="1"/>
  <c r="DO195" i="1" a="1"/>
  <c r="DO195" i="1" s="1"/>
  <c r="DO170" i="1" a="1"/>
  <c r="DO170" i="1" s="1"/>
  <c r="DN170" i="1" a="1"/>
  <c r="DN170" i="1" s="1"/>
  <c r="DO228" i="1" a="1"/>
  <c r="DO228" i="1" s="1"/>
  <c r="DN228" i="1" a="1"/>
  <c r="DN228" i="1" s="1"/>
  <c r="DN83" i="1" a="1"/>
  <c r="DN83" i="1" s="1"/>
  <c r="DO83" i="1" a="1"/>
  <c r="DO83" i="1" s="1"/>
  <c r="DN38" i="1" a="1"/>
  <c r="DN38" i="1" s="1"/>
  <c r="DO38" i="1" a="1"/>
  <c r="DO38" i="1" s="1"/>
  <c r="DN11" i="1" a="1"/>
  <c r="DN11" i="1" s="1"/>
  <c r="DO11" i="1" a="1"/>
  <c r="DO11" i="1" s="1"/>
  <c r="DO42" i="1" a="1"/>
  <c r="DO42" i="1" s="1"/>
  <c r="DN42" i="1" a="1"/>
  <c r="DN42" i="1" s="1"/>
  <c r="DN67" i="1" a="1"/>
  <c r="DN67" i="1" s="1"/>
  <c r="DO67" i="1" a="1"/>
  <c r="DO67" i="1" s="1"/>
  <c r="DN110" i="1" a="1"/>
  <c r="DN110" i="1" s="1"/>
  <c r="DO110" i="1" a="1"/>
  <c r="DO110" i="1" s="1"/>
  <c r="DN227" i="1" a="1"/>
  <c r="DN227" i="1" s="1"/>
  <c r="DO227" i="1" a="1"/>
  <c r="DO227" i="1" s="1"/>
  <c r="DN90" i="1" a="1"/>
  <c r="DN90" i="1" s="1"/>
  <c r="DO90" i="1" a="1"/>
  <c r="DO90" i="1" s="1"/>
  <c r="DO212" i="1" a="1"/>
  <c r="DO212" i="1" s="1"/>
  <c r="DN212" i="1" a="1"/>
  <c r="DN212" i="1" s="1"/>
  <c r="DO243" i="1" a="1"/>
  <c r="DO243" i="1" s="1"/>
  <c r="DN243" i="1" a="1"/>
  <c r="DN243" i="1" s="1"/>
  <c r="DN37" i="1" a="1"/>
  <c r="DN37" i="1" s="1"/>
  <c r="DO37" i="1" a="1"/>
  <c r="DO37" i="1" s="1"/>
  <c r="DO142" i="1" a="1"/>
  <c r="DO142" i="1" s="1"/>
  <c r="DN142" i="1" a="1"/>
  <c r="DN142" i="1" s="1"/>
  <c r="DN36" i="1" a="1"/>
  <c r="DN36" i="1" s="1"/>
  <c r="DO36" i="1" a="1"/>
  <c r="DO36" i="1" s="1"/>
  <c r="DN73" i="1" a="1"/>
  <c r="DN73" i="1" s="1"/>
  <c r="DO73" i="1" a="1"/>
  <c r="DO73" i="1" s="1"/>
  <c r="DN106" i="1" a="1"/>
  <c r="DN106" i="1" s="1"/>
  <c r="DO106" i="1" a="1"/>
  <c r="DO106" i="1" s="1"/>
  <c r="DN153" i="1" a="1"/>
  <c r="DN153" i="1" s="1"/>
  <c r="DO153" i="1" a="1"/>
  <c r="DO153" i="1" s="1"/>
  <c r="DN149" i="1" a="1"/>
  <c r="DN149" i="1" s="1"/>
  <c r="DO149" i="1" a="1"/>
  <c r="DO149" i="1" s="1"/>
  <c r="DN213" i="1" a="1"/>
  <c r="DN213" i="1" s="1"/>
  <c r="DO213" i="1" a="1"/>
  <c r="DO213" i="1" s="1"/>
  <c r="DN248" i="1" a="1"/>
  <c r="DN248" i="1" s="1"/>
  <c r="DO248" i="1" a="1"/>
  <c r="DO248" i="1" s="1"/>
  <c r="DN179" i="1" a="1"/>
  <c r="DN179" i="1" s="1"/>
  <c r="DO179" i="1" a="1"/>
  <c r="DO179" i="1" s="1"/>
  <c r="DO126" i="1" a="1"/>
  <c r="DO126" i="1" s="1"/>
  <c r="DN126" i="1" a="1"/>
  <c r="DN126" i="1" s="1"/>
  <c r="DN237" i="1" a="1"/>
  <c r="DN237" i="1" s="1"/>
  <c r="DO237" i="1" a="1"/>
  <c r="DO237" i="1" s="1"/>
  <c r="DN161" i="1" a="1"/>
  <c r="DN161" i="1" s="1"/>
  <c r="DO161" i="1" a="1"/>
  <c r="DO161" i="1" s="1"/>
  <c r="DN211" i="1" a="1"/>
  <c r="DN211" i="1" s="1"/>
  <c r="DO211" i="1" a="1"/>
  <c r="DO211" i="1" s="1"/>
  <c r="DN7" i="1" a="1"/>
  <c r="DN7" i="1" s="1"/>
  <c r="DO7" i="1" a="1"/>
  <c r="DO7" i="1" s="1"/>
  <c r="DN54" i="1" a="1"/>
  <c r="DN54" i="1" s="1"/>
  <c r="DO54" i="1" a="1"/>
  <c r="DO54" i="1" s="1"/>
  <c r="DN207" i="1" a="1"/>
  <c r="DN207" i="1" s="1"/>
  <c r="DO207" i="1" a="1"/>
  <c r="DO207" i="1" s="1"/>
  <c r="DN245" i="1" a="1"/>
  <c r="DN245" i="1" s="1"/>
  <c r="DO245" i="1" a="1"/>
  <c r="DO245" i="1" s="1"/>
  <c r="DN61" i="1" a="1"/>
  <c r="DN61" i="1" s="1"/>
  <c r="DO61" i="1" a="1"/>
  <c r="DO61" i="1" s="1"/>
  <c r="DO191" i="1" a="1"/>
  <c r="DO191" i="1" s="1"/>
  <c r="DN191" i="1" a="1"/>
  <c r="DN191" i="1" s="1"/>
  <c r="DN217" i="1" a="1"/>
  <c r="DN217" i="1" s="1"/>
  <c r="DO217" i="1" a="1"/>
  <c r="DO217" i="1" s="1"/>
  <c r="DN201" i="1" a="1"/>
  <c r="DN201" i="1" s="1"/>
  <c r="DO201" i="1" a="1"/>
  <c r="DO201" i="1" s="1"/>
  <c r="DN260" i="1" a="1"/>
  <c r="DN260" i="1" s="1"/>
  <c r="DO260" i="1" a="1"/>
  <c r="DO260" i="1" s="1"/>
  <c r="DN116" i="1" a="1"/>
  <c r="DN116" i="1" s="1"/>
  <c r="DO116" i="1" a="1"/>
  <c r="DO116" i="1" s="1"/>
  <c r="DN34" i="1" a="1"/>
  <c r="DN34" i="1" s="1"/>
  <c r="DO34" i="1" a="1"/>
  <c r="DO34" i="1" s="1"/>
  <c r="DO63" i="1" a="1"/>
  <c r="DO63" i="1" s="1"/>
  <c r="DN63" i="1" a="1"/>
  <c r="DN63" i="1" s="1"/>
  <c r="DO40" i="1" a="1"/>
  <c r="DO40" i="1" s="1"/>
  <c r="DN40" i="1" a="1"/>
  <c r="DN40" i="1" s="1"/>
  <c r="DO182" i="1" a="1"/>
  <c r="DO182" i="1" s="1"/>
  <c r="DN182" i="1" a="1"/>
  <c r="DN182" i="1" s="1"/>
  <c r="DN104" i="1" a="1"/>
  <c r="DN104" i="1" s="1"/>
  <c r="DO104" i="1" a="1"/>
  <c r="DO104" i="1" s="1"/>
  <c r="DO190" i="1" a="1"/>
  <c r="DO190" i="1" s="1"/>
  <c r="DN190" i="1" a="1"/>
  <c r="DN190" i="1" s="1"/>
  <c r="DO251" i="1" a="1"/>
  <c r="DO251" i="1" s="1"/>
  <c r="DN251" i="1" a="1"/>
  <c r="DN251" i="1" s="1"/>
  <c r="DN177" i="1" a="1"/>
  <c r="DN177" i="1" s="1"/>
  <c r="DO177" i="1" a="1"/>
  <c r="DO177" i="1" s="1"/>
  <c r="DN151" i="1" a="1"/>
  <c r="DN151" i="1" s="1"/>
  <c r="DO151" i="1" a="1"/>
  <c r="DO151" i="1" s="1"/>
  <c r="DN35" i="1" a="1"/>
  <c r="DN35" i="1" s="1"/>
  <c r="DO35" i="1" a="1"/>
  <c r="DO35" i="1" s="1"/>
  <c r="DN234" i="1" a="1"/>
  <c r="DN234" i="1" s="1"/>
  <c r="DO234" i="1" a="1"/>
  <c r="DO234" i="1" s="1"/>
  <c r="DO247" i="1" a="1"/>
  <c r="DO247" i="1" s="1"/>
  <c r="DN247" i="1" a="1"/>
  <c r="DN247" i="1" s="1"/>
  <c r="DN261" i="1" a="1"/>
  <c r="DN261" i="1" s="1"/>
  <c r="DO261" i="1" a="1"/>
  <c r="DO261" i="1" s="1"/>
  <c r="DN184" i="1" a="1"/>
  <c r="DN184" i="1" s="1"/>
  <c r="DO184" i="1" a="1"/>
  <c r="DO184" i="1" s="1"/>
  <c r="DN16" i="1" a="1"/>
  <c r="DN16" i="1" s="1"/>
  <c r="DO16" i="1" a="1"/>
  <c r="DO16" i="1" s="1"/>
  <c r="DN215" i="1" a="1"/>
  <c r="DN215" i="1" s="1"/>
  <c r="DO215" i="1" a="1"/>
  <c r="DO215" i="1" s="1"/>
  <c r="DN241" i="1" a="1"/>
  <c r="DN241" i="1" s="1"/>
  <c r="DO241" i="1" a="1"/>
  <c r="DO241" i="1" s="1"/>
  <c r="DN122" i="1" a="1"/>
  <c r="DN122" i="1" s="1"/>
  <c r="DO122" i="1" a="1"/>
  <c r="DO122" i="1" s="1"/>
  <c r="DO152" i="1" a="1"/>
  <c r="DO152" i="1" s="1"/>
  <c r="DN152" i="1" a="1"/>
  <c r="DN152" i="1" s="1"/>
  <c r="DN91" i="1" a="1"/>
  <c r="DN91" i="1" s="1"/>
  <c r="DO91" i="1" a="1"/>
  <c r="DO91" i="1" s="1"/>
  <c r="DN240" i="1" a="1"/>
  <c r="DN240" i="1" s="1"/>
  <c r="DO240" i="1" a="1"/>
  <c r="DO240" i="1" s="1"/>
  <c r="DN147" i="1" a="1"/>
  <c r="DN147" i="1" s="1"/>
  <c r="DO147" i="1" a="1"/>
  <c r="DO147" i="1" s="1"/>
  <c r="DN28" i="1" a="1"/>
  <c r="DN28" i="1" s="1"/>
  <c r="DO28" i="1" a="1"/>
  <c r="DO28" i="1" s="1"/>
  <c r="DN189" i="1" a="1"/>
  <c r="DN189" i="1" s="1"/>
  <c r="DO189" i="1" a="1"/>
  <c r="DO189" i="1" s="1"/>
  <c r="DN93" i="1" a="1"/>
  <c r="DN93" i="1" s="1"/>
  <c r="DO93" i="1" a="1"/>
  <c r="DO93" i="1" s="1"/>
  <c r="DN136" i="1" a="1"/>
  <c r="DN136" i="1" s="1"/>
  <c r="DO136" i="1" a="1"/>
  <c r="DO136" i="1" s="1"/>
  <c r="DN53" i="1" a="1"/>
  <c r="DN53" i="1" s="1"/>
  <c r="DO53" i="1" a="1"/>
  <c r="DO53" i="1" s="1"/>
  <c r="DO58" i="1" a="1"/>
  <c r="DO58" i="1" s="1"/>
  <c r="DN58" i="1" a="1"/>
  <c r="DN58" i="1" s="1"/>
  <c r="DN86" i="1" a="1"/>
  <c r="DN86" i="1" s="1"/>
  <c r="DO86" i="1" a="1"/>
  <c r="DO86" i="1" s="1"/>
  <c r="DN92" i="1" a="1"/>
  <c r="DN92" i="1" s="1"/>
  <c r="DO92" i="1" a="1"/>
  <c r="DO92" i="1" s="1"/>
  <c r="DN154" i="1" a="1"/>
  <c r="DN154" i="1" s="1"/>
  <c r="DO154" i="1" a="1"/>
  <c r="DO154" i="1" s="1"/>
  <c r="DN69" i="1" a="1"/>
  <c r="DN69" i="1" s="1"/>
  <c r="DO69" i="1" a="1"/>
  <c r="DO69" i="1" s="1"/>
  <c r="DO74" i="1" a="1"/>
  <c r="DO74" i="1" s="1"/>
  <c r="DN74" i="1" a="1"/>
  <c r="DN74" i="1" s="1"/>
  <c r="DN20" i="1" a="1"/>
  <c r="DN20" i="1" s="1"/>
  <c r="DO20" i="1" a="1"/>
  <c r="DO20" i="1" s="1"/>
  <c r="DO163" i="1" a="1"/>
  <c r="DO163" i="1" s="1"/>
  <c r="DN163" i="1" a="1"/>
  <c r="DN163" i="1" s="1"/>
  <c r="DO168" i="1" a="1"/>
  <c r="DO168" i="1" s="1"/>
  <c r="DN168" i="1" a="1"/>
  <c r="DN168" i="1" s="1"/>
  <c r="DO164" i="1" a="1"/>
  <c r="DO164" i="1" s="1"/>
  <c r="DN164" i="1" a="1"/>
  <c r="DN164" i="1" s="1"/>
  <c r="DO137" i="1" a="1"/>
  <c r="DO137" i="1" s="1"/>
  <c r="DN137" i="1" a="1"/>
  <c r="DN137" i="1" s="1"/>
  <c r="DN169" i="1" a="1"/>
  <c r="DN169" i="1" s="1"/>
  <c r="DO169" i="1" a="1"/>
  <c r="DO169" i="1" s="1"/>
  <c r="DN141" i="1" a="1"/>
  <c r="DN141" i="1" s="1"/>
  <c r="DO141" i="1" a="1"/>
  <c r="DO141" i="1" s="1"/>
  <c r="DO158" i="1" a="1"/>
  <c r="DO158" i="1" s="1"/>
  <c r="DN158" i="1" a="1"/>
  <c r="DN158" i="1" s="1"/>
  <c r="DN197" i="1" a="1"/>
  <c r="DN197" i="1" s="1"/>
  <c r="DO197" i="1" a="1"/>
  <c r="DO197" i="1" s="1"/>
  <c r="DN165" i="1" a="1"/>
  <c r="DN165" i="1" s="1"/>
  <c r="DO165" i="1" a="1"/>
  <c r="DO165" i="1" s="1"/>
  <c r="DN199" i="1" a="1"/>
  <c r="DN199" i="1" s="1"/>
  <c r="DO199" i="1" a="1"/>
  <c r="DO199" i="1" s="1"/>
  <c r="DO200" i="1" a="1"/>
  <c r="DO200" i="1" s="1"/>
  <c r="DN200" i="1" a="1"/>
  <c r="DN200" i="1" s="1"/>
  <c r="DN23" i="1" a="1"/>
  <c r="DN23" i="1" s="1"/>
  <c r="DO23" i="1" a="1"/>
  <c r="DO23" i="1" s="1"/>
  <c r="DN62" i="1" a="1"/>
  <c r="DN62" i="1" s="1"/>
  <c r="DO62" i="1" a="1"/>
  <c r="DO62" i="1" s="1"/>
  <c r="DN131" i="1" a="1"/>
  <c r="DN131" i="1" s="1"/>
  <c r="DO131" i="1" a="1"/>
  <c r="DO131" i="1" s="1"/>
  <c r="DO33" i="1" a="1"/>
  <c r="DO33" i="1" s="1"/>
  <c r="DN33" i="1" a="1"/>
  <c r="DN33" i="1" s="1"/>
  <c r="DO31" i="1" a="1"/>
  <c r="DO31" i="1" s="1"/>
  <c r="DN31" i="1" a="1"/>
  <c r="DN31" i="1" s="1"/>
  <c r="DN30" i="1" a="1"/>
  <c r="DN30" i="1" s="1"/>
  <c r="DO30" i="1" a="1"/>
  <c r="DO30" i="1" s="1"/>
  <c r="DN21" i="1" a="1"/>
  <c r="DN21" i="1" s="1"/>
  <c r="DO21" i="1" a="1"/>
  <c r="DO21" i="1" s="1"/>
  <c r="DN242" i="1" a="1"/>
  <c r="DN242" i="1" s="1"/>
  <c r="DO242" i="1" a="1"/>
  <c r="DO242" i="1" s="1"/>
  <c r="DO10" i="1" a="1"/>
  <c r="DO10" i="1" s="1"/>
  <c r="DN10" i="1" a="1"/>
  <c r="DN10" i="1" s="1"/>
  <c r="DN139" i="1" a="1"/>
  <c r="DN139" i="1" s="1"/>
  <c r="DO139" i="1" a="1"/>
  <c r="DO139" i="1" s="1"/>
  <c r="DN171" i="1" a="1"/>
  <c r="DN171" i="1" s="1"/>
  <c r="DO171" i="1" a="1"/>
  <c r="DO171" i="1" s="1"/>
  <c r="DO162" i="1" a="1"/>
  <c r="DO162" i="1" s="1"/>
  <c r="DN162" i="1" a="1"/>
  <c r="DN162" i="1" s="1"/>
  <c r="DN77" i="1" a="1"/>
  <c r="DN77" i="1" s="1"/>
  <c r="DO77" i="1" a="1"/>
  <c r="DO77" i="1" s="1"/>
  <c r="DN236" i="1" a="1"/>
  <c r="DN236" i="1" s="1"/>
  <c r="DO236" i="1" a="1"/>
  <c r="DO236" i="1" s="1"/>
  <c r="DO26" i="1" a="1"/>
  <c r="DO26" i="1" s="1"/>
  <c r="DN26" i="1" a="1"/>
  <c r="DN26" i="1" s="1"/>
  <c r="DN85" i="1" a="1"/>
  <c r="DN85" i="1" s="1"/>
  <c r="DO85" i="1" a="1"/>
  <c r="DO85" i="1" s="1"/>
  <c r="DN101" i="1" a="1"/>
  <c r="DN101" i="1" s="1"/>
  <c r="DO101" i="1" a="1"/>
  <c r="DO101" i="1" s="1"/>
  <c r="DO266" i="1" a="1"/>
  <c r="DO266" i="1" s="1"/>
  <c r="DN266" i="1" a="1"/>
  <c r="DN266" i="1" s="1"/>
  <c r="DN254" i="1" a="1"/>
  <c r="DN254" i="1" s="1"/>
  <c r="DO254" i="1" a="1"/>
  <c r="DO254" i="1" s="1"/>
  <c r="DO220" i="1" a="1"/>
  <c r="DO220" i="1" s="1"/>
  <c r="DN220" i="1" a="1"/>
  <c r="DN220" i="1" s="1"/>
  <c r="DN39" i="1" a="1"/>
  <c r="DN39" i="1" s="1"/>
  <c r="DO39" i="1" a="1"/>
  <c r="DO39" i="1" s="1"/>
  <c r="DN94" i="1" a="1"/>
  <c r="DN94" i="1" s="1"/>
  <c r="DO94" i="1" a="1"/>
  <c r="DO94" i="1" s="1"/>
  <c r="DN187" i="1" a="1"/>
  <c r="DN187" i="1" s="1"/>
  <c r="DO187" i="1" a="1"/>
  <c r="DO187" i="1" s="1"/>
  <c r="DN205" i="1" a="1"/>
  <c r="DN205" i="1" s="1"/>
  <c r="DO205" i="1" a="1"/>
  <c r="DO205" i="1" s="1"/>
  <c r="DN146" i="1" a="1"/>
  <c r="DN146" i="1" s="1"/>
  <c r="DO146" i="1" a="1"/>
  <c r="DO146" i="1" s="1"/>
  <c r="DN185" i="1" a="1"/>
  <c r="DN185" i="1" s="1"/>
  <c r="DO185" i="1" a="1"/>
  <c r="DO185" i="1" s="1"/>
  <c r="DN125" i="1" a="1"/>
  <c r="DN125" i="1" s="1"/>
  <c r="DO125" i="1" a="1"/>
  <c r="DO125" i="1" s="1"/>
  <c r="DN253" i="1" a="1"/>
  <c r="DN253" i="1" s="1"/>
  <c r="DO253" i="1" a="1"/>
  <c r="DO253" i="1" s="1"/>
  <c r="DN45" i="1" a="1"/>
  <c r="DN45" i="1" s="1"/>
  <c r="DO45" i="1" a="1"/>
  <c r="DO45" i="1" s="1"/>
  <c r="DN50" i="1" a="1"/>
  <c r="DN50" i="1" s="1"/>
  <c r="DO50" i="1" a="1"/>
  <c r="DO50" i="1" s="1"/>
  <c r="DN108" i="1" a="1"/>
  <c r="DN108" i="1" s="1"/>
  <c r="DO108" i="1" a="1"/>
  <c r="DO108" i="1" s="1"/>
  <c r="DO216" i="1" a="1"/>
  <c r="DO216" i="1" s="1"/>
  <c r="DN216" i="1" a="1"/>
  <c r="DN216" i="1" s="1"/>
  <c r="DO255" i="1" a="1"/>
  <c r="DO255" i="1" s="1"/>
  <c r="DN255" i="1" a="1"/>
  <c r="DN255" i="1" s="1"/>
  <c r="DN71" i="1" a="1"/>
  <c r="DN71" i="1" s="1"/>
  <c r="DO71" i="1" a="1"/>
  <c r="DO71" i="1" s="1"/>
  <c r="DO8" i="1" a="1"/>
  <c r="DO8" i="1" s="1"/>
  <c r="DN8" i="1" a="1"/>
  <c r="DN8" i="1" s="1"/>
  <c r="DN22" i="1" a="1"/>
  <c r="DN22" i="1" s="1"/>
  <c r="DO22" i="1" a="1"/>
  <c r="DO22" i="1" s="1"/>
  <c r="DN114" i="1" a="1"/>
  <c r="DN114" i="1" s="1"/>
  <c r="DO114" i="1" a="1"/>
  <c r="DO114" i="1" s="1"/>
  <c r="DN27" i="1" a="1"/>
  <c r="DN27" i="1" s="1"/>
  <c r="DO27" i="1" a="1"/>
  <c r="DO27" i="1" s="1"/>
  <c r="DN235" i="1" a="1"/>
  <c r="DN235" i="1" s="1"/>
  <c r="DO235" i="1" a="1"/>
  <c r="DO235" i="1" s="1"/>
  <c r="DO194" i="1" a="1"/>
  <c r="DO194" i="1" s="1"/>
  <c r="DN194" i="1" a="1"/>
  <c r="DN194" i="1" s="1"/>
  <c r="DN140" i="1" a="1"/>
  <c r="DN140" i="1" s="1"/>
  <c r="DO140" i="1" a="1"/>
  <c r="DO140" i="1" s="1"/>
  <c r="DN52" i="1" a="1"/>
  <c r="DN52" i="1" s="1"/>
  <c r="DO52" i="1" a="1"/>
  <c r="DO52" i="1" s="1"/>
  <c r="DO226" i="1" a="1"/>
  <c r="DO226" i="1" s="1"/>
  <c r="DN226" i="1" a="1"/>
  <c r="DN226" i="1" s="1"/>
  <c r="DO150" i="1" a="1"/>
  <c r="DO150" i="1" s="1"/>
  <c r="DN150" i="1" a="1"/>
  <c r="DN150" i="1" s="1"/>
  <c r="DO72" i="1" a="1"/>
  <c r="DO72" i="1" s="1"/>
  <c r="DN72" i="1" a="1"/>
  <c r="DN72" i="1" s="1"/>
  <c r="DN225" i="1" a="1"/>
  <c r="DN225" i="1" s="1"/>
  <c r="DO225" i="1" a="1"/>
  <c r="DO225" i="1" s="1"/>
  <c r="DN14" i="1" a="1"/>
  <c r="DN14" i="1" s="1"/>
  <c r="DO14" i="1" a="1"/>
  <c r="DO14" i="1" s="1"/>
  <c r="DN98" i="1" a="1"/>
  <c r="DN98" i="1" s="1"/>
  <c r="DO98" i="1" a="1"/>
  <c r="DO98" i="1" s="1"/>
  <c r="DO174" i="1" a="1"/>
  <c r="DO174" i="1" s="1"/>
  <c r="DN174" i="1" a="1"/>
  <c r="DN174" i="1" s="1"/>
  <c r="DN84" i="1" a="1"/>
  <c r="DN84" i="1" s="1"/>
  <c r="DO84" i="1" a="1"/>
  <c r="DO84" i="1" s="1"/>
  <c r="DN232" i="1" a="1"/>
  <c r="DN232" i="1" s="1"/>
  <c r="DO232" i="1" a="1"/>
  <c r="DO232" i="1" s="1"/>
  <c r="DO118" i="1" a="1"/>
  <c r="DO118" i="1" s="1"/>
  <c r="DN118" i="1" a="1"/>
  <c r="DN118" i="1" s="1"/>
  <c r="DN132" i="1" a="1"/>
  <c r="DN132" i="1" s="1"/>
  <c r="DO132" i="1" a="1"/>
  <c r="DO132" i="1" s="1"/>
  <c r="DO134" i="1" a="1"/>
  <c r="DO134" i="1" s="1"/>
  <c r="DN134" i="1" a="1"/>
  <c r="DN134" i="1" s="1"/>
  <c r="DO222" i="1" a="1"/>
  <c r="DO222" i="1" s="1"/>
  <c r="DN222" i="1" a="1"/>
  <c r="DN222" i="1" s="1"/>
  <c r="DN271" i="1" a="1"/>
  <c r="DN271" i="1" s="1"/>
  <c r="DO271" i="1" a="1"/>
  <c r="DO271" i="1" s="1"/>
  <c r="DN97" i="1" a="1"/>
  <c r="DN97" i="1" s="1"/>
  <c r="DO97" i="1" a="1"/>
  <c r="DO97" i="1" s="1"/>
  <c r="DN133" i="1" a="1"/>
  <c r="DN133" i="1" s="1"/>
  <c r="DO133" i="1" a="1"/>
  <c r="DO133" i="1" s="1"/>
  <c r="DO233" i="1" a="1"/>
  <c r="DO233" i="1" s="1"/>
  <c r="DN233" i="1" a="1"/>
  <c r="DN233" i="1" s="1"/>
  <c r="DN143" i="1" a="1"/>
  <c r="DN143" i="1" s="1"/>
  <c r="DO143" i="1" a="1"/>
  <c r="DO143" i="1" s="1"/>
  <c r="DO176" i="1" a="1"/>
  <c r="DO176" i="1" s="1"/>
  <c r="DN176" i="1" a="1"/>
  <c r="DN176" i="1" s="1"/>
  <c r="DN120" i="1" a="1"/>
  <c r="DN120" i="1" s="1"/>
  <c r="DO120" i="1" a="1"/>
  <c r="DO120" i="1" s="1"/>
  <c r="DN60" i="1" a="1"/>
  <c r="DN60" i="1" s="1"/>
  <c r="DO60" i="1" a="1"/>
  <c r="DO60" i="1" s="1"/>
  <c r="DN18" i="1" a="1"/>
  <c r="DN18" i="1" s="1"/>
  <c r="DO18" i="1" a="1"/>
  <c r="DO18" i="1" s="1"/>
  <c r="DN117" i="1" a="1"/>
  <c r="DN117" i="1" s="1"/>
  <c r="DO117" i="1" a="1"/>
  <c r="DO117" i="1" s="1"/>
  <c r="DO188" i="1" a="1"/>
  <c r="DO188" i="1" s="1"/>
  <c r="DN188" i="1" a="1"/>
  <c r="DN188" i="1" s="1"/>
  <c r="DN96" i="1" a="1"/>
  <c r="DN96" i="1" s="1"/>
  <c r="DO96" i="1" a="1"/>
  <c r="DO96" i="1" s="1"/>
  <c r="DN180" i="1" a="1"/>
  <c r="DN180" i="1" s="1"/>
  <c r="DO180" i="1" a="1"/>
  <c r="DO180" i="1" s="1"/>
  <c r="DN103" i="1" a="1"/>
  <c r="DN103" i="1" s="1"/>
  <c r="DO103" i="1" a="1"/>
  <c r="DO103" i="1" s="1"/>
  <c r="DN76" i="1" a="1"/>
  <c r="DN76" i="1" s="1"/>
  <c r="DO76" i="1" a="1"/>
  <c r="DO76" i="1" s="1"/>
  <c r="DN268" i="1" a="1"/>
  <c r="DN268" i="1" s="1"/>
  <c r="DO268" i="1" a="1"/>
  <c r="DO268" i="1" s="1"/>
  <c r="DN75" i="1" a="1"/>
  <c r="DN75" i="1" s="1"/>
  <c r="DO75" i="1" a="1"/>
  <c r="DO75" i="1" s="1"/>
  <c r="DN135" i="1" a="1"/>
  <c r="DN135" i="1" s="1"/>
  <c r="DO135" i="1" a="1"/>
  <c r="DO135" i="1" s="1"/>
  <c r="DN29" i="1" a="1"/>
  <c r="DN29" i="1" s="1"/>
  <c r="DO29" i="1" a="1"/>
  <c r="DO29" i="1" s="1"/>
  <c r="DN262" i="1" a="1"/>
  <c r="DN262" i="1" s="1"/>
  <c r="DO262" i="1" a="1"/>
  <c r="DO262" i="1" s="1"/>
  <c r="DN167" i="1" a="1"/>
  <c r="DN167" i="1" s="1"/>
  <c r="DO167" i="1" a="1"/>
  <c r="DO167" i="1" s="1"/>
  <c r="DN128" i="1" a="1"/>
  <c r="DN128" i="1" s="1"/>
  <c r="DO128" i="1" a="1"/>
  <c r="DO128" i="1" s="1"/>
  <c r="DN65" i="1" a="1"/>
  <c r="DN65" i="1" s="1"/>
  <c r="DO65" i="1" a="1"/>
  <c r="DO65" i="1" s="1"/>
  <c r="DO214" i="1" a="1"/>
  <c r="DO214" i="1" s="1"/>
  <c r="DN214" i="1" a="1"/>
  <c r="DN214" i="1" s="1"/>
  <c r="DN157" i="1" a="1"/>
  <c r="DN157" i="1" s="1"/>
  <c r="DO157" i="1" a="1"/>
  <c r="DO157" i="1" s="1"/>
  <c r="DO15" i="1" a="1"/>
  <c r="DO15" i="1" s="1"/>
  <c r="DN15" i="1" a="1"/>
  <c r="DN15" i="1" s="1"/>
  <c r="DN159" i="1" a="1"/>
  <c r="DN159" i="1" s="1"/>
  <c r="DO159" i="1" a="1"/>
  <c r="DO159" i="1" s="1"/>
  <c r="DO218" i="1" a="1"/>
  <c r="DO218" i="1" s="1"/>
  <c r="DN218" i="1" a="1"/>
  <c r="DN218" i="1" s="1"/>
  <c r="DX180" i="1" l="1"/>
  <c r="DX90" i="1"/>
  <c r="DX7" i="1"/>
  <c r="DQ113" i="1"/>
  <c r="DQ258" i="1"/>
  <c r="DX258" i="1"/>
  <c r="DX113" i="1"/>
  <c r="DR14" i="1"/>
  <c r="DR127" i="1"/>
  <c r="DR124" i="1"/>
  <c r="DX127" i="1"/>
  <c r="DS127" i="1"/>
  <c r="DS210" i="1"/>
  <c r="DS112" i="1"/>
  <c r="DR95" i="1"/>
  <c r="DX210" i="1"/>
  <c r="DS13" i="1"/>
  <c r="DS209" i="1"/>
  <c r="DX13" i="1"/>
  <c r="DR210" i="1"/>
  <c r="DR13" i="1"/>
  <c r="DS95" i="1"/>
  <c r="DX95" i="1"/>
  <c r="DX209" i="1"/>
  <c r="DS79" i="1"/>
  <c r="DX124" i="1"/>
  <c r="DS250" i="1"/>
  <c r="DS124" i="1"/>
  <c r="DX79" i="1"/>
  <c r="DR209" i="1"/>
  <c r="DX250" i="1"/>
  <c r="DR55" i="1"/>
  <c r="DR115" i="1"/>
  <c r="DR256" i="1"/>
  <c r="DR78" i="1"/>
  <c r="DR68" i="1"/>
  <c r="DR186" i="1"/>
  <c r="DR175" i="1"/>
  <c r="DR153" i="1"/>
  <c r="DR116" i="1"/>
  <c r="DR79" i="1"/>
  <c r="DR46" i="1"/>
  <c r="DR92" i="1"/>
  <c r="DR219" i="1"/>
  <c r="DR173" i="1"/>
  <c r="DR90" i="1"/>
  <c r="DR89" i="1"/>
  <c r="DR250" i="1"/>
  <c r="DR231" i="1"/>
  <c r="DR11" i="1"/>
  <c r="DR148" i="1"/>
  <c r="DR270" i="1"/>
  <c r="DR161" i="1"/>
  <c r="DR102" i="1"/>
  <c r="DR9" i="1"/>
  <c r="DR7" i="1"/>
  <c r="DR121" i="1"/>
  <c r="DR109" i="1"/>
  <c r="DX112" i="1"/>
  <c r="DR238" i="1"/>
  <c r="DR99" i="1"/>
  <c r="DR41" i="1"/>
  <c r="DR82" i="1"/>
  <c r="DR37" i="1"/>
  <c r="DR44" i="1"/>
  <c r="DR130" i="1"/>
  <c r="DR119" i="1"/>
  <c r="DR252" i="1"/>
  <c r="DR237" i="1"/>
  <c r="DR73" i="1"/>
  <c r="DR38" i="1"/>
  <c r="DR201" i="1"/>
  <c r="DR244" i="1"/>
  <c r="DR195" i="1"/>
  <c r="DR177" i="1"/>
  <c r="DR267" i="1"/>
  <c r="DQ267" i="1" s="1"/>
  <c r="DR112" i="1"/>
  <c r="DR183" i="1"/>
  <c r="DR179" i="1"/>
  <c r="DR203" i="1"/>
  <c r="DR54" i="1"/>
  <c r="DR32" i="1"/>
  <c r="DR211" i="1"/>
  <c r="DR246" i="1"/>
  <c r="DR105" i="1"/>
  <c r="DR249" i="1"/>
  <c r="DR111" i="1"/>
  <c r="DR87" i="1"/>
  <c r="DR35" i="1"/>
  <c r="DR257" i="1"/>
  <c r="DR213" i="1"/>
  <c r="DR245" i="1"/>
  <c r="DR110" i="1"/>
  <c r="DR144" i="1"/>
  <c r="DR80" i="1"/>
  <c r="DR229" i="1"/>
  <c r="DR123" i="1"/>
  <c r="DR154" i="1"/>
  <c r="DR236" i="1"/>
  <c r="DR193" i="1"/>
  <c r="DR165" i="1"/>
  <c r="DR43" i="1"/>
  <c r="DR234" i="1"/>
  <c r="DR241" i="1"/>
  <c r="DR93" i="1"/>
  <c r="DR16" i="1"/>
  <c r="DR106" i="1"/>
  <c r="DR217" i="1"/>
  <c r="DR227" i="1"/>
  <c r="DR53" i="1"/>
  <c r="DR260" i="1"/>
  <c r="DR248" i="1"/>
  <c r="DR114" i="1"/>
  <c r="DR34" i="1"/>
  <c r="DR131" i="1"/>
  <c r="DR108" i="1"/>
  <c r="DR23" i="1"/>
  <c r="DR22" i="1"/>
  <c r="DR125" i="1"/>
  <c r="DR101" i="1"/>
  <c r="DR199" i="1"/>
  <c r="DR197" i="1"/>
  <c r="DR21" i="1"/>
  <c r="DR253" i="1"/>
  <c r="DR132" i="1"/>
  <c r="DR96" i="1"/>
  <c r="DR77" i="1"/>
  <c r="DR45" i="1"/>
  <c r="DR254" i="1"/>
  <c r="DR71" i="1"/>
  <c r="DR147" i="1"/>
  <c r="DR122" i="1"/>
  <c r="DR20" i="1"/>
  <c r="DR136" i="1"/>
  <c r="DR141" i="1"/>
  <c r="DR146" i="1"/>
  <c r="DR171" i="1"/>
  <c r="DR52" i="1"/>
  <c r="DR187" i="1"/>
  <c r="DR65" i="1"/>
  <c r="DR215" i="1"/>
  <c r="DR69" i="1"/>
  <c r="DR189" i="1"/>
  <c r="DR91" i="1"/>
  <c r="DR27" i="1"/>
  <c r="DR184" i="1"/>
  <c r="DR39" i="1"/>
  <c r="DR242" i="1"/>
  <c r="DR261" i="1"/>
  <c r="DR85" i="1"/>
  <c r="DR117" i="1"/>
  <c r="DR235" i="1"/>
  <c r="DR62" i="1"/>
  <c r="DR98" i="1"/>
  <c r="DR225" i="1"/>
  <c r="DR143" i="1"/>
  <c r="DR126" i="1"/>
  <c r="DR15" i="1"/>
  <c r="DR233" i="1"/>
  <c r="DR222" i="1"/>
  <c r="DR226" i="1"/>
  <c r="DR8" i="1"/>
  <c r="DR216" i="1"/>
  <c r="DR220" i="1"/>
  <c r="DR162" i="1"/>
  <c r="DR33" i="1"/>
  <c r="DR200" i="1"/>
  <c r="DR164" i="1"/>
  <c r="DR74" i="1"/>
  <c r="DR263" i="1"/>
  <c r="DR269" i="1"/>
  <c r="DR17" i="1"/>
  <c r="DR166" i="1"/>
  <c r="DR208" i="1"/>
  <c r="DR88" i="1"/>
  <c r="DR172" i="1"/>
  <c r="DR128" i="1"/>
  <c r="DR135" i="1"/>
  <c r="DR103" i="1"/>
  <c r="DR60" i="1"/>
  <c r="DR232" i="1"/>
  <c r="DR48" i="1"/>
  <c r="DR104" i="1"/>
  <c r="DR100" i="1"/>
  <c r="DR221" i="1"/>
  <c r="DR169" i="1"/>
  <c r="DR223" i="1"/>
  <c r="DR140" i="1"/>
  <c r="DR151" i="1"/>
  <c r="DR264" i="1"/>
  <c r="DR107" i="1"/>
  <c r="DR188" i="1"/>
  <c r="DR134" i="1"/>
  <c r="DR118" i="1"/>
  <c r="DR150" i="1"/>
  <c r="DR194" i="1"/>
  <c r="DR26" i="1"/>
  <c r="DR10" i="1"/>
  <c r="DR31" i="1"/>
  <c r="DR137" i="1"/>
  <c r="DR168" i="1"/>
  <c r="DR58" i="1"/>
  <c r="DR247" i="1"/>
  <c r="DR190" i="1"/>
  <c r="DR182" i="1"/>
  <c r="DR63" i="1"/>
  <c r="DR191" i="1"/>
  <c r="DR142" i="1"/>
  <c r="DR243" i="1"/>
  <c r="DR42" i="1"/>
  <c r="DR228" i="1"/>
  <c r="DR81" i="1"/>
  <c r="DR196" i="1"/>
  <c r="DR70" i="1"/>
  <c r="DR19" i="1"/>
  <c r="DR178" i="1"/>
  <c r="DR224" i="1"/>
  <c r="DR230" i="1"/>
  <c r="DR145" i="1"/>
  <c r="DR24" i="1"/>
  <c r="DR47" i="1"/>
  <c r="DR198" i="1"/>
  <c r="DR156" i="1"/>
  <c r="DR202" i="1"/>
  <c r="DR206" i="1"/>
  <c r="DR218" i="1"/>
  <c r="DR214" i="1"/>
  <c r="DR176" i="1"/>
  <c r="DR174" i="1"/>
  <c r="DR72" i="1"/>
  <c r="DR255" i="1"/>
  <c r="DR266" i="1"/>
  <c r="DR152" i="1"/>
  <c r="DR251" i="1"/>
  <c r="DR40" i="1"/>
  <c r="DR212" i="1"/>
  <c r="DR170" i="1"/>
  <c r="DR204" i="1"/>
  <c r="DR192" i="1"/>
  <c r="DR129" i="1"/>
  <c r="DR259" i="1"/>
  <c r="DR239" i="1"/>
  <c r="DR56" i="1"/>
  <c r="DR49" i="1"/>
  <c r="DR160" i="1"/>
  <c r="DR158" i="1"/>
  <c r="DR262" i="1"/>
  <c r="DR185" i="1"/>
  <c r="DR51" i="1"/>
  <c r="DR97" i="1"/>
  <c r="DR94" i="1"/>
  <c r="DR59" i="1"/>
  <c r="DR66" i="1"/>
  <c r="DR240" i="1"/>
  <c r="DR61" i="1"/>
  <c r="DR155" i="1"/>
  <c r="DR205" i="1"/>
  <c r="DR207" i="1"/>
  <c r="DR86" i="1"/>
  <c r="DR268" i="1"/>
  <c r="DR138" i="1"/>
  <c r="DR139" i="1"/>
  <c r="DR30" i="1"/>
  <c r="DR149" i="1"/>
  <c r="DR36" i="1"/>
  <c r="DR181" i="1"/>
  <c r="DR64" i="1"/>
  <c r="DR163" i="1"/>
  <c r="DR67" i="1"/>
  <c r="DR28" i="1"/>
  <c r="DR50" i="1"/>
  <c r="DR83" i="1"/>
  <c r="DR12" i="1"/>
  <c r="DR265" i="1"/>
  <c r="DR57" i="1"/>
  <c r="DR159" i="1"/>
  <c r="DR157" i="1"/>
  <c r="DR167" i="1"/>
  <c r="DR29" i="1"/>
  <c r="DR75" i="1"/>
  <c r="DR76" i="1"/>
  <c r="DR180" i="1"/>
  <c r="DR18" i="1"/>
  <c r="DR120" i="1"/>
  <c r="DR133" i="1"/>
  <c r="DR271" i="1"/>
  <c r="DR84" i="1"/>
  <c r="DX267" i="1"/>
  <c r="DS270" i="1"/>
  <c r="DX270" i="1"/>
  <c r="DS190" i="1"/>
  <c r="DX190" i="1"/>
  <c r="DS68" i="1"/>
  <c r="DX68" i="1"/>
  <c r="DS101" i="1"/>
  <c r="DX101" i="1"/>
  <c r="DS108" i="1"/>
  <c r="DX108" i="1"/>
  <c r="DS70" i="1"/>
  <c r="DX70" i="1"/>
  <c r="DS218" i="1"/>
  <c r="DX218" i="1"/>
  <c r="DS152" i="1"/>
  <c r="DX152" i="1"/>
  <c r="DS76" i="1"/>
  <c r="DX76" i="1"/>
  <c r="DS213" i="1"/>
  <c r="DX213" i="1"/>
  <c r="DS191" i="1"/>
  <c r="DX191" i="1"/>
  <c r="DS65" i="1"/>
  <c r="DX65" i="1"/>
  <c r="DS167" i="1"/>
  <c r="DX167" i="1"/>
  <c r="DS176" i="1"/>
  <c r="DX176" i="1"/>
  <c r="DS204" i="1"/>
  <c r="DX204" i="1"/>
  <c r="DS151" i="1"/>
  <c r="DX151" i="1"/>
  <c r="DS199" i="1"/>
  <c r="DX199" i="1"/>
  <c r="DS181" i="1"/>
  <c r="DX181" i="1"/>
  <c r="DS222" i="1"/>
  <c r="DX222" i="1"/>
  <c r="DS219" i="1"/>
  <c r="DX219" i="1"/>
  <c r="DS111" i="1"/>
  <c r="DX111" i="1"/>
  <c r="DS93" i="1"/>
  <c r="DX93" i="1"/>
  <c r="DS78" i="1"/>
  <c r="DX78" i="1"/>
  <c r="DS220" i="1"/>
  <c r="DX220" i="1"/>
  <c r="DS221" i="1"/>
  <c r="DX221" i="1"/>
  <c r="DS38" i="1"/>
  <c r="DX38" i="1"/>
  <c r="DS36" i="1"/>
  <c r="DX36" i="1"/>
  <c r="DS116" i="1"/>
  <c r="DX116" i="1"/>
  <c r="DS120" i="1"/>
  <c r="DX120" i="1"/>
  <c r="DS100" i="1"/>
  <c r="DX100" i="1"/>
  <c r="DS212" i="1"/>
  <c r="DX212" i="1"/>
  <c r="DS195" i="1"/>
  <c r="DX195" i="1"/>
  <c r="DS198" i="1"/>
  <c r="DX198" i="1"/>
  <c r="DS56" i="1"/>
  <c r="DX56" i="1"/>
  <c r="DS45" i="1"/>
  <c r="DX45" i="1"/>
  <c r="DS28" i="1"/>
  <c r="DX28" i="1"/>
  <c r="DS88" i="1"/>
  <c r="DX88" i="1"/>
  <c r="DS214" i="1"/>
  <c r="DX214" i="1"/>
  <c r="DS255" i="1"/>
  <c r="DX255" i="1"/>
  <c r="DS148" i="1"/>
  <c r="DX148" i="1"/>
  <c r="DS147" i="1"/>
  <c r="DX147" i="1"/>
  <c r="DS138" i="1"/>
  <c r="DX138" i="1"/>
  <c r="DS177" i="1"/>
  <c r="DX177" i="1"/>
  <c r="DS203" i="1"/>
  <c r="DX203" i="1"/>
  <c r="DS67" i="1"/>
  <c r="DX67" i="1"/>
  <c r="DS58" i="1"/>
  <c r="DX58" i="1"/>
  <c r="DS89" i="1"/>
  <c r="DX89" i="1"/>
  <c r="DS133" i="1"/>
  <c r="DX133" i="1"/>
  <c r="DS266" i="1"/>
  <c r="DX266" i="1"/>
  <c r="DS202" i="1"/>
  <c r="DX202" i="1"/>
  <c r="DS232" i="1"/>
  <c r="DX232" i="1"/>
  <c r="DS249" i="1"/>
  <c r="DX249" i="1"/>
  <c r="DS235" i="1"/>
  <c r="DX235" i="1"/>
  <c r="DS261" i="1"/>
  <c r="DX261" i="1"/>
  <c r="DS239" i="1"/>
  <c r="DX239" i="1"/>
  <c r="DS259" i="1"/>
  <c r="DX259" i="1"/>
  <c r="DS237" i="1"/>
  <c r="DX237" i="1"/>
  <c r="DS129" i="1"/>
  <c r="DX129" i="1"/>
  <c r="DS10" i="1"/>
  <c r="DX10" i="1"/>
  <c r="DS139" i="1"/>
  <c r="DX139" i="1"/>
  <c r="DS175" i="1"/>
  <c r="DX175" i="1"/>
  <c r="DS211" i="1"/>
  <c r="DX211" i="1"/>
  <c r="DS49" i="1"/>
  <c r="DX49" i="1"/>
  <c r="DS83" i="1"/>
  <c r="DX83" i="1"/>
  <c r="DS37" i="1"/>
  <c r="DX37" i="1"/>
  <c r="DS46" i="1"/>
  <c r="DX46" i="1"/>
  <c r="DS30" i="1"/>
  <c r="DX30" i="1"/>
  <c r="DS215" i="1"/>
  <c r="DX215" i="1"/>
  <c r="DS179" i="1"/>
  <c r="DX179" i="1"/>
  <c r="DS96" i="1"/>
  <c r="DX96" i="1"/>
  <c r="DS131" i="1"/>
  <c r="DX131" i="1"/>
  <c r="DS128" i="1"/>
  <c r="DX128" i="1"/>
  <c r="DS122" i="1"/>
  <c r="DX122" i="1"/>
  <c r="DS119" i="1"/>
  <c r="DX119" i="1"/>
  <c r="DS189" i="1"/>
  <c r="DX189" i="1"/>
  <c r="DS162" i="1"/>
  <c r="DX162" i="1"/>
  <c r="DS71" i="1"/>
  <c r="DX71" i="1"/>
  <c r="DS98" i="1"/>
  <c r="DX98" i="1"/>
  <c r="DS132" i="1"/>
  <c r="DX132" i="1"/>
  <c r="DS69" i="1"/>
  <c r="DX69" i="1"/>
  <c r="DS121" i="1"/>
  <c r="DX121" i="1"/>
  <c r="DS205" i="1"/>
  <c r="DX205" i="1"/>
  <c r="DS21" i="1"/>
  <c r="DX21" i="1"/>
  <c r="DS216" i="1"/>
  <c r="DX216" i="1"/>
  <c r="DS145" i="1"/>
  <c r="DX145" i="1"/>
  <c r="DS41" i="1"/>
  <c r="DX41" i="1"/>
  <c r="DS102" i="1"/>
  <c r="DX102" i="1"/>
  <c r="DS27" i="1"/>
  <c r="DX27" i="1"/>
  <c r="DS174" i="1"/>
  <c r="DX174" i="1"/>
  <c r="DS92" i="1"/>
  <c r="DX92" i="1"/>
  <c r="DS156" i="1"/>
  <c r="DX156" i="1"/>
  <c r="DS130" i="1"/>
  <c r="DX130" i="1"/>
  <c r="DS84" i="1"/>
  <c r="DX84" i="1"/>
  <c r="DS125" i="1"/>
  <c r="DX125" i="1"/>
  <c r="DS97" i="1"/>
  <c r="DX97" i="1"/>
  <c r="DS99" i="1"/>
  <c r="DX99" i="1"/>
  <c r="DS62" i="1"/>
  <c r="DX62" i="1"/>
  <c r="DS7" i="1"/>
  <c r="DS17" i="1"/>
  <c r="DX17" i="1"/>
  <c r="DS82" i="1"/>
  <c r="DX82" i="1"/>
  <c r="DS172" i="1"/>
  <c r="DX172" i="1"/>
  <c r="DS107" i="1"/>
  <c r="DX107" i="1"/>
  <c r="DS105" i="1"/>
  <c r="DX105" i="1"/>
  <c r="DS118" i="1"/>
  <c r="DX118" i="1"/>
  <c r="DS136" i="1"/>
  <c r="DX136" i="1"/>
  <c r="DS196" i="1"/>
  <c r="DX196" i="1"/>
  <c r="DS12" i="1"/>
  <c r="DX12" i="1"/>
  <c r="DS231" i="1"/>
  <c r="DX231" i="1"/>
  <c r="DS224" i="1"/>
  <c r="DX224" i="1"/>
  <c r="DS253" i="1"/>
  <c r="DX253" i="1"/>
  <c r="DS247" i="1"/>
  <c r="DX247" i="1"/>
  <c r="DS226" i="1"/>
  <c r="DX226" i="1"/>
  <c r="DS256" i="1"/>
  <c r="DX256" i="1"/>
  <c r="DS230" i="1"/>
  <c r="DX230" i="1"/>
  <c r="DS262" i="1"/>
  <c r="DX262" i="1"/>
  <c r="DS248" i="1"/>
  <c r="DX248" i="1"/>
  <c r="DS254" i="1"/>
  <c r="DX254" i="1"/>
  <c r="DS268" i="1"/>
  <c r="DX268" i="1"/>
  <c r="DS161" i="1"/>
  <c r="DX161" i="1"/>
  <c r="DS197" i="1"/>
  <c r="DX197" i="1"/>
  <c r="DS206" i="1"/>
  <c r="DX206" i="1"/>
  <c r="DS194" i="1"/>
  <c r="DX194" i="1"/>
  <c r="DS170" i="1"/>
  <c r="DX170" i="1"/>
  <c r="DS81" i="1"/>
  <c r="DX81" i="1"/>
  <c r="DS29" i="1"/>
  <c r="DX29" i="1"/>
  <c r="DS137" i="1"/>
  <c r="DX137" i="1"/>
  <c r="DS20" i="1"/>
  <c r="DX20" i="1"/>
  <c r="DS50" i="1"/>
  <c r="DX50" i="1"/>
  <c r="DS31" i="1"/>
  <c r="DX31" i="1"/>
  <c r="DS184" i="1"/>
  <c r="DX184" i="1"/>
  <c r="DS103" i="1"/>
  <c r="DX103" i="1"/>
  <c r="DS153" i="1"/>
  <c r="DX153" i="1"/>
  <c r="DS9" i="1"/>
  <c r="DX9" i="1"/>
  <c r="DS23" i="1"/>
  <c r="DX23" i="1"/>
  <c r="DS188" i="1"/>
  <c r="DX188" i="1"/>
  <c r="DS200" i="1"/>
  <c r="DX200" i="1"/>
  <c r="DS168" i="1"/>
  <c r="DX168" i="1"/>
  <c r="DS144" i="1"/>
  <c r="DX144" i="1"/>
  <c r="DS72" i="1"/>
  <c r="DX72" i="1"/>
  <c r="DS123" i="1"/>
  <c r="DX123" i="1"/>
  <c r="DS155" i="1"/>
  <c r="DX155" i="1"/>
  <c r="DS166" i="1"/>
  <c r="DX166" i="1"/>
  <c r="DS186" i="1"/>
  <c r="DX186" i="1"/>
  <c r="DS185" i="1"/>
  <c r="DX185" i="1"/>
  <c r="DS187" i="1"/>
  <c r="DX187" i="1"/>
  <c r="DS159" i="1"/>
  <c r="DX159" i="1"/>
  <c r="DS164" i="1"/>
  <c r="DX164" i="1"/>
  <c r="DS24" i="1"/>
  <c r="DX24" i="1"/>
  <c r="DS143" i="1"/>
  <c r="DX143" i="1"/>
  <c r="DS59" i="1"/>
  <c r="DX59" i="1"/>
  <c r="DS114" i="1"/>
  <c r="DX114" i="1"/>
  <c r="DS8" i="1"/>
  <c r="DX8" i="1"/>
  <c r="DS223" i="1"/>
  <c r="DX223" i="1"/>
  <c r="DS51" i="1"/>
  <c r="DX51" i="1"/>
  <c r="DS85" i="1"/>
  <c r="DX85" i="1"/>
  <c r="DS141" i="1"/>
  <c r="DX141" i="1"/>
  <c r="DS39" i="1"/>
  <c r="DX39" i="1"/>
  <c r="DS11" i="1"/>
  <c r="DX11" i="1"/>
  <c r="DS106" i="1"/>
  <c r="DX106" i="1"/>
  <c r="DS57" i="1"/>
  <c r="DX57" i="1"/>
  <c r="DS193" i="1"/>
  <c r="DX193" i="1"/>
  <c r="DS178" i="1"/>
  <c r="DX178" i="1"/>
  <c r="DS32" i="1"/>
  <c r="DX32" i="1"/>
  <c r="DS14" i="1"/>
  <c r="DX14" i="1"/>
  <c r="DS64" i="1"/>
  <c r="DX64" i="1"/>
  <c r="DS163" i="1"/>
  <c r="DX163" i="1"/>
  <c r="DS154" i="1"/>
  <c r="DX154" i="1"/>
  <c r="DS19" i="1"/>
  <c r="DX19" i="1"/>
  <c r="DS91" i="1"/>
  <c r="DX91" i="1"/>
  <c r="DS117" i="1"/>
  <c r="DX117" i="1"/>
  <c r="DS257" i="1"/>
  <c r="DX257" i="1"/>
  <c r="DS243" i="1"/>
  <c r="DX243" i="1"/>
  <c r="DS260" i="1"/>
  <c r="DX260" i="1"/>
  <c r="DS228" i="1"/>
  <c r="DX228" i="1"/>
  <c r="DS263" i="1"/>
  <c r="DX263" i="1"/>
  <c r="DS227" i="1"/>
  <c r="DX227" i="1"/>
  <c r="DS240" i="1"/>
  <c r="DX240" i="1"/>
  <c r="DS234" i="1"/>
  <c r="DX234" i="1"/>
  <c r="DS225" i="1"/>
  <c r="DX225" i="1"/>
  <c r="DS233" i="1"/>
  <c r="DX233" i="1"/>
  <c r="DS265" i="1"/>
  <c r="DX265" i="1"/>
  <c r="DS160" i="1"/>
  <c r="DX160" i="1"/>
  <c r="DS63" i="1"/>
  <c r="DX63" i="1"/>
  <c r="DS40" i="1"/>
  <c r="DX40" i="1"/>
  <c r="DS104" i="1"/>
  <c r="DX104" i="1"/>
  <c r="DS25" i="1"/>
  <c r="DQ25" i="1" s="1"/>
  <c r="DX25" i="1"/>
  <c r="DS242" i="1"/>
  <c r="DX242" i="1"/>
  <c r="DS252" i="1"/>
  <c r="DX252" i="1"/>
  <c r="DS171" i="1"/>
  <c r="DX171" i="1"/>
  <c r="DS173" i="1"/>
  <c r="DX173" i="1"/>
  <c r="DS55" i="1"/>
  <c r="DX55" i="1"/>
  <c r="DS44" i="1"/>
  <c r="DX44" i="1"/>
  <c r="DS53" i="1"/>
  <c r="DX53" i="1"/>
  <c r="DS110" i="1"/>
  <c r="DX110" i="1"/>
  <c r="DS157" i="1"/>
  <c r="DX157" i="1"/>
  <c r="DS126" i="1"/>
  <c r="DX126" i="1"/>
  <c r="DS180" i="1"/>
  <c r="DS142" i="1"/>
  <c r="DX142" i="1"/>
  <c r="DS61" i="1"/>
  <c r="DX61" i="1"/>
  <c r="DS22" i="1"/>
  <c r="DX22" i="1"/>
  <c r="DS73" i="1"/>
  <c r="DX73" i="1"/>
  <c r="DS35" i="1"/>
  <c r="DX35" i="1"/>
  <c r="DS165" i="1"/>
  <c r="DX165" i="1"/>
  <c r="DS26" i="1"/>
  <c r="DX26" i="1"/>
  <c r="DS90" i="1"/>
  <c r="DS74" i="1"/>
  <c r="DX74" i="1"/>
  <c r="DS86" i="1"/>
  <c r="DX86" i="1"/>
  <c r="DS208" i="1"/>
  <c r="DX208" i="1"/>
  <c r="DS146" i="1"/>
  <c r="DX146" i="1"/>
  <c r="DS80" i="1"/>
  <c r="DX80" i="1"/>
  <c r="DS33" i="1"/>
  <c r="DX33" i="1"/>
  <c r="DS42" i="1"/>
  <c r="DX42" i="1"/>
  <c r="DS149" i="1"/>
  <c r="DX149" i="1"/>
  <c r="DS134" i="1"/>
  <c r="DX134" i="1"/>
  <c r="DS18" i="1"/>
  <c r="DX18" i="1"/>
  <c r="DS207" i="1"/>
  <c r="DX207" i="1"/>
  <c r="DS192" i="1"/>
  <c r="DX192" i="1"/>
  <c r="DS135" i="1"/>
  <c r="DX135" i="1"/>
  <c r="DS77" i="1"/>
  <c r="DX77" i="1"/>
  <c r="DS54" i="1"/>
  <c r="DX54" i="1"/>
  <c r="DS109" i="1"/>
  <c r="DX109" i="1"/>
  <c r="DS43" i="1"/>
  <c r="DX43" i="1"/>
  <c r="DS15" i="1"/>
  <c r="DX15" i="1"/>
  <c r="DS60" i="1"/>
  <c r="DX60" i="1"/>
  <c r="DS183" i="1"/>
  <c r="DX183" i="1"/>
  <c r="DS201" i="1"/>
  <c r="DX201" i="1"/>
  <c r="DS217" i="1"/>
  <c r="DX217" i="1"/>
  <c r="DS16" i="1"/>
  <c r="DX16" i="1"/>
  <c r="DS150" i="1"/>
  <c r="DX150" i="1"/>
  <c r="DS47" i="1"/>
  <c r="DX47" i="1"/>
  <c r="DS115" i="1"/>
  <c r="DX115" i="1"/>
  <c r="DS87" i="1"/>
  <c r="DX87" i="1"/>
  <c r="DS94" i="1"/>
  <c r="DX94" i="1"/>
  <c r="DS169" i="1"/>
  <c r="DX169" i="1"/>
  <c r="DS269" i="1"/>
  <c r="DX269" i="1"/>
  <c r="DS236" i="1"/>
  <c r="DX236" i="1"/>
  <c r="DS271" i="1"/>
  <c r="DX271" i="1"/>
  <c r="DS241" i="1"/>
  <c r="DX241" i="1"/>
  <c r="DS264" i="1"/>
  <c r="DX264" i="1"/>
  <c r="DS246" i="1"/>
  <c r="DX246" i="1"/>
  <c r="DS229" i="1"/>
  <c r="DX229" i="1"/>
  <c r="DS244" i="1"/>
  <c r="DX244" i="1"/>
  <c r="DS251" i="1"/>
  <c r="DX251" i="1"/>
  <c r="DS238" i="1"/>
  <c r="DX238" i="1"/>
  <c r="DS245" i="1"/>
  <c r="DX245" i="1"/>
  <c r="DS75" i="1"/>
  <c r="DX75" i="1"/>
  <c r="DS48" i="1"/>
  <c r="DX48" i="1"/>
  <c r="DS182" i="1"/>
  <c r="DX182" i="1"/>
  <c r="DS34" i="1"/>
  <c r="DX34" i="1"/>
  <c r="DS158" i="1"/>
  <c r="DX158" i="1"/>
  <c r="DS52" i="1"/>
  <c r="DX52" i="1"/>
  <c r="DS66" i="1"/>
  <c r="DX66" i="1"/>
  <c r="DS140" i="1"/>
  <c r="DX140" i="1"/>
  <c r="DQ209" i="1" l="1"/>
  <c r="DQ13" i="1"/>
  <c r="DQ79" i="1"/>
  <c r="DQ112" i="1"/>
  <c r="DQ250" i="1"/>
  <c r="DQ127" i="1"/>
  <c r="DQ133" i="1"/>
  <c r="DQ138" i="1"/>
  <c r="DQ152" i="1"/>
  <c r="DQ205" i="1"/>
  <c r="DQ66" i="1"/>
  <c r="DQ51" i="1"/>
  <c r="DQ160" i="1"/>
  <c r="DQ259" i="1"/>
  <c r="DQ47" i="1"/>
  <c r="DQ196" i="1"/>
  <c r="DQ243" i="1"/>
  <c r="DQ182" i="1"/>
  <c r="DQ26" i="1"/>
  <c r="DQ134" i="1"/>
  <c r="DQ151" i="1"/>
  <c r="DQ128" i="1"/>
  <c r="DQ166" i="1"/>
  <c r="DQ74" i="1"/>
  <c r="DQ162" i="1"/>
  <c r="DQ226" i="1"/>
  <c r="DQ126" i="1"/>
  <c r="DQ261" i="1"/>
  <c r="DQ27" i="1"/>
  <c r="DQ215" i="1"/>
  <c r="DQ23" i="1"/>
  <c r="DQ227" i="1"/>
  <c r="DQ93" i="1"/>
  <c r="DQ123" i="1"/>
  <c r="DQ110" i="1"/>
  <c r="DQ35" i="1"/>
  <c r="DQ54" i="1"/>
  <c r="DQ244" i="1"/>
  <c r="DQ44" i="1"/>
  <c r="DQ99" i="1"/>
  <c r="DQ231" i="1"/>
  <c r="DQ173" i="1"/>
  <c r="DQ14" i="1"/>
  <c r="DQ76" i="1"/>
  <c r="DQ67" i="1"/>
  <c r="DQ224" i="1"/>
  <c r="DQ120" i="1"/>
  <c r="DQ75" i="1"/>
  <c r="DQ159" i="1"/>
  <c r="DQ83" i="1"/>
  <c r="DQ163" i="1"/>
  <c r="DQ149" i="1"/>
  <c r="DQ268" i="1"/>
  <c r="DQ155" i="1"/>
  <c r="DQ59" i="1"/>
  <c r="DQ185" i="1"/>
  <c r="DQ49" i="1"/>
  <c r="DQ129" i="1"/>
  <c r="DQ212" i="1"/>
  <c r="DQ266" i="1"/>
  <c r="DQ176" i="1"/>
  <c r="DQ202" i="1"/>
  <c r="DQ24" i="1"/>
  <c r="DQ178" i="1"/>
  <c r="DQ81" i="1"/>
  <c r="DQ142" i="1"/>
  <c r="DQ190" i="1"/>
  <c r="DQ137" i="1"/>
  <c r="DQ194" i="1"/>
  <c r="DQ188" i="1"/>
  <c r="DQ140" i="1"/>
  <c r="DQ100" i="1"/>
  <c r="DQ60" i="1"/>
  <c r="DQ172" i="1"/>
  <c r="DQ17" i="1"/>
  <c r="DQ164" i="1"/>
  <c r="DQ220" i="1"/>
  <c r="DQ222" i="1"/>
  <c r="DQ143" i="1"/>
  <c r="DQ235" i="1"/>
  <c r="DQ242" i="1"/>
  <c r="DQ91" i="1"/>
  <c r="DQ65" i="1"/>
  <c r="DQ146" i="1"/>
  <c r="DQ122" i="1"/>
  <c r="DQ45" i="1"/>
  <c r="DQ253" i="1"/>
  <c r="DQ101" i="1"/>
  <c r="DQ108" i="1"/>
  <c r="DQ248" i="1"/>
  <c r="DQ217" i="1"/>
  <c r="DQ241" i="1"/>
  <c r="DQ193" i="1"/>
  <c r="DQ229" i="1"/>
  <c r="DQ245" i="1"/>
  <c r="DQ87" i="1"/>
  <c r="DQ246" i="1"/>
  <c r="DQ203" i="1"/>
  <c r="DQ201" i="1"/>
  <c r="DQ252" i="1"/>
  <c r="DQ37" i="1"/>
  <c r="DQ238" i="1"/>
  <c r="DQ7" i="1"/>
  <c r="DQ270" i="1"/>
  <c r="DQ219" i="1"/>
  <c r="DQ116" i="1"/>
  <c r="DQ68" i="1"/>
  <c r="DQ55" i="1"/>
  <c r="DQ210" i="1"/>
  <c r="DQ12" i="1"/>
  <c r="DQ174" i="1"/>
  <c r="DQ168" i="1"/>
  <c r="DQ232" i="1"/>
  <c r="DQ20" i="1"/>
  <c r="DQ254" i="1"/>
  <c r="DQ199" i="1"/>
  <c r="DQ114" i="1"/>
  <c r="DQ237" i="1"/>
  <c r="DQ161" i="1"/>
  <c r="DQ115" i="1"/>
  <c r="DQ84" i="1"/>
  <c r="DQ18" i="1"/>
  <c r="DQ29" i="1"/>
  <c r="DQ57" i="1"/>
  <c r="DQ50" i="1"/>
  <c r="DQ64" i="1"/>
  <c r="DQ30" i="1"/>
  <c r="DQ86" i="1"/>
  <c r="DQ61" i="1"/>
  <c r="DQ94" i="1"/>
  <c r="DQ262" i="1"/>
  <c r="DQ56" i="1"/>
  <c r="DQ192" i="1"/>
  <c r="DQ40" i="1"/>
  <c r="DQ255" i="1"/>
  <c r="DQ214" i="1"/>
  <c r="DQ156" i="1"/>
  <c r="DQ145" i="1"/>
  <c r="DQ19" i="1"/>
  <c r="DQ228" i="1"/>
  <c r="DQ191" i="1"/>
  <c r="DQ247" i="1"/>
  <c r="DQ31" i="1"/>
  <c r="DQ150" i="1"/>
  <c r="DQ107" i="1"/>
  <c r="DQ223" i="1"/>
  <c r="DQ104" i="1"/>
  <c r="DQ103" i="1"/>
  <c r="DQ88" i="1"/>
  <c r="DQ269" i="1"/>
  <c r="DQ200" i="1"/>
  <c r="DQ216" i="1"/>
  <c r="DQ233" i="1"/>
  <c r="DQ225" i="1"/>
  <c r="DQ117" i="1"/>
  <c r="DQ39" i="1"/>
  <c r="DQ189" i="1"/>
  <c r="DQ187" i="1"/>
  <c r="DQ141" i="1"/>
  <c r="DQ147" i="1"/>
  <c r="DQ77" i="1"/>
  <c r="DQ21" i="1"/>
  <c r="DQ125" i="1"/>
  <c r="DQ131" i="1"/>
  <c r="DQ260" i="1"/>
  <c r="DQ106" i="1"/>
  <c r="DQ234" i="1"/>
  <c r="DQ236" i="1"/>
  <c r="DQ80" i="1"/>
  <c r="DQ213" i="1"/>
  <c r="DQ111" i="1"/>
  <c r="DQ211" i="1"/>
  <c r="DQ179" i="1"/>
  <c r="DQ177" i="1"/>
  <c r="DQ38" i="1"/>
  <c r="DQ119" i="1"/>
  <c r="DQ82" i="1"/>
  <c r="DQ9" i="1"/>
  <c r="DQ148" i="1"/>
  <c r="DQ89" i="1"/>
  <c r="DQ92" i="1"/>
  <c r="DQ153" i="1"/>
  <c r="DQ78" i="1"/>
  <c r="DQ95" i="1"/>
  <c r="DQ157" i="1"/>
  <c r="DQ36" i="1"/>
  <c r="DQ170" i="1"/>
  <c r="DQ206" i="1"/>
  <c r="DQ221" i="1"/>
  <c r="DQ62" i="1"/>
  <c r="DQ171" i="1"/>
  <c r="DQ132" i="1"/>
  <c r="DQ165" i="1"/>
  <c r="DQ105" i="1"/>
  <c r="DQ121" i="1"/>
  <c r="DQ186" i="1"/>
  <c r="DQ271" i="1"/>
  <c r="DQ180" i="1"/>
  <c r="DQ167" i="1"/>
  <c r="DQ265" i="1"/>
  <c r="DQ28" i="1"/>
  <c r="DQ181" i="1"/>
  <c r="DQ139" i="1"/>
  <c r="DQ207" i="1"/>
  <c r="DQ240" i="1"/>
  <c r="DQ97" i="1"/>
  <c r="DQ158" i="1"/>
  <c r="DQ239" i="1"/>
  <c r="DQ204" i="1"/>
  <c r="DQ251" i="1"/>
  <c r="DQ72" i="1"/>
  <c r="DQ218" i="1"/>
  <c r="DQ198" i="1"/>
  <c r="DQ230" i="1"/>
  <c r="DQ70" i="1"/>
  <c r="DQ42" i="1"/>
  <c r="DQ63" i="1"/>
  <c r="DQ58" i="1"/>
  <c r="DQ10" i="1"/>
  <c r="DQ118" i="1"/>
  <c r="DQ264" i="1"/>
  <c r="DQ169" i="1"/>
  <c r="DQ48" i="1"/>
  <c r="DQ135" i="1"/>
  <c r="DQ208" i="1"/>
  <c r="DQ263" i="1"/>
  <c r="DQ33" i="1"/>
  <c r="DQ8" i="1"/>
  <c r="DQ15" i="1"/>
  <c r="DQ98" i="1"/>
  <c r="DQ85" i="1"/>
  <c r="DQ184" i="1"/>
  <c r="DQ69" i="1"/>
  <c r="DQ52" i="1"/>
  <c r="DQ136" i="1"/>
  <c r="DQ71" i="1"/>
  <c r="DQ96" i="1"/>
  <c r="DQ197" i="1"/>
  <c r="DQ22" i="1"/>
  <c r="DQ34" i="1"/>
  <c r="DQ53" i="1"/>
  <c r="DQ16" i="1"/>
  <c r="DQ43" i="1"/>
  <c r="DQ154" i="1"/>
  <c r="DQ144" i="1"/>
  <c r="DQ257" i="1"/>
  <c r="DQ249" i="1"/>
  <c r="DQ32" i="1"/>
  <c r="DQ183" i="1"/>
  <c r="DQ195" i="1"/>
  <c r="DQ73" i="1"/>
  <c r="DQ130" i="1"/>
  <c r="DQ41" i="1"/>
  <c r="DQ109" i="1"/>
  <c r="DQ102" i="1"/>
  <c r="DQ11" i="1"/>
  <c r="DQ90" i="1"/>
  <c r="DQ46" i="1"/>
  <c r="DQ175" i="1"/>
  <c r="DQ256" i="1"/>
  <c r="DQ1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<sst xmlns="http://schemas.openxmlformats.org/spreadsheetml/2006/main" count="1446" uniqueCount="1138">
  <si>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</si>
  <si>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</si>
  <si>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</si>
  <si>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</si>
  <si>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</si>
  <si>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</si>
  <si>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</si>
  <si>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</si>
  <si>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</si>
  <si>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</si>
  <si>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</si>
  <si>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</si>
  <si>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</si>
  <si>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</si>
  <si>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</si>
  <si>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</si>
  <si>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</si>
  <si>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</si>
  <si>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</si>
  <si>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</si>
  <si>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</si>
  <si>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</si>
  <si>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</si>
  <si>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</si>
  <si>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</si>
  <si>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</si>
  <si>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</si>
  <si>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</si>
  <si>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</si>
  <si>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</si>
  <si>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</si>
  <si>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</si>
  <si>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</si>
  <si>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</si>
  <si>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</si>
  <si>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</si>
  <si>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</si>
  <si>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</si>
  <si>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</si>
  <si>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</si>
  <si>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</si>
  <si>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</si>
  <si>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</si>
  <si>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</si>
  <si>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</si>
  <si>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</si>
  <si>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</si>
  <si>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</si>
  <si>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</si>
  <si>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</si>
  <si>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</si>
  <si>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</si>
  <si>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</si>
  <si>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</si>
  <si>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</si>
  <si>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</si>
  <si>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</si>
  <si>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</si>
  <si>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</si>
  <si>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</si>
  <si>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</si>
  <si>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</si>
  <si>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</si>
  <si>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</si>
  <si>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</si>
  <si>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</si>
  <si>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</si>
  <si>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</si>
  <si>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</si>
  <si>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</si>
  <si>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</si>
  <si>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</si>
  <si>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</si>
  <si>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</si>
  <si>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</si>
  <si>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</si>
  <si>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</si>
  <si>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</si>
  <si>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</si>
  <si>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</si>
  <si>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</si>
  <si>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</si>
  <si>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</si>
  <si>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</si>
  <si>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</si>
  <si>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</si>
  <si>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</si>
  <si>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</si>
  <si>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</si>
  <si>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</si>
  <si>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</si>
  <si>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</si>
  <si>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</si>
  <si>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</si>
  <si>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</si>
  <si>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</si>
  <si>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</si>
  <si>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</si>
  <si>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</si>
  <si>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</si>
  <si>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</si>
  <si>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</si>
  <si>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</si>
  <si>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</si>
  <si>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</si>
  <si>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</si>
  <si>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</si>
  <si>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</si>
  <si>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</si>
  <si>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</si>
  <si>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</si>
  <si>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</si>
  <si>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</si>
  <si>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</si>
  <si>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</si>
  <si>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</si>
  <si>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</si>
  <si>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</si>
  <si>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</si>
  <si>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</si>
  <si>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</si>
  <si>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</si>
  <si>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</si>
  <si>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</si>
  <si>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</si>
  <si>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</si>
  <si>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</si>
  <si>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</si>
  <si>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</si>
  <si>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</si>
  <si>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</si>
  <si>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</si>
  <si>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</si>
  <si>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</si>
  <si>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</si>
  <si>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</si>
  <si>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</si>
  <si>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</si>
  <si>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</si>
  <si>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</si>
  <si>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</si>
  <si>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</si>
  <si>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</si>
  <si>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</si>
  <si>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</si>
  <si>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</si>
  <si>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</si>
  <si>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</si>
  <si>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</si>
  <si>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</si>
  <si>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</si>
  <si>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</si>
  <si>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</si>
  <si>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</si>
  <si>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</si>
  <si>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</si>
  <si>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</si>
  <si>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</si>
  <si>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</si>
  <si>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</si>
  <si>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</si>
  <si>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</si>
  <si>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</si>
  <si>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</si>
  <si>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</si>
  <si>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</si>
  <si>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</si>
  <si>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</si>
  <si>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</si>
  <si>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</si>
  <si>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</si>
  <si>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</si>
  <si>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</si>
  <si>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</si>
  <si>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</si>
  <si>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</si>
  <si>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</si>
  <si>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</si>
  <si>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</si>
  <si>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</si>
  <si>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</si>
  <si>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</si>
  <si>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</si>
  <si>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</si>
  <si>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</si>
  <si>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</si>
  <si>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</si>
  <si>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</si>
  <si>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</si>
  <si>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</si>
  <si>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</si>
  <si>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</si>
  <si>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</si>
  <si>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</si>
  <si>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</si>
  <si>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</si>
  <si>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</si>
  <si>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</si>
  <si>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</si>
  <si>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</si>
  <si>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</si>
  <si>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</si>
  <si>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</si>
  <si>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</si>
  <si>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</si>
  <si>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</si>
  <si>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</si>
  <si>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</si>
  <si>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</si>
  <si>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</si>
  <si>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</si>
  <si>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</si>
  <si>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</si>
  <si>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</si>
  <si>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</si>
  <si>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</si>
  <si>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</si>
  <si>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</si>
  <si>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</si>
  <si>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</si>
  <si>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</si>
  <si>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</si>
  <si>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</si>
  <si>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</si>
  <si>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</si>
  <si>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</si>
  <si>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</si>
  <si>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</si>
  <si>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</si>
  <si>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</si>
  <si>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</si>
  <si>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</si>
  <si>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</si>
  <si>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</si>
  <si>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</si>
  <si>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</si>
  <si>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</si>
  <si>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</si>
  <si>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</si>
  <si>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</si>
  <si>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</si>
  <si>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</si>
  <si>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</si>
  <si>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</si>
  <si>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</si>
  <si>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</si>
  <si>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</si>
  <si>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</si>
  <si>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</si>
  <si>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</si>
  <si>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</si>
  <si>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</si>
  <si>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</si>
  <si>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</si>
  <si>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</si>
  <si>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</si>
  <si>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</si>
  <si>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</si>
  <si>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</si>
  <si>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</si>
  <si>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</si>
  <si>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</si>
  <si>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</si>
  <si>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</si>
  <si>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</si>
  <si>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</si>
  <si>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</si>
  <si>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</si>
  <si>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</si>
  <si>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</si>
  <si>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</si>
  <si>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</si>
  <si>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</si>
  <si>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</si>
  <si>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</si>
  <si>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</si>
  <si>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</si>
  <si>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</si>
  <si>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</si>
  <si>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</si>
  <si>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</si>
  <si>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</si>
  <si>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</si>
  <si>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</si>
  <si>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</si>
  <si>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</si>
  <si>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</si>
  <si>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</si>
  <si>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</si>
  <si>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</si>
  <si>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</si>
  <si>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</si>
  <si>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</si>
  <si>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</si>
  <si>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</si>
  <si>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</si>
  <si>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</si>
  <si>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</si>
  <si>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</si>
  <si>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</si>
  <si>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</si>
  <si>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</si>
  <si>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</si>
  <si>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</si>
  <si>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</si>
  <si>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</si>
  <si>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</si>
  <si>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</si>
  <si>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</si>
  <si>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</si>
  <si>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</si>
  <si>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</si>
  <si>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</si>
  <si>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</si>
  <si>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</si>
  <si>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</si>
  <si>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</si>
  <si>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</si>
  <si>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</si>
  <si>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</si>
  <si>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</si>
  <si>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</si>
  <si>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</si>
  <si>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</si>
  <si>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</si>
  <si>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</si>
  <si>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</si>
  <si>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</si>
  <si>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</si>
  <si>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</si>
  <si>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</si>
  <si>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</si>
  <si>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</si>
  <si>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</si>
  <si>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</si>
  <si>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</si>
  <si>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</si>
  <si>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</si>
  <si>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</si>
  <si>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</si>
  <si>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</si>
  <si>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</si>
  <si>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</si>
  <si>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</si>
  <si>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</si>
  <si>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</si>
  <si>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</si>
  <si>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</si>
  <si>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</si>
  <si>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</si>
  <si>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</si>
  <si>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</si>
  <si>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</si>
  <si>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</si>
  <si>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</si>
  <si>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</si>
  <si>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</si>
  <si>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</si>
  <si>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</si>
  <si>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</si>
  <si>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</si>
  <si>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</si>
  <si>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</si>
  <si>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</si>
  <si>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</si>
  <si>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</si>
  <si>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</si>
  <si>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</si>
  <si>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</si>
  <si>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</si>
  <si>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</si>
  <si>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</si>
  <si>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</si>
  <si>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</si>
  <si>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</si>
  <si>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</si>
  <si>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</si>
  <si>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</si>
  <si>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</si>
  <si>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</si>
  <si>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</si>
  <si>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</si>
  <si>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</si>
  <si>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</si>
  <si>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</si>
  <si>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</si>
  <si>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</si>
  <si>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</si>
  <si>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</si>
  <si>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</si>
  <si>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</si>
  <si>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</si>
  <si>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</si>
  <si>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</si>
  <si>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</si>
  <si>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</si>
  <si>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</si>
  <si>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</si>
  <si>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</si>
  <si>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</si>
  <si>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</si>
  <si>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</si>
  <si>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</si>
  <si>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</si>
  <si>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</si>
  <si>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</si>
  <si>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</si>
  <si>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</si>
  <si>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</si>
  <si>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</si>
  <si>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</si>
  <si>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</si>
  <si>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</si>
  <si>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</si>
  <si>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</si>
  <si>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</si>
  <si>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</si>
  <si>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</si>
  <si>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</si>
  <si>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</si>
  <si>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</si>
  <si>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</si>
  <si>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</si>
  <si>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</si>
  <si>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</si>
  <si>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</si>
  <si>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</si>
  <si>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</si>
  <si>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</si>
  <si>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</si>
  <si>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</si>
  <si>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</si>
  <si>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</si>
  <si>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</si>
  <si>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</si>
  <si>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</si>
  <si>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</si>
  <si>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</si>
  <si>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</si>
  <si>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</si>
  <si>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</si>
  <si>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</si>
  <si>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</si>
  <si>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</si>
  <si>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</si>
  <si>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</si>
  <si>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</si>
  <si>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</si>
  <si>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</si>
  <si>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</si>
  <si>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</si>
  <si>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</si>
  <si>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</si>
  <si>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</si>
  <si>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</si>
  <si>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</si>
  <si>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</si>
  <si>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</si>
  <si>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</si>
  <si>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</si>
  <si>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</si>
  <si>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</si>
  <si>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</si>
  <si>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</si>
  <si>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</si>
  <si>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</si>
  <si>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</si>
  <si>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</si>
  <si>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</si>
  <si>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</si>
  <si>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</si>
  <si>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</si>
  <si>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</si>
  <si>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</si>
  <si>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</si>
  <si>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</si>
  <si>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</si>
  <si>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</si>
  <si>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</si>
  <si>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</si>
  <si>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</si>
  <si>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</si>
  <si>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</si>
  <si>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</si>
  <si>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</si>
  <si>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</si>
  <si>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</si>
  <si>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</si>
  <si>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</si>
  <si>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</si>
  <si>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</si>
  <si>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</si>
  <si>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</si>
  <si>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</si>
  <si>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</si>
  <si>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</si>
  <si>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</si>
  <si>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</si>
  <si>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</si>
  <si>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</si>
  <si>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</si>
  <si>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</si>
  <si>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</si>
  <si>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</si>
  <si>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</si>
  <si>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</si>
  <si>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</si>
  <si>
    <t>ACWI11</t>
  </si>
  <si>
    <t>AGRI11</t>
  </si>
  <si>
    <t>ALUG11</t>
  </si>
  <si>
    <t>BBOV11</t>
  </si>
  <si>
    <t>BBSD11</t>
  </si>
  <si>
    <t>BDEF11</t>
  </si>
  <si>
    <t>BDOM11</t>
  </si>
  <si>
    <t>BITH11</t>
  </si>
  <si>
    <t>BMMT11</t>
  </si>
  <si>
    <t>BOVA11</t>
  </si>
  <si>
    <t>BOVB11</t>
  </si>
  <si>
    <t>BOVV11</t>
  </si>
  <si>
    <t>BOVX11</t>
  </si>
  <si>
    <t>BRAX11</t>
  </si>
  <si>
    <t>BXPO11</t>
  </si>
  <si>
    <t>CMDB11</t>
  </si>
  <si>
    <t>CORN11</t>
  </si>
  <si>
    <t>DIVO11</t>
  </si>
  <si>
    <t>DOLA11</t>
  </si>
  <si>
    <t>ECOO11</t>
  </si>
  <si>
    <t>ESGB11</t>
  </si>
  <si>
    <t>ETHE11</t>
  </si>
  <si>
    <t>FIND11</t>
  </si>
  <si>
    <t>GENB11</t>
  </si>
  <si>
    <t>GOVE11</t>
  </si>
  <si>
    <t>HASH11</t>
  </si>
  <si>
    <t>HTEK11</t>
  </si>
  <si>
    <t>IBOB11</t>
  </si>
  <si>
    <t>IRFM11</t>
  </si>
  <si>
    <t>ISUS11</t>
  </si>
  <si>
    <t>IVVB11</t>
  </si>
  <si>
    <t>JOGO11</t>
  </si>
  <si>
    <t>LFTS11</t>
  </si>
  <si>
    <t>MATB11</t>
  </si>
  <si>
    <t>MILL11</t>
  </si>
  <si>
    <t>NASD11</t>
  </si>
  <si>
    <t>PIBB11</t>
  </si>
  <si>
    <t>QBTC11</t>
  </si>
  <si>
    <t>QETH11</t>
  </si>
  <si>
    <t>REVE11</t>
  </si>
  <si>
    <t>SMAB11</t>
  </si>
  <si>
    <t>SMAC11</t>
  </si>
  <si>
    <t>SMAL11</t>
  </si>
  <si>
    <t>SOLH11</t>
  </si>
  <si>
    <t>SPXB11</t>
  </si>
  <si>
    <t>SPXI11</t>
  </si>
  <si>
    <t>TECK11</t>
  </si>
  <si>
    <t>TRIG11</t>
  </si>
  <si>
    <t>USTK11</t>
  </si>
  <si>
    <t>WRLD11</t>
  </si>
  <si>
    <t>XBOV11</t>
  </si>
  <si>
    <t>XFIX11</t>
  </si>
  <si>
    <t>XINA11</t>
  </si>
  <si>
    <t>YDRO11</t>
  </si>
  <si>
    <t>MXRF11</t>
  </si>
  <si>
    <t>XPML11</t>
  </si>
  <si>
    <t>HGLG11</t>
  </si>
  <si>
    <t>KNCR11</t>
  </si>
  <si>
    <t>VGHF11</t>
  </si>
  <si>
    <t>BTLG11</t>
  </si>
  <si>
    <t>CPTS11</t>
  </si>
  <si>
    <t>VISC11</t>
  </si>
  <si>
    <t>XPLG11</t>
  </si>
  <si>
    <t>KNRI11</t>
  </si>
  <si>
    <t>IRDM11</t>
  </si>
  <si>
    <t>GARE11</t>
  </si>
  <si>
    <t>VGIR11</t>
  </si>
  <si>
    <t>HGRU11</t>
  </si>
  <si>
    <t>RECR11</t>
  </si>
  <si>
    <t>PVBI11</t>
  </si>
  <si>
    <t>TGAR11</t>
  </si>
  <si>
    <t>HGBS11</t>
  </si>
  <si>
    <t>MCCI11</t>
  </si>
  <si>
    <t>KNIP11</t>
  </si>
  <si>
    <t>SOL-USD</t>
  </si>
  <si>
    <t>15.02</t>
  </si>
  <si>
    <t>59.28</t>
  </si>
  <si>
    <t>BNB-USD</t>
  </si>
  <si>
    <t>ADA-USD</t>
  </si>
  <si>
    <t>XRP-USD</t>
  </si>
  <si>
    <t>MMMC34</t>
  </si>
  <si>
    <t>A1BB34</t>
  </si>
  <si>
    <t>ABTT34</t>
  </si>
  <si>
    <t>ABBV34</t>
  </si>
  <si>
    <t>ABAM34</t>
  </si>
  <si>
    <t>A2SO34</t>
  </si>
  <si>
    <t>ACNB34</t>
  </si>
  <si>
    <t>ATVI34</t>
  </si>
  <si>
    <t>A2HC34</t>
  </si>
  <si>
    <t>ADBE34</t>
  </si>
  <si>
    <t>A1AP34</t>
  </si>
  <si>
    <t>A1MD34</t>
  </si>
  <si>
    <t>A1EG34</t>
  </si>
  <si>
    <t>A1ES34</t>
  </si>
  <si>
    <t>A1FL34</t>
  </si>
  <si>
    <t>A1GI34</t>
  </si>
  <si>
    <t>A1PD34</t>
  </si>
  <si>
    <t>AIRB34</t>
  </si>
  <si>
    <t>A1KA34</t>
  </si>
  <si>
    <t>AKZA34</t>
  </si>
  <si>
    <t>A1LK34</t>
  </si>
  <si>
    <t>A1LB34</t>
  </si>
  <si>
    <t>A2LC34</t>
  </si>
  <si>
    <t>A1RE34</t>
  </si>
  <si>
    <t>BABA34</t>
  </si>
  <si>
    <t>A1LG34</t>
  </si>
  <si>
    <t>A1GN34</t>
  </si>
  <si>
    <t>ALFG34</t>
  </si>
  <si>
    <t>A1EN34</t>
  </si>
  <si>
    <t>M2DR34</t>
  </si>
  <si>
    <t>A1TT34</t>
  </si>
  <si>
    <t>A1LN34</t>
  </si>
  <si>
    <t>GOGL34</t>
  </si>
  <si>
    <t>GOGL35</t>
  </si>
  <si>
    <t>A1YX34</t>
  </si>
  <si>
    <t>MOOO34</t>
  </si>
  <si>
    <t>AMZO34</t>
  </si>
  <si>
    <t>A2MB34</t>
  </si>
  <si>
    <t>A2MC34</t>
  </si>
  <si>
    <t>A1CR34</t>
  </si>
  <si>
    <t>D2OX34</t>
  </si>
  <si>
    <t>A2ME34</t>
  </si>
  <si>
    <t>A1EE34</t>
  </si>
  <si>
    <t>AALL34</t>
  </si>
  <si>
    <t>A1EP34</t>
  </si>
  <si>
    <t>AXPB34</t>
  </si>
  <si>
    <t>AIGB34</t>
  </si>
  <si>
    <t>T1OW34</t>
  </si>
  <si>
    <t>A1WK34</t>
  </si>
  <si>
    <t>A1MP34</t>
  </si>
  <si>
    <t>A1MB34</t>
  </si>
  <si>
    <t>A1ME34</t>
  </si>
  <si>
    <t>AMGN34</t>
  </si>
  <si>
    <t>A1PH34</t>
  </si>
  <si>
    <t>A2MR34</t>
  </si>
  <si>
    <t>A1DI34</t>
  </si>
  <si>
    <t>AAGO34</t>
  </si>
  <si>
    <t>A1UA34</t>
  </si>
  <si>
    <t>ABUD34</t>
  </si>
  <si>
    <t>N2LY34</t>
  </si>
  <si>
    <t>A1NS34</t>
  </si>
  <si>
    <t>A1OS34</t>
  </si>
  <si>
    <t>A1ON34</t>
  </si>
  <si>
    <t>A1PA34</t>
  </si>
  <si>
    <t>A1IV34</t>
  </si>
  <si>
    <t>AAPL34</t>
  </si>
  <si>
    <t>A1MT34</t>
  </si>
  <si>
    <t>A2TR34</t>
  </si>
  <si>
    <t>APTV34</t>
  </si>
  <si>
    <t>ARMT34</t>
  </si>
  <si>
    <t>A1DM34</t>
  </si>
  <si>
    <t>A2RE34</t>
  </si>
  <si>
    <t>A1RG34</t>
  </si>
  <si>
    <t>A1NE34</t>
  </si>
  <si>
    <t>AWII34</t>
  </si>
  <si>
    <t>A2RW34</t>
  </si>
  <si>
    <t>A2RR34</t>
  </si>
  <si>
    <t>A1JG34</t>
  </si>
  <si>
    <t>A1SN34</t>
  </si>
  <si>
    <t>ASML34</t>
  </si>
  <si>
    <t>A1SU34</t>
  </si>
  <si>
    <t>A1ZN34</t>
  </si>
  <si>
    <t>ATTB34</t>
  </si>
  <si>
    <t>T1AM34</t>
  </si>
  <si>
    <t>A1TM34</t>
  </si>
  <si>
    <t>A1UT34</t>
  </si>
  <si>
    <t>A1TH34</t>
  </si>
  <si>
    <t>ADPR34</t>
  </si>
  <si>
    <t>AZOI34</t>
  </si>
  <si>
    <t>A1VB34</t>
  </si>
  <si>
    <t>A1VY34</t>
  </si>
  <si>
    <t>A2XO34</t>
  </si>
  <si>
    <t>A2ZT34</t>
  </si>
  <si>
    <t>118003.23</t>
  </si>
  <si>
    <t>3549.02</t>
  </si>
  <si>
    <t>177.38</t>
  </si>
  <si>
    <t>730.22</t>
  </si>
  <si>
    <t>0.82</t>
  </si>
  <si>
    <t>3.42</t>
  </si>
  <si>
    <t>44.4</t>
  </si>
  <si>
    <t>59.12</t>
  </si>
  <si>
    <t>63.22</t>
  </si>
  <si>
    <t>44.9</t>
  </si>
  <si>
    <t>23.88</t>
  </si>
  <si>
    <t>86.37</t>
  </si>
  <si>
    <t>86.36</t>
  </si>
  <si>
    <t>15.19</t>
  </si>
  <si>
    <t>42.12</t>
  </si>
  <si>
    <t>69.7</t>
  </si>
  <si>
    <t>109.17</t>
  </si>
  <si>
    <t>130.51</t>
  </si>
  <si>
    <t>114.84</t>
  </si>
  <si>
    <t>149.2</t>
  </si>
  <si>
    <t>124.86</t>
  </si>
  <si>
    <t>130.3</t>
  </si>
  <si>
    <t>135.91</t>
  </si>
  <si>
    <t>136.8</t>
  </si>
  <si>
    <t>13.62</t>
  </si>
  <si>
    <t>111.91</t>
  </si>
  <si>
    <t>132.02</t>
  </si>
  <si>
    <t>13.05</t>
  </si>
  <si>
    <t>6.65</t>
  </si>
  <si>
    <t>98.84</t>
  </si>
  <si>
    <t>10.55</t>
  </si>
  <si>
    <t>121.62</t>
  </si>
  <si>
    <t>105.73</t>
  </si>
  <si>
    <t>57.4</t>
  </si>
  <si>
    <t>141.02</t>
  </si>
  <si>
    <t>19.57</t>
  </si>
  <si>
    <t>19.55</t>
  </si>
  <si>
    <t>58.15</t>
  </si>
  <si>
    <t>90</t>
  </si>
  <si>
    <t>49.71</t>
  </si>
  <si>
    <t>109.7</t>
  </si>
  <si>
    <t>90.63</t>
  </si>
  <si>
    <t>36.74</t>
  </si>
  <si>
    <t>394.28</t>
  </si>
  <si>
    <t>151.1</t>
  </si>
  <si>
    <t>136.57</t>
  </si>
  <si>
    <t>49.77</t>
  </si>
  <si>
    <t>82.66</t>
  </si>
  <si>
    <t>17.93</t>
  </si>
  <si>
    <t>235.15</t>
  </si>
  <si>
    <t>39.18</t>
  </si>
  <si>
    <t>13.76</t>
  </si>
  <si>
    <t>65.91</t>
  </si>
  <si>
    <t>7.61</t>
  </si>
  <si>
    <t>54.05</t>
  </si>
  <si>
    <t>102.78</t>
  </si>
  <si>
    <t>27.03</t>
  </si>
  <si>
    <t>15.39</t>
  </si>
  <si>
    <t>383.57</t>
  </si>
  <si>
    <t>108.95</t>
  </si>
  <si>
    <t>42.67</t>
  </si>
  <si>
    <t>17.23</t>
  </si>
  <si>
    <t>130.02</t>
  </si>
  <si>
    <t>130.77</t>
  </si>
  <si>
    <t>12.26</t>
  </si>
  <si>
    <t>8.27</t>
  </si>
  <si>
    <t>35.55</t>
  </si>
  <si>
    <t>99.85</t>
  </si>
  <si>
    <t>7.34</t>
  </si>
  <si>
    <t>8.9</t>
  </si>
  <si>
    <t>19.3</t>
  </si>
  <si>
    <t>156.12</t>
  </si>
  <si>
    <t>124.72</t>
  </si>
  <si>
    <t>62.13</t>
  </si>
  <si>
    <t>104.26</t>
  </si>
  <si>
    <t>87.94</t>
  </si>
  <si>
    <t>144.72</t>
  </si>
  <si>
    <t>86.11</t>
  </si>
  <si>
    <t>9.5</t>
  </si>
  <si>
    <t>74.4</t>
  </si>
  <si>
    <t>83.82</t>
  </si>
  <si>
    <t>85.83</t>
  </si>
  <si>
    <t>7.64</t>
  </si>
  <si>
    <t>9.63</t>
  </si>
  <si>
    <t>104.35</t>
  </si>
  <si>
    <t>99.79</t>
  </si>
  <si>
    <t>102.9</t>
  </si>
  <si>
    <t>EQPA6</t>
  </si>
  <si>
    <t>NATU3</t>
  </si>
  <si>
    <t>TOKY3</t>
  </si>
  <si>
    <t>119764.74</t>
  </si>
  <si>
    <t>3857.39</t>
  </si>
  <si>
    <t>190.31</t>
  </si>
  <si>
    <t>844.61</t>
  </si>
  <si>
    <t>0.84</t>
  </si>
  <si>
    <t>3.25</t>
  </si>
  <si>
    <t>59.62</t>
  </si>
  <si>
    <t>64.6</t>
  </si>
  <si>
    <t>46.73</t>
  </si>
  <si>
    <t>23.72</t>
  </si>
  <si>
    <t>89.57</t>
  </si>
  <si>
    <t>90.18</t>
  </si>
  <si>
    <t>15.36</t>
  </si>
  <si>
    <t>44.67</t>
  </si>
  <si>
    <t>42.76</t>
  </si>
  <si>
    <t>69.75</t>
  </si>
  <si>
    <t>110.03</t>
  </si>
  <si>
    <t>131.21</t>
  </si>
  <si>
    <t>114.52</t>
  </si>
  <si>
    <t>147.69</t>
  </si>
  <si>
    <t>124.45</t>
  </si>
  <si>
    <t>130.45</t>
  </si>
  <si>
    <t>136.19</t>
  </si>
  <si>
    <t>136.9</t>
  </si>
  <si>
    <t>13.64</t>
  </si>
  <si>
    <t>111.78</t>
  </si>
  <si>
    <t>132.37</t>
  </si>
  <si>
    <t>13.37</t>
  </si>
  <si>
    <t>6.42</t>
  </si>
  <si>
    <t>99.67</t>
  </si>
  <si>
    <t>10.5</t>
  </si>
  <si>
    <t>120.52</t>
  </si>
  <si>
    <t>105.85</t>
  </si>
  <si>
    <t>58.89</t>
  </si>
  <si>
    <t>140.27</t>
  </si>
  <si>
    <t>19.46</t>
  </si>
  <si>
    <t>19.38</t>
  </si>
  <si>
    <t>58.21</t>
  </si>
  <si>
    <t>89.61</t>
  </si>
  <si>
    <t>51.13</t>
  </si>
  <si>
    <t>109.81</t>
  </si>
  <si>
    <t>90.99</t>
  </si>
  <si>
    <t>36.6</t>
  </si>
  <si>
    <t>398.3</t>
  </si>
  <si>
    <t>148.23</t>
  </si>
  <si>
    <t>136.98</t>
  </si>
  <si>
    <t>51.67</t>
  </si>
  <si>
    <t>81.31</t>
  </si>
  <si>
    <t>18.05</t>
  </si>
  <si>
    <t>235.19</t>
  </si>
  <si>
    <t>39.19</t>
  </si>
  <si>
    <t>14.28</t>
  </si>
  <si>
    <t>66.39</t>
  </si>
  <si>
    <t>7.6</t>
  </si>
  <si>
    <t>53.93</t>
  </si>
  <si>
    <t>102.83</t>
  </si>
  <si>
    <t>27.97</t>
  </si>
  <si>
    <t>15.58</t>
  </si>
  <si>
    <t>387.52</t>
  </si>
  <si>
    <t>109.04</t>
  </si>
  <si>
    <t>42.5</t>
  </si>
  <si>
    <t>17.26</t>
  </si>
  <si>
    <t>131.78</t>
  </si>
  <si>
    <t>130.92</t>
  </si>
  <si>
    <t>12.18</t>
  </si>
  <si>
    <t>8.41</t>
  </si>
  <si>
    <t>38.53</t>
  </si>
  <si>
    <t>99.55</t>
  </si>
  <si>
    <t>7.29</t>
  </si>
  <si>
    <t>8.99</t>
  </si>
  <si>
    <t>18.99</t>
  </si>
  <si>
    <t>155.71</t>
  </si>
  <si>
    <t>124.8</t>
  </si>
  <si>
    <t>61.99</t>
  </si>
  <si>
    <t>104.3</t>
  </si>
  <si>
    <t>87.37</t>
  </si>
  <si>
    <t>143.99</t>
  </si>
  <si>
    <t>86.85</t>
  </si>
  <si>
    <t>9.55</t>
  </si>
  <si>
    <t>73.4</t>
  </si>
  <si>
    <t>82.8</t>
  </si>
  <si>
    <t>83.11</t>
  </si>
  <si>
    <t>7.71</t>
  </si>
  <si>
    <t>9.65</t>
  </si>
  <si>
    <t>103.55</t>
  </si>
  <si>
    <t>99</t>
  </si>
  <si>
    <t>101.75</t>
  </si>
  <si>
    <t>114357.14</t>
  </si>
  <si>
    <t>3509.63</t>
  </si>
  <si>
    <t>162.3</t>
  </si>
  <si>
    <t>753.71</t>
  </si>
  <si>
    <t>0.73</t>
  </si>
  <si>
    <t>2.95</t>
  </si>
  <si>
    <t>56.2</t>
  </si>
  <si>
    <t>59.35</t>
  </si>
  <si>
    <t>45.66</t>
  </si>
  <si>
    <t>23.09</t>
  </si>
  <si>
    <t>86.76</t>
  </si>
  <si>
    <t>87.62</t>
  </si>
  <si>
    <t>14.89</t>
  </si>
  <si>
    <t>56.49</t>
  </si>
  <si>
    <t>18.67</t>
  </si>
  <si>
    <t>19.47</t>
  </si>
  <si>
    <t>91.4</t>
  </si>
  <si>
    <t>387.8</t>
  </si>
  <si>
    <t>17.59</t>
  </si>
  <si>
    <t>13.74</t>
  </si>
  <si>
    <t>63.59</t>
  </si>
  <si>
    <t>15.17</t>
  </si>
  <si>
    <t>377.69</t>
  </si>
  <si>
    <t>16.82</t>
  </si>
  <si>
    <t>127.93</t>
  </si>
  <si>
    <t>12.07</t>
  </si>
  <si>
    <t>8.05</t>
  </si>
  <si>
    <t>37.01</t>
  </si>
  <si>
    <t>137.35</t>
  </si>
  <si>
    <t>69.2</t>
  </si>
  <si>
    <t>129.93</t>
  </si>
  <si>
    <t>113.54</t>
  </si>
  <si>
    <t>143.71</t>
  </si>
  <si>
    <t>124.03</t>
  </si>
  <si>
    <t>129.57</t>
  </si>
  <si>
    <t>134.95</t>
  </si>
  <si>
    <t>135.81</t>
  </si>
  <si>
    <t>13.5</t>
  </si>
  <si>
    <t>111.17</t>
  </si>
  <si>
    <t>6.37</t>
  </si>
  <si>
    <t>98.62</t>
  </si>
  <si>
    <t>120.27</t>
  </si>
  <si>
    <t>105.27</t>
  </si>
  <si>
    <t>137.26</t>
  </si>
  <si>
    <t>57.96</t>
  </si>
  <si>
    <t>86.48</t>
  </si>
  <si>
    <t>48.86</t>
  </si>
  <si>
    <t>109.05</t>
  </si>
  <si>
    <t>36.38</t>
  </si>
  <si>
    <t>79.09</t>
  </si>
  <si>
    <t>233.35</t>
  </si>
  <si>
    <t>7.56</t>
  </si>
  <si>
    <t>53.64</t>
  </si>
  <si>
    <t>102.01</t>
  </si>
  <si>
    <t>42.66</t>
  </si>
  <si>
    <t>130</t>
  </si>
  <si>
    <t>43.8</t>
  </si>
  <si>
    <t>41.34</t>
  </si>
  <si>
    <t>109.99</t>
  </si>
  <si>
    <t>129.85</t>
  </si>
  <si>
    <t>13.04</t>
  </si>
  <si>
    <t>10.44</t>
  </si>
  <si>
    <t>145.94</t>
  </si>
  <si>
    <t>49.74</t>
  </si>
  <si>
    <t>37.97</t>
  </si>
  <si>
    <t>25.5</t>
  </si>
  <si>
    <t>107.2</t>
  </si>
  <si>
    <t>98.6</t>
  </si>
  <si>
    <t>8.97</t>
  </si>
  <si>
    <t>18.39</t>
  </si>
  <si>
    <t>152.2</t>
  </si>
  <si>
    <t>123.25</t>
  </si>
  <si>
    <t>61.1</t>
  </si>
  <si>
    <t>102.99</t>
  </si>
  <si>
    <t>86.09</t>
  </si>
  <si>
    <t>141</t>
  </si>
  <si>
    <t>86.95</t>
  </si>
  <si>
    <t>9.4</t>
  </si>
  <si>
    <t>74.9</t>
  </si>
  <si>
    <t>84.04</t>
  </si>
  <si>
    <t>81.87</t>
  </si>
  <si>
    <t>7.57</t>
  </si>
  <si>
    <t>9.59</t>
  </si>
  <si>
    <t>101.95</t>
  </si>
  <si>
    <t>97.55</t>
  </si>
  <si>
    <t>102.34</t>
  </si>
  <si>
    <t>MELI34</t>
  </si>
  <si>
    <t>NVDC34</t>
  </si>
  <si>
    <t>FIXA11</t>
  </si>
  <si>
    <t>GOAT11</t>
  </si>
  <si>
    <t>IB5M11</t>
  </si>
  <si>
    <t>IMAB11</t>
  </si>
  <si>
    <t>LFTB11</t>
  </si>
  <si>
    <t>43.74</t>
  </si>
  <si>
    <t>40.57</t>
  </si>
  <si>
    <t>70.9</t>
  </si>
  <si>
    <t>111.36</t>
  </si>
  <si>
    <t>133.92</t>
  </si>
  <si>
    <t>116.16</t>
  </si>
  <si>
    <t>145</t>
  </si>
  <si>
    <t>126.99</t>
  </si>
  <si>
    <t>132.91</t>
  </si>
  <si>
    <t>138.49</t>
  </si>
  <si>
    <t>139.42</t>
  </si>
  <si>
    <t>13.87</t>
  </si>
  <si>
    <t>114.05</t>
  </si>
  <si>
    <t>130.97</t>
  </si>
  <si>
    <t>13</t>
  </si>
  <si>
    <t>6.63</t>
  </si>
  <si>
    <t>100.12</t>
  </si>
  <si>
    <t>10.2</t>
  </si>
  <si>
    <t>124.3</t>
  </si>
  <si>
    <t>107.4</t>
  </si>
  <si>
    <t>63.87</t>
  </si>
  <si>
    <t>142.13</t>
  </si>
  <si>
    <t>18.69</t>
  </si>
  <si>
    <t>19.31</t>
  </si>
  <si>
    <t>59.58</t>
  </si>
  <si>
    <t>89.12</t>
  </si>
  <si>
    <t>48.35</t>
  </si>
  <si>
    <t>111.67</t>
  </si>
  <si>
    <t>91.9</t>
  </si>
  <si>
    <t>37.47</t>
  </si>
  <si>
    <t>390.35</t>
  </si>
  <si>
    <t>152.1</t>
  </si>
  <si>
    <t>137.7</t>
  </si>
  <si>
    <t>51.19</t>
  </si>
  <si>
    <t>75.79</t>
  </si>
  <si>
    <t>17.88</t>
  </si>
  <si>
    <t>239.35</t>
  </si>
  <si>
    <t>38.77</t>
  </si>
  <si>
    <t>15.54</t>
  </si>
  <si>
    <t>63.83</t>
  </si>
  <si>
    <t>54.27</t>
  </si>
  <si>
    <t>103.6</t>
  </si>
  <si>
    <t>26.75</t>
  </si>
  <si>
    <t>15.24</t>
  </si>
  <si>
    <t>379.5</t>
  </si>
  <si>
    <t>108.5</t>
  </si>
  <si>
    <t>43.39</t>
  </si>
  <si>
    <t>17.1</t>
  </si>
  <si>
    <t>128.72</t>
  </si>
  <si>
    <t>133.2</t>
  </si>
  <si>
    <t>12.09</t>
  </si>
  <si>
    <t>8.14</t>
  </si>
  <si>
    <t>36.63</t>
  </si>
  <si>
    <t>17.87</t>
  </si>
  <si>
    <t>51.63</t>
  </si>
  <si>
    <t>115.33</t>
  </si>
  <si>
    <t>104.57</t>
  </si>
  <si>
    <t>109.62</t>
  </si>
  <si>
    <t>7.28</t>
  </si>
  <si>
    <t>9.09</t>
  </si>
  <si>
    <t>18.7</t>
  </si>
  <si>
    <t>151.75</t>
  </si>
  <si>
    <t>122.25</t>
  </si>
  <si>
    <t>63.05</t>
  </si>
  <si>
    <t>103.29</t>
  </si>
  <si>
    <t>86.3</t>
  </si>
  <si>
    <t>139.3</t>
  </si>
  <si>
    <t>86.61</t>
  </si>
  <si>
    <t>9.41</t>
  </si>
  <si>
    <t>72.56</t>
  </si>
  <si>
    <t>81.9</t>
  </si>
  <si>
    <t>84.62</t>
  </si>
  <si>
    <t>9.6</t>
  </si>
  <si>
    <t>101.39</t>
  </si>
  <si>
    <t>96.3</t>
  </si>
  <si>
    <t>101.02</t>
  </si>
  <si>
    <t>118906.1</t>
  </si>
  <si>
    <t>4220.06</t>
  </si>
  <si>
    <t>183.34</t>
  </si>
  <si>
    <t>801.31</t>
  </si>
  <si>
    <t>0.8</t>
  </si>
  <si>
    <t>3.18</t>
  </si>
  <si>
    <t>BERK34</t>
  </si>
  <si>
    <t>B1NT34</t>
  </si>
  <si>
    <t>BLAK34</t>
  </si>
  <si>
    <t>CSCO34</t>
  </si>
  <si>
    <t>DEEC34</t>
  </si>
  <si>
    <t>D1EL34</t>
  </si>
  <si>
    <t>EBAY34</t>
  </si>
  <si>
    <t>GEOO34</t>
  </si>
  <si>
    <t>ITLC34</t>
  </si>
  <si>
    <t>NIKE34</t>
  </si>
  <si>
    <t>ORCL34</t>
  </si>
  <si>
    <t>PEPB34</t>
  </si>
  <si>
    <t>TSLA34</t>
  </si>
  <si>
    <t>COCA34</t>
  </si>
  <si>
    <t>TMCO34</t>
  </si>
  <si>
    <t>WALM34</t>
  </si>
  <si>
    <t>FDXB34</t>
  </si>
  <si>
    <t>140</t>
  </si>
  <si>
    <t>0.92</t>
  </si>
  <si>
    <t>62.25</t>
  </si>
  <si>
    <t>71.34</t>
  </si>
  <si>
    <t>62.15</t>
  </si>
  <si>
    <t>48.99</t>
  </si>
  <si>
    <t>23.23</t>
  </si>
  <si>
    <t>91.61</t>
  </si>
  <si>
    <t>92.01</t>
  </si>
  <si>
    <t>15.06</t>
  </si>
  <si>
    <t>43.09</t>
  </si>
  <si>
    <t>40.56</t>
  </si>
  <si>
    <t>135.93</t>
  </si>
  <si>
    <t>117.23</t>
  </si>
  <si>
    <t>144.31</t>
  </si>
  <si>
    <t>128.31</t>
  </si>
  <si>
    <t>133.56</t>
  </si>
  <si>
    <t>139.01</t>
  </si>
  <si>
    <t>13.9</t>
  </si>
  <si>
    <t>114.23</t>
  </si>
  <si>
    <t>128.62</t>
  </si>
  <si>
    <t>12.83</t>
  </si>
  <si>
    <t>6.77</t>
  </si>
  <si>
    <t>100.4</t>
  </si>
  <si>
    <t>10.15</t>
  </si>
  <si>
    <t>124.07</t>
  </si>
  <si>
    <t>106.71</t>
  </si>
  <si>
    <t>68.82</t>
  </si>
  <si>
    <t>146.71</t>
  </si>
  <si>
    <t>17.7</t>
  </si>
  <si>
    <t>18.93</t>
  </si>
  <si>
    <t>51.73</t>
  </si>
  <si>
    <t>18.82</t>
  </si>
  <si>
    <t>89.9</t>
  </si>
  <si>
    <t>50.14</t>
  </si>
  <si>
    <t>115.42</t>
  </si>
  <si>
    <t>112.23</t>
  </si>
  <si>
    <t>104.76</t>
  </si>
  <si>
    <t>92.39</t>
  </si>
  <si>
    <t>37.5</t>
  </si>
  <si>
    <t>390.9</t>
  </si>
  <si>
    <t>153.26</t>
  </si>
  <si>
    <t>109.84</t>
  </si>
  <si>
    <t>138.1</t>
  </si>
  <si>
    <t>49.95</t>
  </si>
  <si>
    <t>77.69</t>
  </si>
  <si>
    <t>17.83</t>
  </si>
  <si>
    <t>240.6</t>
  </si>
  <si>
    <t>38.1</t>
  </si>
  <si>
    <t>16.79</t>
  </si>
  <si>
    <t>63.24</t>
  </si>
  <si>
    <t>7.66</t>
  </si>
  <si>
    <t>7.63</t>
  </si>
  <si>
    <t>54</t>
  </si>
  <si>
    <t>103.53</t>
  </si>
  <si>
    <t>27.75</t>
  </si>
  <si>
    <t>15.26</t>
  </si>
  <si>
    <t>379.98</t>
  </si>
  <si>
    <t>108.82</t>
  </si>
  <si>
    <t>42.75</t>
  </si>
  <si>
    <t>17</t>
  </si>
  <si>
    <t>129.01</t>
  </si>
  <si>
    <t>133.68</t>
  </si>
  <si>
    <t>12.13</t>
  </si>
  <si>
    <t>8.29</t>
  </si>
  <si>
    <t>38.96</t>
  </si>
  <si>
    <t>98.3</t>
  </si>
  <si>
    <t>7.26</t>
  </si>
  <si>
    <t>9.08</t>
  </si>
  <si>
    <t>18.9</t>
  </si>
  <si>
    <t>152</t>
  </si>
  <si>
    <t>121.47</t>
  </si>
  <si>
    <t>61.32</t>
  </si>
  <si>
    <t>87.73</t>
  </si>
  <si>
    <t>137.15</t>
  </si>
  <si>
    <t>85.25</t>
  </si>
  <si>
    <t>9.52</t>
  </si>
  <si>
    <t>72.6</t>
  </si>
  <si>
    <t>82</t>
  </si>
  <si>
    <t>85</t>
  </si>
  <si>
    <t>9.47</t>
  </si>
  <si>
    <t>102.98</t>
  </si>
  <si>
    <t>96.91</t>
  </si>
  <si>
    <t>100.35</t>
  </si>
  <si>
    <t>837.12</t>
  </si>
  <si>
    <t>117518.09</t>
  </si>
  <si>
    <t>4430.07</t>
  </si>
  <si>
    <t>189.24</t>
  </si>
  <si>
    <t>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</si>
</sst>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
      <sz val="11"/>
      <name val="Calibri"/>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0" fillId="0" borderId="0"/>
  </cellStyleXfs>
  <cellXfs count="98">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0" fontId="0" fillId="0" borderId="0" xfId="0"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0" fontId="12" fillId="0" borderId="0" xfId="0" applyFont="1"/>
    <xf numFmtId="10" fontId="2" fillId="3" borderId="1" xfId="0" applyNumberFormat="1" applyFont="1" applyFill="1" applyBorder="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3"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3" borderId="2" xfId="0" applyNumberFormat="1" applyFont="1" applyFill="1" applyBorder="1" applyAlignment="1">
      <alignment horizontal="center"/>
    </xf>
    <xf numFmtId="10" fontId="15" fillId="4" borderId="1" xfId="0" applyNumberFormat="1" applyFont="1" applyFill="1" applyBorder="1" applyAlignment="1">
      <alignment horizontal="center"/>
    </xf>
    <xf numFmtId="164" fontId="17" fillId="4" borderId="1" xfId="0" applyNumberFormat="1" applyFont="1" applyFill="1" applyBorder="1" applyAlignment="1">
      <alignment horizontal="center"/>
    </xf>
    <xf numFmtId="10" fontId="17" fillId="4" borderId="1" xfId="0" applyNumberFormat="1" applyFont="1" applyFill="1" applyBorder="1" applyAlignment="1">
      <alignment horizontal="center"/>
    </xf>
    <xf numFmtId="164" fontId="2" fillId="4" borderId="1" xfId="0" applyNumberFormat="1" applyFont="1" applyFill="1" applyBorder="1" applyAlignment="1">
      <alignment horizontal="center"/>
    </xf>
    <xf numFmtId="3" fontId="1" fillId="4" borderId="1" xfId="0" applyNumberFormat="1" applyFont="1" applyFill="1" applyBorder="1" applyAlignment="1">
      <alignment horizontal="center"/>
    </xf>
    <xf numFmtId="164" fontId="6" fillId="4" borderId="0" xfId="0" applyNumberFormat="1" applyFont="1" applyFill="1" applyAlignment="1">
      <alignment horizontal="center"/>
    </xf>
    <xf numFmtId="164" fontId="2" fillId="0" borderId="1" xfId="0" applyNumberFormat="1" applyFont="1" applyBorder="1" applyAlignment="1">
      <alignment horizontal="center"/>
    </xf>
    <xf numFmtId="10" fontId="15" fillId="4"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7" fillId="4" borderId="3" xfId="0" applyNumberFormat="1" applyFont="1" applyFill="1" applyBorder="1" applyAlignment="1">
      <alignment horizontal="center"/>
    </xf>
    <xf numFmtId="10" fontId="17" fillId="4" borderId="3" xfId="0" applyNumberFormat="1" applyFont="1" applyFill="1" applyBorder="1" applyAlignment="1">
      <alignment horizontal="center"/>
    </xf>
    <xf numFmtId="4" fontId="1" fillId="3" borderId="3" xfId="0" applyNumberFormat="1" applyFont="1" applyFill="1" applyBorder="1" applyAlignment="1">
      <alignment horizontal="center"/>
    </xf>
    <xf numFmtId="10" fontId="15" fillId="4" borderId="2" xfId="0" applyNumberFormat="1" applyFont="1" applyFill="1" applyBorder="1" applyAlignment="1">
      <alignment horizontal="center"/>
    </xf>
    <xf numFmtId="10" fontId="2" fillId="0" borderId="2" xfId="0" applyNumberFormat="1" applyFont="1" applyBorder="1" applyAlignment="1">
      <alignment horizontal="center"/>
    </xf>
    <xf numFmtId="164" fontId="14" fillId="2" borderId="2" xfId="0" applyNumberFormat="1" applyFont="1" applyFill="1" applyBorder="1" applyAlignment="1">
      <alignment horizontal="center"/>
    </xf>
    <xf numFmtId="10" fontId="17" fillId="4" borderId="2" xfId="0" applyNumberFormat="1" applyFont="1" applyFill="1" applyBorder="1" applyAlignment="1">
      <alignment horizontal="center"/>
    </xf>
    <xf numFmtId="164" fontId="17" fillId="4"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4" borderId="1" xfId="0" applyNumberFormat="1" applyFont="1" applyFill="1" applyBorder="1" applyAlignment="1">
      <alignment horizontal="center"/>
    </xf>
    <xf numFmtId="164" fontId="18" fillId="0" borderId="1" xfId="0" applyNumberFormat="1" applyFont="1" applyBorder="1" applyAlignment="1">
      <alignment horizontal="center"/>
    </xf>
    <xf numFmtId="164" fontId="18" fillId="4" borderId="1" xfId="0" applyNumberFormat="1" applyFont="1" applyFill="1" applyBorder="1" applyAlignment="1">
      <alignment horizontal="center"/>
    </xf>
    <xf numFmtId="10" fontId="18" fillId="0" borderId="1" xfId="0" applyNumberFormat="1" applyFont="1" applyBorder="1" applyAlignment="1">
      <alignment horizontal="center"/>
    </xf>
    <xf numFmtId="164" fontId="2" fillId="4" borderId="0" xfId="0" applyNumberFormat="1" applyFont="1" applyFill="1" applyAlignment="1">
      <alignment horizontal="center"/>
    </xf>
    <xf numFmtId="8" fontId="0" fillId="0" borderId="0" xfId="0" applyNumberFormat="1"/>
    <xf numFmtId="6" fontId="0" fillId="0" borderId="0" xfId="0" applyNumberFormat="1"/>
    <xf numFmtId="0" fontId="16" fillId="0" borderId="0" xfId="0" applyFont="1"/>
    <xf numFmtId="164" fontId="13"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3" borderId="1" xfId="0" applyNumberFormat="1" applyFont="1" applyFill="1" applyBorder="1" applyAlignment="1">
      <alignment horizontal="center"/>
    </xf>
    <xf numFmtId="164" fontId="6" fillId="4"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10" fontId="8" fillId="4" borderId="1" xfId="0" applyNumberFormat="1" applyFont="1" applyFill="1" applyBorder="1" applyAlignment="1">
      <alignment horizontal="center"/>
    </xf>
    <xf numFmtId="2" fontId="5" fillId="4"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4"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4" borderId="0" xfId="0" applyNumberFormat="1" applyFont="1" applyFill="1" applyAlignment="1">
      <alignment horizontal="center"/>
    </xf>
    <xf numFmtId="0" fontId="18" fillId="0" borderId="0" xfId="0" applyFont="1" applyAlignment="1">
      <alignment horizontal="center"/>
    </xf>
    <xf numFmtId="0" fontId="6" fillId="0" borderId="0" xfId="0" applyFont="1" applyAlignment="1">
      <alignment horizontal="center"/>
    </xf>
    <xf numFmtId="168" fontId="18"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4" borderId="0" xfId="0" applyNumberFormat="1" applyFont="1" applyFill="1" applyAlignment="1">
      <alignment horizontal="center"/>
    </xf>
    <xf numFmtId="10" fontId="9" fillId="5" borderId="2" xfId="0" applyNumberFormat="1" applyFont="1" applyFill="1" applyBorder="1" applyAlignment="1">
      <alignment horizontal="center"/>
    </xf>
    <xf numFmtId="2" fontId="19" fillId="0" borderId="0" xfId="0" applyNumberFormat="1" applyFont="1"/>
    <xf numFmtId="2" fontId="0" fillId="0" borderId="0" xfId="0" applyNumberFormat="1" applyAlignment="1">
      <alignment horizontal="left"/>
    </xf>
    <xf numFmtId="2" fontId="0" fillId="0" borderId="0" xfId="0" applyNumberFormat="1"/>
    <xf numFmtId="0" fontId="12" fillId="0" borderId="0" xfId="0" applyFont="1" applyAlignment="1">
      <alignment horizontal="left"/>
    </xf>
    <xf numFmtId="2" fontId="19" fillId="0" borderId="0" xfId="0" applyNumberFormat="1" applyFont="1" applyAlignment="1">
      <alignment horizontal="center"/>
    </xf>
    <xf numFmtId="0" fontId="12" fillId="0" borderId="0" xfId="0" applyFont="1" applyBorder="1" applyAlignment="1">
      <alignment horizontal="left"/>
    </xf>
    <xf numFmtId="0" fontId="0" fillId="0" borderId="0" xfId="0" applyBorder="1"/>
    <xf numFmtId="0" fontId="12" fillId="0" borderId="0" xfId="0" applyFont="1" applyFill="1" applyBorder="1" applyAlignment="1">
      <alignment horizontal="left"/>
    </xf>
  </cellXfs>
  <cellStyles count="2">
    <cellStyle name="Normal" xfId="0" builtinId="0"/>
    <cellStyle name="Normal 2" xfId="1" xr:uid="{A3A48D21-4439-46E1-ACE3-DA7868170AB4}"/>
  </cellStyles>
  <dxfs count="54">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ill>
        <patternFill>
          <bgColor theme="9" tint="0.59996337778862885"/>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13.96</v>
    <v>BVMF</v>
    <v>18.91</v>
    <v>18.78</v>
    <v>0.98250000000000004</v>
    <v>B3 - Brazil Stock Exchange</v>
    <v>1798472393.5</v>
    <v>18.87</v>
    <v>45884.958333333336</v>
    <v>0</v>
    <v>BRL</v>
    <v>Trend ETF LBMA Ouro FIInd IE</v>
    <v>18.86</v>
    <v>18.82</v>
    <v>GOLD11</v>
    <v>Fundos mais negociados</v>
    <v>Trend ETF LBMA Ouro FIInd IE (BVMF:GOLD11)</v>
    <v>-0.05</v>
    <v>-2.65E-3</v>
    <v>1084173</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136431.44</v>
    <v>135583.07</v>
    <v>136355.78</v>
    <v>3</v>
    <v>SAO PAULO SE BOVESPA INDEX</v>
    <v>BR</v>
    <v>136354.37</v>
    <v>136340.76999999999</v>
    <v>IBOV</v>
    <v>Índice</v>
    <v>SAO PAULO SE BOVESPA INDEX</v>
    <v>-15.01</v>
    <v>-1.1010000000000001E-4</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6.52</v>
    <v>BVMF</v>
    <v>4453440</v>
    <v>6.88</v>
    <v>1960</v>
    <v>6.52</v>
    <v>0.64129999999999998</v>
    <v>B3 - Brazil Stock Exchange</v>
    <v>31373830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8.0500000000000007</v>
    <v>1753</v>
    <v>45867.947916666664</v>
    <v>9</v>
    <v>BRL</v>
    <v>EQUATORIAL PARÁ DISTRIBUIDORA DE ENERGIA S.A</v>
    <v>EQUATORIAL PARÁ DISTRIBUIDORA DE ENERGIA S.A</v>
    <v>6.88</v>
    <v>6.52</v>
    <v>Rod Augusto Montenegro Km 8,5, Coqueiro, BELEM, PARA, 66.823-010 BR</v>
    <v>Electrical Utilities &amp; IPPs</v>
    <v>EQPA7</v>
    <v>Ações</v>
    <v>EQUATORIAL PARÁ DISTRIBUIDORA DE ENERGIA S.A (BVMF:EQPA7)</v>
    <v>-1.53</v>
    <v>-0.19006200000000001</v>
    <v>300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26.36</v>
    <v>1950</v>
    <v>25.32</v>
    <v>0.59150000000000003</v>
    <v>B3 - Brazil Stock Exchange</v>
    <v>532368200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25.08</v>
    <v>2795</v>
    <v>45884.958333333336</v>
    <v>12</v>
    <v>16950</v>
    <v>BRL</v>
    <v>GRAZZIOTIN S.A.</v>
    <v>GRAZZIOTIN S.A.</v>
    <v>25.99</v>
    <v>26</v>
    <v>Rua Valentin Grazziotin, 077, Sao Cristovao, PASSO FUNDO, RIO GRANDE DO SUL, 99.060-030 BR</v>
    <v>Diversified Retail</v>
    <v>CGRA4</v>
    <v>Ações</v>
    <v>GRAZZIOTIN S.A. (BVMF:CGRA4)</v>
    <v>0.92</v>
    <v>3.6683E-2</v>
    <v>32500</v>
  </rv>
  <rv s="2">
    <v>13</v>
  </rv>
  <rv s="0">
    <v>https://www.bing.com/financeapi/forcetrigger?t=apnhoc&amp;q=BVMF%3aTRPL4&amp;form=skydnc</v>
    <v>Learn more on Bing</v>
  </rv>
  <rv s="8">
    <v>pt-BR</v>
    <v>apnhoc</v>
    <v>268435456</v>
    <v>1</v>
    <v>Da plataforma Refinitiv</v>
    <v>14</v>
    <v>15</v>
    <v>ISA ENERGIA BRASIL S.A. (BVMF:ISAE4)</v>
    <v>12</v>
    <v>16</v>
    <v>Finance</v>
    <v>5</v>
    <v>24.39</v>
    <v>20.38</v>
    <v>BVMF</v>
    <v>658883300</v>
    <v>22.25</v>
    <v>1999</v>
    <v>21.97</v>
    <v>0.70420000000000005</v>
    <v>B3 - Brazil Stock Exchange</v>
    <v>16703660000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22.02</v>
    <v>1700</v>
    <v>45884.958356481482</v>
    <v>15</v>
    <v>2192490</v>
    <v>BRL</v>
    <v>ISA ENERGIA BRASIL S.A.</v>
    <v>ISA ENERGIA BRASIL S.A.</v>
    <v>22.03</v>
    <v>22.13</v>
    <v>Av. das Nacoes Unidas 14171 - Torre Crystal, 6 andar, Vila Gertrudes, SAO PAULO, SAO PAULO, 04.794-000 BR</v>
    <v>Electrical Utilities &amp; IPPs</v>
    <v>ISAE4</v>
    <v>Ações</v>
    <v>ISA ENERGIA BRASIL S.A. (BVMF:ISAE4)</v>
    <v>0.11</v>
    <v>4.9950000000000003E-3</v>
    <v>1749700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9.15</v>
    <v>7.63</v>
    <v>BVMF</v>
    <v>315912900</v>
    <v>8.5500000000000007</v>
    <v>1937</v>
    <v>8.48</v>
    <v>0.43680000000000002</v>
    <v>B3 - Brazil Stock Exchange</v>
    <v>2677717000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8.4600000000000009</v>
    <v>2204</v>
    <v>45884.958333333336</v>
    <v>18</v>
    <v>10500</v>
    <v>BRL</v>
    <v>BANESTES S.A. – Banco do Estado do Espírito Santo</v>
    <v>BANESTES S.A. – Banco do Estado do Espírito Santo</v>
    <v>8.5</v>
    <v>8.5399999999999991</v>
    <v>Av Princesa Isabel 574, BL B, 9 ANDAR, Centro, VITORIA, ESPIRITO SANTO, 29.010-931 BR</v>
    <v>Banking Services</v>
    <v>BEES3</v>
    <v>Ações</v>
    <v>BANESTES S.A. – Banco do Estado do Espírito Santo (BVMF:BEES3)</v>
    <v>0.08</v>
    <v>9.4559999999999991E-3</v>
    <v>12000</v>
  </rv>
  <rv s="2">
    <v>19</v>
  </rv>
  <rv s="0">
    <v>https://www.bing.com/financeapi/forcetrigger?t=apltyc&amp;q=BVMF%3aABEV3&amp;form=skydnc</v>
    <v>Learn more on Bing</v>
  </rv>
  <rv s="8">
    <v>pt-BR</v>
    <v>apltyc</v>
    <v>268435456</v>
    <v>1</v>
    <v>Da plataforma Refinitiv</v>
    <v>14</v>
    <v>15</v>
    <v>Ambev S.A. (BVMF:ABEV3)</v>
    <v>12</v>
    <v>16</v>
    <v>Finance</v>
    <v>5</v>
    <v>14.74</v>
    <v>10.42</v>
    <v>BVMF</v>
    <v>15761640000</v>
    <v>12.11</v>
    <v>2005</v>
    <v>11.96</v>
    <v>0.67710000000000004</v>
    <v>B3 - Brazil Stock Exchange</v>
    <v>189770100000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12.02</v>
    <v>43000</v>
    <v>45884.958333333336</v>
    <v>21</v>
    <v>32362040</v>
    <v>BRL</v>
    <v>Ambev S.A.</v>
    <v>Ambev S.A.</v>
    <v>12</v>
    <v>12.04</v>
    <v>Rua Dr. Renato Paes de Barros, 1.017, 4 andar, Itaim Bibi, SAO PAULO, SAO PAULO, 04.530-001 BR</v>
    <v>Beverages</v>
    <v>ABEV3</v>
    <v>Ações</v>
    <v>Ambev S.A. (BVMF:ABEV3)</v>
    <v>0.02</v>
    <v>1.6639999999999999E-3</v>
    <v>22216800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3.25</v>
    <v>2.4</v>
    <v>BVMF</v>
    <v>67691630</v>
    <v>2.9</v>
    <v>1946</v>
    <v>2.9</v>
    <v>0.85099999999999998</v>
    <v>B3 - Brazil Stock Exchange</v>
    <v>196305727</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2.87</v>
    <v>45884.958333333336</v>
    <v>24</v>
    <v>7430</v>
    <v>BRL</v>
    <v>REFINARIA DE PETROLEOS DE MANGUINHOS S/A - EM RECUPERACAO JUDICIAL</v>
    <v>REFINARIA DE PETROLEOS DE MANGUINHOS S/A - EM RECUPERACAO JUDICIAL</v>
    <v>2.9</v>
    <v>2.9</v>
    <v>Avenida Brasil, 3.141,n/a, Benfica, RIO DE JANEIRO, RIO DE JANEIRO, 20.930-041 BR</v>
    <v>Oil &amp; Gas</v>
    <v>RPMG3</v>
    <v>Ações</v>
    <v>REFINARIA DE PETROLEOS DE MANGUINHOS S/A - EM RECUPERACAO JUDICIAL (BVMF:RPMG3)</v>
    <v>0.03</v>
    <v>1.0452999999999999E-2</v>
    <v>200</v>
  </rv>
  <rv s="2">
    <v>25</v>
  </rv>
  <rv s="0">
    <v>https://www.bing.com/financeapi/forcetrigger?t=bvcw27&amp;q=BVMF%3aDMVF3&amp;form=skydnc</v>
    <v>Learn more on Bing</v>
  </rv>
  <rv s="8">
    <v>pt-BR</v>
    <v>bvcw27</v>
    <v>268435456</v>
    <v>1</v>
    <v>Da plataforma Refinitiv</v>
    <v>14</v>
    <v>15</v>
    <v>d1000 Varejo Farma Participações S.A. (BVMF:DMVF3)</v>
    <v>12</v>
    <v>16</v>
    <v>Finance</v>
    <v>5</v>
    <v>7.85</v>
    <v>4.4400000000000004</v>
    <v>BVMF</v>
    <v>50602840</v>
    <v>4.6500000000000004</v>
    <v>2010</v>
    <v>4.5</v>
    <v>0.95530000000000004</v>
    <v>B3 - Brazil Stock Exchange</v>
    <v>230242922</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4.5999999999999996</v>
    <v>4200</v>
    <v>45884.958391203705</v>
    <v>27</v>
    <v>52340</v>
    <v>BRL</v>
    <v>d1000 Varejo Farma Participações S.A.</v>
    <v>d1000 Varejo Farma Participações S.A.</v>
    <v>4.6399999999999997</v>
    <v>4.55</v>
    <v>Avenida Ayrton Senna, n 2.150 Bloco P, 3 andar, Barra Da Tijuca, Rio De Janeiro, RIO DE JANEIRO, 22.775-003 BR</v>
    <v>Food &amp; Drug Retailing</v>
    <v>DMVF3</v>
    <v>Ações</v>
    <v>d1000 Varejo Farma Participações S.A. (BVMF:DMVF3)</v>
    <v>-0.05</v>
    <v>-1.0869999999999999E-2</v>
    <v>68200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17.190000000000001</v>
    <v>1977</v>
    <v>16.899999999999999</v>
    <v>0.48320000000000002</v>
    <v>B3 - Brazil Stock Exchange</v>
    <v>7492271929</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17.11</v>
    <v>6065</v>
    <v>45884.958356481482</v>
    <v>30</v>
    <v>2101170</v>
    <v>BRL</v>
    <v>SLC Agrícola S.A.</v>
    <v>SLC Agrícola S.A.</v>
    <v>17.079999999999998</v>
    <v>16.899999999999999</v>
    <v>Rua Bernardo Pires, 128,4andar, Porto Alegre, PORTO ALEGRE, RIO GRANDE DO SUL, 90.620-010 BR</v>
    <v>Food &amp; Tobacco</v>
    <v>SLCE3</v>
    <v>Ações</v>
    <v>SLC Agrícola S.A. (BVMF:SLCE3)</v>
    <v>-0.21</v>
    <v>-1.2274E-2</v>
    <v>1894000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6.51</v>
    <v>2007</v>
    <v>6.2</v>
    <v>1.2786999999999999</v>
    <v>B3 - Brazil Stock Exchange</v>
    <v>1271742420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6.54</v>
    <v>2162</v>
    <v>45884.958391203705</v>
    <v>33</v>
    <v>454620</v>
    <v>BRL</v>
    <v>Oceanpact Serviços Maritimos S.A.</v>
    <v>Oceanpact Serviços Maritimos S.A.</v>
    <v>6.5</v>
    <v>6.36</v>
    <v>Rua da Gloria, n 122, salas 801 e 802 10 pavimento salas 901 e 902, Gloria, RIO DE JANEIRO, RIO DE JANEIRO, 20.241-180 BR</v>
    <v>Professional &amp; Commercial Services</v>
    <v>OPCT3</v>
    <v>Ações</v>
    <v>Oceanpact Serviços Maritimos S.A. (BVMF:OPCT3)</v>
    <v>-0.18</v>
    <v>-2.7522999999999999E-2</v>
    <v>570500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15.72</v>
    <v>11.51</v>
    <v>BVMF</v>
    <v>3749266000</v>
    <v>14.17</v>
    <v>1985</v>
    <v>13.9</v>
    <v>1.0993999999999999</v>
    <v>B3 - Brazil Stock Exchange</v>
    <v>100541400000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14.06</v>
    <v>53918</v>
    <v>45884.958333333336</v>
    <v>39</v>
    <v>40</v>
    <v>50460</v>
    <v>BRL</v>
    <v>Banco Santander (Brasil) S.A.</v>
    <v>Banco Santander (Brasil) S.A.</v>
    <v>13.9</v>
    <v>14.08</v>
    <v>Avenida Presidente Juscelino Kubitschek, n 2041 CJ 281, Bloco A, Vila Nova Conceicao, SAO PAULO, SAO PAULO, 04.543-011 BR</v>
    <v>Banking Services</v>
    <v>SANB4</v>
    <v>Ações</v>
    <v>Banco Santander (Brasil) S.A. (BVMF:SANB4)</v>
    <v>0.02</v>
    <v>1.4219999999999999E-3</v>
    <v>35300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4.74</v>
    <v>1957</v>
    <v>4.4400000000000004</v>
    <v>0.55149999999999999</v>
    <v>B3 - Brazil Stock Exchange</v>
    <v>6513324000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4.43</v>
    <v>8000</v>
    <v>45884.958333333336</v>
    <v>43</v>
    <v>19780</v>
    <v>BRL</v>
    <v>WHIRLPOOL S.A.</v>
    <v>WHIRLPOOL S.A.</v>
    <v>4.4800000000000004</v>
    <v>4.5</v>
    <v>Rua Olympia Semeraro, 675, 1 Andar Sala 06 PA, Jardim Santa Emilia, SAO PAULO, SAO PAULO, 04.183-090 BR</v>
    <v>Household Goods</v>
    <v>WHRL4</v>
    <v>Ações</v>
    <v>WHIRLPOOL S.A. (BVMF:WHRL4)</v>
    <v>7.0000000000000007E-2</v>
    <v>1.5800999999999999E-2</v>
    <v>10000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10.08</v>
    <v>6.53</v>
    <v>BVMF</v>
    <v>101983400</v>
    <v>7.28</v>
    <v>1972</v>
    <v>7.28</v>
    <v>1.0049999999999999</v>
    <v>B3 - Brazil Stock Exchange</v>
    <v>1045521000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7.37</v>
    <v>469</v>
    <v>45884.958333333336</v>
    <v>46</v>
    <v>3010</v>
    <v>BRL</v>
    <v>Telecomunicações Brasileiras S.A. – TELEBRAS</v>
    <v>Telecomunicações Brasileiras S.A. – TELEBRAS</v>
    <v>7.28</v>
    <v>7.28</v>
    <v>SIG Quadra 4 lotes 075, 083, 125 e 175, Bloco A, Salas 211 a 224, Sig, BRASILIA, DISTRITO FEDERAL, 70.610-440 BR</v>
    <v>Telecommunications Services</v>
    <v>TELB4</v>
    <v>Ações</v>
    <v>Telecomunicações Brasileiras S.A. – TELEBRAS (BVMF:TELB4)</v>
    <v>-0.09</v>
    <v>-1.2212000000000001E-2</v>
    <v>100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30.22</v>
    <v>1953</v>
    <v>29.74</v>
    <v>1.0041</v>
    <v>B3 - Brazil Stock Exchange</v>
    <v>407215400000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30.18</v>
    <v>49185</v>
    <v>45884.958333333336</v>
    <v>49</v>
    <v>36759460</v>
    <v>BRL</v>
    <v>Petróleo Brasileiro S.A. (Petrobras)</v>
    <v>Petróleo Brasileiro S.A. (Petrobras)</v>
    <v>30.1</v>
    <v>30.17</v>
    <v>Av. Republica do Chile, n 65, 24 andar, Centro, Rio de Janeiro, RIO DE JANEIRO, 20.031-912 BR</v>
    <v>Oil &amp; Gas</v>
    <v>PETR4</v>
    <v>Ações</v>
    <v>Petróleo Brasileiro S.A. (Petrobras) (BVMF:PETR4)</v>
    <v>-0.01</v>
    <v>-3.3129999999999998E-4</v>
    <v>54888600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1353436000</v>
    <v>10.16</v>
    <v>2003</v>
    <v>9.89</v>
    <v>1.4676</v>
    <v>B3 - Brazil Stock Exchange</v>
    <v>13588497439</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10.050000000000001</v>
    <v>87000</v>
    <v>45884.958333333336</v>
    <v>52</v>
    <v>20892310</v>
    <v>BRL</v>
    <v>Sendas Distribuidora S.A.</v>
    <v>Sendas Distribuidora S.A.</v>
    <v>9.89</v>
    <v>10.039999999999999</v>
    <v>Avenida Ayrton Senna, 6.000 Jacarepagua, RIO DE JANEIRO, RIO DE JANEIRO, 22.775-005 BR</v>
    <v>Food &amp; Drug Retailing</v>
    <v>ASAI3</v>
    <v>Ações</v>
    <v>Sendas Distribuidora S.A. (BVMF:ASAI3)</v>
    <v>-0.01</v>
    <v>-9.9500000000000001E-4</v>
    <v>13384200</v>
  </rv>
  <rv s="2">
    <v>53</v>
  </rv>
  <rv s="0">
    <v>https://www.bing.com/financeapi/forcetrigger?t=apncdm&amp;q=BVMF%3aSHUL4&amp;form=skydnc</v>
    <v>Learn more on Bing</v>
  </rv>
  <rv s="8">
    <v>pt-BR</v>
    <v>apncdm</v>
    <v>268435456</v>
    <v>1</v>
    <v>Da plataforma Refinitiv</v>
    <v>14</v>
    <v>15</v>
    <v>SCHULZ S.A. (BVMF:SHUL4)</v>
    <v>12</v>
    <v>16</v>
    <v>Finance</v>
    <v>5</v>
    <v>6.37</v>
    <v>4.67</v>
    <v>BVMF</v>
    <v>357374800</v>
    <v>4.75</v>
    <v>1963</v>
    <v>4.67</v>
    <v>0.5766</v>
    <v>B3 - Brazil Stock Exchange</v>
    <v>957911800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4.68</v>
    <v>3699</v>
    <v>45884.958333333336</v>
    <v>55</v>
    <v>512890</v>
    <v>BRL</v>
    <v>SCHULZ S.A.</v>
    <v>SCHULZ S.A.</v>
    <v>4.75</v>
    <v>4.7300000000000004</v>
    <v>Rua: Dona Francisca, 6901, Distrito Industrial, JOINVILLE, SANTA CATARINA, 89.219-600 BR</v>
    <v>Machinery, Equipment &amp; Components</v>
    <v>SHUL4</v>
    <v>Ações</v>
    <v>SCHULZ S.A. (BVMF:SHUL4)</v>
    <v>0.05</v>
    <v>1.0684000000000001E-2</v>
    <v>448000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27.7</v>
    <v>1950</v>
    <v>27.28</v>
    <v>0.74739999999999995</v>
    <v>B3 - Brazil Stock Exchange</v>
    <v>3719190160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27.55</v>
    <v>7560</v>
    <v>45884.958333333336</v>
    <v>58</v>
    <v>254260</v>
    <v>BRL</v>
    <v>MAHLE Metal Leve S.A</v>
    <v>MAHLE Metal Leve S.A</v>
    <v>27.56</v>
    <v>27.44</v>
    <v>Av. Ernst MAHLE, 2000, Mombaca, MOGI GUACU, SAO PAULO, 13.849-050 BR</v>
    <v>Automobiles &amp; Auto Parts</v>
    <v>LEVE3</v>
    <v>Ações</v>
    <v>MAHLE Metal Leve S.A (BVMF:LEVE3)</v>
    <v>-0.11</v>
    <v>-3.993E-3</v>
    <v>169800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12.2</v>
    <v>1954</v>
    <v>11.99</v>
    <v>0.84260000000000002</v>
    <v>B3 - Brazil Stock Exchange</v>
    <v>35137020000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12.12</v>
    <v>4396</v>
    <v>45884.958333333336</v>
    <v>61</v>
    <v>15887970</v>
    <v>BRL</v>
    <v>Companhia Paranaense de Energia - Copel</v>
    <v>Companhia Paranaense de Energia - Copel</v>
    <v>12.12</v>
    <v>12.06</v>
    <v>Rua Jose Izidoro Biazetto, 158, Orleans, CURITIBA, PARANA, 81.200-240 BR</v>
    <v>Electrical Utilities &amp; IPPs</v>
    <v>CPLE6</v>
    <v>Ações</v>
    <v>Companhia Paranaense de Energia - Copel (BVMF:CPLE6)</v>
    <v>-0.06</v>
    <v>-4.9499999999999995E-3</v>
    <v>14493400</v>
  </rv>
  <rv s="2">
    <v>62</v>
  </rv>
  <rv s="0">
    <v>https://www.bing.com/financeapi/forcetrigger?t=apm7rw&amp;q=BVMF%3aCEBR6&amp;form=skydnc</v>
    <v>Learn more on Bing</v>
  </rv>
  <rv s="8">
    <v>pt-BR</v>
    <v>apm7rw</v>
    <v>268435456</v>
    <v>1</v>
    <v>Da plataforma Refinitiv</v>
    <v>14</v>
    <v>15</v>
    <v>COMPANHIA ENERGÉTICA DE BRASÍLIA - CEB (BVMF:CEBR6)</v>
    <v>12</v>
    <v>16</v>
    <v>Finance</v>
    <v>5</v>
    <v>24.79</v>
    <v>15.18</v>
    <v>BVMF</v>
    <v>72081910</v>
    <v>24</v>
    <v>1968</v>
    <v>23.48</v>
    <v>0.64690000000000003</v>
    <v>B3 - Brazil Stock Exchange</v>
    <v>1626619000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23.48</v>
    <v>845</v>
    <v>45884.958333333336</v>
    <v>64</v>
    <v>6620</v>
    <v>BRL</v>
    <v>COMPANHIA ENERGÉTICA DE BRASÍLIA - CEB</v>
    <v>COMPANHIA ENERGÉTICA DE BRASÍLIA - CEB</v>
    <v>23.48</v>
    <v>24</v>
    <v>SGAN Quadra 601, Bloco H, Salas 2010 a 2023 Edificio ION, Asa Norte, BRASILIA, DISTRITO FEDERAL, 70.830-010 BR</v>
    <v>Electrical Utilities &amp; IPPs</v>
    <v>CEBR6</v>
    <v>Ações</v>
    <v>COMPANHIA ENERGÉTICA DE BRASÍLIA - CEB (BVMF:CEBR6)</v>
    <v>0.52</v>
    <v>2.2147E-2</v>
    <v>13500</v>
  </rv>
  <rv s="2">
    <v>65</v>
  </rv>
  <rv s="0">
    <v>https://www.bing.com/financeapi/forcetrigger?t=awjx27&amp;q=BVMF%3aPRNR3&amp;form=skydnc</v>
    <v>Learn more on Bing</v>
  </rv>
  <rv s="8">
    <v>pt-BR</v>
    <v>awjx27</v>
    <v>268435456</v>
    <v>1</v>
    <v>Da plataforma Refinitiv</v>
    <v>14</v>
    <v>15</v>
    <v>PRINER SERVIÇOS INDUSTRIAIS S.A. (BVMF:PRNR3)</v>
    <v>12</v>
    <v>16</v>
    <v>Finance</v>
    <v>5</v>
    <v>17.829999999999998</v>
    <v>11.32</v>
    <v>BVMF</v>
    <v>56720760</v>
    <v>15.17</v>
    <v>2013</v>
    <v>15</v>
    <v>0.99890000000000001</v>
    <v>B3 - Brazil Stock Exchange</v>
    <v>860453929</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v>
    <v>6994</v>
    <v>45884.958333333336</v>
    <v>67</v>
    <v>284040</v>
    <v>BRL</v>
    <v>PRINER SERVIÇOS INDUSTRIAIS S.A.</v>
    <v>PRINER SERVIÇOS INDUSTRIAIS S.A.</v>
    <v>15.11</v>
    <v>15.17</v>
    <v>Av. Geremario Dantas, 1400 2. Piso - Quality Shopping - Freguesia Jacarepagua, RIO DE JANEIRO, RIO DE JANEIRO BR</v>
    <v>Professional &amp; Commercial Services</v>
    <v>PRNR3</v>
    <v>Ações</v>
    <v>PRINER SERVIÇOS INDUSTRIAIS S.A. (BVMF:PRNR3)</v>
    <v>0.17</v>
    <v>1.1332999999999999E-2</v>
    <v>135400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11.27</v>
    <v>9.0399999999999991</v>
    <v>BVMF</v>
    <v>2861782000</v>
    <v>10.78</v>
    <v>1952</v>
    <v>10.53</v>
    <v>0.80730000000000002</v>
    <v>B3 - Brazil Stock Exchange</v>
    <v>34781320000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10.82</v>
    <v>5028</v>
    <v>45884.958333333336</v>
    <v>70</v>
    <v>10984690</v>
    <v>BRL</v>
    <v>Companhia Energética de Minas Gerais - CEMIG</v>
    <v>Companhia Energética de Minas Gerais - CEMIG</v>
    <v>10.78</v>
    <v>10.72</v>
    <v>Avenida Barbacena, 1200, 16 / B1, Santo Agostinho, BELO HORIZONTE, MINAS GERAIS, 30.190-131 BR</v>
    <v>Electrical Utilities &amp; IPPs</v>
    <v>CMIG4</v>
    <v>Ações</v>
    <v>Companhia Energética de Minas Gerais - CEMIG (BVMF:CMIG4)</v>
    <v>-0.1</v>
    <v>-9.2420000000000002E-3</v>
    <v>17602100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9.6999999999999993</v>
    <v>7.78</v>
    <v>BVMF</v>
    <v>315912900</v>
    <v>8.6199999999999992</v>
    <v>1937</v>
    <v>8.4600000000000009</v>
    <v>0.43680000000000002</v>
    <v>B3 - Brazil Stock Exchange</v>
    <v>2677717000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8.52</v>
    <v>2204</v>
    <v>45884.958333333336</v>
    <v>73</v>
    <v>10500</v>
    <v>BRL</v>
    <v>BANESTES S.A. – Banco do Estado do Espírito Santo</v>
    <v>BANESTES S.A. – Banco do Estado do Espírito Santo</v>
    <v>8.6199999999999992</v>
    <v>8.5</v>
    <v>Av Princesa Isabel 574, BL B, 9 ANDAR, Centro, VITORIA, ESPIRITO SANTO, 29.010-931 BR</v>
    <v>Banking Services</v>
    <v>BEES4</v>
    <v>Ações</v>
    <v>BANESTES S.A. – Banco do Estado do Espírito Santo (BVMF:BEES4)</v>
    <v>-0.02</v>
    <v>-2.3470000000000001E-3</v>
    <v>5300</v>
  </rv>
  <rv s="2">
    <v>74</v>
  </rv>
  <rv s="0">
    <v>https://www.bing.com/financeapi/forcetrigger?t=apn5a2&amp;q=BVMF%3aPOMO3&amp;form=skydnc</v>
    <v>Learn more on Bing</v>
  </rv>
  <rv s="8">
    <v>pt-BR</v>
    <v>apn5a2</v>
    <v>268435456</v>
    <v>1</v>
    <v>Da plataforma Refinitiv</v>
    <v>14</v>
    <v>15</v>
    <v>MARCOPOLO S.A. (BVMF:POMO3)</v>
    <v>12</v>
    <v>16</v>
    <v>Finance</v>
    <v>5</v>
    <v>7.3</v>
    <v>4.47</v>
    <v>BVMF</v>
    <v>1136271000</v>
    <v>7.2</v>
    <v>1949</v>
    <v>7.03</v>
    <v>0.80320000000000003</v>
    <v>B3 - Brazil Stock Exchange</v>
    <v>9417548000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7.08</v>
    <v>16027</v>
    <v>45884.958333333336</v>
    <v>76</v>
    <v>10709580</v>
    <v>BRL</v>
    <v>MARCOPOLO S.A.</v>
    <v>MARCOPOLO S.A.</v>
    <v>7.13</v>
    <v>7.1</v>
    <v>Avenida Marcopolo,280, Planalto, CAXIAS DO SUL, RIO GRANDE DO SUL, 95.086-200 BR</v>
    <v>Automobiles &amp; Auto Parts</v>
    <v>POMO3</v>
    <v>Ações</v>
    <v>MARCOPOLO S.A. (BVMF:POMO3)</v>
    <v>0.02</v>
    <v>2.8249999999999998E-3</v>
    <v>46400</v>
  </rv>
  <rv s="2">
    <v>77</v>
  </rv>
  <rv s="0">
    <v>https://www.bing.com/financeapi/forcetrigger?t=bxgdk2&amp;q=BVMF%3aBMOB3&amp;form=skydnc</v>
    <v>Learn more on Bing</v>
  </rv>
  <rv s="9">
    <v>pt-BR</v>
    <v>bxgdk2</v>
    <v>268435456</v>
    <v>1</v>
    <v>Da plataforma Refinitiv</v>
    <v>17</v>
    <v>18</v>
    <v>BEMOBI MOBILE TECH S.A. (BVMF:BMOB3)</v>
    <v>12</v>
    <v>19</v>
    <v>Finance</v>
    <v>5</v>
    <v>23.45</v>
    <v>12.4</v>
    <v>BVMF</v>
    <v>85608390</v>
    <v>21.8</v>
    <v>2007</v>
    <v>19.82</v>
    <v>1.2294</v>
    <v>B3 - Brazil Stock Exchange</v>
    <v>1836299965</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19.670000000000002</v>
    <v>45884.958333333336</v>
    <v>79</v>
    <v>303910</v>
    <v>BRL</v>
    <v>BEMOBI MOBILE TECH S.A.</v>
    <v>BEMOBI MOBILE TECH S.A.</v>
    <v>20.37</v>
    <v>21.45</v>
    <v>Av. Barao de Tefe, n. 27 12 Andar, Saude, RIO DE JANEIRO, RIO DE JANEIRO, 20.220-460 BR</v>
    <v>Software &amp; IT Services</v>
    <v>BMOB3</v>
    <v>Ações</v>
    <v>BEMOBI MOBILE TECH S.A. (BVMF:BMOB3)</v>
    <v>1.78</v>
    <v>9.0493000000000004E-2</v>
    <v>952600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40.21</v>
    <v>1942</v>
    <v>39.71</v>
    <v>0.43790000000000001</v>
    <v>B3 - Brazil Stock Exchange</v>
    <v>362931967</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39.9</v>
    <v>1065</v>
    <v>45884.958333333336</v>
    <v>82</v>
    <v>29720</v>
    <v>BRL</v>
    <v>METISA METALURGICA TIMBOENSE S.A.</v>
    <v>METISA METALURGICA TIMBOENSE S.A.</v>
    <v>40</v>
    <v>39.72</v>
    <v>Rua Fritz Lorenz, 2442, Distrito Industrial, TIMBO, SANTA CATARINA, 89.120-000 BR</v>
    <v>Machinery, Equipment &amp; Components</v>
    <v>MTSA4</v>
    <v>Ações</v>
    <v>METISA METALURGICA TIMBOENSE S.A. (BVMF:MTSA4)</v>
    <v>-0.18</v>
    <v>-4.5110000000000003E-3</v>
    <v>800</v>
  </rv>
  <rv s="2">
    <v>83</v>
  </rv>
  <rv s="0">
    <v>https://www.bing.com/financeapi/forcetrigger?t=bgnmm7&amp;q=BVMF%3aCAMB3&amp;form=skydnc</v>
    <v>Learn more on Bing</v>
  </rv>
  <rv s="8">
    <v>pt-BR</v>
    <v>bgnmm7</v>
    <v>268435456</v>
    <v>1</v>
    <v>Da plataforma Refinitiv</v>
    <v>14</v>
    <v>15</v>
    <v>CAMBUCI S.A. (BVMF:CAMB3)</v>
    <v>12</v>
    <v>16</v>
    <v>Finance</v>
    <v>5</v>
    <v>11.92</v>
    <v>8.82</v>
    <v>BVMF</v>
    <v>42275080</v>
    <v>9.5</v>
    <v>1945</v>
    <v>9.16</v>
    <v>0.14099999999999999</v>
    <v>B3 - Brazil Stock Exchange</v>
    <v>391044490</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9.4</v>
    <v>2078</v>
    <v>45884.958333333336</v>
    <v>85</v>
    <v>87500</v>
    <v>BRL</v>
    <v>CAMBUCI S.A.</v>
    <v>CAMBUCI S.A.</v>
    <v>9.3699999999999992</v>
    <v>9.25</v>
    <v>Avenida Getulio Vargas, 930,Escritorio, Marmeleiro, SAO PAULO, SAO PAULO, 18.130-430 BR</v>
    <v>Leisure Products</v>
    <v>CAMB3</v>
    <v>Ações</v>
    <v>CAMBUCI S.A. (BVMF:CAMB3)</v>
    <v>-0.15</v>
    <v>-1.5956999999999999E-2</v>
    <v>30800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14.76</v>
    <v>2000</v>
    <v>14.56</v>
    <v>0.92149999999999999</v>
    <v>B3 - Brazil Stock Exchange</v>
    <v>6086527000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14.88</v>
    <v>45884.958333333336</v>
    <v>88</v>
    <v>3821570</v>
    <v>BRL</v>
    <v>Bradespar S.A</v>
    <v>Bradespar S.A</v>
    <v>14.76</v>
    <v>14.61</v>
    <v>Avenida Paulista, 1.450,9 andar, Cerqueira Cesar, SAO PAULO, SAO PAULO, 01.310-917 BR</v>
    <v>Metals &amp; Mining</v>
    <v>BRAP3</v>
    <v>Ações</v>
    <v>Bradespar S.A (BVMF:BRAP3)</v>
    <v>-0.27</v>
    <v>-1.8145000000000001E-2</v>
    <v>32800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1.17</v>
    <v>1937</v>
    <v>1.1499999999999999</v>
    <v>1.0228999999999999</v>
    <v>B3 - Brazil Stock Exchange</v>
    <v>16779000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1.1599999999999999</v>
    <v>45884.958333333336</v>
    <v>91</v>
    <v>2860</v>
    <v>BRL</v>
    <v>HAGA S.A. INDUSTRIA E COMERCIO</v>
    <v>HAGA S.A. INDUSTRIA E COMERCIO</v>
    <v>1.1499999999999999</v>
    <v>1.17</v>
    <v>Avenida Engenheiro Hans Gaiser, 26,Predio, Centro, NOVA FRIBURGO, RIO DE JANEIRO, 28.605-220 BR</v>
    <v>Specialty Retailers</v>
    <v>HAGA4</v>
    <v>Ações</v>
    <v>HAGA S.A. INDUSTRIA E COMERCIO (BVMF:HAGA4)</v>
    <v>0.01</v>
    <v>8.6210000000000002E-3</v>
    <v>500</v>
  </rv>
  <rv s="2">
    <v>92</v>
  </rv>
  <rv s="0">
    <v>https://www.bing.com/financeapi/forcetrigger?t=apnaw7&amp;q=BVMF%3aSANB3&amp;form=skydnc</v>
    <v>Learn more on Bing</v>
  </rv>
  <rv s="12">
    <v>pt-BR</v>
    <v>apnaw7</v>
    <v>268435456</v>
    <v>1</v>
    <v>Da plataforma Refinitiv</v>
    <v>20</v>
    <v>21</v>
    <v>Banco Santander (Brasil) S.A. (BVMF:SANB3)</v>
    <v>23</v>
    <v>24</v>
    <v>Finance</v>
    <v>5</v>
    <v>14.42</v>
    <v>10.31</v>
    <v>BVMF</v>
    <v>3749266000</v>
    <v>12.89</v>
    <v>1985</v>
    <v>12.71</v>
    <v>1.0993999999999999</v>
    <v>B3 - Brazil Stock Exchange</v>
    <v>100541400000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12.78</v>
    <v>53918</v>
    <v>45884.958333333336</v>
    <v>39</v>
    <v>94</v>
    <v>50460</v>
    <v>BRL</v>
    <v>Banco Santander (Brasil) S.A.</v>
    <v>Banco Santander (Brasil) S.A.</v>
    <v>12.71</v>
    <v>12.85</v>
    <v>Avenida Presidente Juscelino Kubitschek, n 2041 CJ 281, Bloco A, Vila Nova Conceicao, SAO PAULO, SAO PAULO, 04.543-011 BR</v>
    <v>Banking Services</v>
    <v>SANB3</v>
    <v>Ações</v>
    <v>Banco Santander (Brasil) S.A. (BVMF:SANB3)</v>
    <v>7.0000000000000007E-2</v>
    <v>5.4769999999999992E-3</v>
    <v>28600</v>
  </rv>
  <rv s="2">
    <v>95</v>
  </rv>
  <rv s="0">
    <v>https://www.bing.com/financeapi/forcetrigger?t=apm6pr&amp;q=BVMF%3aCARD3&amp;form=skydnc</v>
    <v>Learn more on Bing</v>
  </rv>
  <rv s="8">
    <v>pt-BR</v>
    <v>apm6pr</v>
    <v>268435456</v>
    <v>1</v>
    <v>Da plataforma Refinitiv</v>
    <v>14</v>
    <v>15</v>
    <v>CSU DIGITAL S.A. (BVMF:CSUD3)</v>
    <v>12</v>
    <v>16</v>
    <v>Finance</v>
    <v>5</v>
    <v>19.100000000000001</v>
    <v>13.46</v>
    <v>BVMF</v>
    <v>41800000</v>
    <v>17.53</v>
    <v>1997</v>
    <v>17.260000000000002</v>
    <v>0.97019999999999995</v>
    <v>B3 - Brazil Stock Exchange</v>
    <v>726484000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17.440000000000001</v>
    <v>6600</v>
    <v>45884.958391203705</v>
    <v>97</v>
    <v>40250</v>
    <v>BRL</v>
    <v>CSU DIGITAL S.A.</v>
    <v>CSU DIGITAL S.A.</v>
    <v>17.260000000000002</v>
    <v>17.38</v>
    <v>Rua Piaui 136, Nova Aldeinha, BARUERI, SAO PAULO, 06.440-182 BR</v>
    <v>Banking Services</v>
    <v>CSUD3</v>
    <v>Ações</v>
    <v>CSU DIGITAL S.A. (BVMF:CSUD3)</v>
    <v>-0.06</v>
    <v>-3.4399999999999999E-3</v>
    <v>13700</v>
  </rv>
  <rv s="2">
    <v>98</v>
  </rv>
  <rv s="0">
    <v>https://www.bing.com/financeapi/forcetrigger?t=c13h5r&amp;q=BVMF%3aBLAU3&amp;form=skydnc</v>
    <v>Learn more on Bing</v>
  </rv>
  <rv s="8">
    <v>pt-BR</v>
    <v>c13h5r</v>
    <v>268435456</v>
    <v>1</v>
    <v>Da plataforma Refinitiv</v>
    <v>14</v>
    <v>15</v>
    <v>Blau Farmacêutica S/A (BVMF:BLAU3)</v>
    <v>12</v>
    <v>16</v>
    <v>Finance</v>
    <v>5</v>
    <v>17.27</v>
    <v>11.26</v>
    <v>BVMF</v>
    <v>179393900</v>
    <v>12.32</v>
    <v>1987</v>
    <v>12.12</v>
    <v>1.0164</v>
    <v>B3 - Brazil Stock Exchange</v>
    <v>2174255000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12.1</v>
    <v>1900</v>
    <v>45884.838194733595</v>
    <v>100</v>
    <v>302950</v>
    <v>BRL</v>
    <v>Blau Farmacêutica S/A</v>
    <v>Blau Farmacêutica S/A</v>
    <v>12.25</v>
    <v>12.12</v>
    <v>Rodovia Raposo Tavares, 2833, km 30,5, Barro Branco, COTIA, SAO PAULO, 06.705-030 BR</v>
    <v>Pharmaceuticals</v>
    <v>BLAU3</v>
    <v>Ações</v>
    <v>Blau Farmacêutica S/A (BVMF:BLAU3)</v>
    <v>0.02</v>
    <v>1.653E-3</v>
    <v>194000</v>
  </rv>
  <rv s="2">
    <v>101</v>
  </rv>
  <rv s="0">
    <v>https://www.bing.com/financeapi/forcetrigger?t=apmnjc&amp;q=BVMF%3aGGBR3&amp;form=skydnc</v>
    <v>Learn more on Bing</v>
  </rv>
  <rv s="8">
    <v>pt-BR</v>
    <v>apmnjc</v>
    <v>268435456</v>
    <v>1</v>
    <v>Da plataforma Refinitiv</v>
    <v>14</v>
    <v>15</v>
    <v>GERDAU S.A. (BVMF:GGBR3)</v>
    <v>12</v>
    <v>16</v>
    <v>Finance</v>
    <v>5</v>
    <v>19.760000000000002</v>
    <v>13.29</v>
    <v>BVMF</v>
    <v>2013814000</v>
    <v>14.8</v>
    <v>1961</v>
    <v>14.47</v>
    <v>0.64129999999999998</v>
    <v>B3 - Brazil Stock Exchange</v>
    <v>31683440000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14.71</v>
    <v>25557</v>
    <v>45884.958333333336</v>
    <v>103</v>
    <v>9238500</v>
    <v>BRL</v>
    <v>GERDAU S.A.</v>
    <v>GERDAU S.A.</v>
    <v>14.69</v>
    <v>14.5</v>
    <v>Avenida Doutora Ruth Cardoso, 8.501, 8 andar, Pinheiros, SAO PAULO, SAO PAULO, 05.425-070 BR</v>
    <v>Metals &amp; Mining</v>
    <v>GGBR3</v>
    <v>Ações</v>
    <v>GERDAU S.A. (BVMF:GGBR3)</v>
    <v>-0.21</v>
    <v>-1.4276E-2</v>
    <v>9700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7.96</v>
    <v>1963</v>
    <v>7.84</v>
    <v>0.60909999999999997</v>
    <v>B3 - Brazil Stock Exchange</v>
    <v>10613700000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7.99</v>
    <v>6047</v>
    <v>45884.958333333336</v>
    <v>109</v>
    <v>1307550</v>
    <v>BRL</v>
    <v>Companhia de Saneamento do Paraná - Sanepar</v>
    <v>Companhia de Saneamento do Paraná - Sanepar</v>
    <v>7.95</v>
    <v>7.88</v>
    <v>Rua Engenheiros Reboucas, 1376, Reboucas, CURITIBA, PARANA, 80.215-900 BR</v>
    <v>Water Utilities</v>
    <v>SAPR3</v>
    <v>Ações</v>
    <v>Companhia de Saneamento do Paraná - Sanepar (BVMF:SAPR3)</v>
    <v>-0.11</v>
    <v>-1.3767E-2</v>
    <v>113200</v>
  </rv>
  <rv s="2">
    <v>110</v>
  </rv>
  <rv s="0">
    <v>https://www.bing.com/financeapi/forcetrigger?t=apltsm&amp;q=BVMF%3aABCB4&amp;form=skydnc</v>
    <v>Learn more on Bing</v>
  </rv>
  <rv s="8">
    <v>pt-BR</v>
    <v>apltsm</v>
    <v>268435456</v>
    <v>1</v>
    <v>Da plataforma Refinitiv</v>
    <v>14</v>
    <v>15</v>
    <v>Banco ABC Brasil S.A (BVMF:ABCB4)</v>
    <v>12</v>
    <v>16</v>
    <v>Finance</v>
    <v>5</v>
    <v>22.35</v>
    <v>17.850000000000001</v>
    <v>BVMF</v>
    <v>121695200</v>
    <v>21.93</v>
    <v>1983</v>
    <v>21.42</v>
    <v>0.90339999999999998</v>
    <v>B3 - Brazil Stock Exchange</v>
    <v>2612795000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21.47</v>
    <v>441</v>
    <v>45884.958333333336</v>
    <v>112</v>
    <v>368160</v>
    <v>BRL</v>
    <v>Banco ABC Brasil S.A</v>
    <v>Banco ABC Brasil S.A</v>
    <v>21.42</v>
    <v>21.93</v>
    <v>Av. Cidade Jardim, 803 2 andar, Itaim Bibi, SAO PAULO, SAO PAULO, 01.453-000 BR</v>
    <v>Banking Services</v>
    <v>ABCB4</v>
    <v>Ações</v>
    <v>Banco ABC Brasil S.A (BVMF:ABCB4)</v>
    <v>0.46</v>
    <v>2.1425E-2</v>
    <v>325400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11.98</v>
    <v>1928</v>
    <v>11.42</v>
    <v>1.0846</v>
    <v>B3 - Brazil Stock Exchange</v>
    <v>4665634000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10.95</v>
    <v>9364</v>
    <v>45884.958333333336</v>
    <v>115</v>
    <v>846410</v>
    <v>BRL</v>
    <v>BANCO DO ESTADO DO RIO GRANDE DO SUL S.A.</v>
    <v>BANCO DO ESTADO DO RIO GRANDE DO SUL S.A.</v>
    <v>11.6</v>
    <v>11.82</v>
    <v>Rua Capitao Montanha, 177, Centro, PORTO ALEGRE, RIO GRANDE DO SUL, 90.018-900 BR</v>
    <v>Banking Services</v>
    <v>BRSR6</v>
    <v>Ações</v>
    <v>BANCO DO ESTADO DO RIO GRANDE DO SUL S.A. (BVMF:BRSR6)</v>
    <v>0.87</v>
    <v>7.9451999999999995E-2</v>
    <v>2921200</v>
  </rv>
  <rv s="2">
    <v>116</v>
  </rv>
  <rv s="0">
    <v>https://www.bing.com/financeapi/forcetrigger?t=c3uxhw&amp;q=BVMF%3aPORT3&amp;form=skydnc</v>
    <v>Learn more on Bing</v>
  </rv>
  <rv s="9">
    <v>pt-BR</v>
    <v>c3uxhw</v>
    <v>268435456</v>
    <v>1</v>
    <v>Da plataforma Refinitiv</v>
    <v>17</v>
    <v>18</v>
    <v>Wilson Sons S.A. (BVMF:PORT3)</v>
    <v>12</v>
    <v>19</v>
    <v>Finance</v>
    <v>5</v>
    <v>17.89</v>
    <v>14.8</v>
    <v>BVMF</v>
    <v>442931900</v>
    <v>17.87</v>
    <v>1971</v>
    <v>17.79</v>
    <v>1.0528999999999999</v>
    <v>B3 - Brazil Stock Exchange</v>
    <v>7888617138</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17.79</v>
    <v>45884.838596250003</v>
    <v>118</v>
    <v>1194200</v>
    <v>BRL</v>
    <v>Wilson Sons S.A.</v>
    <v>Wilson Sons S.A.</v>
    <v>17.79</v>
    <v>17.809999999999999</v>
    <v>Praia de Botafogo 186, 4 andar, Botafogo, RIO DE JANEIRO, RIO DE JANEIRO, 22.250-145 BR</v>
    <v>Transport Infrastructure</v>
    <v>PORT3</v>
    <v>Ações</v>
    <v>Wilson Sons S.A. (BVMF:PORT3)</v>
    <v>0.02</v>
    <v>1.124E-3</v>
    <v>425100</v>
  </rv>
  <rv s="2">
    <v>119</v>
  </rv>
  <rv s="0">
    <v>https://www.bing.com/financeapi/forcetrigger?t=apn4rw&amp;q=BVMF%3aPINE4&amp;form=skydnc</v>
    <v>Learn more on Bing</v>
  </rv>
  <rv s="8">
    <v>pt-BR</v>
    <v>apn4rw</v>
    <v>268435456</v>
    <v>1</v>
    <v>Da plataforma Refinitiv</v>
    <v>14</v>
    <v>15</v>
    <v>Banco Pine S.A. (BVMF:PINE4)</v>
    <v>12</v>
    <v>16</v>
    <v>Finance</v>
    <v>5</v>
    <v>6.4</v>
    <v>3.77</v>
    <v>BVMF</v>
    <v>226739600</v>
    <v>6.24</v>
    <v>1997</v>
    <v>6.05</v>
    <v>1.2252000000000001</v>
    <v>B3 - Brazil Stock Exchange</v>
    <v>1385111000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6.16</v>
    <v>393</v>
    <v>45884.958333333336</v>
    <v>121</v>
    <v>249230</v>
    <v>BRL</v>
    <v>Banco Pine S.A.</v>
    <v>Banco Pine S.A.</v>
    <v>6.16</v>
    <v>6.12</v>
    <v>Av. Presidente Juscelino Kubitschek, 1830- Salas 44, 54 e 64 4, 5 e 6 andares, Vila Nova Conceicao, SAO PAULO, SAO PAULO, 04.543-000 BR</v>
    <v>Banking Services</v>
    <v>PINE4</v>
    <v>Ações</v>
    <v>Banco Pine S.A. (BVMF:PINE4)</v>
    <v>-0.04</v>
    <v>-6.4939999999999998E-3</v>
    <v>248700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11.08</v>
    <v>1966</v>
    <v>10.94</v>
    <v>1.1745000000000001</v>
    <v>B3 - Brazil Stock Exchange</v>
    <v>121000700000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10.98</v>
    <v>127000</v>
    <v>45884.958333333336</v>
    <v>124</v>
    <v>18287870</v>
    <v>BRL</v>
    <v>ITAÚSA S.A.</v>
    <v>ITAÚSA S.A.</v>
    <v>11.02</v>
    <v>10.97</v>
    <v>Avenida Paulista, 1938, 5 andar, Bela Vista, SAO PAULO, SAO PAULO, 01.310-200 BR</v>
    <v>Banking Services</v>
    <v>ITSA3</v>
    <v>Ações</v>
    <v>ITAÚSA S.A. (BVMF:ITSA3)</v>
    <v>-0.01</v>
    <v>-9.1069999999999996E-4</v>
    <v>96000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1.31</v>
    <v>1.25</v>
    <v>2.0592000000000001</v>
    <v>B3 - Brazil Stock Exchange</v>
    <v>369812685</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1.3</v>
    <v>8427</v>
    <v>45884.958391203705</v>
    <v>127</v>
    <v>239370</v>
    <v>BRL</v>
    <v>International Meal Company Alimentação S.A.</v>
    <v>International Meal Company Alimentação S.A.</v>
    <v>1.31</v>
    <v>1.29</v>
    <v>Avenida Doutora Ruth Cardoso, 4777, 12 andar,conjunto A, Jd Univ. Pinheiros, SAO PAULO, SAO PAULO, 05.477-902 BR</v>
    <v>Hotels &amp; Entertainment Services</v>
    <v>MEAL3</v>
    <v>Ações</v>
    <v>International Meal Company Alimentação S.A. (BVMF:MEAL3)</v>
    <v>-0.01</v>
    <v>-7.6920000000000001E-3</v>
    <v>308400</v>
  </rv>
  <rv s="2">
    <v>128</v>
  </rv>
  <rv s="0">
    <v>https://www.bing.com/financeapi/forcetrigger?t=aplz4c&amp;q=BVMF%3aBBSE3&amp;form=skydnc</v>
    <v>Learn more on Bing</v>
  </rv>
  <rv s="8">
    <v>pt-BR</v>
    <v>aplz4c</v>
    <v>268435456</v>
    <v>1</v>
    <v>Da plataforma Refinitiv</v>
    <v>14</v>
    <v>15</v>
    <v>BB Seguridade Participações S.A. (BVMF:BBSE3)</v>
    <v>12</v>
    <v>16</v>
    <v>Finance</v>
    <v>5</v>
    <v>42.77</v>
    <v>31.36</v>
    <v>BVMF</v>
    <v>2000000000</v>
    <v>33.130000000000003</v>
    <v>2012</v>
    <v>32.729999999999997</v>
    <v>0.55579999999999996</v>
    <v>B3 - Brazil Stock Exchange</v>
    <v>70640000000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33.380000000000003</v>
    <v>268</v>
    <v>45884.958333333336</v>
    <v>130</v>
    <v>8079210</v>
    <v>BRL</v>
    <v>BB Seguridade Participações S.A.</v>
    <v>BB Seguridade Participações S.A.</v>
    <v>33</v>
    <v>32.79</v>
    <v>SAUN, Quadra 05, Bloco B, 3 andar Edificio Banco do Br, Asa Norte, BRASILIA, DISTRITO FEDERAL, 70.040-912 BR</v>
    <v>Insurance</v>
    <v>BBSE3</v>
    <v>Ações</v>
    <v>BB Seguridade Participações S.A. (BVMF:BBSE3)</v>
    <v>-0.59</v>
    <v>-1.7675E-2</v>
    <v>9398300</v>
  </rv>
  <rv s="2">
    <v>131</v>
  </rv>
  <rv s="0">
    <v>https://www.bing.com/financeapi/forcetrigger?t=apmnxm&amp;q=BVMF%3aGOAU3&amp;form=skydnc</v>
    <v>Learn more on Bing</v>
  </rv>
  <rv s="8">
    <v>pt-BR</v>
    <v>apmnxm</v>
    <v>268435456</v>
    <v>1</v>
    <v>Da plataforma Refinitiv</v>
    <v>14</v>
    <v>15</v>
    <v>METALURGICA GERDAU S.A. (BVMF:GOAU3)</v>
    <v>12</v>
    <v>16</v>
    <v>Finance</v>
    <v>5</v>
    <v>11.72</v>
    <v>7.9</v>
    <v>BVMF</v>
    <v>993705800</v>
    <v>9.16</v>
    <v>1901</v>
    <v>8.89</v>
    <v>0.68530000000000002</v>
    <v>B3 - Brazil Stock Exchange</v>
    <v>9034818000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9.1300000000000008</v>
    <v>30000</v>
    <v>45884.958333333336</v>
    <v>133</v>
    <v>7424690</v>
    <v>BRL</v>
    <v>METALURGICA GERDAU S.A.</v>
    <v>METALURGICA GERDAU S.A.</v>
    <v>9.16</v>
    <v>9.01</v>
    <v>Avenida Doutora Ruth Cardoso, 8.501,8 andar, Pinheiros, SAO PAULO, SAO PAULO, 05.425-070 BR</v>
    <v>Metals &amp; Mining</v>
    <v>GOAU3</v>
    <v>Ações</v>
    <v>METALURGICA GERDAU S.A. (BVMF:GOAU3)</v>
    <v>-0.12</v>
    <v>-1.3143E-2</v>
    <v>66400</v>
  </rv>
  <rv s="2">
    <v>134</v>
  </rv>
  <rv s="0">
    <v>https://www.bing.com/financeapi/forcetrigger?t=apmscw&amp;q=BVMF%3aITUB4&amp;form=skydnc</v>
    <v>Learn more on Bing</v>
  </rv>
  <rv s="8">
    <v>pt-BR</v>
    <v>apmscw</v>
    <v>268435456</v>
    <v>1</v>
    <v>Da plataforma Refinitiv</v>
    <v>14</v>
    <v>15</v>
    <v>Itaú Unibanco Holding S.A. (BVMF:ITUB4)</v>
    <v>12</v>
    <v>16</v>
    <v>Finance</v>
    <v>5</v>
    <v>38.270000000000003</v>
    <v>25.55</v>
    <v>BVMF</v>
    <v>10784550000</v>
    <v>37.83</v>
    <v>1943</v>
    <v>37.35</v>
    <v>1.2498</v>
    <v>B3 - Brazil Stock Exchange</v>
    <v>385207300000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37.619999999999997</v>
    <v>100600</v>
    <v>45884.958333333336</v>
    <v>136</v>
    <v>26180200</v>
    <v>BRL</v>
    <v>Itaú Unibanco Holding S.A.</v>
    <v>Itaú Unibanco Holding S.A.</v>
    <v>37.49</v>
    <v>37.49</v>
    <v>Praca Alfredo Egydio de Souza Aranha, 100, T. Olavo Setubal, Piso Itau Unibanco, Parque Jabaquara, SAO PAULO, SAO PAULO, 04.344-902 BR</v>
    <v>Banking Services</v>
    <v>ITUB4</v>
    <v>Ações</v>
    <v>Itaú Unibanco Holding S.A. (BVMF:ITUB4)</v>
    <v>-0.13</v>
    <v>-3.4560000000000003E-3</v>
    <v>16990400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25.42</v>
    <v>19.61</v>
    <v>BVMF</v>
    <v>102683400</v>
    <v>20.329999999999998</v>
    <v>2005</v>
    <v>20.100000000000001</v>
    <v>0.6744</v>
    <v>B3 - Brazil Stock Exchange</v>
    <v>2074206000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20.2</v>
    <v>45884.958333333336</v>
    <v>139</v>
    <v>119310</v>
    <v>BRL</v>
    <v>Brasilagro - Companhia Brasileira de Propriedades Agrícolas</v>
    <v>Brasilagro - Companhia Brasileira de Propriedades Agrícolas</v>
    <v>20.100000000000001</v>
    <v>20.21</v>
    <v>Avenida Reboucas, n. 2.984, Conj, 61 e 62 6 andar, Pinheiros, SAO PAULO, SAO PAULO, 05.402-500 BR</v>
    <v>Food &amp; Tobacco</v>
    <v>AGRO3</v>
    <v>Ações</v>
    <v>Brasilagro - Companhia Brasileira de Propriedades Agrícolas (BVMF:AGRO3)</v>
    <v>0.01</v>
    <v>4.95E-4</v>
    <v>85600</v>
  </rv>
  <rv s="2">
    <v>140</v>
  </rv>
  <rv s="0">
    <v>https://www.bing.com/financeapi/forcetrigger?t=bskymw&amp;q=BVMF%3aBMGB4&amp;form=skydnc</v>
    <v>Learn more on Bing</v>
  </rv>
  <rv s="14">
    <v>pt-BR</v>
    <v>bskymw</v>
    <v>268435456</v>
    <v>1</v>
    <v>Da plataforma Refinitiv</v>
    <v>29</v>
    <v>30</v>
    <v>BANCO BMG S.A. (BVMF:BMGB4)</v>
    <v>12</v>
    <v>31</v>
    <v>Finance</v>
    <v>5</v>
    <v>4.18</v>
    <v>3.14</v>
    <v>BVMF</v>
    <v>216251500</v>
    <v>3.62</v>
    <v>3.57</v>
    <v>1.2672000000000001</v>
    <v>B3 - Brazil Stock Exchange</v>
    <v>776342885</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3.59</v>
    <v>45884.958391203705</v>
    <v>142</v>
    <v>360660</v>
    <v>BRL</v>
    <v>BANCO BMG S.A.</v>
    <v>BANCO BMG S.A.</v>
    <v>3.61</v>
    <v>3.59</v>
    <v>Avenida Presidente Juscelino Kubitschek, N 1830, 10, 11, 13 E 14 Andares - Parte Cond Ed S Luiz, Vila Nova Conceicao, SAO PAULO, SAO PAULO, 04.543-000 BR</v>
    <v>Banking Services</v>
    <v>BMGB4</v>
    <v>Ações</v>
    <v>BANCO BMG S.A. (BVMF:BMGB4)</v>
    <v>0</v>
    <v>0</v>
    <v>335400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10.199999999999999</v>
    <v>2021</v>
    <v>9.9499999999999993</v>
    <v>-0.40749999999999997</v>
    <v>B3 - Brazil Stock Exchange</v>
    <v>971892296</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10.050000000000001</v>
    <v>45884.958391203705</v>
    <v>145</v>
    <v>21220</v>
    <v>BRL</v>
    <v>Terra Santa Propriedades Agrícolas S.A.</v>
    <v>Terra Santa Propriedades Agrícolas S.A.</v>
    <v>9.9499999999999993</v>
    <v>10.1</v>
    <v>Praca General Gentil Falcao, 108, 8o andar Cj. 81, Sala 4, Cidade Moncoes, SAO PAULO, SAO PAULO, 04.571-150 BR</v>
    <v>Real Estate Operations</v>
    <v>LAND3</v>
    <v>Ações</v>
    <v>Terra Santa Propriedades Agrícolas S.A. (BVMF:LAND3)</v>
    <v>0.05</v>
    <v>4.9750000000000003E-3</v>
    <v>11200</v>
  </rv>
  <rv s="2">
    <v>146</v>
  </rv>
  <rv s="0">
    <v>https://www.bing.com/financeapi/forcetrigger?t=apmnm7&amp;q=BVMF%3aGGBR4&amp;form=skydnc</v>
    <v>Learn more on Bing</v>
  </rv>
  <rv s="8">
    <v>pt-BR</v>
    <v>apmnm7</v>
    <v>268435456</v>
    <v>1</v>
    <v>Da plataforma Refinitiv</v>
    <v>14</v>
    <v>15</v>
    <v>GERDAU S.A. (BVMF:GGBR4)</v>
    <v>12</v>
    <v>16</v>
    <v>Finance</v>
    <v>5</v>
    <v>20.85</v>
    <v>13.53</v>
    <v>BVMF</v>
    <v>2013814000</v>
    <v>16.440000000000001</v>
    <v>1961</v>
    <v>16.079999999999998</v>
    <v>0.64129999999999998</v>
    <v>B3 - Brazil Stock Exchange</v>
    <v>31683440000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16.3</v>
    <v>25557</v>
    <v>45884.958333333336</v>
    <v>148</v>
    <v>9238500</v>
    <v>BRL</v>
    <v>GERDAU S.A.</v>
    <v>GERDAU S.A.</v>
    <v>16.309999999999999</v>
    <v>16.23</v>
    <v>Avenida Doutora Ruth Cardoso, 8.501, 8 andar, Pinheiros, SAO PAULO, SAO PAULO, 05.425-070 BR</v>
    <v>Metals &amp; Mining</v>
    <v>GGBR4</v>
    <v>Ações</v>
    <v>GERDAU S.A. (BVMF:GGBR4)</v>
    <v>-7.0000000000000007E-2</v>
    <v>-4.2940000000000001E-3</v>
    <v>6936800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11.08</v>
    <v>1966</v>
    <v>10.9</v>
    <v>1.1745000000000001</v>
    <v>B3 - Brazil Stock Exchange</v>
    <v>121000700000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11.02</v>
    <v>127000</v>
    <v>45884.958333333336</v>
    <v>151</v>
    <v>18287870</v>
    <v>BRL</v>
    <v>ITAÚSA S.A.</v>
    <v>ITAÚSA S.A.</v>
    <v>11</v>
    <v>11.03</v>
    <v>Avenida Paulista, 1938, 5 andar, Bela Vista, SAO PAULO, SAO PAULO, 01.310-200 BR</v>
    <v>Banking Services</v>
    <v>ITSA4</v>
    <v>Ações</v>
    <v>ITAÚSA S.A. (BVMF:ITSA4)</v>
    <v>0.01</v>
    <v>9.0740000000000005E-4</v>
    <v>82046300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23.78</v>
    <v>2005</v>
    <v>23.22</v>
    <v>2.1412</v>
    <v>B3 - Brazil Stock Exchange</v>
    <v>14077184857</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23.36</v>
    <v>3838</v>
    <v>45884.958333333336</v>
    <v>154</v>
    <v>5273370</v>
    <v>BRL</v>
    <v>Smartfit Escola de Ginástica e Dança S.A.</v>
    <v>Smartfit Escola de Ginástica e Dança S.A.</v>
    <v>23.35</v>
    <v>23.57</v>
    <v>Avenida Paulista, n.1294, 2 andar, Bela Vista,, SAO PAULO, SAO PAULO, 01.310-100 BR</v>
    <v>Hotels &amp; Entertainment Services</v>
    <v>SMFT3</v>
    <v>Ações</v>
    <v>Smartfit Escola de Ginástica e Dança S.A. (BVMF:SMFT3)</v>
    <v>0.21</v>
    <v>8.9899999999999997E-3</v>
    <v>3330900</v>
  </rv>
  <rv s="2">
    <v>155</v>
  </rv>
  <rv s="0">
    <v>https://www.bing.com/financeapi/forcetrigger?t=apmlc7&amp;q=BVMF%3aFLRY3&amp;form=skydnc</v>
    <v>Learn more on Bing</v>
  </rv>
  <rv s="8">
    <v>pt-BR</v>
    <v>apmlc7</v>
    <v>268435456</v>
    <v>1</v>
    <v>Da plataforma Refinitiv</v>
    <v>14</v>
    <v>15</v>
    <v>Fleury S.A. (BVMF:FLRY3)</v>
    <v>12</v>
    <v>16</v>
    <v>Finance</v>
    <v>5</v>
    <v>15.58</v>
    <v>10.39</v>
    <v>BVMF</v>
    <v>547191000</v>
    <v>14.22</v>
    <v>1964</v>
    <v>13.72</v>
    <v>0.60550000000000004</v>
    <v>B3 - Brazil Stock Exchange</v>
    <v>7704449280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13.94</v>
    <v>27500</v>
    <v>45884.958356481482</v>
    <v>157</v>
    <v>3176190</v>
    <v>BRL</v>
    <v>Fleury S.A.</v>
    <v>Fleury S.A.</v>
    <v>13.91</v>
    <v>14.08</v>
    <v>Av. General Valdomiro de Lima, 508, Jabaquara, SAO PAULO, SAO PAULO, 04.344-070 BR</v>
    <v>Healthcare Providers &amp; Services</v>
    <v>FLRY3</v>
    <v>Ações</v>
    <v>Fleury S.A. (BVMF:FLRY3)</v>
    <v>0.14000000000000001</v>
    <v>1.0043E-2</v>
    <v>2576200</v>
  </rv>
  <rv s="2">
    <v>158</v>
  </rv>
  <rv s="0">
    <v>https://www.bing.com/financeapi/forcetrigger?t=apna3m&amp;q=BVMF%3aROMI3&amp;form=skydnc</v>
    <v>Learn more on Bing</v>
  </rv>
  <rv s="8">
    <v>pt-BR</v>
    <v>apna3m</v>
    <v>268435456</v>
    <v>1</v>
    <v>Da plataforma Refinitiv</v>
    <v>14</v>
    <v>15</v>
    <v>ROMI S.A. (BVMF:ROMI3)</v>
    <v>12</v>
    <v>16</v>
    <v>Finance</v>
    <v>5</v>
    <v>10.82</v>
    <v>7.44</v>
    <v>BVMF</v>
    <v>93170750</v>
    <v>7.66</v>
    <v>1938</v>
    <v>7.44</v>
    <v>0.61339999999999995</v>
    <v>B3 - Brazil Stock Exchange</v>
    <v>706234285</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7.6</v>
    <v>2806</v>
    <v>45884.958333333336</v>
    <v>160</v>
    <v>127090</v>
    <v>BRL</v>
    <v>ROMI S.A.</v>
    <v>ROMI S.A.</v>
    <v>7.66</v>
    <v>7.58</v>
    <v>Rodovia Luis de Queiroz (SP 304), s/n, KM 141,5, Dist. Industrial Sul, SANTA BARBARA D'OESTE, SAO PAULO, 13.459-057 BR</v>
    <v>Machinery, Equipment &amp; Components</v>
    <v>ROMI3</v>
    <v>Ações</v>
    <v>ROMI S.A. (BVMF:ROMI3)</v>
    <v>-0.02</v>
    <v>-2.6319999999999998E-3</v>
    <v>140000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11.46</v>
    <v>2006</v>
    <v>11.26</v>
    <v>0.71309999999999996</v>
    <v>B3 - Brazil Stock Exchange</v>
    <v>11482150000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11.2</v>
    <v>854</v>
    <v>45884.958333333336</v>
    <v>163</v>
    <v>2357510</v>
    <v>BRL</v>
    <v>Transmissora Aliança de Energia Elétrica S/A</v>
    <v>Transmissora Aliança de Energia Elétrica S/A</v>
    <v>11.3</v>
    <v>11.3</v>
    <v>Av. das Americas, 2480 Bloco 6, Barra da Tijuca, RIO DE JANEIRO, RIO DE JANEIRO, 22.640-101 BR</v>
    <v>Electrical Utilities &amp; IPPs</v>
    <v>TAEE4</v>
    <v>Ações</v>
    <v>Transmissora Aliança de Energia Elétrica S/A (BVMF:TAEE4)</v>
    <v>0.1</v>
    <v>8.9289999999999994E-3</v>
    <v>143900</v>
  </rv>
  <rv s="2">
    <v>164</v>
  </rv>
  <rv s="0">
    <v>https://www.bing.com/financeapi/forcetrigger?t=apn827&amp;q=BVMF%3aRAIL3&amp;form=skydnc</v>
    <v>Learn more on Bing</v>
  </rv>
  <rv s="8">
    <v>pt-BR</v>
    <v>apn827</v>
    <v>268435456</v>
    <v>1</v>
    <v>Da plataforma Refinitiv</v>
    <v>14</v>
    <v>15</v>
    <v>RUMO S.A. (BVMF:RAIL3)</v>
    <v>12</v>
    <v>16</v>
    <v>Finance</v>
    <v>5</v>
    <v>23.38</v>
    <v>15.09</v>
    <v>BVMF</v>
    <v>1854869000</v>
    <v>16.04</v>
    <v>1997</v>
    <v>15.65</v>
    <v>0.8024</v>
    <v>B3 - Brazil Stock Exchange</v>
    <v>29603709240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16.04</v>
    <v>8602</v>
    <v>45884.958333333336</v>
    <v>166</v>
    <v>11585950</v>
    <v>BRL</v>
    <v>RUMO S.A.</v>
    <v>RUMO S.A.</v>
    <v>15.88</v>
    <v>15.96</v>
    <v>Rua Emilio Bertolini, 100 - Cajuru, CURITIBA, PARANA, 82.920-030 BR</v>
    <v>Freight &amp; Logistics Services</v>
    <v>RAIL3</v>
    <v>Ações</v>
    <v>RUMO S.A. (BVMF:RAIL3)</v>
    <v>-0.08</v>
    <v>-4.9880000000000002E-3</v>
    <v>10538900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27.02</v>
    <v>15.44</v>
    <v>BVMF</v>
    <v>384000000</v>
    <v>25.88</v>
    <v>1993</v>
    <v>24.1</v>
    <v>1.6411</v>
    <v>B3 - Brazil Stock Exchange</v>
    <v>9907200000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25.19</v>
    <v>45884.958356481482</v>
    <v>169</v>
    <v>5802240</v>
    <v>BRL</v>
    <v>Cyrela Brazil Realty S.A. Empreendimentos e Participações</v>
    <v>Cyrela Brazil Realty S.A. Empreendimentos e Participações</v>
    <v>24.42</v>
    <v>25.8</v>
    <v>Rua do Rocio,109, 2 andar Sala01 Parte, Vila Olimpia, SAO PAULO, SAO PAULO, 04.552-000 BR</v>
    <v>Real Estate Operations</v>
    <v>CYRE3</v>
    <v>Ações</v>
    <v>Cyrela Brazil Realty S.A. Empreendimentos e Participações (BVMF:CYRE3)</v>
    <v>0.61</v>
    <v>2.4216000000000001E-2</v>
    <v>9220500</v>
  </rv>
  <rv s="2">
    <v>170</v>
  </rv>
  <rv s="0">
    <v>https://www.bing.com/financeapi/forcetrigger?t=c1s56h&amp;q=BVMF%3aCXSE3&amp;form=skydnc</v>
    <v>Learn more on Bing</v>
  </rv>
  <rv s="8">
    <v>pt-BR</v>
    <v>c1s56h</v>
    <v>268435456</v>
    <v>1</v>
    <v>Da plataforma Refinitiv</v>
    <v>14</v>
    <v>15</v>
    <v>Caixa Seguridade Participações S.A (BVMF:CXSE3)</v>
    <v>12</v>
    <v>16</v>
    <v>Finance</v>
    <v>5</v>
    <v>16.13</v>
    <v>12.93</v>
    <v>BVMF</v>
    <v>3000000000</v>
    <v>13.83</v>
    <v>2015</v>
    <v>13.52</v>
    <v>0.95479999999999998</v>
    <v>B3 - Brazil Stock Exchange</v>
    <v>40860000000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13.77</v>
    <v>135</v>
    <v>45884.958356481482</v>
    <v>172</v>
    <v>4798430</v>
    <v>BRL</v>
    <v>Caixa Seguridade Participações S.A</v>
    <v>Caixa Seguridade Participações S.A</v>
    <v>13.8</v>
    <v>13.62</v>
    <v>SAUS Quadra 3 Bloco E, 3 andar, Asa Sul, BRASILIA, DISTRITO FEDERAL, 70.070-030 BR</v>
    <v>Insurance</v>
    <v>CXSE3</v>
    <v>Ações</v>
    <v>Caixa Seguridade Participações S.A (BVMF:CXSE3)</v>
    <v>-0.15</v>
    <v>-1.0893E-2</v>
    <v>3801900</v>
  </rv>
  <rv s="2">
    <v>173</v>
  </rv>
  <rv s="0">
    <v>https://www.bing.com/financeapi/forcetrigger?t=c1rkkr&amp;q=BVMF%3aALLD3&amp;form=skydnc</v>
    <v>Learn more on Bing</v>
  </rv>
  <rv s="9">
    <v>pt-BR</v>
    <v>c1rkkr</v>
    <v>268435456</v>
    <v>1</v>
    <v>Da plataforma Refinitiv</v>
    <v>17</v>
    <v>18</v>
    <v>Allied Tecnologia S.A. (BVMF:ALLD3)</v>
    <v>12</v>
    <v>19</v>
    <v>Finance</v>
    <v>5</v>
    <v>10.220000000000001</v>
    <v>6.17</v>
    <v>BVMF</v>
    <v>94507240</v>
    <v>9.25</v>
    <v>2014</v>
    <v>9.02</v>
    <v>1.2583</v>
    <v>B3 - Brazil Stock Exchange</v>
    <v>864741246</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8.99</v>
    <v>45884.958391203705</v>
    <v>175</v>
    <v>218470</v>
    <v>BRL</v>
    <v>Allied Tecnologia S.A.</v>
    <v>Allied Tecnologia S.A.</v>
    <v>9.02</v>
    <v>9.15</v>
    <v>Rodovia Vice-Prefeito Hermenegildo Tonolli, 1.500 Lote GLA2/Galpao 04B, Distrito Industrial, JUNDIAI, SAO PAULO, 13.213-086 BR</v>
    <v>Computers, Phones &amp; Household Electronics</v>
    <v>ALLD3</v>
    <v>Ações</v>
    <v>Allied Tecnologia S.A. (BVMF:ALLD3)</v>
    <v>0.16</v>
    <v>1.7798000000000001E-2</v>
    <v>461900</v>
  </rv>
  <rv s="2">
    <v>176</v>
  </rv>
  <rv s="0">
    <v>https://www.bing.com/financeapi/forcetrigger?t=apmofr&amp;q=BVMF%3aDEXP3&amp;form=skydnc</v>
    <v>Learn more on Bing</v>
  </rv>
  <rv s="9">
    <v>pt-BR</v>
    <v>apmofr</v>
    <v>268435456</v>
    <v>1</v>
    <v>Da plataforma Refinitiv</v>
    <v>17</v>
    <v>18</v>
    <v>DEXXOS PARTICIPAÇÕES S.A. (BVMF:DEXP3)</v>
    <v>12</v>
    <v>19</v>
    <v>Finance</v>
    <v>5</v>
    <v>9.7799999999999994</v>
    <v>6.93</v>
    <v>BVMF</v>
    <v>103538800</v>
    <v>8.4600000000000009</v>
    <v>1997</v>
    <v>8.27</v>
    <v>0.98560000000000003</v>
    <v>B3 - Brazil Stock Exchange</v>
    <v>865584700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8.36</v>
    <v>45884.958391203705</v>
    <v>178</v>
    <v>98780</v>
    <v>BRL</v>
    <v>DEXXOS PARTICIPAÇÕES S.A.</v>
    <v>DEXXOS PARTICIPAÇÕES S.A.</v>
    <v>8.3800000000000008</v>
    <v>8.4</v>
    <v>Rua Do Passeio 70 5 Andar, Centro, RIO DE JANEIRO, RIO DE JANEIRO, 20.021-290 BR</v>
    <v>Chemicals</v>
    <v>DEXP3</v>
    <v>Ações</v>
    <v>DEXXOS PARTICIPAÇÕES S.A. (BVMF:DEXP3)</v>
    <v>0.04</v>
    <v>4.7850000000000002E-3</v>
    <v>47700</v>
  </rv>
  <rv s="2">
    <v>179</v>
  </rv>
  <rv s="0">
    <v>https://www.bing.com/financeapi/forcetrigger?t=apnkjc&amp;q=BVMF%3aVLID3&amp;form=skydnc</v>
    <v>Learn more on Bing</v>
  </rv>
  <rv s="8">
    <v>pt-BR</v>
    <v>apnkjc</v>
    <v>268435456</v>
    <v>1</v>
    <v>Da plataforma Refinitiv</v>
    <v>14</v>
    <v>15</v>
    <v>VALID SOLUÇÕES S.A. (BVMF:VLID3)</v>
    <v>12</v>
    <v>16</v>
    <v>Finance</v>
    <v>5</v>
    <v>28.1</v>
    <v>18.05</v>
    <v>BVMF</v>
    <v>81836380</v>
    <v>20.8</v>
    <v>1957</v>
    <v>20.440000000000001</v>
    <v>1.3507</v>
    <v>B3 - Brazil Stock Exchange</v>
    <v>1691557974</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20.29</v>
    <v>5000</v>
    <v>45884.958333333336</v>
    <v>181</v>
    <v>360620</v>
    <v>BRL</v>
    <v>VALID SOLUÇÕES S.A.</v>
    <v>VALID SOLUÇÕES S.A.</v>
    <v>20.5</v>
    <v>20.67</v>
    <v>R Laura Maiello Kook 511, Ipanema Das Pedras, SOROCABA, SAO PAULO, 18.052-445 BR</v>
    <v>Professional &amp; Commercial Services</v>
    <v>VLID3</v>
    <v>Ações</v>
    <v>VALID SOLUÇÕES S.A. (BVMF:VLID3)</v>
    <v>0.38</v>
    <v>1.8728000000000002E-2</v>
    <v>249000</v>
  </rv>
  <rv s="2">
    <v>182</v>
  </rv>
  <rv s="0">
    <v>https://www.bing.com/financeapi/forcetrigger?t=apmphw&amp;q=BVMF%3aHAGA3&amp;form=skydnc</v>
    <v>Learn more on Bing</v>
  </rv>
  <rv s="9">
    <v>pt-BR</v>
    <v>apmphw</v>
    <v>268435456</v>
    <v>1</v>
    <v>Da plataforma Refinitiv</v>
    <v>17</v>
    <v>18</v>
    <v>HAGA S.A. INDUSTRIA E COMERCIO (BVMF:HAGA3)</v>
    <v>12</v>
    <v>19</v>
    <v>Finance</v>
    <v>5</v>
    <v>2.8</v>
    <v>1.75</v>
    <v>BVMF</v>
    <v>11900000</v>
    <v>1.92</v>
    <v>1937</v>
    <v>1.92</v>
    <v>1.0228999999999999</v>
    <v>B3 - Brazil Stock Exchange</v>
    <v>16779000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1.91</v>
    <v>45884.958333333336</v>
    <v>184</v>
    <v>2860</v>
    <v>BRL</v>
    <v>HAGA S.A. INDUSTRIA E COMERCIO</v>
    <v>HAGA S.A. INDUSTRIA E COMERCIO</v>
    <v>1.92</v>
    <v>1.92</v>
    <v>Avenida Engenheiro Hans Gaiser, 26,Predio, Centro, NOVA FRIBURGO, RIO DE JANEIRO, 28.605-220 BR</v>
    <v>Specialty Retailers</v>
    <v>HAGA3</v>
    <v>Ações</v>
    <v>HAGA S.A. INDUSTRIA E COMERCIO (BVMF:HAGA3)</v>
    <v>0.01</v>
    <v>5.2359999999999993E-3</v>
    <v>200</v>
  </rv>
  <rv s="2">
    <v>185</v>
  </rv>
  <rv s="0">
    <v>https://www.bing.com/financeapi/forcetrigger?t=bwn8hw&amp;q=BVMF%3aRRRP3&amp;form=skydnc</v>
    <v>Learn more on Bing</v>
  </rv>
  <rv s="8">
    <v>pt-BR</v>
    <v>bwn8hw</v>
    <v>268435456</v>
    <v>1</v>
    <v>Da plataforma Refinitiv</v>
    <v>14</v>
    <v>15</v>
    <v>Brava Energia S.A. (BVMF:BRAV3)</v>
    <v>12</v>
    <v>16</v>
    <v>Finance</v>
    <v>5</v>
    <v>29.84</v>
    <v>15.26</v>
    <v>BVMF</v>
    <v>464187500</v>
    <v>20</v>
    <v>2010</v>
    <v>19.440000000000001</v>
    <v>1.2085999999999999</v>
    <v>B3 - Brazil Stock Exchange</v>
    <v>9070223750</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19.940000000000001</v>
    <v>531</v>
    <v>45884.958356481482</v>
    <v>187</v>
    <v>9253530</v>
    <v>BRL</v>
    <v>Brava Energia S.A.</v>
    <v>Brava Energia S.A.</v>
    <v>19.940000000000001</v>
    <v>19.54</v>
    <v>Praia de Botafogo, 186, SL 1401, 1501, Botafogo, Rio De Janeiro, RIO DE JANEIRO, 22.250-145 BR</v>
    <v>Oil &amp; Gas</v>
    <v>BRAV3</v>
    <v>Ações</v>
    <v>Brava Energia S.A. (BVMF:BRAV3)</v>
    <v>-0.4</v>
    <v>-2.0059999999999998E-2</v>
    <v>6510300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12.42</v>
    <v>8.06</v>
    <v>BVMF</v>
    <v>234178200</v>
    <v>12.3</v>
    <v>1980</v>
    <v>12.03</v>
    <v>1.5206999999999999</v>
    <v>B3 - Brazil Stock Exchange</v>
    <v>2854632258</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12.12</v>
    <v>1205</v>
    <v>45884.958333333336</v>
    <v>190</v>
    <v>614590</v>
    <v>BRL</v>
    <v>Mills Locação, Serviços e Logística S.A</v>
    <v>Mills Locação, Serviços e Logística S.A</v>
    <v>12.09</v>
    <v>12.19</v>
    <v>Avenida Dra. Ruth Cardoso, n 7815 - CJ 401-B, Pinheiros, SAO PAULO, SAO PAULO, 05.425-905 BR</v>
    <v>Professional &amp; Commercial Services</v>
    <v>MILS3</v>
    <v>Ações</v>
    <v>Mills Locação, Serviços e Logística S.A (BVMF:MILS3)</v>
    <v>7.0000000000000007E-2</v>
    <v>5.7759999999999999E-3</v>
    <v>547900</v>
  </rv>
  <rv s="2">
    <v>191</v>
  </rv>
  <rv s="0">
    <v>https://www.bing.com/financeapi/forcetrigger?t=apne6h&amp;q=BVMF%3aSTBP3&amp;form=skydnc</v>
    <v>Learn more on Bing</v>
  </rv>
  <rv s="8">
    <v>pt-BR</v>
    <v>apne6h</v>
    <v>268435456</v>
    <v>1</v>
    <v>Da plataforma Refinitiv</v>
    <v>14</v>
    <v>15</v>
    <v>SANTOS BRASIL PARTICIPAÇÕES S.A. (BVMF:STBP3)</v>
    <v>12</v>
    <v>16</v>
    <v>Finance</v>
    <v>5</v>
    <v>14.15</v>
    <v>10.52</v>
    <v>BVMF</v>
    <v>864170300</v>
    <v>14.13</v>
    <v>1998</v>
    <v>14.11</v>
    <v>1.2708999999999999</v>
    <v>B3 - Brazil Stock Exchange</v>
    <v>12193442933</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14.13</v>
    <v>3703</v>
    <v>45884.958333333336</v>
    <v>193</v>
    <v>3785410</v>
    <v>BRL</v>
    <v>SANTOS BRASIL PARTICIPAÇÕES S.A.</v>
    <v>SANTOS BRASIL PARTICIPAÇÕES S.A.</v>
    <v>14.12</v>
    <v>14.11</v>
    <v>Rua Joaquim Floriano, 413 - 10 andar cj 101 e 102, Itaim Bibi, SAO PAULO, SAO PAULO, 04.534-011 BR</v>
    <v>Transport Infrastructure</v>
    <v>STBP3</v>
    <v>Ações</v>
    <v>SANTOS BRASIL PARTICIPAÇÕES S.A. (BVMF:STBP3)</v>
    <v>-0.02</v>
    <v>-1.4149999999999998E-3</v>
    <v>4564100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21.36</v>
    <v>1971</v>
    <v>20.73</v>
    <v>1.0239</v>
    <v>B3 - Brazil Stock Exchange</v>
    <v>23342340000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21.28</v>
    <v>3814</v>
    <v>45884.958356481482</v>
    <v>196</v>
    <v>10319620</v>
    <v>BRL</v>
    <v>Vibra Energia S.A.</v>
    <v>Vibra Energia S.A.</v>
    <v>21.1</v>
    <v>20.86</v>
    <v>Rua Correia Vasques n 250 4 andar, Cidade Nova, RIO DE JANEIRO, RIO DE JANEIRO, 20.211-140 BR</v>
    <v>Oil &amp; Gas</v>
    <v>VBBR3</v>
    <v>Ações</v>
    <v>Vibra Energia S.A. (BVMF:VBBR3)</v>
    <v>-0.42</v>
    <v>-1.9737000000000001E-2</v>
    <v>14183300</v>
  </rv>
  <rv s="2">
    <v>197</v>
  </rv>
  <rv s="0">
    <v>https://www.bing.com/financeapi/forcetrigger?t=apmm2w&amp;q=BVMF%3aFRAS3&amp;form=skydnc</v>
    <v>Learn more on Bing</v>
  </rv>
  <rv s="9">
    <v>pt-BR</v>
    <v>apmm2w</v>
    <v>268435456</v>
    <v>1</v>
    <v>Da plataforma Refinitiv</v>
    <v>17</v>
    <v>18</v>
    <v>FRAS-LE S.A. (BVMF:FRAS3)</v>
    <v>12</v>
    <v>19</v>
    <v>Finance</v>
    <v>5</v>
    <v>29.38</v>
    <v>17.5</v>
    <v>BVMF</v>
    <v>280335100</v>
    <v>22.28</v>
    <v>1954</v>
    <v>21.97</v>
    <v>0.97270000000000001</v>
    <v>B3 - Brazil Stock Exchange</v>
    <v>6243062677</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22.07</v>
    <v>45884.958333333336</v>
    <v>199</v>
    <v>747680</v>
    <v>BRL</v>
    <v>FRAS-LE S.A.</v>
    <v>FRAS-LE S.A.</v>
    <v>21.97</v>
    <v>22.27</v>
    <v>Rodovia RS 122, Km 66, n 10.945 Predio adm, Forqueta, CAXIAS DO SUL, RIO GRANDE DO SUL, 95.010-550 BR</v>
    <v>Automobiles &amp; Auto Parts</v>
    <v>FRAS3</v>
    <v>Ações</v>
    <v>FRAS-LE S.A. (BVMF:FRAS3)</v>
    <v>0.2</v>
    <v>9.0620000000000006E-3</v>
    <v>133200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109875600</v>
    <v>9.52</v>
    <v>2006</v>
    <v>9.31</v>
    <v>0.623</v>
    <v>B3 - Brazil Stock Exchange</v>
    <v>9667956000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9.41</v>
    <v>906</v>
    <v>45884.958333333336</v>
    <v>202</v>
    <v>1420460</v>
    <v>BRL</v>
    <v>Alupar Investimento S.A.</v>
    <v>Alupar Investimento S.A.</v>
    <v>9.4</v>
    <v>9.52</v>
    <v>Rua Gomes de Carvalho, n 1996 16 andar, Vila Olimpia, SAO PAULO, SAO PAULO, 04.547-006 BR</v>
    <v>Electrical Utilities &amp; IPPs</v>
    <v>ALUP4</v>
    <v>Ações</v>
    <v>Alupar Investimento S.A. (BVMF:ALUP4)</v>
    <v>0.11</v>
    <v>1.1690000000000001E-2</v>
    <v>4900</v>
  </rv>
  <rv s="2">
    <v>203</v>
  </rv>
  <rv s="0">
    <v>https://www.bing.com/financeapi/forcetrigger?t=apnhim&amp;q=BVMF%3aTRIS3&amp;form=skydnc</v>
    <v>Learn more on Bing</v>
  </rv>
  <rv s="8">
    <v>pt-BR</v>
    <v>apnhim</v>
    <v>268435456</v>
    <v>1</v>
    <v>Da plataforma Refinitiv</v>
    <v>14</v>
    <v>15</v>
    <v>TRISUL S.A. (BVMF:TRIS3)</v>
    <v>12</v>
    <v>16</v>
    <v>Finance</v>
    <v>5</v>
    <v>8.1</v>
    <v>3.97</v>
    <v>BVMF</v>
    <v>186617500</v>
    <v>6.75</v>
    <v>2007</v>
    <v>6.5</v>
    <v>1.534</v>
    <v>B3 - Brazil Stock Exchange</v>
    <v>1218612275</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6.51</v>
    <v>379</v>
    <v>45884.958391203705</v>
    <v>205</v>
    <v>332130</v>
    <v>BRL</v>
    <v>TRISUL S.A.</v>
    <v>TRISUL S.A.</v>
    <v>6.67</v>
    <v>6.53</v>
    <v>Alameda dos Jaunas, 70, Indianopolis, SAO PAULO, SAO PAULO, 01.311-902 BR</v>
    <v>Homebuilding &amp; Construction Supplies</v>
    <v>TRIS3</v>
    <v>Ações</v>
    <v>TRISUL S.A. (BVMF:TRIS3)</v>
    <v>0.02</v>
    <v>3.0719999999999996E-3</v>
    <v>352800</v>
  </rv>
  <rv s="2">
    <v>206</v>
  </rv>
  <rv s="0">
    <v>https://www.bing.com/financeapi/forcetrigger?t=apngdm&amp;q=BVMF%3aTGMA3&amp;form=skydnc</v>
    <v>Learn more on Bing</v>
  </rv>
  <rv s="8">
    <v>pt-BR</v>
    <v>apngdm</v>
    <v>268435456</v>
    <v>1</v>
    <v>Da plataforma Refinitiv</v>
    <v>14</v>
    <v>15</v>
    <v>Tegma Gestão Logística S.A (BVMF:TGMA3)</v>
    <v>12</v>
    <v>16</v>
    <v>Finance</v>
    <v>5</v>
    <v>37.130000000000003</v>
    <v>23.01</v>
    <v>BVMF</v>
    <v>66002920</v>
    <v>36.49</v>
    <v>1998</v>
    <v>35.299999999999997</v>
    <v>1.1444000000000001</v>
    <v>B3 - Brazil Stock Exchange</v>
    <v>2405146404</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35.53</v>
    <v>5086</v>
    <v>45884.958333333336</v>
    <v>208</v>
    <v>265530</v>
    <v>BRL</v>
    <v>Tegma Gestão Logística S.A</v>
    <v>Tegma Gestão Logística S.A</v>
    <v>35.46</v>
    <v>36.44</v>
    <v>Av. Nicola Demarchi, 2000, Demarchi, SAO BERNARDO DO CAMPO, SAO PAULO, 09.820-655 BR</v>
    <v>Freight &amp; Logistics Services</v>
    <v>TGMA3</v>
    <v>Ações</v>
    <v>Tegma Gestão Logística S.A (BVMF:TGMA3)</v>
    <v>0.91</v>
    <v>2.5611999999999999E-2</v>
    <v>241500</v>
  </rv>
  <rv s="2">
    <v>209</v>
  </rv>
  <rv s="0">
    <v>https://www.bing.com/financeapi/forcetrigger?t=apn9cw&amp;q=BVMF%3aREDE3&amp;form=skydnc</v>
    <v>Learn more on Bing</v>
  </rv>
  <rv s="8">
    <v>pt-BR</v>
    <v>apn9cw</v>
    <v>268435456</v>
    <v>1</v>
    <v>Da plataforma Refinitiv</v>
    <v>14</v>
    <v>15</v>
    <v>Rede Energia Participações S.A (BVMF:REDE3)</v>
    <v>12</v>
    <v>16</v>
    <v>Finance</v>
    <v>5</v>
    <v>6.72</v>
    <v>5.63</v>
    <v>BVMF</v>
    <v>2110323000</v>
    <v>6.61</v>
    <v>1929</v>
    <v>6.55</v>
    <v>0.23719999999999999</v>
    <v>B3 - Brazil Stock Exchange</v>
    <v>13949235030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6.44</v>
    <v>7703</v>
    <v>45884.958333333336</v>
    <v>211</v>
    <v>2790</v>
    <v>BRL</v>
    <v>Rede Energia Participações S.A</v>
    <v>Rede Energia Participações S.A</v>
    <v>6.55</v>
    <v>6.61</v>
    <v>Praca Rui Barbosa,n 80, Centro, CATAGUASES, MINAS GERAIS, 36.770-901 BR</v>
    <v>Electrical Utilities &amp; IPPs</v>
    <v>REDE3</v>
    <v>Ações</v>
    <v>Rede Energia Participações S.A (BVMF:REDE3)</v>
    <v>0.17</v>
    <v>2.6398000000000001E-2</v>
    <v>900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124398500</v>
    <v>1.06</v>
    <v>2006</v>
    <v>1.02</v>
    <v>1.2155</v>
    <v>B3 - Brazil Stock Exchange</v>
    <v>386252200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1.04</v>
    <v>141</v>
    <v>45884.958333333336</v>
    <v>214</v>
    <v>36900</v>
    <v>BRL</v>
    <v>RENOVA ENERGIA S.A. - EM RECUPERAÇÃO JUDICIAL</v>
    <v>RENOVA ENERGIA S.A. - EM RECUPERAÇÃO JUDICIAL</v>
    <v>1.06</v>
    <v>1.04</v>
    <v>Avenida das Nacoes Unidas, n 10.989, conjunto 82, Vila Olimpia, SAO PAULO, SAO PAULO, 04.578-000 BR</v>
    <v>Electrical Utilities &amp; IPPs</v>
    <v>RNEW3</v>
    <v>Ações</v>
    <v>RENOVA ENERGIA S.A. - EM RECUPERAÇÃO JUDICIAL (BVMF:RNEW3)</v>
    <v>0</v>
    <v>0</v>
    <v>17700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2.0499999999999998</v>
    <v>2009</v>
    <v>1.98</v>
    <v>2.4438</v>
    <v>B3 - Brazil Stock Exchange</v>
    <v>1066950000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2.02</v>
    <v>2000</v>
    <v>45884.958333333336</v>
    <v>217</v>
    <v>11804090</v>
    <v>BRL</v>
    <v>CVC Brasil Operadora e Agência de Viagens S.A.</v>
    <v>CVC Brasil Operadora e Agência de Viagens S.A.</v>
    <v>2.0299999999999998</v>
    <v>2.0299999999999998</v>
    <v>Rua da Catequese, 227, 11 andar, sala 111, Jardim, SANTO ANDRE, SAO PAULO, 09.090-401 BR</v>
    <v>Hotels &amp; Entertainment Services</v>
    <v>CVCB3</v>
    <v>Ações</v>
    <v>CVC Brasil Operadora e Agência de Viagens S.A. (BVMF:CVCB3)</v>
    <v>0.01</v>
    <v>4.9499999999999995E-3</v>
    <v>13487300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96126870</v>
    <v>51.92</v>
    <v>2009</v>
    <v>49</v>
    <v>0.92500000000000004</v>
    <v>B3 - Brazil Stock Exchange</v>
    <v>4988023284</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48.79</v>
    <v>45884.958391203705</v>
    <v>220</v>
    <v>325190</v>
    <v>BRL</v>
    <v>Orizon Valorização de Resíduos S.A.</v>
    <v>Orizon Valorização de Resíduos S.A.</v>
    <v>49</v>
    <v>51.89</v>
    <v>Avenida das Nacoes Unidas, 12.901 8 andar, Torre Oest, Brooklin Paulista, SAO PAULO, SAO PAULO, 04.578-910 BR</v>
    <v>Professional &amp; Commercial Services</v>
    <v>ORVR3</v>
    <v>Ações</v>
    <v>Orizon Valorização de Resíduos S.A. (BVMF:ORVR3)</v>
    <v>3.1</v>
    <v>6.3537999999999997E-2</v>
    <v>1186900</v>
  </rv>
  <rv s="2">
    <v>221</v>
  </rv>
  <rv s="0">
    <v>https://www.bing.com/financeapi/forcetrigger?t=apmrxm&amp;q=BVMF%3aIRBR3&amp;form=skydnc</v>
    <v>Learn more on Bing</v>
  </rv>
  <rv s="8">
    <v>pt-BR</v>
    <v>apmrxm</v>
    <v>268435456</v>
    <v>1</v>
    <v>Da plataforma Refinitiv</v>
    <v>14</v>
    <v>15</v>
    <v>IRB-Brasil Resseguros S.A. (BVMF:IRBR3)</v>
    <v>12</v>
    <v>16</v>
    <v>Finance</v>
    <v>5</v>
    <v>57.99</v>
    <v>31.43</v>
    <v>BVMF</v>
    <v>81842890</v>
    <v>49.5</v>
    <v>1939</v>
    <v>45.91</v>
    <v>1.413</v>
    <v>B3 - Brazil Stock Exchange</v>
    <v>3849071116</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46.41</v>
    <v>399</v>
    <v>45884.958333333336</v>
    <v>223</v>
    <v>681550</v>
    <v>BRL</v>
    <v>IRB-Brasil Resseguros S.A.</v>
    <v>IRB-Brasil Resseguros S.A.</v>
    <v>48.18</v>
    <v>47.03</v>
    <v>Av. Republica do Chile, n 330, Torre Leste, e 4 andares, Centro, RIO DE JANEIRO, RIO DE JANEIRO, 20.031-170 BR</v>
    <v>Insurance</v>
    <v>IRBR3</v>
    <v>Ações</v>
    <v>IRB-Brasil Resseguros S.A. (BVMF:IRBR3)</v>
    <v>0.62</v>
    <v>1.3359000000000001E-2</v>
    <v>2457000</v>
  </rv>
  <rv s="2">
    <v>224</v>
  </rv>
  <rv s="0">
    <v>https://www.bing.com/financeapi/forcetrigger?t=apmg1h&amp;q=BVMF%3aEALT4&amp;form=skydnc</v>
    <v>Learn more on Bing</v>
  </rv>
  <rv s="8">
    <v>pt-BR</v>
    <v>apmg1h</v>
    <v>268435456</v>
    <v>1</v>
    <v>Da plataforma Refinitiv</v>
    <v>14</v>
    <v>15</v>
    <v>ELECTRO ACO ALTONA S.A. (BVMF:EALT4)</v>
    <v>12</v>
    <v>16</v>
    <v>Finance</v>
    <v>5</v>
    <v>15.61</v>
    <v>10.98</v>
    <v>BVMF</v>
    <v>22500000</v>
    <v>12.3</v>
    <v>1924</v>
    <v>11.25</v>
    <v>0.57069999999999999</v>
    <v>B3 - Brazil Stock Exchange</v>
    <v>290602500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11.75</v>
    <v>1405</v>
    <v>45884.958333333336</v>
    <v>226</v>
    <v>26200</v>
    <v>BRL</v>
    <v>ELECTRO ACO ALTONA S.A.</v>
    <v>ELECTRO ACO ALTONA S.A.</v>
    <v>11.99</v>
    <v>11.31</v>
    <v>Rua Eng. Paul Werner 925,CONTABILIDADE, itoupava Seca, BLUMENAU, SANTA CATARINA, 89.030-900 BR</v>
    <v>Metals &amp; Mining</v>
    <v>EALT4</v>
    <v>Ações</v>
    <v>ELECTRO ACO ALTONA S.A. (BVMF:EALT4)</v>
    <v>-0.44</v>
    <v>-3.7447000000000001E-2</v>
    <v>54700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5.32</v>
    <v>1971</v>
    <v>5.25</v>
    <v>0.89419999999999999</v>
    <v>B3 - Brazil Stock Exchange</v>
    <v>4781448000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5.3</v>
    <v>17370</v>
    <v>45884.958333333336</v>
    <v>229</v>
    <v>2861890</v>
    <v>BRL</v>
    <v>Grendene S.A.</v>
    <v>Grendene S.A.</v>
    <v>5.32</v>
    <v>5.3</v>
    <v>Avenida Pimentel Gomes 214, Expectativa, SOBRAL, CEARA, 62.040-125 BR</v>
    <v>Textiles &amp; Apparel</v>
    <v>GRND3</v>
    <v>Ações</v>
    <v>Grendene S.A. (BVMF:GRND3)</v>
    <v>0</v>
    <v>0</v>
    <v>751600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8.3800000000000008</v>
    <v>1966</v>
    <v>8.16</v>
    <v>1.504</v>
    <v>B3 - Brazil Stock Exchange</v>
    <v>5044953375</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8.3699999999999992</v>
    <v>2433</v>
    <v>45884.958333333336</v>
    <v>232</v>
    <v>2384000</v>
    <v>BRL</v>
    <v>BANCO PAN S.A.</v>
    <v>BANCO PAN S.A.</v>
    <v>8.3800000000000008</v>
    <v>8.25</v>
    <v>Avenida Paulista, 1374 16 andar, Bela Vista, SAO PAULO, SAO PAULO, 01.310-100 BR</v>
    <v>Banking Services</v>
    <v>BPAN4</v>
    <v>Ações</v>
    <v>BANCO PAN S.A. (BVMF:BPAN4)</v>
    <v>-0.12</v>
    <v>-1.4336999999999999E-2</v>
    <v>1744000</v>
  </rv>
  <rv s="2">
    <v>233</v>
  </rv>
  <rv s="0">
    <v>https://www.bing.com/financeapi/forcetrigger?t=apnlim&amp;q=BVMF%3aWEGE3&amp;form=skydnc</v>
    <v>Learn more on Bing</v>
  </rv>
  <rv s="8">
    <v>pt-BR</v>
    <v>apnlim</v>
    <v>268435456</v>
    <v>1</v>
    <v>Da plataforma Refinitiv</v>
    <v>14</v>
    <v>15</v>
    <v>WEG S.A. (BVMF:WEGE3)</v>
    <v>12</v>
    <v>16</v>
    <v>Finance</v>
    <v>5</v>
    <v>58.86</v>
    <v>35.72</v>
    <v>BVMF</v>
    <v>4197318000</v>
    <v>36.799999999999997</v>
    <v>1961</v>
    <v>35.72</v>
    <v>0.34339999999999998</v>
    <v>B3 - Brazil Stock Exchange</v>
    <v>150977528460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36.49</v>
    <v>47529</v>
    <v>45884.958333333336</v>
    <v>235</v>
    <v>8985530</v>
    <v>BRL</v>
    <v>WEG S.A.</v>
    <v>WEG S.A.</v>
    <v>36.799999999999997</v>
    <v>35.97</v>
    <v>Av. Prefeito Waldemar Grubba,3300, Vila Lalau, JARAGUA DO SUL, SANTA CATARINA, 89.256-900 BR</v>
    <v>Machinery, Equipment &amp; Components</v>
    <v>WEGE3</v>
    <v>Ações</v>
    <v>WEG S.A. (BVMF:WEGE3)</v>
    <v>-0.52</v>
    <v>-1.4250000000000001E-2</v>
    <v>7172700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39.72</v>
    <v>1998</v>
    <v>38.96</v>
    <v>0.5806</v>
    <v>B3 - Brazil Stock Exchange</v>
    <v>32106754995</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39.340000000000003</v>
    <v>1173</v>
    <v>45884.958333333336</v>
    <v>238</v>
    <v>874140</v>
    <v>BRL</v>
    <v>ENGIE BRASIL ENERGIA S.A.</v>
    <v>ENGIE BRASIL ENERGIA S.A.</v>
    <v>39.72</v>
    <v>39.35</v>
    <v>Rua Paschoal Apostolo Pitsica, 5064, Agronomica, FLORIANOPOLIS, SANTA CATARINA, 88.025-255 BR</v>
    <v>Electrical Utilities &amp; IPPs</v>
    <v>EGIE3</v>
    <v>Ações</v>
    <v>ENGIE BRASIL ENERGIA S.A. (BVMF:EGIE3)</v>
    <v>0.01</v>
    <v>2.542E-4</v>
    <v>935800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4.96</v>
    <v>BVMF</v>
    <v>123812800</v>
    <v>7.99</v>
    <v>1961</v>
    <v>7.72</v>
    <v>1.2786999999999999</v>
    <v>B3 - Brazil Stock Exchange</v>
    <v>989264272</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7.75</v>
    <v>7077</v>
    <v>45884.958333333336</v>
    <v>244</v>
    <v>213970</v>
    <v>BRL</v>
    <v>Profarma Distribuidora de Produtos Farmacêuticos S.A.</v>
    <v>Profarma Distribuidora de Produtos Farmacêuticos S.A.</v>
    <v>7.78</v>
    <v>7.99</v>
    <v>Avenida Ayrton Senna, 2150, Bloco P - 3 andar, Barra da Tijuca, RIO DE JANEIRO, RIO DE JANEIRO, 22.775-900 BR</v>
    <v>Pharmaceuticals</v>
    <v>PFRM3</v>
    <v>Ações</v>
    <v>Profarma Distribuidora de Produtos Farmacêuticos S.A. (BVMF:PFRM3)</v>
    <v>0.24</v>
    <v>3.0967999999999999E-2</v>
    <v>180800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35.9</v>
    <v>1999</v>
    <v>35.03</v>
    <v>0.8972</v>
    <v>B3 - Brazil Stock Exchange</v>
    <v>45038273200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35.5</v>
    <v>1178</v>
    <v>45884.958333333336</v>
    <v>247</v>
    <v>7586360</v>
    <v>BRL</v>
    <v>EQUATORIAL S.A.</v>
    <v>EQUATORIAL S.A.</v>
    <v>35.479999999999997</v>
    <v>35.9</v>
    <v>Alameda A, Quadra SQS, n 100, Loteamento Quitandinha Anexo A, sala 31, Altos do Calhau, SAO LUIS, MARANHAO, 65.070-900 BR</v>
    <v>Electrical Utilities &amp; IPPs</v>
    <v>EQTL3</v>
    <v>Ações</v>
    <v>EQUATORIAL S.A. (BVMF:EQTL3)</v>
    <v>0.4</v>
    <v>1.1268E-2</v>
    <v>5579200</v>
  </rv>
  <rv s="2">
    <v>248</v>
  </rv>
  <rv s="0">
    <v>https://www.bing.com/financeapi/forcetrigger?t=bqyxtc&amp;q=BVMF%3aNEOE3&amp;form=skydnc</v>
    <v>Learn more on Bing</v>
  </rv>
  <rv s="8">
    <v>pt-BR</v>
    <v>bqyxtc</v>
    <v>268435456</v>
    <v>1</v>
    <v>Da plataforma Refinitiv</v>
    <v>14</v>
    <v>15</v>
    <v>NEOENERGIA S.A. (BVMF:NEOE3)</v>
    <v>12</v>
    <v>16</v>
    <v>Finance</v>
    <v>5</v>
    <v>27.36</v>
    <v>17.45</v>
    <v>BVMF</v>
    <v>1213797000</v>
    <v>27.15</v>
    <v>1996</v>
    <v>26.7</v>
    <v>0.74139999999999995</v>
    <v>B3 - Brazil Stock Exchange</v>
    <v>32408379900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26.85</v>
    <v>11746</v>
    <v>45884.958391203705</v>
    <v>250</v>
    <v>1546450</v>
    <v>BRL</v>
    <v>NEOENERGIA S.A.</v>
    <v>NEOENERGIA S.A.</v>
    <v>26.97</v>
    <v>26.7</v>
    <v>Praia do Flamengo, 78, 3 andar, Flamengo, RIO DE JANEIRO, RIO DE JANEIRO, 22.210-030 BR</v>
    <v>Electrical Utilities &amp; IPPs</v>
    <v>NEOE3</v>
    <v>Ações</v>
    <v>NEOENERGIA S.A. (BVMF:NEOE3)</v>
    <v>-0.15</v>
    <v>-5.587E-3</v>
    <v>676100</v>
  </rv>
  <rv s="2">
    <v>251</v>
  </rv>
  <rv s="0">
    <v>https://www.bing.com/financeapi/forcetrigger?t=apn5im&amp;q=BVMF%3aPOSI3&amp;form=skydnc</v>
    <v>Learn more on Bing</v>
  </rv>
  <rv s="8">
    <v>pt-BR</v>
    <v>apn5im</v>
    <v>268435456</v>
    <v>1</v>
    <v>Da plataforma Refinitiv</v>
    <v>14</v>
    <v>15</v>
    <v>POSITIVO TECNOLOGIA S.A. (BVMF:POSI3)</v>
    <v>12</v>
    <v>16</v>
    <v>Finance</v>
    <v>5</v>
    <v>7.07</v>
    <v>3.9</v>
    <v>BVMF</v>
    <v>141800000</v>
    <v>4.2</v>
    <v>1989</v>
    <v>4.01</v>
    <v>1.8882000000000001</v>
    <v>B3 - Brazil Stock Exchange</v>
    <v>577126000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4.1399999999999997</v>
    <v>7000</v>
    <v>45884.958391203705</v>
    <v>253</v>
    <v>912700</v>
    <v>BRL</v>
    <v>POSITIVO TECNOLOGIA S.A.</v>
    <v>POSITIVO TECNOLOGIA S.A.</v>
    <v>4.0999999999999996</v>
    <v>4.07</v>
    <v>Rua Joao Bettega, 5200, Nao aplicavel, Cidade Industrial, CURITIBA, PARANA, 81.350-000 BR</v>
    <v>Computers, Phones &amp; Household Electronics</v>
    <v>POSI3</v>
    <v>Ações</v>
    <v>POSITIVO TECNOLOGIA S.A. (BVMF:POSI3)</v>
    <v>-7.0000000000000007E-2</v>
    <v>-1.6907999999999999E-2</v>
    <v>666900</v>
  </rv>
  <rv s="2">
    <v>254</v>
  </rv>
  <rv s="0">
    <v>https://www.bing.com/financeapi/forcetrigger?t=bxk8w7&amp;q=BVMF%3aWEST3&amp;form=skydnc</v>
    <v>Learn more on Bing</v>
  </rv>
  <rv s="9">
    <v>pt-BR</v>
    <v>bxk8w7</v>
    <v>268435456</v>
    <v>1</v>
    <v>Da plataforma Refinitiv</v>
    <v>17</v>
    <v>18</v>
    <v>WESTWING COMÉRCIO VAREJISTA S.A. (BVMF:WEST3)</v>
    <v>12</v>
    <v>19</v>
    <v>Finance</v>
    <v>5</v>
    <v>9.5</v>
    <v>3.55</v>
    <v>BVMF</v>
    <v>11109350</v>
    <v>4.43</v>
    <v>2012</v>
    <v>4.43</v>
    <v>1.1249</v>
    <v>B3 - Brazil Stock Exchange</v>
    <v>49214420</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4.51</v>
    <v>45884.958391203705</v>
    <v>256</v>
    <v>12040</v>
    <v>BRL</v>
    <v>WESTWING COMÉRCIO VAREJISTA S.A.</v>
    <v>WESTWING COMÉRCIO VAREJISTA S.A.</v>
    <v>4.43</v>
    <v>4.43</v>
    <v>Av. Queiroz Filho, 1700 Torre A e B (partes), Vila Hamburguesa, Sao Paulo, SAO PAULO, 05.319-000 BR</v>
    <v>Specialty Retailers</v>
    <v>WEST3</v>
    <v>Ações</v>
    <v>WESTWING COMÉRCIO VAREJISTA S.A. (BVMF:WEST3)</v>
    <v>-0.08</v>
    <v>-1.7738E-2</v>
    <v>200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30.29</v>
    <v>18.579999999999998</v>
    <v>BVMF</v>
    <v>339000000</v>
    <v>29.54</v>
    <v>1951</v>
    <v>28.72</v>
    <v>0.91290000000000004</v>
    <v>B3 - Brazil Stock Exchange</v>
    <v>9824220000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28.82</v>
    <v>16277</v>
    <v>45884.958333333336</v>
    <v>259</v>
    <v>825130</v>
    <v>BRL</v>
    <v>M. Dias Branco S.A. Indústria e Comércio de Alimentos</v>
    <v>M. Dias Branco S.A. Indústria e Comércio de Alimentos</v>
    <v>28.9</v>
    <v>28.98</v>
    <v>Rod Br 116 KM 18 S/N, Jabuti, EUSEBIO, CEARA, 61.760-000 BR</v>
    <v>Food &amp; Tobacco</v>
    <v>MDIA3</v>
    <v>Ações</v>
    <v>M. Dias Branco S.A. Indústria e Comércio de Alimentos (BVMF:MDIA3)</v>
    <v>0.16</v>
    <v>5.5520000000000005E-3</v>
    <v>545500</v>
  </rv>
  <rv s="2">
    <v>260</v>
  </rv>
  <rv s="0">
    <v>https://www.bing.com/financeapi/forcetrigger?t=aplym7&amp;q=BVMF%3aBBDC4&amp;form=skydnc</v>
    <v>Learn more on Bing</v>
  </rv>
  <rv s="8">
    <v>pt-BR</v>
    <v>aplym7</v>
    <v>268435456</v>
    <v>1</v>
    <v>Da plataforma Refinitiv</v>
    <v>14</v>
    <v>15</v>
    <v>Banco Bradesco S.A. (BVMF:BBDC4)</v>
    <v>12</v>
    <v>16</v>
    <v>Finance</v>
    <v>5</v>
    <v>16.86</v>
    <v>10.56</v>
    <v>BVMF</v>
    <v>10592010000</v>
    <v>16.09</v>
    <v>1943</v>
    <v>15.88</v>
    <v>1.4984999999999999</v>
    <v>B3 - Brazil Stock Exchange</v>
    <v>157856600000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16.010000000000002</v>
    <v>83365</v>
    <v>45884.958333333336</v>
    <v>262</v>
    <v>26874860</v>
    <v>BRL</v>
    <v>Banco Bradesco S.A.</v>
    <v>Banco Bradesco S.A.</v>
    <v>15.93</v>
    <v>16.03</v>
    <v>Nucleo Cidade de Deus s/n, Vila Yara, OSASCO, SAO PAULO, 06.029-900 BR</v>
    <v>Banking Services</v>
    <v>BBDC4</v>
    <v>Ações</v>
    <v>Banco Bradesco S.A. (BVMF:BBDC4)</v>
    <v>0.02</v>
    <v>1.2489999999999999E-3</v>
    <v>20239500</v>
  </rv>
  <rv s="2">
    <v>263</v>
  </rv>
  <rv s="0">
    <v>https://www.bing.com/financeapi/forcetrigger?t=apn75r&amp;q=BVMF%3aPSSA3&amp;form=skydnc</v>
    <v>Learn more on Bing</v>
  </rv>
  <rv s="8">
    <v>pt-BR</v>
    <v>apn75r</v>
    <v>268435456</v>
    <v>1</v>
    <v>Da plataforma Refinitiv</v>
    <v>14</v>
    <v>15</v>
    <v>Porto Seguro S.A. (BVMF:PSSA3)</v>
    <v>12</v>
    <v>16</v>
    <v>Finance</v>
    <v>5</v>
    <v>57.21</v>
    <v>30.63</v>
    <v>BVMF</v>
    <v>646586100</v>
    <v>53.3</v>
    <v>1997</v>
    <v>52.16</v>
    <v>0.83930000000000005</v>
    <v>B3 - Brazil Stock Exchange</v>
    <v>33855248196</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53.33</v>
    <v>13800</v>
    <v>45884.958356481482</v>
    <v>265</v>
    <v>2824500</v>
    <v>BRL</v>
    <v>Porto Seguro S.A.</v>
    <v>Porto Seguro S.A.</v>
    <v>53.3</v>
    <v>52.36</v>
    <v>Alameda Barao de Piracicaba, 618/634 - Torre B, 11 andar, Campos Eliseos, SAO PAULO, SAO PAULO, 01.216-012 BR</v>
    <v>Insurance</v>
    <v>PSSA3</v>
    <v>Ações</v>
    <v>Porto Seguro S.A. (BVMF:PSSA3)</v>
    <v>-0.97</v>
    <v>-1.8189E-2</v>
    <v>1690100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124398500</v>
    <v>1.03</v>
    <v>2006</v>
    <v>1</v>
    <v>1.2155</v>
    <v>B3 - Brazil Stock Exchange</v>
    <v>386252200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1.01</v>
    <v>141</v>
    <v>45884.958333333336</v>
    <v>268</v>
    <v>36900</v>
    <v>BRL</v>
    <v>RENOVA ENERGIA S.A. - EM RECUPERAÇÃO JUDICIAL</v>
    <v>RENOVA ENERGIA S.A. - EM RECUPERAÇÃO JUDICIAL</v>
    <v>1.01</v>
    <v>1.01</v>
    <v>Avenida das Nacoes Unidas, n 10.989, conjunto 82, Vila Olimpia, SAO PAULO, SAO PAULO, 04.578-000 BR</v>
    <v>Electrical Utilities &amp; IPPs</v>
    <v>RNEW4</v>
    <v>Ações</v>
    <v>RENOVA ENERGIA S.A. - EM RECUPERAÇÃO JUDICIAL (BVMF:RNEW4)</v>
    <v>0</v>
    <v>0</v>
    <v>13600</v>
  </rv>
  <rv s="2">
    <v>269</v>
  </rv>
  <rv s="0">
    <v>https://www.bing.com/financeapi/forcetrigger?t=apniz2&amp;q=BVMF%3aUNIP6&amp;form=skydnc</v>
    <v>Learn more on Bing</v>
  </rv>
  <rv s="8">
    <v>pt-BR</v>
    <v>apniz2</v>
    <v>268435456</v>
    <v>1</v>
    <v>Da plataforma Refinitiv</v>
    <v>14</v>
    <v>15</v>
    <v>UNIPAR CARBOCLORO S.A. (BVMF:UNIP6)</v>
    <v>12</v>
    <v>16</v>
    <v>Finance</v>
    <v>5</v>
    <v>60.99</v>
    <v>37.380000000000003</v>
    <v>BVMF</v>
    <v>113173300</v>
    <v>57.96</v>
    <v>1969</v>
    <v>56.67</v>
    <v>1.2863</v>
    <v>B3 - Brazil Stock Exchange</v>
    <v>6338624000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57.84</v>
    <v>1400</v>
    <v>45884.958333333336</v>
    <v>271</v>
    <v>214070</v>
    <v>BRL</v>
    <v>UNIPAR CARBOCLORO S.A.</v>
    <v>UNIPAR CARBOCLORO S.A.</v>
    <v>57.83</v>
    <v>57.47</v>
    <v>Avenida Presidente Juscelino Kubitschek, n 1327, 22 andar, Itaim Bibi, SAO PAULO, SAO PAULO, 04.543-011 BR</v>
    <v>Chemicals</v>
    <v>UNIP6</v>
    <v>Ações</v>
    <v>UNIPAR CARBOCLORO S.A. (BVMF:UNIP6)</v>
    <v>-0.37</v>
    <v>-6.3970000000000008E-3</v>
    <v>107400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14.63</v>
    <v>2006</v>
    <v>14.2</v>
    <v>1.6400999999999999</v>
    <v>B3 - Brazil Stock Exchange</v>
    <v>3257379000</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14.44</v>
    <v>338</v>
    <v>45884.958333333336</v>
    <v>274</v>
    <v>1570200</v>
    <v>BRL</v>
    <v>EZ TEC Empreendimentos e Participações S.A.</v>
    <v>EZ TEC Empreendimentos e Participações S.A.</v>
    <v>14.45</v>
    <v>14.34</v>
    <v>Av. Republica do Libano,1.921, Ibirapuera, SAO PAULO, SAO PAULO, 04.501-002 BR</v>
    <v>Real Estate Operations</v>
    <v>EZTC3</v>
    <v>Ações</v>
    <v>EZ TEC Empreendimentos e Participações S.A. (BVMF:EZTC3)</v>
    <v>-0.1</v>
    <v>-6.9249999999999997E-3</v>
    <v>2493400</v>
  </rv>
  <rv s="2">
    <v>275</v>
  </rv>
  <rv s="0">
    <v>https://www.bing.com/financeapi/forcetrigger?t=awjq77&amp;q=BVMF%3aSUZB3&amp;form=skydnc</v>
    <v>Learn more on Bing</v>
  </rv>
  <rv s="8">
    <v>pt-BR</v>
    <v>awjq77</v>
    <v>268435456</v>
    <v>1</v>
    <v>Da plataforma Refinitiv</v>
    <v>14</v>
    <v>15</v>
    <v>SUZANO S.A. (BVMF:SUZB3)</v>
    <v>12</v>
    <v>16</v>
    <v>Finance</v>
    <v>5</v>
    <v>64.709999999999994</v>
    <v>49.15</v>
    <v>BVMF</v>
    <v>1264118000</v>
    <v>54.67</v>
    <v>1987</v>
    <v>53.23</v>
    <v>0.39069999999999999</v>
    <v>B3 - Brazil Stock Exchange</v>
    <v>67415412940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53.91</v>
    <v>56000</v>
    <v>45884.958333333336</v>
    <v>277</v>
    <v>4663700</v>
    <v>BRL</v>
    <v>SUZANO S.A.</v>
    <v>SUZANO S.A.</v>
    <v>53.82</v>
    <v>53.33</v>
    <v>Av. Professor Magalhaes Neto,1752 - 10 andar, Salas 1009/1010/1011, Pituba, SALVADOR, BAHIA, 41.810-012 BR</v>
    <v>Paper &amp; Forest Products</v>
    <v>SUZB3</v>
    <v>Ações</v>
    <v>SUZANO S.A. (BVMF:SUZB3)</v>
    <v>-0.57999999999999996</v>
    <v>-1.0759000000000001E-2</v>
    <v>5945100</v>
  </rv>
  <rv s="2">
    <v>278</v>
  </rv>
  <rv s="0">
    <v>https://www.bing.com/financeapi/forcetrigger?t=apm1nm&amp;q=BVMF%3aBMEB4&amp;form=skydnc</v>
    <v>Learn more on Bing</v>
  </rv>
  <rv s="8">
    <v>pt-BR</v>
    <v>apm1nm</v>
    <v>268435456</v>
    <v>1</v>
    <v>Da plataforma Refinitiv</v>
    <v>14</v>
    <v>15</v>
    <v>Banco Mercantil do Brasil S.A. (BVMF:BMEB4)</v>
    <v>12</v>
    <v>16</v>
    <v>Finance</v>
    <v>5</v>
    <v>43.48</v>
    <v>31.3</v>
    <v>BVMF</v>
    <v>104831600</v>
    <v>43.48</v>
    <v>1940</v>
    <v>41.43</v>
    <v>0.15640000000000001</v>
    <v>B3 - Brazil Stock Exchange</v>
    <v>3928418000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41.7</v>
    <v>2958</v>
    <v>45884.958333333336</v>
    <v>280</v>
    <v>15690</v>
    <v>BRL</v>
    <v>Banco Mercantil do Brasil S.A.</v>
    <v>Banco Mercantil do Brasil S.A.</v>
    <v>41.44</v>
    <v>42.95</v>
    <v>Rua Rio De Janeiro, 680, Centro, BELO HORIZONTE, MINAS GERAIS, 30.160-912 BR</v>
    <v>Banking Services</v>
    <v>BMEB4</v>
    <v>Ações</v>
    <v>Banco Mercantil do Brasil S.A. (BVMF:BMEB4)</v>
    <v>1.25</v>
    <v>2.9975999999999999E-2</v>
    <v>17900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11.38</v>
    <v>1954</v>
    <v>11.19</v>
    <v>0.84260000000000002</v>
    <v>B3 - Brazil Stock Exchange</v>
    <v>35137020000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11.34</v>
    <v>4396</v>
    <v>45884.958333333336</v>
    <v>283</v>
    <v>15887970</v>
    <v>BRL</v>
    <v>Companhia Paranaense de Energia - Copel</v>
    <v>Companhia Paranaense de Energia - Copel</v>
    <v>11.34</v>
    <v>11.29</v>
    <v>Rua Jose Izidoro Biazetto, 158, Orleans, CURITIBA, PARANA, 81.200-240 BR</v>
    <v>Electrical Utilities &amp; IPPs</v>
    <v>CPLE3</v>
    <v>Ações</v>
    <v>Companhia Paranaense de Energia - Copel (BVMF:CPLE3)</v>
    <v>-0.05</v>
    <v>-4.4089999999999997E-3</v>
    <v>3703800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32.619999999999997</v>
    <v>1953</v>
    <v>32.200000000000003</v>
    <v>1.0041</v>
    <v>B3 - Brazil Stock Exchange</v>
    <v>406937700000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32.630000000000003</v>
    <v>49185</v>
    <v>45884.958333333336</v>
    <v>286</v>
    <v>36759460</v>
    <v>BRL</v>
    <v>Petróleo Brasileiro S.A. (Petrobras)</v>
    <v>Petróleo Brasileiro S.A. (Petrobras)</v>
    <v>32.53</v>
    <v>32.6</v>
    <v>Av. Republica do Chile, n 65, 24 andar, Centro, Rio de Janeiro, RIO DE JANEIRO, 20.031-912 BR</v>
    <v>Oil &amp; Gas</v>
    <v>PETR3</v>
    <v>Ações</v>
    <v>Petróleo Brasileiro S.A. (Petrobras) (BVMF:PETR3)</v>
    <v>-0.03</v>
    <v>-9.193999999999999E-4</v>
    <v>8741300</v>
  </rv>
  <rv s="2">
    <v>287</v>
  </rv>
  <rv s="0">
    <v>https://www.bing.com/financeapi/forcetrigger?t=aplyjc&amp;q=BVMF%3aBBDC3&amp;form=skydnc</v>
    <v>Learn more on Bing</v>
  </rv>
  <rv s="8">
    <v>pt-BR</v>
    <v>aplyjc</v>
    <v>268435456</v>
    <v>1</v>
    <v>Da plataforma Refinitiv</v>
    <v>14</v>
    <v>15</v>
    <v>Banco Bradesco S.A. (BVMF:BBDC3)</v>
    <v>12</v>
    <v>16</v>
    <v>Finance</v>
    <v>5</v>
    <v>14.46</v>
    <v>9.67</v>
    <v>BVMF</v>
    <v>10592010000</v>
    <v>13.82</v>
    <v>1943</v>
    <v>13.66</v>
    <v>1.4984999999999999</v>
    <v>B3 - Brazil Stock Exchange</v>
    <v>157856600000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13.8</v>
    <v>83365</v>
    <v>45884.958333333336</v>
    <v>289</v>
    <v>26874860</v>
    <v>BRL</v>
    <v>Banco Bradesco S.A.</v>
    <v>Banco Bradesco S.A.</v>
    <v>13.7</v>
    <v>13.79</v>
    <v>Nucleo Cidade de Deus s/n, Vila Yara, OSASCO, SAO PAULO, 06.029-900 BR</v>
    <v>Banking Services</v>
    <v>BBDC3</v>
    <v>Ações</v>
    <v>Banco Bradesco S.A. (BVMF:BBDC3)</v>
    <v>-0.01</v>
    <v>-7.2459999999999994E-4</v>
    <v>6868000</v>
  </rv>
  <rv s="2">
    <v>290</v>
  </rv>
  <rv s="0">
    <v>https://www.bing.com/financeapi/forcetrigger?t=apn5cw&amp;q=BVMF%3aPOMO4&amp;form=skydnc</v>
    <v>Learn more on Bing</v>
  </rv>
  <rv s="8">
    <v>pt-BR</v>
    <v>apn5cw</v>
    <v>268435456</v>
    <v>1</v>
    <v>Da plataforma Refinitiv</v>
    <v>14</v>
    <v>15</v>
    <v>MARCOPOLO S.A. (BVMF:POMO4)</v>
    <v>12</v>
    <v>16</v>
    <v>Finance</v>
    <v>5</v>
    <v>9.3000000000000007</v>
    <v>5.72</v>
    <v>BVMF</v>
    <v>1136271000</v>
    <v>9.02</v>
    <v>1949</v>
    <v>8.89</v>
    <v>0.80320000000000003</v>
    <v>B3 - Brazil Stock Exchange</v>
    <v>9417548000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8.9700000000000006</v>
    <v>16027</v>
    <v>45884.958333333336</v>
    <v>292</v>
    <v>10709580</v>
    <v>BRL</v>
    <v>MARCOPOLO S.A.</v>
    <v>MARCOPOLO S.A.</v>
    <v>8.93</v>
    <v>9.02</v>
    <v>Avenida Marcopolo,280, Planalto, CAXIAS DO SUL, RIO GRANDE DO SUL, 95.086-200 BR</v>
    <v>Automobiles &amp; Auto Parts</v>
    <v>POMO4</v>
    <v>Ações</v>
    <v>MARCOPOLO S.A. (BVMF:POMO4)</v>
    <v>0.05</v>
    <v>5.574E-3</v>
    <v>3901500</v>
  </rv>
  <rv s="2">
    <v>293</v>
  </rv>
  <rv s="0">
    <v>https://www.bing.com/financeapi/forcetrigger?t=apnjsm&amp;q=BVMF%3aVALE3&amp;form=skydnc</v>
    <v>Learn more on Bing</v>
  </rv>
  <rv s="8">
    <v>pt-BR</v>
    <v>apnjsm</v>
    <v>268435456</v>
    <v>1</v>
    <v>Da plataforma Refinitiv</v>
    <v>14</v>
    <v>15</v>
    <v>VALE S.A. (BVMF:VALE3)</v>
    <v>12</v>
    <v>16</v>
    <v>Finance</v>
    <v>5</v>
    <v>60.23</v>
    <v>47.12</v>
    <v>BVMF</v>
    <v>4539008000</v>
    <v>53.58</v>
    <v>1943</v>
    <v>53</v>
    <v>0.77859999999999996</v>
    <v>B3 - Brazil Stock Exchange</v>
    <v>242019906560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53.42</v>
    <v>64616</v>
    <v>45884.958333333336</v>
    <v>295</v>
    <v>25058780</v>
    <v>BRL</v>
    <v>VALE S.A.</v>
    <v>VALE S.A.</v>
    <v>53.46</v>
    <v>53.32</v>
    <v>Torre Oscar Niemeyer, Praia de Botafogo n 186 Salas 1101 1701 1801, Botafogo, RIO DE JANEIRO, RIO DE JANEIRO, 22.250-145 BR</v>
    <v>Metals &amp; Mining</v>
    <v>VALE3</v>
    <v>Ações</v>
    <v>VALE S.A. (BVMF:VALE3)</v>
    <v>-0.1</v>
    <v>-1.872E-3</v>
    <v>32470800</v>
  </rv>
  <rv s="2">
    <v>296</v>
  </rv>
  <rv s="0">
    <v>https://www.bing.com/financeapi/forcetrigger?t=apn7yc&amp;q=BVMF%3aRADL3&amp;form=skydnc</v>
    <v>Learn more on Bing</v>
  </rv>
  <rv s="8">
    <v>pt-BR</v>
    <v>apn7yc</v>
    <v>268435456</v>
    <v>1</v>
    <v>Da plataforma Refinitiv</v>
    <v>14</v>
    <v>15</v>
    <v>Raia Drogasil S/A (BVMF:RADL3)</v>
    <v>12</v>
    <v>16</v>
    <v>Finance</v>
    <v>5</v>
    <v>29.81</v>
    <v>13.07</v>
    <v>BVMF</v>
    <v>1718007000</v>
    <v>17.88</v>
    <v>1935</v>
    <v>17.14</v>
    <v>0.80300000000000005</v>
    <v>B3 - Brazil Stock Exchange</v>
    <v>30013582289</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17.579999999999998</v>
    <v>67114</v>
    <v>45884.958333333336</v>
    <v>298</v>
    <v>17224020</v>
    <v>BRL</v>
    <v>Raia Drogasil S/A</v>
    <v>Raia Drogasil S/A</v>
    <v>17.690000000000001</v>
    <v>17.47</v>
    <v>Av. Corifeu de Azevedo Marques, 3.097, Butanta, SAO PAULO, SAO PAULO, 05.339-900 BR</v>
    <v>Food &amp; Drug Retailing</v>
    <v>RADL3</v>
    <v>Ações</v>
    <v>Raia Drogasil S/A (BVMF:RADL3)</v>
    <v>-0.11</v>
    <v>-6.2570000000000004E-3</v>
    <v>7679900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16.53</v>
    <v>2007</v>
    <v>16.14</v>
    <v>1.3241000000000001</v>
    <v>B3 - Brazil Stock Exchange</v>
    <v>11032902603</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16.14</v>
    <v>184000</v>
    <v>45884.958356481482</v>
    <v>301</v>
    <v>2655610</v>
    <v>BRL</v>
    <v>GPS PARTICIPAÇÕES E EMPREENDIMENTOS S.A.</v>
    <v>GPS PARTICIPAÇÕES E EMPREENDIMENTOS S.A.</v>
    <v>16.14</v>
    <v>16.29</v>
    <v>Av. Miguel Frias e Vasconcelos, 1205, Jaguare, SAO PAULO, SAO PAULO, 05.345-000 BR</v>
    <v>Professional &amp; Commercial Services</v>
    <v>GGPS3</v>
    <v>Ações</v>
    <v>GPS PARTICIPAÇÕES E EMPREENDIMENTOS S.A. (BVMF:GGPS3)</v>
    <v>0.15</v>
    <v>9.2940000000000002E-3</v>
    <v>1629200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3.83</v>
    <v>2010</v>
    <v>3.64</v>
    <v>1.2269000000000001</v>
    <v>B3 - Brazil Stock Exchange</v>
    <v>4979001780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3.73</v>
    <v>45884.958391203705</v>
    <v>304</v>
    <v>2554360</v>
    <v>BRL</v>
    <v>Hidrovias do Brasil S.A</v>
    <v>Hidrovias do Brasil S.A</v>
    <v>3.75</v>
    <v>3.66</v>
    <v>Rua Gilberto Sabino, 215 - 7 andar, SAO PAULO, SAO PAULO, 05.425-020 BR</v>
    <v>Freight &amp; Logistics Services</v>
    <v>HBSA3</v>
    <v>Ações</v>
    <v>Hidrovias do Brasil S.A (BVMF:HBSA3)</v>
    <v>-7.0000000000000007E-2</v>
    <v>-1.8766999999999999E-2</v>
    <v>2617300</v>
  </rv>
  <rv s="2">
    <v>305</v>
  </rv>
  <rv s="0">
    <v>https://www.bing.com/financeapi/forcetrigger?t=apm7gh&amp;q=BVMF%3aCCRO3&amp;form=skydnc</v>
    <v>Learn more on Bing</v>
  </rv>
  <rv s="8">
    <v>pt-BR</v>
    <v>apm7gh</v>
    <v>268435456</v>
    <v>1</v>
    <v>Da plataforma Refinitiv</v>
    <v>14</v>
    <v>15</v>
    <v>MOTIVA INFRAESTRUTURA DE MOBILIDADE S.A. (BVMF:MOTV3)</v>
    <v>12</v>
    <v>16</v>
    <v>Finance</v>
    <v>5</v>
    <v>13.9</v>
    <v>9.7200000000000006</v>
    <v>BVMF</v>
    <v>2020000000</v>
    <v>13.42</v>
    <v>1998</v>
    <v>13.08</v>
    <v>1.0510999999999999</v>
    <v>B3 - Brazil Stock Exchange</v>
    <v>26866000000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13.16</v>
    <v>17124</v>
    <v>45884.958356481482</v>
    <v>307</v>
    <v>7325800</v>
    <v>BRL</v>
    <v>MOTIVA INFRAESTRUTURA DE MOBILIDADE S.A.</v>
    <v>MOTIVA INFRAESTRUTURA DE MOBILIDADE S.A.</v>
    <v>13.16</v>
    <v>13.3</v>
    <v>Av. Dra. Ruth Cardoso, 8.501, 5 andar, Pinheiros, SAO PAULO, SAO PAULO, 05.425-070 BR</v>
    <v>Transport Infrastructure</v>
    <v>MOTV3</v>
    <v>Ações</v>
    <v>MOTIVA INFRAESTRUTURA DE MOBILIDADE S.A. (BVMF:MOTV3)</v>
    <v>0.14000000000000001</v>
    <v>1.0638000000000002E-2</v>
    <v>5443500</v>
  </rv>
  <rv s="2">
    <v>308</v>
  </rv>
  <rv s="0">
    <v>https://www.bing.com/financeapi/forcetrigger?t=bvu6jc&amp;q=BVMF%3aMELK3&amp;form=skydnc</v>
    <v>Learn more on Bing</v>
  </rv>
  <rv s="8">
    <v>pt-BR</v>
    <v>bvu6jc</v>
    <v>268435456</v>
    <v>1</v>
    <v>Da plataforma Refinitiv</v>
    <v>14</v>
    <v>15</v>
    <v>Melnick Desenvolvimento Imobiliário S.A. (BVMF:MELK3)</v>
    <v>12</v>
    <v>16</v>
    <v>Finance</v>
    <v>5</v>
    <v>3.75</v>
    <v>2.38</v>
    <v>BVMF</v>
    <v>206269300</v>
    <v>3.75</v>
    <v>2010</v>
    <v>3.49</v>
    <v>0.96140000000000003</v>
    <v>B3 - Brazil Stock Exchange</v>
    <v>773509875</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3.53</v>
    <v>458</v>
    <v>45884.958391203705</v>
    <v>310</v>
    <v>318530</v>
    <v>BRL</v>
    <v>Melnick Desenvolvimento Imobiliário S.A.</v>
    <v>Melnick Desenvolvimento Imobiliário S.A.</v>
    <v>3.53</v>
    <v>3.75</v>
    <v>Rua Carlos Trein Filho, n 551, N/A, Auxiliadora, Porto Alegre, RIO GRANDE DO SUL, 90.450-120 BR</v>
    <v>Homebuilding &amp; Construction Supplies</v>
    <v>MELK3</v>
    <v>Ações</v>
    <v>Melnick Desenvolvimento Imobiliário S.A. (BVMF:MELK3)</v>
    <v>0.22</v>
    <v>6.2323000000000003E-2</v>
    <v>835600</v>
  </rv>
  <rv s="2">
    <v>311</v>
  </rv>
  <rv s="0">
    <v>https://www.bing.com/financeapi/forcetrigger?t=apmb27&amp;q=BVMF%3aCPFE3&amp;form=skydnc</v>
    <v>Learn more on Bing</v>
  </rv>
  <rv s="8">
    <v>pt-BR</v>
    <v>apmb27</v>
    <v>268435456</v>
    <v>1</v>
    <v>Da plataforma Refinitiv</v>
    <v>14</v>
    <v>15</v>
    <v>CPFL ENERGIA S.A. (BVMF:CPFE3)</v>
    <v>12</v>
    <v>16</v>
    <v>Finance</v>
    <v>5</v>
    <v>41.48</v>
    <v>29.96</v>
    <v>BVMF</v>
    <v>1152254000</v>
    <v>40.46</v>
    <v>1998</v>
    <v>39.03</v>
    <v>0.64939999999999998</v>
    <v>B3 - Brazil Stock Exchange</v>
    <v>45871250000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39.81</v>
    <v>6432</v>
    <v>45884.958333333336</v>
    <v>313</v>
    <v>1882370</v>
    <v>BRL</v>
    <v>CPFL ENERGIA S.A.</v>
    <v>CPFL ENERGIA S.A.</v>
    <v>39.5</v>
    <v>39.479999999999997</v>
    <v>Rua Jorge de Figueiredo Correa,1632, parte, Jd Prof. Tarcilia, CAMPINAS, SAO PAULO, 13.087-397 BR</v>
    <v>Electrical Utilities &amp; IPPs</v>
    <v>CPFE3</v>
    <v>Ações</v>
    <v>CPFL ENERGIA S.A. (BVMF:CPFE3)</v>
    <v>-0.33</v>
    <v>-8.2889999999999995E-3</v>
    <v>1665200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123.66</v>
    <v>83.13</v>
    <v>BVMF</v>
    <v>683509900</v>
    <v>118.3</v>
    <v>1973</v>
    <v>116.06</v>
    <v>0.8417</v>
    <v>B3 - Brazil Stock Exchange</v>
    <v>79594727855</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117.74</v>
    <v>9190</v>
    <v>45884.958356481482</v>
    <v>316</v>
    <v>3740370</v>
    <v>BRL</v>
    <v>Companhia de Saneamento Básico do Estado de São Paulo - SABESP</v>
    <v>Companhia de Saneamento Básico do Estado de São Paulo - SABESP</v>
    <v>117.77</v>
    <v>116.45</v>
    <v>Rua Costa Carvalho, n 300 Diretoria F, Pinheiros, SAO PAULO, SAO PAULO, 05.429-900 BR</v>
    <v>Water Utilities</v>
    <v>SBSP3</v>
    <v>Ações</v>
    <v>Companhia de Saneamento Básico do Estado de São Paulo - SABESP (BVMF:SBSP3)</v>
    <v>-1.29</v>
    <v>-1.0955999999999999E-2</v>
    <v>2212300</v>
  </rv>
  <rv s="2">
    <v>317</v>
  </rv>
  <rv s="0">
    <v>https://www.bing.com/financeapi/forcetrigger?t=c1s4zr&amp;q=BVMF%3aSOJA3&amp;form=skydnc</v>
    <v>Learn more on Bing</v>
  </rv>
  <rv s="9">
    <v>pt-BR</v>
    <v>c1s4zr</v>
    <v>268435456</v>
    <v>1</v>
    <v>Da plataforma Refinitiv</v>
    <v>17</v>
    <v>18</v>
    <v>Boa Safra Sementes S.A. (BVMF:SOJA3)</v>
    <v>12</v>
    <v>19</v>
    <v>Finance</v>
    <v>5</v>
    <v>13.86</v>
    <v>9.5500000000000007</v>
    <v>BVMF</v>
    <v>135322100</v>
    <v>10.29</v>
    <v>2009</v>
    <v>10.06</v>
    <v>0.64739999999999998</v>
    <v>B3 - Brazil Stock Exchange</v>
    <v>1369459652</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10.09</v>
    <v>45884.958391203705</v>
    <v>319</v>
    <v>379120</v>
    <v>BRL</v>
    <v>Boa Safra Sementes S.A.</v>
    <v>Boa Safra Sementes S.A.</v>
    <v>10.09</v>
    <v>10.119999999999999</v>
    <v>Avenida Circular 209, Setor Industrial, Formosa, GOIAS, 73.813-014 BR</v>
    <v>Food &amp; Tobacco</v>
    <v>SOJA3</v>
    <v>Ações</v>
    <v>Boa Safra Sementes S.A. (BVMF:SOJA3)</v>
    <v>0.03</v>
    <v>2.9729999999999999E-3</v>
    <v>323500</v>
  </rv>
  <rv s="2">
    <v>320</v>
  </rv>
  <rv s="0">
    <v>https://www.bing.com/financeapi/forcetrigger?t=apn7h7&amp;q=BVMF%3aPTNT4&amp;form=skydnc</v>
    <v>Learn more on Bing</v>
  </rv>
  <rv s="8">
    <v>pt-BR</v>
    <v>apn7h7</v>
    <v>268435456</v>
    <v>1</v>
    <v>Da plataforma Refinitiv</v>
    <v>14</v>
    <v>15</v>
    <v>Pettenati S.A. Indústria Têxtil (BVMF:PTNT4)</v>
    <v>12</v>
    <v>16</v>
    <v>Finance</v>
    <v>5</v>
    <v>8.27</v>
    <v>4.43</v>
    <v>BVMF</v>
    <v>48046490</v>
    <v>4.59</v>
    <v>1964</v>
    <v>4.53</v>
    <v>0.36170000000000002</v>
    <v>B3 - Brazil Stock Exchange</v>
    <v>294371600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4.55</v>
    <v>1745</v>
    <v>45884.836806250001</v>
    <v>322</v>
    <v>6130</v>
    <v>BRL</v>
    <v>Pettenati S.A. Indústria Têxtil</v>
    <v>Pettenati S.A. Indústria Têxtil</v>
    <v>4.57</v>
    <v>4.59</v>
    <v>Rod Rsc 453, S/N,Km 2,4, Distrito Industrial, CAXIAS DO SUL, RIO GRANDE DO SUL, 95.010-550 BR</v>
    <v>Textiles &amp; Apparel</v>
    <v>PTNT4</v>
    <v>Ações</v>
    <v>Pettenati S.A. Indústria Têxtil (BVMF:PTNT4)</v>
    <v>0.04</v>
    <v>8.7910000000000002E-3</v>
    <v>3100</v>
  </rv>
  <rv s="2">
    <v>323</v>
  </rv>
  <rv s="0">
    <v>https://www.bing.com/financeapi/forcetrigger?t=c2ttqh&amp;q=BVMF%3aDESK3&amp;form=skydnc</v>
    <v>Learn more on Bing</v>
  </rv>
  <rv s="9">
    <v>pt-BR</v>
    <v>c2ttqh</v>
    <v>268435456</v>
    <v>1</v>
    <v>Da plataforma Refinitiv</v>
    <v>17</v>
    <v>18</v>
    <v>DESKTOP S.A. (BVMF:DESK3)</v>
    <v>12</v>
    <v>19</v>
    <v>Finance</v>
    <v>5</v>
    <v>16.670000000000002</v>
    <v>7.52</v>
    <v>BVMF</v>
    <v>115907200</v>
    <v>7.82</v>
    <v>2006</v>
    <v>7.7</v>
    <v>1.2522</v>
    <v>B3 - Brazil Stock Exchange</v>
    <v>906394304</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7.8</v>
    <v>45884.958391203705</v>
    <v>325</v>
    <v>190370</v>
    <v>BRL</v>
    <v>DESKTOP S.A.</v>
    <v>DESKTOP S.A.</v>
    <v>7.72</v>
    <v>7.82</v>
    <v>Estrada Municipal Teodor Condiev, 970 13o andar, Jardim Marchissolo, Sumare, SAO PAULO, 13.171-105 BR</v>
    <v>Telecommunications Services</v>
    <v>DESK3</v>
    <v>Ações</v>
    <v>DESKTOP S.A. (BVMF:DESK3)</v>
    <v>0.02</v>
    <v>2.5640000000000003E-3</v>
    <v>55100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2.75</v>
    <v>1946</v>
    <v>2.63</v>
    <v>1.0430999999999999</v>
    <v>B3 - Brazil Stock Exchange</v>
    <v>6316092000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2.63</v>
    <v>636</v>
    <v>45884.958333333336</v>
    <v>328</v>
    <v>73150</v>
    <v>BRL</v>
    <v>Iguatemi S.A.</v>
    <v>Iguatemi S.A.</v>
    <v>2.63</v>
    <v>2.71</v>
    <v>Rua Angelina Maffei Vita 200 9 andar, Jardim Paulistano, SAO PAULO, SAO PAULO, 01.455-070 BR</v>
    <v>Real Estate Operations</v>
    <v>IGTI3</v>
    <v>Ações</v>
    <v>Iguatemi S.A. (BVMF:IGTI3)</v>
    <v>0.08</v>
    <v>3.0417999999999997E-2</v>
    <v>36900</v>
  </rv>
  <rv s="2">
    <v>329</v>
  </rv>
  <rv s="0">
    <v>https://www.bing.com/financeapi/forcetrigger?t=apmtnm&amp;q=BVMF%3aKEPL3&amp;form=skydnc</v>
    <v>Learn more on Bing</v>
  </rv>
  <rv s="8">
    <v>pt-BR</v>
    <v>apmtnm</v>
    <v>268435456</v>
    <v>1</v>
    <v>Da plataforma Refinitiv</v>
    <v>14</v>
    <v>15</v>
    <v>Kepler Weber S.A. (BVMF:KEPL3)</v>
    <v>12</v>
    <v>16</v>
    <v>Finance</v>
    <v>5</v>
    <v>10.7</v>
    <v>6.73</v>
    <v>BVMF</v>
    <v>179720100</v>
    <v>7.26</v>
    <v>1936</v>
    <v>7.1</v>
    <v>0.95209999999999995</v>
    <v>B3 - Brazil Stock Exchange</v>
    <v>1301173524</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7.2</v>
    <v>1925</v>
    <v>45884.958391203705</v>
    <v>331</v>
    <v>1174700</v>
    <v>BRL</v>
    <v>Kepler Weber S.A.</v>
    <v>Kepler Weber S.A.</v>
    <v>7.17</v>
    <v>7.24</v>
    <v>Rua do Rocio n 84, 3 andar, Vila Olimpia, SAO PAULO, SAO PAULO, 04.552-000 BR</v>
    <v>Machinery, Equipment &amp; Components</v>
    <v>KEPL3</v>
    <v>Ações</v>
    <v>Kepler Weber S.A. (BVMF:KEPL3)</v>
    <v>0.04</v>
    <v>5.5560000000000002E-3</v>
    <v>1182600</v>
  </rv>
  <rv s="2">
    <v>332</v>
  </rv>
  <rv s="0">
    <v>https://www.bing.com/financeapi/forcetrigger?t=apmvxm&amp;q=BVMF%3aLREN3&amp;form=skydnc</v>
    <v>Learn more on Bing</v>
  </rv>
  <rv s="8">
    <v>pt-BR</v>
    <v>apmvxm</v>
    <v>268435456</v>
    <v>1</v>
    <v>Da plataforma Refinitiv</v>
    <v>14</v>
    <v>15</v>
    <v>Lojas Renner S.A. (BVMF:LREN3)</v>
    <v>12</v>
    <v>16</v>
    <v>Finance</v>
    <v>5</v>
    <v>19.66</v>
    <v>10.53</v>
    <v>BVMF</v>
    <v>1059715000</v>
    <v>16.13</v>
    <v>1965</v>
    <v>15.71</v>
    <v>1.7884</v>
    <v>B3 - Brazil Stock Exchange</v>
    <v>17093202949</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16.02</v>
    <v>25102</v>
    <v>45884.958333333336</v>
    <v>334</v>
    <v>17943000</v>
    <v>BRL</v>
    <v>Lojas Renner S.A.</v>
    <v>Lojas Renner S.A.</v>
    <v>16.02</v>
    <v>16.13</v>
    <v>Av. Joaquim Porto Villanova, 401,7 andar, Jardim do Salso, PORTO ALEGRE, RIO GRANDE DO SUL, 91.410-400 BR</v>
    <v>Specialty Retailers</v>
    <v>LREN3</v>
    <v>Ações</v>
    <v>Lojas Renner S.A. (BVMF:LREN3)</v>
    <v>0.11</v>
    <v>6.8659999999999997E-3</v>
    <v>18079100</v>
  </rv>
  <rv s="2">
    <v>335</v>
  </rv>
  <rv s="0">
    <v>https://www.bing.com/financeapi/forcetrigger?t=apmyyc&amp;q=BVMF%3aMRFG3&amp;form=skydnc</v>
    <v>Learn more on Bing</v>
  </rv>
  <rv s="8">
    <v>pt-BR</v>
    <v>apmyyc</v>
    <v>268435456</v>
    <v>1</v>
    <v>Da plataforma Refinitiv</v>
    <v>14</v>
    <v>15</v>
    <v>Marfrig Global Foods S.A. (BVMF:MRFG3)</v>
    <v>12</v>
    <v>16</v>
    <v>Finance</v>
    <v>5</v>
    <v>26.03</v>
    <v>10.62</v>
    <v>BVMF</v>
    <v>857928100</v>
    <v>23.41</v>
    <v>2000</v>
    <v>21.54</v>
    <v>0.99550000000000005</v>
    <v>B3 - Brazil Stock Exchange</v>
    <v>20041200416</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21.48</v>
    <v>126832</v>
    <v>45884.958356481482</v>
    <v>337</v>
    <v>4558540</v>
    <v>BRL</v>
    <v>Marfrig Global Foods S.A.</v>
    <v>Marfrig Global Foods S.A.</v>
    <v>21.85</v>
    <v>23.36</v>
    <v>Avenida Chedid Jafet, No 222, Block A, 1St Floor, SAO PAULO, SAO PAULO, 04.551-065 BR</v>
    <v>Food &amp; Tobacco</v>
    <v>MRFG3</v>
    <v>Ações</v>
    <v>Marfrig Global Foods S.A. (BVMF:MRFG3)</v>
    <v>1.88</v>
    <v>8.7523000000000004E-2</v>
    <v>11066700</v>
  </rv>
  <rv s="2">
    <v>338</v>
  </rv>
  <rv s="0">
    <v>https://www.bing.com/financeapi/forcetrigger?t=apmsu2&amp;q=BVMF%3aJFEN3&amp;form=skydnc</v>
    <v>Learn more on Bing</v>
  </rv>
  <rv s="8">
    <v>pt-BR</v>
    <v>apmsu2</v>
    <v>268435456</v>
    <v>1</v>
    <v>Da plataforma Refinitiv</v>
    <v>14</v>
    <v>15</v>
    <v>JOAO FORTES ENGENHARIA S.A. (BVMF:JFEN3)</v>
    <v>12</v>
    <v>16</v>
    <v>Finance</v>
    <v>5</v>
    <v>9.4</v>
    <v>1.4</v>
    <v>BVMF</v>
    <v>12802740</v>
    <v>1.58</v>
    <v>1940</v>
    <v>1.49</v>
    <v>1.4646999999999999</v>
    <v>B3 - Brazil Stock Exchange</v>
    <v>18355012</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1.54</v>
    <v>579</v>
    <v>45884.958333333336</v>
    <v>340</v>
    <v>7320</v>
    <v>BRL</v>
    <v>JOAO FORTES ENGENHARIA S.A.</v>
    <v>JOAO FORTES ENGENHARIA S.A.</v>
    <v>1.5</v>
    <v>1.49</v>
    <v>Av. das Americas, 3443, Sala 108, Bloco 3, Ala B, Barra da Tijuca, RIO DE JANEIRO, RIO DE JANEIRO, 22.631-003 BR</v>
    <v>Real Estate Operations</v>
    <v>JFEN3</v>
    <v>Ações</v>
    <v>JOAO FORTES ENGENHARIA S.A. (BVMF:JFEN3)</v>
    <v>-0.05</v>
    <v>-3.2467999999999997E-2</v>
    <v>5500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6.6</v>
    <v>4</v>
    <v>BVMF</v>
    <v>1253079000</v>
    <v>4.2</v>
    <v>1954</v>
    <v>4.13</v>
    <v>0.91479999999999995</v>
    <v>B3 - Brazil Stock Exchange</v>
    <v>5146581000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4.1900000000000004</v>
    <v>51182</v>
    <v>45884.958333333336</v>
    <v>343</v>
    <v>13754030</v>
    <v>BRL</v>
    <v>Usinas Siderúrgicas de Minas Gerais S/A - USIMINAS</v>
    <v>Usinas Siderúrgicas de Minas Gerais S/A - USIMINAS</v>
    <v>4.1500000000000004</v>
    <v>4.18</v>
    <v>Avenida do Contorno, 6.594, Savassi, BELO HORIZONTE, MINAS GERAIS, 30.110-044 BR</v>
    <v>Metals &amp; Mining</v>
    <v>USIM3</v>
    <v>Ações</v>
    <v>Usinas Siderúrgicas de Minas Gerais S/A - USIMINAS (BVMF:USIM3)</v>
    <v>-0.01</v>
    <v>-2.3869999999999998E-3</v>
    <v>138100</v>
  </rv>
  <rv s="2">
    <v>344</v>
  </rv>
  <rv s="0">
    <v>https://www.bing.com/financeapi/forcetrigger?t=bvm1h7&amp;q=BVMF%3aCURY3&amp;form=skydnc</v>
    <v>Learn more on Bing</v>
  </rv>
  <rv s="9">
    <v>pt-BR</v>
    <v>bvm1h7</v>
    <v>268435456</v>
    <v>1</v>
    <v>Da plataforma Refinitiv</v>
    <v>17</v>
    <v>18</v>
    <v>CURY CONSTRUTORA E INCORPORADORA S.A. (BVMF:CURY3)</v>
    <v>12</v>
    <v>19</v>
    <v>Finance</v>
    <v>5</v>
    <v>33.43</v>
    <v>16.3</v>
    <v>BVMF</v>
    <v>291875100</v>
    <v>32.65</v>
    <v>2007</v>
    <v>32</v>
    <v>1.0398000000000001</v>
    <v>B3 - Brazil Stock Exchange</v>
    <v>9340003200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32.200000000000003</v>
    <v>45884.958356481482</v>
    <v>346</v>
    <v>2692970</v>
    <v>BRL</v>
    <v>CURY CONSTRUTORA E INCORPORADORA S.A.</v>
    <v>CURY CONSTRUTORA E INCORPORADORA S.A.</v>
    <v>32.4</v>
    <v>32</v>
    <v>Rua Funchal, n 411, 13 andar Conjunto 132-D, Vila Olimpia, Sao Paulo, SAO PAULO, 04.551-060 BR</v>
    <v>Homebuilding &amp; Construction Supplies</v>
    <v>CURY3</v>
    <v>Ações</v>
    <v>CURY CONSTRUTORA E INCORPORADORA S.A. (BVMF:CURY3)</v>
    <v>-0.2</v>
    <v>-6.2109999999999995E-3</v>
    <v>2397100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1115850000</v>
    <v>17.8</v>
    <v>1953</v>
    <v>17.25</v>
    <v>1.1588000000000001</v>
    <v>B3 - Brazil Stock Exchange</v>
    <v>19621768130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17.64</v>
    <v>9558</v>
    <v>45884.958333333336</v>
    <v>349</v>
    <v>5142250</v>
    <v>BRL</v>
    <v>ULTRAPAR PARTICIPAÇÕES S.A.</v>
    <v>ULTRAPAR PARTICIPAÇÕES S.A.</v>
    <v>17.510000000000002</v>
    <v>17.59</v>
    <v>Avenida Brigadeiro Luis Antonio, 1.343, 8 andar, Bela Vista, SAO PAULO, SAO PAULO, 01.317-910 BR</v>
    <v>Oil &amp; Gas</v>
    <v>UGPA3</v>
    <v>Ações</v>
    <v>ULTRAPAR PARTICIPAÇÕES S.A. (BVMF:UGPA3)</v>
    <v>-0.05</v>
    <v>-2.8339999999999997E-3</v>
    <v>7478300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5.82</v>
    <v>1962</v>
    <v>5.65</v>
    <v>0.73909999999999998</v>
    <v>B3 - Brazil Stock Exchange</v>
    <v>4660816016</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5.72</v>
    <v>13344</v>
    <v>45884.958391203705</v>
    <v>352</v>
    <v>1941270</v>
    <v>BRL</v>
    <v>DEXCO S.A.</v>
    <v>DEXCO S.A.</v>
    <v>5.69</v>
    <v>5.68</v>
    <v>Avenida Paulista 1938 - 5 andar, Bela Vista, SAO PAULO, SAO PAULO, 01.310-942 BR</v>
    <v>Paper &amp; Forest Products</v>
    <v>DXCO3</v>
    <v>Ações</v>
    <v>DEXCO S.A. (BVMF:DXCO3)</v>
    <v>-0.04</v>
    <v>-6.9930000000000001E-3</v>
    <v>1549800</v>
  </rv>
  <rv s="2">
    <v>353</v>
  </rv>
  <rv s="0">
    <v>https://www.bing.com/financeapi/forcetrigger?t=apnfpr&amp;q=BVMF%3aTEND3&amp;form=skydnc</v>
    <v>Learn more on Bing</v>
  </rv>
  <rv s="8">
    <v>pt-BR</v>
    <v>apnfpr</v>
    <v>268435456</v>
    <v>1</v>
    <v>Da plataforma Refinitiv</v>
    <v>14</v>
    <v>15</v>
    <v>CONSTRUTORA TENDA S/A (BVMF:TEND3)</v>
    <v>12</v>
    <v>16</v>
    <v>Finance</v>
    <v>5</v>
    <v>24.82</v>
    <v>11.57</v>
    <v>BVMF</v>
    <v>122578100</v>
    <v>21.84</v>
    <v>1993</v>
    <v>21.13</v>
    <v>1.4938</v>
    <v>B3 - Brazil Stock Exchange</v>
    <v>2623171340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21.35</v>
    <v>6971</v>
    <v>45884.958356481482</v>
    <v>355</v>
    <v>2239730</v>
    <v>BRL</v>
    <v>CONSTRUTORA TENDA S/A</v>
    <v>CONSTRUTORA TENDA S/A</v>
    <v>21.35</v>
    <v>21.4</v>
    <v>Rua Boa Vista, n 280 pavimentos 8 e 9, Centro, SAO PAULO, SAO PAULO, 01.014-908 BR</v>
    <v>Real Estate Operations</v>
    <v>TEND3</v>
    <v>Ações</v>
    <v>CONSTRUTORA TENDA S/A (BVMF:TEND3)</v>
    <v>0.05</v>
    <v>2.3419999999999999E-3</v>
    <v>862000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45.81</v>
    <v>31.93</v>
    <v>BVMF</v>
    <v>2307100000</v>
    <v>44.38</v>
    <v>1962</v>
    <v>43.98</v>
    <v>0.8226</v>
    <v>B3 - Brazil Stock Exchange</v>
    <v>103174600000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44.28</v>
    <v>7710</v>
    <v>45884.958333333336</v>
    <v>361</v>
    <v>362</v>
    <v>3545260</v>
    <v>BRL</v>
    <v>CENTRAIS ELETRICAS BRASILEIRAS SA ELETROBRAS</v>
    <v>CENTRAIS ELETRICAS BRASILEIRAS SA ELETROBRAS</v>
    <v>44.3</v>
    <v>44.25</v>
    <v>Rua da Quitanda, 196, Lj A, Centro, RIO DE JANEIRO, RIO DE JANEIRO, 20.091-005 BR</v>
    <v>Electrical Utilities &amp; IPPs</v>
    <v>ELET3</v>
    <v>Ações</v>
    <v>CENTRAIS ELETRICAS BRASILEIRAS SA ELETROBRAS (BVMF:ELET3)</v>
    <v>-0.03</v>
    <v>-6.7750000000000004E-4</v>
    <v>5074800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8.39</v>
    <v>4.9000000000000004</v>
    <v>BVMF</v>
    <v>159907300</v>
    <v>8.14</v>
    <v>1973</v>
    <v>7.83</v>
    <v>1.1323000000000001</v>
    <v>B3 - Brazil Stock Exchange</v>
    <v>1264866743</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8.1</v>
    <v>1635</v>
    <v>45884.958391203705</v>
    <v>365</v>
    <v>443020</v>
    <v>BRL</v>
    <v>Wiz Co Participações e Corretagem de Seguros S.A.</v>
    <v>Wiz Co Participações e Corretagem de Seguros S.A.</v>
    <v>8.1</v>
    <v>7.91</v>
    <v>Setor Comercial Norte, Quadra 02, Bloco D, Ed. Liberty Mall, Entrada B, Sala 1301, Asa Norte, BRASILIA, DISTRITO FEDERAL, 70.712-903 BR</v>
    <v>Insurance</v>
    <v>WIZC3</v>
    <v>Ações</v>
    <v>Wiz Co Participações e Corretagem de Seguros S.A. (BVMF:WIZC3)</v>
    <v>-0.19</v>
    <v>-2.3456999999999999E-2</v>
    <v>406600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6.57</v>
    <v>1963</v>
    <v>6.47</v>
    <v>0.60909999999999997</v>
    <v>B3 - Brazil Stock Exchange</v>
    <v>10613700000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6.54</v>
    <v>6047</v>
    <v>45884.958333333336</v>
    <v>368</v>
    <v>1307550</v>
    <v>BRL</v>
    <v>Companhia de Saneamento do Paraná - Sanepar</v>
    <v>Companhia de Saneamento do Paraná - Sanepar</v>
    <v>6.57</v>
    <v>6.55</v>
    <v>Rua Engenheiros Reboucas, 1376, Reboucas, CURITIBA, PARANA, 80.215-900 BR</v>
    <v>Water Utilities</v>
    <v>SAPR4</v>
    <v>Ações</v>
    <v>Companhia de Saneamento do Paraná - Sanepar (BVMF:SAPR4)</v>
    <v>0.01</v>
    <v>1.529E-3</v>
    <v>672800</v>
  </rv>
  <rv s="2">
    <v>369</v>
  </rv>
  <rv s="0">
    <v>https://www.bing.com/financeapi/forcetrigger?t=apn1fr&amp;q=BVMF%3aNTCO3&amp;form=skydnc</v>
    <v>Learn more on Bing</v>
  </rv>
  <rv s="8">
    <v>pt-BR</v>
    <v>apn1fr</v>
    <v>268435456</v>
    <v>1</v>
    <v>Da plataforma Refinitiv</v>
    <v>14</v>
    <v>15</v>
    <v>Natura Cosméticos S.A. (BVMF:NATU3)</v>
    <v>12</v>
    <v>16</v>
    <v>Finance</v>
    <v>5</v>
    <v>15.85</v>
    <v>8.4700000000000006</v>
    <v>BVMF</v>
    <v>1374118000</v>
    <v>9.14</v>
    <v>1969</v>
    <v>8.6199999999999992</v>
    <v>1.2053</v>
    <v>B3 - Brazil Stock Exchange</v>
    <v>12559438520</v>
    <v>A NATURA COSMETICOS S.A. é uma empresa estabelecida no Brasil, que atua na fabricação de produtos de higiene pessoal. A empresa concentra-se no desenvolvimento, na produção e na distribuição de cosméticos, fragrâncias e produtos de higiene pessoal pela venda direta por consultoras da Natura Beauty. As linhas de produtos da empresa incluem desodorantes, acessórios de maquiagem, protetores solares, cremes de barbear, shampoos, sabonetes, loções, cremes, batons e perfumes, dentre outros. Seu portfólio compreende várias marcas, como a Amo, Ekos, Tododia, Aguas, Chronos, Erva Doce, Homem, Horus, Seve e Luna. Além disso, a empresa opera a marca Aesop, por meio da qual comercializa cosméticos no varejo. Está presente nas Américas, na Europa, no Sudeste da Ásia e na Austrália. A empresa controla inúmeras subsidiárias, como a Indústria e Comércio de Cosméticos Natura Ltda., a Natura Inovação, a Tecnologia de Produtos Ltda. e a Emeis Holdings Pty Ltda.</v>
    <v>BVMF</v>
    <v>9</v>
    <v>1709</v>
    <v>45884.958356481482</v>
    <v>371</v>
    <v>8476710</v>
    <v>BRL</v>
    <v>Natura Cosméticos S.A.</v>
    <v>Natura Cosméticos S.A.</v>
    <v>8.9</v>
    <v>9.14</v>
    <v>Av Alexandre Colares 1188 N/A, Vila Jaguara, SAO PAULO, SAO PAULO, 05.106-000 BR</v>
    <v>Personal &amp; Household Products &amp; Services</v>
    <v>NATU3</v>
    <v>Ações</v>
    <v>Natura Cosméticos S.A. (BVMF:NATU3)</v>
    <v>0.14000000000000001</v>
    <v>1.5556E-2</v>
    <v>10807700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7.24</v>
    <v>1980</v>
    <v>7.05</v>
    <v>1.4490000000000001</v>
    <v>B3 - Brazil Stock Exchange</v>
    <v>1444000000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7.15</v>
    <v>45884.958333333336</v>
    <v>374</v>
    <v>534660</v>
    <v>BRL</v>
    <v>EVEN CONSTRUTORA E INCORPORADORA S.A.</v>
    <v>EVEN CONSTRUTORA E INCORPORADORA S.A.</v>
    <v>7.05</v>
    <v>7.22</v>
    <v>Rua Hungria,1400, 2 andar, Jardim America, SAO PAULO, SAO PAULO, 01.455-000 BR</v>
    <v>Real Estate Operations</v>
    <v>EVEN3</v>
    <v>Ações</v>
    <v>EVEN CONSTRUTORA E INCORPORADORA S.A. (BVMF:EVEN3)</v>
    <v>7.0000000000000007E-2</v>
    <v>9.7900000000000001E-3</v>
    <v>370700</v>
  </rv>
  <rv s="2">
    <v>375</v>
  </rv>
  <rv s="0">
    <v>https://www.bing.com/financeapi/forcetrigger?t=apmsa2&amp;q=BVMF%3aITUB3&amp;form=skydnc</v>
    <v>Learn more on Bing</v>
  </rv>
  <rv s="8">
    <v>pt-BR</v>
    <v>apmsa2</v>
    <v>268435456</v>
    <v>1</v>
    <v>Da plataforma Refinitiv</v>
    <v>14</v>
    <v>15</v>
    <v>Itaú Unibanco Holding S.A. (BVMF:ITUB3)</v>
    <v>12</v>
    <v>16</v>
    <v>Finance</v>
    <v>5</v>
    <v>34.28</v>
    <v>22.4</v>
    <v>BVMF</v>
    <v>10784550000</v>
    <v>33.909999999999997</v>
    <v>1943</v>
    <v>33.47</v>
    <v>1.2498</v>
    <v>B3 - Brazil Stock Exchange</v>
    <v>385207300000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33.86</v>
    <v>100600</v>
    <v>45884.958333333336</v>
    <v>377</v>
    <v>26180200</v>
    <v>BRL</v>
    <v>Itaú Unibanco Holding S.A.</v>
    <v>Itaú Unibanco Holding S.A.</v>
    <v>33.799999999999997</v>
    <v>33.5</v>
    <v>Praca Alfredo Egydio de Souza Aranha, 100, T. Olavo Setubal, Piso Itau Unibanco, Parque Jabaquara, SAO PAULO, SAO PAULO, 04.344-902 BR</v>
    <v>Banking Services</v>
    <v>ITUB3</v>
    <v>Ações</v>
    <v>Itaú Unibanco Holding S.A. (BVMF:ITUB3)</v>
    <v>-0.36</v>
    <v>-1.0631999999999999E-2</v>
    <v>529800</v>
  </rv>
  <rv s="2">
    <v>378</v>
  </rv>
  <rv s="0">
    <v>https://www.bing.com/financeapi/forcetrigger?t=apninm&amp;q=BVMF%3aUCAS3&amp;form=skydnc</v>
    <v>Learn more on Bing</v>
  </rv>
  <rv s="8">
    <v>pt-BR</v>
    <v>apninm</v>
    <v>268435456</v>
    <v>1</v>
    <v>Da plataforma Refinitiv</v>
    <v>14</v>
    <v>15</v>
    <v>Unicasa Indústria de Móveis S/A (BVMF:UCAS3)</v>
    <v>12</v>
    <v>16</v>
    <v>Finance</v>
    <v>5</v>
    <v>2.2000000000000002</v>
    <v>1.33</v>
    <v>BVMF</v>
    <v>66086360</v>
    <v>1.42</v>
    <v>1985</v>
    <v>1.34</v>
    <v>0.4264</v>
    <v>B3 - Brazil Stock Exchange</v>
    <v>90538313</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1.35</v>
    <v>516</v>
    <v>45884.958391203705</v>
    <v>380</v>
    <v>24210</v>
    <v>BRL</v>
    <v>Unicasa Indústria de Móveis S/A</v>
    <v>Unicasa Indústria de Móveis S/A</v>
    <v>1.34</v>
    <v>1.37</v>
    <v>Rodovia Federal BR-470 Km 212,930, Sao Vendelino, BENTO GONCALVES, RIO GRANDE DO SUL, 95.707-540 BR</v>
    <v>Household Goods</v>
    <v>UCAS3</v>
    <v>Ações</v>
    <v>Unicasa Indústria de Móveis S/A (BVMF:UCAS3)</v>
    <v>0.02</v>
    <v>1.4815E-2</v>
    <v>18700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6.86</v>
    <v>3.9</v>
    <v>BVMF</v>
    <v>1253079000</v>
    <v>4.04</v>
    <v>1954</v>
    <v>3.96</v>
    <v>0.91479999999999995</v>
    <v>B3 - Brazil Stock Exchange</v>
    <v>5146581000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v>
    <v>51182</v>
    <v>45884.958333333336</v>
    <v>383</v>
    <v>13754030</v>
    <v>BRL</v>
    <v>Usinas Siderúrgicas de Minas Gerais S/A - USIMINAS</v>
    <v>Usinas Siderúrgicas de Minas Gerais S/A - USIMINAS</v>
    <v>4.01</v>
    <v>4</v>
    <v>Avenida do Contorno, 6.594, Savassi, BELO HORIZONTE, MINAS GERAIS, 30.110-044 BR</v>
    <v>Metals &amp; Mining</v>
    <v>USIM5</v>
    <v>Ações</v>
    <v>Usinas Siderúrgicas de Minas Gerais S/A - USIMINAS (BVMF:USIM5)</v>
    <v>0</v>
    <v>0</v>
    <v>14568700</v>
  </rv>
  <rv s="2">
    <v>384</v>
  </rv>
  <rv s="0">
    <v>https://www.bing.com/financeapi/forcetrigger?t=bxf8h7&amp;q=BVMF%3aJALL3&amp;form=skydnc</v>
    <v>Learn more on Bing</v>
  </rv>
  <rv s="8">
    <v>pt-BR</v>
    <v>bxf8h7</v>
    <v>268435456</v>
    <v>1</v>
    <v>Da plataforma Refinitiv</v>
    <v>14</v>
    <v>15</v>
    <v>JALLES MACHADO S.A. (BVMF:JALL3)</v>
    <v>12</v>
    <v>16</v>
    <v>Finance</v>
    <v>5</v>
    <v>7.02</v>
    <v>2.82</v>
    <v>BVMF</v>
    <v>303541900</v>
    <v>2.9</v>
    <v>1980</v>
    <v>2.82</v>
    <v>0.38890000000000002</v>
    <v>B3 - Brazil Stock Exchange</v>
    <v>865094415</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2.85</v>
    <v>5384</v>
    <v>45884.958391203705</v>
    <v>386</v>
    <v>1020640</v>
    <v>BRL</v>
    <v>JALLES MACHADO S.A.</v>
    <v>JALLES MACHADO S.A.</v>
    <v>2.89</v>
    <v>2.85</v>
    <v>Fazenda Sao Pedro - Rodovia GO-080 - Km 185, Zona Rural - Caixa Postal 04, GOIANESIA, GOIAS, 76.388-899 BR</v>
    <v>Food &amp; Tobacco</v>
    <v>JALL3</v>
    <v>Ações</v>
    <v>JALLES MACHADO S.A. (BVMF:JALL3)</v>
    <v>0</v>
    <v>0</v>
    <v>1194700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15.92</v>
    <v>2000</v>
    <v>15.71</v>
    <v>0.92149999999999999</v>
    <v>B3 - Brazil Stock Exchange</v>
    <v>6086527000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15.81</v>
    <v>45884.958333333336</v>
    <v>389</v>
    <v>3821570</v>
    <v>BRL</v>
    <v>Bradespar S.A</v>
    <v>Bradespar S.A</v>
    <v>15.85</v>
    <v>15.82</v>
    <v>Avenida Paulista, 1.450,9 andar, Cerqueira Cesar, SAO PAULO, SAO PAULO, 01.310-917 BR</v>
    <v>Metals &amp; Mining</v>
    <v>BRAP4</v>
    <v>Ações</v>
    <v>Bradespar S.A (BVMF:BRAP4)</v>
    <v>0.01</v>
    <v>6.3250000000000003E-4</v>
    <v>2397000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18.760000000000002</v>
    <v>BVMF</v>
    <v>380253100</v>
    <v>27.23</v>
    <v>1963</v>
    <v>26.65</v>
    <v>0.88949999999999996</v>
    <v>B3 - Brazil Stock Exchange</v>
    <v>10164160000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27.05</v>
    <v>9993</v>
    <v>45884.958356481482</v>
    <v>392</v>
    <v>2834510</v>
    <v>BRL</v>
    <v>Companhia de Saneamento de Minas Gerais - COPASA MG</v>
    <v>Companhia de Saneamento de Minas Gerais - COPASA MG</v>
    <v>27.16</v>
    <v>26.73</v>
    <v>Rua Mar de Espanha, 525, Santo Antonio, BELO HORIZONTE, MINAS GERAIS, 30.270-130 BR</v>
    <v>Water Utilities</v>
    <v>CSMG3</v>
    <v>Ações</v>
    <v>Companhia de Saneamento de Minas Gerais - COPASA MG (BVMF:CSMG3)</v>
    <v>-0.32</v>
    <v>-1.183E-2</v>
    <v>2330600</v>
  </rv>
  <rv s="2">
    <v>393</v>
  </rv>
  <rv s="0">
    <v>https://www.bing.com/financeapi/forcetrigger?t=apn9fr&amp;q=BVMF%3aRENT3&amp;form=skydnc</v>
    <v>Learn more on Bing</v>
  </rv>
  <rv s="8">
    <v>pt-BR</v>
    <v>apn9fr</v>
    <v>268435456</v>
    <v>1</v>
    <v>Da plataforma Refinitiv</v>
    <v>14</v>
    <v>15</v>
    <v>LOCALIZA RENT A CAR S.A. (BVMF:RENT3)</v>
    <v>12</v>
    <v>16</v>
    <v>Finance</v>
    <v>5</v>
    <v>45.18</v>
    <v>26.04</v>
    <v>BVMF</v>
    <v>1082621000</v>
    <v>34.840000000000003</v>
    <v>1973</v>
    <v>33.89</v>
    <v>1.2019</v>
    <v>B3 - Brazil Stock Exchange</v>
    <v>37047290620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34.4</v>
    <v>21755</v>
    <v>45884.958333333336</v>
    <v>395</v>
    <v>9944190</v>
    <v>BRL</v>
    <v>LOCALIZA RENT A CAR S.A.</v>
    <v>LOCALIZA RENT A CAR S.A.</v>
    <v>34.520000000000003</v>
    <v>34.22</v>
    <v>Avenida Bernardo de Vasconcelos,377, Cachoeirinha, BELO HORIZONTE, MINAS GERAIS, 31.150-000 BR</v>
    <v>Passenger Transportation Services</v>
    <v>RENT3</v>
    <v>Ações</v>
    <v>LOCALIZA RENT A CAR S.A. (BVMF:RENT3)</v>
    <v>-0.18</v>
    <v>-5.2329999999999998E-3</v>
    <v>9977200</v>
  </rv>
  <rv s="2">
    <v>396</v>
  </rv>
  <rv s="0">
    <v>https://www.bing.com/financeapi/forcetrigger?t=apn8dm&amp;q=BVMF%3aRAPT4&amp;form=skydnc</v>
    <v>Learn more on Bing</v>
  </rv>
  <rv s="8">
    <v>pt-BR</v>
    <v>apn8dm</v>
    <v>268435456</v>
    <v>1</v>
    <v>Da plataforma Refinitiv</v>
    <v>14</v>
    <v>15</v>
    <v>RANDONCORP S.A. (BVMF:RAPT4)</v>
    <v>12</v>
    <v>16</v>
    <v>Finance</v>
    <v>5</v>
    <v>11.51</v>
    <v>6.23</v>
    <v>BVMF</v>
    <v>355608600</v>
    <v>6.73</v>
    <v>1992</v>
    <v>6.53</v>
    <v>0.81710000000000005</v>
    <v>B3 - Brazil Stock Exchange</v>
    <v>2333061000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6.72</v>
    <v>6413</v>
    <v>45884.958333333336</v>
    <v>398</v>
    <v>3793500</v>
    <v>BRL</v>
    <v>RANDONCORP S.A.</v>
    <v>RANDONCORP S.A.</v>
    <v>6.7</v>
    <v>6.61</v>
    <v>Av. Abramo Randon, 770, Interlagos, CAXIAS DO SUL, RIO GRANDE DO SUL, 95.055-010 BR</v>
    <v>Automobiles &amp; Auto Parts</v>
    <v>RAPT4</v>
    <v>Ações</v>
    <v>RANDONCORP S.A. (BVMF:RAPT4)</v>
    <v>-0.11</v>
    <v>-1.6369000000000002E-2</v>
    <v>3123800</v>
  </rv>
  <rv s="2">
    <v>399</v>
  </rv>
  <rv s="0">
    <v>https://www.bing.com/financeapi/forcetrigger?t=apn8ar&amp;q=BVMF%3aRAPT3&amp;form=skydnc</v>
    <v>Learn more on Bing</v>
  </rv>
  <rv s="8">
    <v>pt-BR</v>
    <v>apn8ar</v>
    <v>268435456</v>
    <v>1</v>
    <v>Da plataforma Refinitiv</v>
    <v>14</v>
    <v>15</v>
    <v>RANDONCORP S.A. (BVMF:RAPT3)</v>
    <v>12</v>
    <v>16</v>
    <v>Finance</v>
    <v>5</v>
    <v>9.8800000000000008</v>
    <v>6.16</v>
    <v>BVMF</v>
    <v>355608600</v>
    <v>6.4</v>
    <v>1992</v>
    <v>6.23</v>
    <v>0.81710000000000005</v>
    <v>B3 - Brazil Stock Exchange</v>
    <v>2333061000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6.27</v>
    <v>6413</v>
    <v>45884.958333333336</v>
    <v>401</v>
    <v>3793500</v>
    <v>BRL</v>
    <v>RANDONCORP S.A.</v>
    <v>RANDONCORP S.A.</v>
    <v>6.27</v>
    <v>6.27</v>
    <v>Av. Abramo Randon, 770, Interlagos, CAXIAS DO SUL, RIO GRANDE DO SUL, 95.055-010 BR</v>
    <v>Automobiles &amp; Auto Parts</v>
    <v>RAPT3</v>
    <v>Ações</v>
    <v>RANDONCORP S.A. (BVMF:RAPT3)</v>
    <v>0</v>
    <v>0</v>
    <v>22300</v>
  </rv>
  <rv s="2">
    <v>402</v>
  </rv>
  <rv s="0">
    <v>https://www.bing.com/financeapi/forcetrigger?t=bxiaqh&amp;q=BVMF%3aMBLY3&amp;form=skydnc</v>
    <v>Learn more on Bing</v>
  </rv>
  <rv s="9">
    <v>pt-BR</v>
    <v>bxiaqh</v>
    <v>268435456</v>
    <v>1</v>
    <v>Da plataforma Refinitiv</v>
    <v>17</v>
    <v>18</v>
    <v>GRUPO TOKY S.A. (BVMF:TOKY3)</v>
    <v>12</v>
    <v>19</v>
    <v>Finance</v>
    <v>5</v>
    <v>3.16</v>
    <v>0.83</v>
    <v>BVMF</v>
    <v>122763400</v>
    <v>1.0900000000000001</v>
    <v>2018</v>
    <v>1</v>
    <v>1.3917999999999999</v>
    <v>B3 - Brazil Stock Exchange</v>
    <v>123991034</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1.06</v>
    <v>45884.958391203705</v>
    <v>404</v>
    <v>844050</v>
    <v>BRL</v>
    <v>GRUPO TOKY S.A.</v>
    <v>GRUPO TOKY S.A.</v>
    <v>1.08</v>
    <v>1.01</v>
    <v>Avenida das Nacoes Unidas, n 16.737, Mezanino sala 2, Varzea de Baixo, Sao Paulo, SAO PAULO, 04.730-090 BR</v>
    <v>Specialty Retailers</v>
    <v>TOKY3</v>
    <v>Ações</v>
    <v>GRUPO TOKY S.A. (BVMF:TOKY3)</v>
    <v>-0.05</v>
    <v>-4.7169999999999997E-2</v>
    <v>516000</v>
  </rv>
  <rv s="2">
    <v>405</v>
  </rv>
  <rv s="0">
    <v>https://www.bing.com/financeapi/forcetrigger?t=apmo1h&amp;q=BVMF%3aGOAU4&amp;form=skydnc</v>
    <v>Learn more on Bing</v>
  </rv>
  <rv s="8">
    <v>pt-BR</v>
    <v>apmo1h</v>
    <v>268435456</v>
    <v>1</v>
    <v>Da plataforma Refinitiv</v>
    <v>14</v>
    <v>15</v>
    <v>METALURGICA GERDAU S.A. (BVMF:GOAU4)</v>
    <v>12</v>
    <v>16</v>
    <v>Finance</v>
    <v>5</v>
    <v>11.7</v>
    <v>7.53</v>
    <v>BVMF</v>
    <v>993705800</v>
    <v>9.17</v>
    <v>1901</v>
    <v>8.99</v>
    <v>0.68530000000000002</v>
    <v>B3 - Brazil Stock Exchange</v>
    <v>9034818000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9.07</v>
    <v>30000</v>
    <v>45884.958333333336</v>
    <v>407</v>
    <v>7424690</v>
    <v>BRL</v>
    <v>METALURGICA GERDAU S.A.</v>
    <v>METALURGICA GERDAU S.A.</v>
    <v>9.1</v>
    <v>9.09</v>
    <v>Avenida Doutora Ruth Cardoso, 8.501,8 andar, Pinheiros, SAO PAULO, SAO PAULO, 05.425-070 BR</v>
    <v>Metals &amp; Mining</v>
    <v>GOAU4</v>
    <v>Ações</v>
    <v>METALURGICA GERDAU S.A. (BVMF:GOAU4)</v>
    <v>0.02</v>
    <v>2.2049999999999999E-3</v>
    <v>4585500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v>
    <v>1944</v>
    <v>4</v>
    <v>B3 - Brazil Stock Exchange</v>
    <v>437268300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3.93</v>
    <v>3000</v>
    <v>45884.809375370314</v>
    <v>411</v>
    <v>BRL</v>
    <v>DOHLER S.A.</v>
    <v>DOHLER S.A.</v>
    <v>4</v>
    <v>4</v>
    <v>Rua Arno Waldemar Dohler, 145, Zona Indl. Norte, JOINVILLE, SANTA CATARINA, 89.219-902 BR</v>
    <v>Textiles &amp; Apparel</v>
    <v>DOHL4</v>
    <v>Ações</v>
    <v>DOHLER S.A. (BVMF:DOHL4)</v>
    <v>7.0000000000000007E-2</v>
    <v>1.7811999999999998E-2</v>
    <v>100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20.190000000000001</v>
    <v>1934</v>
    <v>18.68</v>
    <v>1.5538000000000001</v>
    <v>B3 - Brazil Stock Exchange</v>
    <v>33531686890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18.87</v>
    <v>100000</v>
    <v>45884.958333333336</v>
    <v>414</v>
    <v>5082470</v>
    <v>BRL</v>
    <v>BRF S.A.</v>
    <v>BRF S.A.</v>
    <v>19.02</v>
    <v>19.93</v>
    <v>Av. Jorge Tzachel, 475, Fazenda, ITAJAI, SANTA CATARINA, 88.301-600 BR</v>
    <v>Food &amp; Tobacco</v>
    <v>BRFS3</v>
    <v>Ações</v>
    <v>BRF S.A. (BVMF:BRFS3)</v>
    <v>1.06</v>
    <v>5.6174000000000002E-2</v>
    <v>9007500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22.5</v>
    <v>11.09</v>
    <v>BVMF</v>
    <v>327611100</v>
    <v>12.68</v>
    <v>1974</v>
    <v>12.44</v>
    <v>1.2475000000000001</v>
    <v>B3 - Brazil Stock Exchange</v>
    <v>4101690972</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12.59</v>
    <v>45884.958391203705</v>
    <v>417</v>
    <v>2024460</v>
    <v>BRL</v>
    <v>Intelbras S.A. Indústria de Telecomunicação Eletrônica Brasileira</v>
    <v>Intelbras S.A. Indústria de Telecomunicação Eletrônica Brasileira</v>
    <v>12.68</v>
    <v>12.52</v>
    <v>Rodovia BR 101 Km 210, Area Industrial, SAO JOSE, SANTA CATARINA, 88.104-800 BR</v>
    <v>Communications &amp; Networking</v>
    <v>INTB3</v>
    <v>Ações</v>
    <v>Intelbras S.A. Indústria de Telecomunicação Eletrônica Brasileira (BVMF:INTB3)</v>
    <v>-7.0000000000000007E-2</v>
    <v>-5.5600000000000007E-3</v>
    <v>1678400</v>
  </rv>
  <rv s="2">
    <v>418</v>
  </rv>
  <rv s="0">
    <v>https://www.bing.com/financeapi/forcetrigger?t=c2ry1h&amp;q=BVMF%3aCBAV3&amp;form=skydnc</v>
    <v>Learn more on Bing</v>
  </rv>
  <rv s="8">
    <v>pt-BR</v>
    <v>c2ry1h</v>
    <v>268435456</v>
    <v>1</v>
    <v>Da plataforma Refinitiv</v>
    <v>14</v>
    <v>15</v>
    <v>Companhia Brasileira de Alumínio (BVMF:CBAV3)</v>
    <v>12</v>
    <v>16</v>
    <v>Finance</v>
    <v>5</v>
    <v>6.69</v>
    <v>2.99</v>
    <v>BVMF</v>
    <v>651072700</v>
    <v>3.12</v>
    <v>1941</v>
    <v>3.01</v>
    <v>0.91159999999999997</v>
    <v>B3 - Brazil Stock Exchange</v>
    <v>2011814643</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3.04</v>
    <v>5811</v>
    <v>45884.958391203705</v>
    <v>420</v>
    <v>11015560</v>
    <v>BRL</v>
    <v>Companhia Brasileira de Alumínio</v>
    <v>Companhia Brasileira de Alumínio</v>
    <v>3.06</v>
    <v>3.09</v>
    <v>Av. Luis Carlos Berrini, 105, 14 andar, Cidade Moncoes, SAO PAULO, SAO PAULO, 04.571-900 BR</v>
    <v>Metals &amp; Mining</v>
    <v>CBAV3</v>
    <v>Ações</v>
    <v>Companhia Brasileira de Alumínio (BVMF:CBAV3)</v>
    <v>0.05</v>
    <v>1.6447E-2</v>
    <v>6389600</v>
  </rv>
  <rv s="2">
    <v>421</v>
  </rv>
  <rv s="0">
    <v>https://www.bing.com/financeapi/forcetrigger?t=apmtz2&amp;q=BVMF%3aKLBN3&amp;form=skydnc</v>
    <v>Learn more on Bing</v>
  </rv>
  <rv s="8">
    <v>pt-BR</v>
    <v>apmtz2</v>
    <v>268435456</v>
    <v>1</v>
    <v>Da plataforma Refinitiv</v>
    <v>14</v>
    <v>15</v>
    <v>KLABIN S.A. (BVMF:KLBN3)</v>
    <v>12</v>
    <v>16</v>
    <v>Finance</v>
    <v>5</v>
    <v>4.8600000000000003</v>
    <v>3.51</v>
    <v>BVMF</v>
    <v>1235936000</v>
    <v>3.76</v>
    <v>1978</v>
    <v>3.67</v>
    <v>0.4138</v>
    <v>B3 - Brazil Stock Exchange</v>
    <v>22468950000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3.75</v>
    <v>14207</v>
    <v>45884.958333333336</v>
    <v>423</v>
    <v>2169260</v>
    <v>BRL</v>
    <v>KLABIN S.A.</v>
    <v>KLABIN S.A.</v>
    <v>3.75</v>
    <v>3.68</v>
    <v>Avenida Brigadeiro Faria Lima, 3600, 3, 4 E 5 Andares, Itaim Bibi, SAO PAULO, SAO PAULO, 04.538-132 BR</v>
    <v>Containers &amp; Packaging</v>
    <v>KLBN3</v>
    <v>Ações</v>
    <v>KLABIN S.A. (BVMF:KLBN3)</v>
    <v>-7.0000000000000007E-2</v>
    <v>-1.8667E-2</v>
    <v>241300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7.04</v>
    <v>2016</v>
    <v>6.9</v>
    <v>1.3039000000000001</v>
    <v>B3 - Brazil Stock Exchange</v>
    <v>15829228800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7.04</v>
    <v>29668</v>
    <v>45884.958356481482</v>
    <v>426</v>
    <v>4950950</v>
    <v>BRL</v>
    <v>GRUPO MATEUS S.A.</v>
    <v>GRUPO MATEUS S.A.</v>
    <v>7</v>
    <v>7.04</v>
    <v>Av. Daniel de la Touche, 73A, Cohama, SAO LUIS, MARANHAO, 65.074-115 BR</v>
    <v>Food &amp; Drug Retailing</v>
    <v>GMAT3</v>
    <v>Ações</v>
    <v>GRUPO MATEUS S.A. (BVMF:GMAT3)</v>
    <v>0</v>
    <v>0</v>
    <v>4863800</v>
  </rv>
  <rv s="2">
    <v>427</v>
  </rv>
  <rv s="0">
    <v>https://www.bing.com/financeapi/forcetrigger?t=apngxm&amp;q=BVMF%3aTIMS3&amp;form=skydnc</v>
    <v>Learn more on Bing</v>
  </rv>
  <rv s="8">
    <v>pt-BR</v>
    <v>apngxm</v>
    <v>268435456</v>
    <v>1</v>
    <v>Da plataforma Refinitiv</v>
    <v>14</v>
    <v>15</v>
    <v>TIM S.A. (BVMF:TIMS3)</v>
    <v>12</v>
    <v>16</v>
    <v>Finance</v>
    <v>5</v>
    <v>22.95</v>
    <v>12.73</v>
    <v>BVMF</v>
    <v>2420804000</v>
    <v>22.34</v>
    <v>1998</v>
    <v>22.07</v>
    <v>0.67230000000000001</v>
    <v>B3 - Brazil Stock Exchange</v>
    <v>53983940000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22.24</v>
    <v>9127</v>
    <v>45884.958356481482</v>
    <v>429</v>
    <v>5107850</v>
    <v>BRL</v>
    <v>TIM S.A.</v>
    <v>TIM S.A.</v>
    <v>22.07</v>
    <v>22.3</v>
    <v>Av Joao Cabral De Mello Neto 00850 Blc 001 Salas 0501 A 1208, Barra Da Tijuca, RIO DE JANEIRO, RIO DE JANEIRO, 22.775-057 BR</v>
    <v>Telecommunications Services</v>
    <v>TIMS3</v>
    <v>Ações</v>
    <v>TIM S.A. (BVMF:TIMS3)</v>
    <v>0.06</v>
    <v>2.6979999999999999E-3</v>
    <v>3656200</v>
  </rv>
  <rv s="2">
    <v>430</v>
  </rv>
  <rv s="0">
    <v>https://www.bing.com/financeapi/forcetrigger?t=apm352&amp;q=BVMF%3aBPAC3&amp;form=skydnc</v>
    <v>Learn more on Bing</v>
  </rv>
  <rv s="8">
    <v>pt-BR</v>
    <v>apm352</v>
    <v>268435456</v>
    <v>1</v>
    <v>Da plataforma Refinitiv</v>
    <v>14</v>
    <v>15</v>
    <v>Banco BTG Pactual S.A. (BVMF:BPAC3)</v>
    <v>12</v>
    <v>16</v>
    <v>Finance</v>
    <v>5</v>
    <v>25.3</v>
    <v>13.04</v>
    <v>BVMF</v>
    <v>10108690000</v>
    <v>25.3</v>
    <v>1979</v>
    <v>24.22</v>
    <v>1.3863000000000001</v>
    <v>B3 - Brazil Stock Exchange</v>
    <v>206375000000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24.55</v>
    <v>4900</v>
    <v>45884.958333333336</v>
    <v>432</v>
    <v>11213410</v>
    <v>BRL</v>
    <v>Banco BTG Pactual S.A.</v>
    <v>Banco BTG Pactual S.A.</v>
    <v>24.37</v>
    <v>24.25</v>
    <v>Praia de Botafogo, 501, 5 e 6 andares, Botafogo, RIO DE JANEIRO, RIO DE JANEIRO, 22.250-040 BR</v>
    <v>Investment Banking &amp; Investment Services</v>
    <v>BPAC3</v>
    <v>Ações</v>
    <v>Banco BTG Pactual S.A. (BVMF:BPAC3)</v>
    <v>-0.3</v>
    <v>-1.222E-2</v>
    <v>1500</v>
  </rv>
  <rv s="2">
    <v>433</v>
  </rv>
  <rv s="0">
    <v>https://www.bing.com/financeapi/forcetrigger?t=bsfxec&amp;q=BVMF%3aVIVA3&amp;form=skydnc</v>
    <v>Learn more on Bing</v>
  </rv>
  <rv s="8">
    <v>pt-BR</v>
    <v>bsfxec</v>
    <v>268435456</v>
    <v>1</v>
    <v>Da plataforma Refinitiv</v>
    <v>14</v>
    <v>15</v>
    <v>Vivara Participações S.A. (BVMF:VIVA3)</v>
    <v>12</v>
    <v>16</v>
    <v>Finance</v>
    <v>5</v>
    <v>28.95</v>
    <v>15.76</v>
    <v>BVMF</v>
    <v>236197800</v>
    <v>27.4</v>
    <v>2019</v>
    <v>26.47</v>
    <v>1.4531000000000001</v>
    <v>B3 - Brazil Stock Exchange</v>
    <v>6431666094</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26.8</v>
    <v>6216</v>
    <v>45884.958356481482</v>
    <v>435</v>
    <v>3603200</v>
    <v>BRL</v>
    <v>Vivara Participações S.A.</v>
    <v>Vivara Participações S.A.</v>
    <v>26.8</v>
    <v>27.23</v>
    <v>Rua Arquiteto Olavo Redig de Campos, 105 -15 andar, Chacara Santo Antonio, Sao Paulo, SAO PAULO, 04.709-000 BR</v>
    <v>Specialty Retailers</v>
    <v>VIVA3</v>
    <v>Ações</v>
    <v>Vivara Participações S.A. (BVMF:VIVA3)</v>
    <v>0.43</v>
    <v>1.6045E-2</v>
    <v>2374100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22.4</v>
    <v>15.64</v>
    <v>BVMF</v>
    <v>87859150</v>
    <v>20.8</v>
    <v>20.3</v>
    <v>1.1068</v>
    <v>B3 - Brazil Stock Exchange</v>
    <v>1810777081</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20.74</v>
    <v>45884.958391203705</v>
    <v>438</v>
    <v>342750</v>
    <v>BRL</v>
    <v>Log Commercial Properties e Participações S/A</v>
    <v>Log Commercial Properties e Participações S/A</v>
    <v>20.7</v>
    <v>20.61</v>
    <v>Av. Professor Mario Werneck, n 621, 10 andar, BH/MG, Conjunto 02, Estoril, BELO HORIZONTE, MINAS GERAIS, 30.455-610 BR</v>
    <v>Real Estate Operations</v>
    <v>LOGG3</v>
    <v>Ações</v>
    <v>Log Commercial Properties e Participações S/A (BVMF:LOGG3)</v>
    <v>-0.13</v>
    <v>-6.2680000000000001E-3</v>
    <v>184700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1.45</v>
    <v>BVMF</v>
    <v>284014300</v>
    <v>1.84</v>
    <v>2010</v>
    <v>1.74</v>
    <v>1.49</v>
    <v>B3 - Brazil Stock Exchange</v>
    <v>519746169</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1.75</v>
    <v>1558</v>
    <v>45884.958391203705</v>
    <v>441</v>
    <v>2054540</v>
    <v>BRL</v>
    <v>QUALICORP CONSULTORIA E CORRETORA DE SEGUROS S.A.</v>
    <v>QUALICORP CONSULTORIA E CORRETORA DE SEGUROS S.A.</v>
    <v>1.74</v>
    <v>1.83</v>
    <v>Avenida Paulista, 4753 andar - parte, Bela Vista, SAO PAULO, SAO PAULO, 01.311-000 BR</v>
    <v>Insurance</v>
    <v>QUAL3</v>
    <v>Ações</v>
    <v>QUALICORP CONSULTORIA E CORRETORA DE SEGUROS S.A. (BVMF:QUAL3)</v>
    <v>0.08</v>
    <v>4.5713999999999998E-2</v>
    <v>2554100</v>
  </rv>
  <rv s="2">
    <v>442</v>
  </rv>
  <rv s="0">
    <v>https://www.bing.com/financeapi/forcetrigger?t=apn54c&amp;q=BVMF%3aPNVL3&amp;form=skydnc</v>
    <v>Learn more on Bing</v>
  </rv>
  <rv s="8">
    <v>pt-BR</v>
    <v>apn54c</v>
    <v>268435456</v>
    <v>1</v>
    <v>Da plataforma Refinitiv</v>
    <v>14</v>
    <v>15</v>
    <v>DIMED S.A. DISTRIBUIDORA DE MEDICAMENTOS (BVMF:PNVL3)</v>
    <v>12</v>
    <v>16</v>
    <v>Finance</v>
    <v>5</v>
    <v>10.76</v>
    <v>7.68</v>
    <v>BVMF</v>
    <v>150377500</v>
    <v>10.220000000000001</v>
    <v>1920</v>
    <v>9.8000000000000007</v>
    <v>1.1883999999999999</v>
    <v>B3 - Brazil Stock Exchange</v>
    <v>1502271225</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10.130000000000001</v>
    <v>10698</v>
    <v>45884.958333333336</v>
    <v>444</v>
    <v>359290</v>
    <v>BRL</v>
    <v>DIMED S.A. DISTRIBUIDORA DE MEDICAMENTOS</v>
    <v>DIMED S.A. DISTRIBUIDORA DE MEDICAMENTOS</v>
    <v>10.11</v>
    <v>9.99</v>
    <v>Avenida Industrial Belgraff, 865, Predio 100, Industrial, ELDORADO DO SUL, RIO GRANDE DO SUL, 92.990-000 BR</v>
    <v>Food &amp; Drug Retailing</v>
    <v>PNVL3</v>
    <v>Ações</v>
    <v>DIMED S.A. DISTRIBUIDORA DE MEDICAMENTOS (BVMF:PNVL3)</v>
    <v>-0.14000000000000001</v>
    <v>-1.3819999999999999E-2</v>
    <v>360800</v>
  </rv>
  <rv s="2">
    <v>445</v>
  </rv>
  <rv s="16">
    <v>pt-BR</v>
    <v>cg99rw</v>
    <v>268435456</v>
    <v>1</v>
    <v>Da plataforma Refinitiv</v>
    <v>35</v>
    <v>36</v>
    <v>Brompton Split Corp. Cl A ETF (NEOE:CLSA)</v>
    <v>37</v>
    <v>38</v>
    <v>Finance</v>
    <v>39</v>
    <v>11.44</v>
    <v>8.83</v>
    <v>NEOE</v>
    <v>11.32</v>
    <v>11.32</v>
    <v>NEO Exchange</v>
    <v>8584502</v>
    <v>11.34</v>
    <v>45881.590010821092</v>
    <v>CAD</v>
    <v>Brompton Split Corp. Cl A ETF</v>
    <v>11.32</v>
    <v>11.32</v>
    <v>CLSA</v>
    <v>Fundos mais negociados</v>
    <v>Brompton Split Corp. Cl A ETF (NEOE:CLSA)</v>
    <v>-0.02</v>
    <v>-1.7639999999999999E-3</v>
    <v>400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4.63</v>
    <v>3.43</v>
    <v>BVMF</v>
    <v>1235936000</v>
    <v>3.68</v>
    <v>1978</v>
    <v>3.6</v>
    <v>0.4138</v>
    <v>B3 - Brazil Stock Exchange</v>
    <v>22629240000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3.61</v>
    <v>14207</v>
    <v>45884.958333333336</v>
    <v>451</v>
    <v>2169260</v>
    <v>BRL</v>
    <v>KLABIN S.A.</v>
    <v>KLABIN S.A.</v>
    <v>3.62</v>
    <v>3.61</v>
    <v>Avenida Brigadeiro Faria Lima, 3600, 3, 4 E 5 Andares, Itaim Bibi, SAO PAULO, SAO PAULO, 04.538-132 BR</v>
    <v>Containers &amp; Packaging</v>
    <v>KLBN4</v>
    <v>Ações</v>
    <v>KLABIN S.A. (BVMF:KLBN4)</v>
    <v>0</v>
    <v>0</v>
    <v>1339600</v>
  </rv>
  <rv s="2">
    <v>452</v>
  </rv>
  <rv s="0">
    <v>https://www.bing.com/financeapi/forcetrigger?t=apm37w&amp;q=BVMF%3aBPAC5&amp;form=skydnc</v>
    <v>Learn more on Bing</v>
  </rv>
  <rv s="8">
    <v>pt-BR</v>
    <v>apm37w</v>
    <v>268435456</v>
    <v>1</v>
    <v>Da plataforma Refinitiv</v>
    <v>14</v>
    <v>15</v>
    <v>Banco BTG Pactual S.A. (BVMF:BPAC5)</v>
    <v>12</v>
    <v>16</v>
    <v>Finance</v>
    <v>5</v>
    <v>10.51</v>
    <v>6.57</v>
    <v>BVMF</v>
    <v>10108690000</v>
    <v>10.01</v>
    <v>1979</v>
    <v>9.84</v>
    <v>1.3863000000000001</v>
    <v>B3 - Brazil Stock Exchange</v>
    <v>206375000000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9.9600000000000009</v>
    <v>4900</v>
    <v>45884.958333333336</v>
    <v>454</v>
    <v>11213410</v>
    <v>BRL</v>
    <v>Banco BTG Pactual S.A.</v>
    <v>Banco BTG Pactual S.A.</v>
    <v>10.01</v>
    <v>9.85</v>
    <v>Praia de Botafogo, 501, 5 e 6 andares, Botafogo, RIO DE JANEIRO, RIO DE JANEIRO, 22.250-040 BR</v>
    <v>Investment Banking &amp; Investment Services</v>
    <v>BPAC5</v>
    <v>Ações</v>
    <v>Banco BTG Pactual S.A. (BVMF:BPAC5)</v>
    <v>-0.11</v>
    <v>-1.1044E-2</v>
    <v>3000</v>
  </rv>
  <rv s="2">
    <v>455</v>
  </rv>
  <rv s="0">
    <v>https://www.bing.com/financeapi/forcetrigger?t=apmeyc&amp;q=BVMF%3aDIRR3&amp;form=skydnc</v>
    <v>Learn more on Bing</v>
  </rv>
  <rv s="8">
    <v>pt-BR</v>
    <v>apmeyc</v>
    <v>268435456</v>
    <v>1</v>
    <v>Da plataforma Refinitiv</v>
    <v>14</v>
    <v>15</v>
    <v>DIRECIONAL ENGENHARIA S.A. (BVMF:DIRR3)</v>
    <v>12</v>
    <v>16</v>
    <v>Finance</v>
    <v>5</v>
    <v>14.39</v>
    <v>7.58</v>
    <v>BVMF</v>
    <v>520500000</v>
    <v>14.31</v>
    <v>1981</v>
    <v>14</v>
    <v>1.0366</v>
    <v>B3 - Brazil Stock Exchange</v>
    <v>7406715000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14.15</v>
    <v>745</v>
    <v>45884.958356481482</v>
    <v>457</v>
    <v>5121130</v>
    <v>BRL</v>
    <v>DIRECIONAL ENGENHARIA S.A.</v>
    <v>DIRECIONAL ENGENHARIA S.A.</v>
    <v>14.15</v>
    <v>14.23</v>
    <v>Rua dos Otoni, 177, Santa Efigenia, BELO HORIZONTE, MINAS GERAIS, 30.150-270 BR</v>
    <v>Real Estate Operations</v>
    <v>DIRR3</v>
    <v>Ações</v>
    <v>DIRECIONAL ENGENHARIA S.A. (BVMF:DIRR3)</v>
    <v>0.08</v>
    <v>5.6540000000000002E-3</v>
    <v>2443800</v>
  </rv>
  <rv s="2">
    <v>458</v>
  </rv>
  <rv s="0">
    <v>https://www.bing.com/financeapi/forcetrigger?t=apn177&amp;q=BVMF%3aMYPK3&amp;form=skydnc</v>
    <v>Learn more on Bing</v>
  </rv>
  <rv s="8">
    <v>pt-BR</v>
    <v>apn177</v>
    <v>268435456</v>
    <v>1</v>
    <v>Da plataforma Refinitiv</v>
    <v>14</v>
    <v>15</v>
    <v>IOCHPE-MAXION S.A. (BVMF:MYPK3)</v>
    <v>12</v>
    <v>16</v>
    <v>Finance</v>
    <v>5</v>
    <v>14.67</v>
    <v>9.7200000000000006</v>
    <v>BVMF</v>
    <v>153719600</v>
    <v>14.21</v>
    <v>1940</v>
    <v>13.98</v>
    <v>0.37959999999999999</v>
    <v>B3 - Brazil Stock Exchange</v>
    <v>2178206732</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14.1</v>
    <v>17000</v>
    <v>45884.958333333336</v>
    <v>460</v>
    <v>1020650</v>
    <v>BRL</v>
    <v>IOCHPE-MAXION S.A.</v>
    <v>IOCHPE-MAXION S.A.</v>
    <v>14.18</v>
    <v>14.17</v>
    <v>Rua Othon Barcellos, n 83, Itagacaba, CRUZEIRO, SAO PAULO, 12.730-900 BR</v>
    <v>Automobiles &amp; Auto Parts</v>
    <v>MYPK3</v>
    <v>Ações</v>
    <v>IOCHPE-MAXION S.A. (BVMF:MYPK3)</v>
    <v>7.0000000000000007E-2</v>
    <v>4.9649999999999998E-3</v>
    <v>923700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37.68</v>
    <v>2003</v>
    <v>36.950000000000003</v>
    <v>1.5416000000000001</v>
    <v>B3 - Brazil Stock Exchange</v>
    <v>85917128760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37.07</v>
    <v>71000</v>
    <v>45884.958333333336</v>
    <v>463</v>
    <v>5539080</v>
    <v>BRL</v>
    <v>Rede D'Or São Luiz S.A.</v>
    <v>Rede D'Or São Luiz S.A.</v>
    <v>37</v>
    <v>37.53</v>
    <v>Rua Francisco Marengo, n 1.312, Tatuape, SAO PAULO, SAO PAULO, 03.313-000 BR</v>
    <v>Healthcare Providers &amp; Services</v>
    <v>RDOR3</v>
    <v>Ações</v>
    <v>Rede D'Or São Luiz S.A. (BVMF:RDOR3)</v>
    <v>0.46</v>
    <v>1.2408999999999998E-2</v>
    <v>6412000</v>
  </rv>
  <rv s="2">
    <v>464</v>
  </rv>
  <rv s="0">
    <v>https://www.bing.com/financeapi/forcetrigger?t=apnkdm&amp;q=BVMF%3aVIVT3&amp;form=skydnc</v>
    <v>Learn more on Bing</v>
  </rv>
  <rv s="8">
    <v>pt-BR</v>
    <v>apnkdm</v>
    <v>268435456</v>
    <v>1</v>
    <v>Da plataforma Refinitiv</v>
    <v>14</v>
    <v>15</v>
    <v>TELEFÔNICA BRASIL S.A (BVMF:VIVT3)</v>
    <v>12</v>
    <v>16</v>
    <v>Finance</v>
    <v>5</v>
    <v>33.840000000000003</v>
    <v>22.18</v>
    <v>BVMF</v>
    <v>3226547000</v>
    <v>33.5</v>
    <v>1998</v>
    <v>32.950000000000003</v>
    <v>0.54579999999999995</v>
    <v>B3 - Brazil Stock Exchange</v>
    <v>107863466210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33.17</v>
    <v>33000</v>
    <v>45884.958356481482</v>
    <v>466</v>
    <v>5839690</v>
    <v>BRL</v>
    <v>TELEFÔNICA BRASIL S.A</v>
    <v>TELEFÔNICA BRASIL S.A</v>
    <v>33.24</v>
    <v>33.43</v>
    <v>Av Engenheiro Luis Carlos Berrini, 1376 32 andar, Cidade Moncoes, SAO PAULO, SAO PAULO, 04.571-936 BR</v>
    <v>Telecommunications Services</v>
    <v>VIVT3</v>
    <v>Ações</v>
    <v>TELEFÔNICA BRASIL S.A (BVMF:VIVT3)</v>
    <v>0.26</v>
    <v>7.8380000000000012E-3</v>
    <v>4408600</v>
  </rv>
  <rv s="2">
    <v>467</v>
  </rv>
  <rv s="0">
    <v>https://www.bing.com/financeapi/forcetrigger?t=bvgm3m&amp;q=BVMF%3aPGMN3&amp;form=skydnc</v>
    <v>Learn more on Bing</v>
  </rv>
  <rv s="8">
    <v>pt-BR</v>
    <v>bvgm3m</v>
    <v>268435456</v>
    <v>1</v>
    <v>Da plataforma Refinitiv</v>
    <v>14</v>
    <v>15</v>
    <v>Empreendimentos Pague Menos S.A. (BVMF:PGMN3)</v>
    <v>12</v>
    <v>16</v>
    <v>Finance</v>
    <v>5</v>
    <v>4.0999999999999996</v>
    <v>2.36</v>
    <v>BVMF</v>
    <v>622672700</v>
    <v>3.65</v>
    <v>1981</v>
    <v>3.53</v>
    <v>1.2514000000000001</v>
    <v>B3 - Brazil Stock Exchange</v>
    <v>2260301901</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3.58</v>
    <v>27242</v>
    <v>45884.958391203705</v>
    <v>469</v>
    <v>1192410</v>
    <v>BRL</v>
    <v>Empreendimentos Pague Menos S.A.</v>
    <v>Empreendimentos Pague Menos S.A.</v>
    <v>3.59</v>
    <v>3.63</v>
    <v>Rua Senador Pompeu, n 1520, Centro, FORTALEZA, CEARA, 60.025-002 BR</v>
    <v>Food &amp; Drug Retailing</v>
    <v>PGMN3</v>
    <v>Ações</v>
    <v>Empreendimentos Pague Menos S.A. (BVMF:PGMN3)</v>
    <v>0.05</v>
    <v>1.3966000000000001E-2</v>
    <v>779800</v>
  </rv>
  <rv s="2">
    <v>470</v>
  </rv>
  <rv s="0">
    <v>https://www.bing.com/financeapi/forcetrigger?t=bwfbr7&amp;q=BVMF%3aTFCO4&amp;form=skydnc</v>
    <v>Learn more on Bing</v>
  </rv>
  <rv s="8">
    <v>pt-BR</v>
    <v>bwfbr7</v>
    <v>268435456</v>
    <v>1</v>
    <v>Da plataforma Refinitiv</v>
    <v>14</v>
    <v>15</v>
    <v>Track &amp; Field Co S.A (BVMF:TFCO4)</v>
    <v>12</v>
    <v>16</v>
    <v>Finance</v>
    <v>5</v>
    <v>16.03</v>
    <v>8.24</v>
    <v>BVMF</v>
    <v>65492860</v>
    <v>16.03</v>
    <v>1988</v>
    <v>15.41</v>
    <v>1.0903</v>
    <v>B3 - Brazil Stock Exchange</v>
    <v>1035442116</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15.31</v>
    <v>1145</v>
    <v>45884.958391203705</v>
    <v>472</v>
    <v>623690</v>
    <v>BRL</v>
    <v>Track &amp; Field Co S.A</v>
    <v>Track &amp; Field Co S.A</v>
    <v>15.41</v>
    <v>15.81</v>
    <v>Rua Cipriano Barata 456 3 andar, Ipiranga, OSASCO, SAO PAULO, 04.205-000 BR</v>
    <v>Specialty Retailers</v>
    <v>TFCO4</v>
    <v>Ações</v>
    <v>Track &amp; Field Co S.A (BVMF:TFCO4)</v>
    <v>0.5</v>
    <v>3.2658E-2</v>
    <v>1246600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14.25</v>
    <v>2001</v>
    <v>13.99</v>
    <v>0.86480000000000001</v>
    <v>B3 - Brazil Stock Exchange</v>
    <v>27210895360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14.15</v>
    <v>1846</v>
    <v>45884.958333333336</v>
    <v>475</v>
    <v>6131990</v>
    <v>BRL</v>
    <v>Eneva S.A.</v>
    <v>Eneva S.A.</v>
    <v>14</v>
    <v>14.08</v>
    <v>Praia de Botafogo n 501, Bloco I, 2 e 4 andares, Botafogo, BOTAFOGO, RIO DE JANEIRO, 22.250-040 BR</v>
    <v>Electrical Utilities &amp; IPPs</v>
    <v>ENEV3</v>
    <v>Ações</v>
    <v>Eneva S.A. (BVMF:ENEV3)</v>
    <v>-7.0000000000000007E-2</v>
    <v>-4.947E-3</v>
    <v>6330000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7.08</v>
    <v>1999</v>
    <v>5.99</v>
    <v>2.1694</v>
    <v>B3 - Brazil Stock Exchange</v>
    <v>2272587330</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7</v>
    <v>5140</v>
    <v>45884.958333333336</v>
    <v>478</v>
    <v>1848900</v>
    <v>BRL</v>
    <v>LIGHT S.A.</v>
    <v>LIGHT S.A.</v>
    <v>7.08</v>
    <v>6.1</v>
    <v>Av.Marechal Floriano,168, Centro, RIO DE JANEIRO, RIO DE JANEIRO, 20.080-002 BR</v>
    <v>Electrical Utilities &amp; IPPs</v>
    <v>LIGT3</v>
    <v>Ações</v>
    <v>LIGHT S.A. (BVMF:LIGT3)</v>
    <v>-0.9</v>
    <v>-0.12857100000000002</v>
    <v>3004000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5.15</v>
    <v>1970</v>
    <v>4.57</v>
    <v>2.2938999999999998</v>
    <v>B3 - Brazil Stock Exchange</v>
    <v>1687831775</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5.15</v>
    <v>7668</v>
    <v>45884.958391203705</v>
    <v>481</v>
    <v>259550</v>
    <v>BRL</v>
    <v>CRUZEIRO DO SUL EDUCACIONAL S.A.</v>
    <v>CRUZEIRO DO SUL EDUCACIONAL S.A.</v>
    <v>5.15</v>
    <v>4.63</v>
    <v>Rua Cubatao, 320 3, 8 e 9 Andar, Vila Mariana, SAO PAULO, SAO PAULO, 04.013-001 BR</v>
    <v>School, College &amp; University</v>
    <v>CSED3</v>
    <v>Ações</v>
    <v>CRUZEIRO DO SUL EDUCACIONAL S.A. (BVMF:CSED3)</v>
    <v>-0.52</v>
    <v>-0.10097099999999999</v>
    <v>925300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26.65</v>
    <v>2005</v>
    <v>26.3</v>
    <v>1.0428999999999999</v>
    <v>B3 - Brazil Stock Exchange</v>
    <v>13655286057</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26.51</v>
    <v>8500</v>
    <v>45884.958333333336</v>
    <v>484</v>
    <v>3375190</v>
    <v>BRL</v>
    <v>Multiplan Empreendimentos Imobiliários S.A.</v>
    <v>Multiplan Empreendimentos Imobiliários S.A.</v>
    <v>26.51</v>
    <v>26.61</v>
    <v>Av Das Americas 04200 Bloco 2 Salas 101 A 104 112 A 116 401 A 416 E 501 E Bloco 9 Ala B Salas 212 A 216, Barra Da Tijuca, RIO DE JANEIRO, RIO DE JANEIRO, 22.640-102 BR</v>
    <v>Real Estate Operations</v>
    <v>MULT3</v>
    <v>Ações</v>
    <v>Multiplan Empreendimentos Imobiliários S.A. (BVMF:MULT3)</v>
    <v>0.1</v>
    <v>3.7719999999999997E-3</v>
    <v>2872600</v>
  </rv>
  <rv s="2">
    <v>485</v>
  </rv>
  <rv s="0">
    <v>https://www.bing.com/financeapi/forcetrigger?t=c5nr77&amp;q=BVMF%3aAURE3&amp;form=skydnc</v>
    <v>Learn more on Bing</v>
  </rv>
  <rv s="9">
    <v>pt-BR</v>
    <v>c5nr77</v>
    <v>268435456</v>
    <v>1</v>
    <v>Da plataforma Refinitiv</v>
    <v>17</v>
    <v>18</v>
    <v>Auren Energia S.A. (BVMF:AURE3)</v>
    <v>12</v>
    <v>19</v>
    <v>Finance</v>
    <v>5</v>
    <v>11.69</v>
    <v>7.29</v>
    <v>BVMF</v>
    <v>1050378000</v>
    <v>10.02</v>
    <v>2017</v>
    <v>9.76</v>
    <v>0.60340000000000005</v>
    <v>B3 - Brazil Stock Exchange</v>
    <v>10451261100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9.82</v>
    <v>45884.958356481482</v>
    <v>487</v>
    <v>3792940</v>
    <v>BRL</v>
    <v>Auren Energia S.A.</v>
    <v>Auren Energia S.A.</v>
    <v>9.76</v>
    <v>9.9499999999999993</v>
    <v>Av. dra Ruth Cardoso, 8.501 2 andar, sala 11, Pinheiros, SAO PAULO, SAO PAULO, 05.425-070 BR</v>
    <v>Electrical Utilities &amp; IPPs</v>
    <v>AURE3</v>
    <v>Ações</v>
    <v>Auren Energia S.A. (BVMF:AURE3)</v>
    <v>0.13</v>
    <v>1.3238000000000002E-2</v>
    <v>7304300</v>
  </rv>
  <rv s="2">
    <v>488</v>
  </rv>
  <rv s="0">
    <v>https://www.bing.com/financeapi/forcetrigger?t=apni6h&amp;q=BVMF%3aTUPY3&amp;form=skydnc</v>
    <v>Learn more on Bing</v>
  </rv>
  <rv s="8">
    <v>pt-BR</v>
    <v>apni6h</v>
    <v>268435456</v>
    <v>1</v>
    <v>Da plataforma Refinitiv</v>
    <v>14</v>
    <v>15</v>
    <v>TUPY S.A. (BVMF:TUPY3)</v>
    <v>12</v>
    <v>16</v>
    <v>Finance</v>
    <v>5</v>
    <v>26.74</v>
    <v>15.27</v>
    <v>BVMF</v>
    <v>144177500</v>
    <v>16.12</v>
    <v>1938</v>
    <v>15.52</v>
    <v>0.55640000000000001</v>
    <v>B3 - Brazil Stock Exchange</v>
    <v>2289538700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15.95</v>
    <v>6451</v>
    <v>45884.958333333336</v>
    <v>490</v>
    <v>571800</v>
    <v>BRL</v>
    <v>TUPY S.A.</v>
    <v>TUPY S.A.</v>
    <v>15.93</v>
    <v>15.88</v>
    <v>Rua Albano Schmidt, 3400, Boa Vista, JOINVILLE, SANTA CATARINA, 89.227-901 BR</v>
    <v>Automobiles &amp; Auto Parts</v>
    <v>TUPY3</v>
    <v>Ações</v>
    <v>TUPY S.A. (BVMF:TUPY3)</v>
    <v>-7.0000000000000007E-2</v>
    <v>-4.3890000000000005E-3</v>
    <v>741400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19.850000000000001</v>
    <v>1985</v>
    <v>19.54</v>
    <v>0.95509999999999995</v>
    <v>B3 - Brazil Stock Exchange</v>
    <v>1142622000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19.79</v>
    <v>45884.958333333336</v>
    <v>493</v>
    <v>48160</v>
    <v>BRL</v>
    <v>São Carlos Empreendimentos e Participações S.A.</v>
    <v>São Carlos Empreendimentos e Participações S.A.</v>
    <v>19.54</v>
    <v>19.760000000000002</v>
    <v>Rua Dr. Eduardo de Souza Aranha, 153, 12 andar, Vila Nova Conceicao, SAO PAULO, SAO PAULO, 04.543-904 BR</v>
    <v>Real Estate Operations</v>
    <v>SCAR3</v>
    <v>Ações</v>
    <v>São Carlos Empreendimentos e Participações S.A. (BVMF:SCAR3)</v>
    <v>-0.03</v>
    <v>-1.5160000000000002E-3</v>
    <v>2300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4.25</v>
    <v>1997</v>
    <v>4.07</v>
    <v>1.2466999999999999</v>
    <v>B3 - Brazil Stock Exchange</v>
    <v>2331916704</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4.03</v>
    <v>1229</v>
    <v>45884.958333333336</v>
    <v>496</v>
    <v>5981400</v>
    <v>BRL</v>
    <v>LWSA S/A</v>
    <v>LWSA S/A</v>
    <v>4.2</v>
    <v>4.12</v>
    <v>Rua Itapaiuna, 2.434, Vila Andrade, SAO PAULO, SAO PAULO, 05.707-001 BR</v>
    <v>Software &amp; IT Services</v>
    <v>LWSA3</v>
    <v>Ações</v>
    <v>LWSA S/A (BVMF:LWSA3)</v>
    <v>0.09</v>
    <v>2.2332999999999999E-2</v>
    <v>7203700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1.54</v>
    <v>2006</v>
    <v>1.48</v>
    <v>1.4081999999999999</v>
    <v>B3 - Brazil Stock Exchange</v>
    <v>218380808</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1.53</v>
    <v>336</v>
    <v>45884.958391203705</v>
    <v>499</v>
    <v>169420</v>
    <v>BRL</v>
    <v>LPS BRASIL - CONSULTORIA DE IMOVEIS S.A.</v>
    <v>LPS BRASIL - CONSULTORIA DE IMOVEIS S.A.</v>
    <v>1.52</v>
    <v>1.48</v>
    <v>Rua Estados Unidos,2000, Jardim America, SAO PAULO, SAO PAULO, 01.427-002 BR</v>
    <v>Real Estate Operations</v>
    <v>LPSB3</v>
    <v>Ações</v>
    <v>LPS BRASIL - CONSULTORIA DE IMOVEIS S.A. (BVMF:LPSB3)</v>
    <v>-0.05</v>
    <v>-3.2680000000000001E-2</v>
    <v>60500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4.2699999999999996</v>
    <v>2.57</v>
    <v>BVMF</v>
    <v>105774800</v>
    <v>3.44</v>
    <v>2005</v>
    <v>3.23</v>
    <v>2.0792999999999999</v>
    <v>B3 - Brazil Stock Exchange</v>
    <v>362807564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3.24</v>
    <v>159</v>
    <v>45884.958391203705</v>
    <v>502</v>
    <v>918950</v>
    <v>BRL</v>
    <v>MITRE REALTY EMPREENDIMENTOS E PARTICIPAÇÕES S.A.</v>
    <v>MITRE REALTY EMPREENDIMENTOS E PARTICIPAÇÕES S.A.</v>
    <v>3.27</v>
    <v>3.43</v>
    <v>Alameda Santos, 700, 5 Andar, Jardim Paulista, SAO PAULO, SAO PAULO, 01.418-002 BR</v>
    <v>Homebuilding &amp; Construction Supplies</v>
    <v>MTRE3</v>
    <v>Ações</v>
    <v>MITRE REALTY EMPREENDIMENTOS E PARTICIPAÇÕES S.A. (BVMF:MTRE3)</v>
    <v>0.19</v>
    <v>5.8642E-2</v>
    <v>1071100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83.95</v>
    <v>43.37</v>
    <v>BVMF</v>
    <v>740465000</v>
    <v>80.81</v>
    <v>2005</v>
    <v>75.92</v>
    <v>0.51149999999999995</v>
    <v>B3 - Brazil Stock Exchange</v>
    <v>57230539850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80.69</v>
    <v>20923</v>
    <v>45884.958333333336</v>
    <v>507</v>
    <v>508</v>
    <v>6214950</v>
    <v>BRL</v>
    <v>EMBRAER S.A.</v>
    <v>EMBRAER S.A.</v>
    <v>80.739999999999995</v>
    <v>77.290000000000006</v>
    <v>Av Brigadeiro Faria Lima 2170, Putim, SAO JOSE DOS CAMPOS, SAO PAULO, 12.227-901 BR</v>
    <v>Aerospace &amp; Defense</v>
    <v>EMBR3</v>
    <v>Ações</v>
    <v>EMBRAER S.A. (BVMF:EMBR3)</v>
    <v>-3.4</v>
    <v>-4.2137000000000001E-2</v>
    <v>8635600</v>
  </rv>
  <rv s="2">
    <v>509</v>
  </rv>
  <rv s="0">
    <v>https://www.bing.com/financeapi/forcetrigger?t=apmi2w&amp;q=BVMF%3aENGI4&amp;form=skydnc</v>
    <v>Learn more on Bing</v>
  </rv>
  <rv s="8">
    <v>pt-BR</v>
    <v>apmi2w</v>
    <v>268435456</v>
    <v>1</v>
    <v>Da plataforma Refinitiv</v>
    <v>14</v>
    <v>15</v>
    <v>ENERGISA S.A. (BVMF:ENGI4)</v>
    <v>12</v>
    <v>16</v>
    <v>Finance</v>
    <v>5</v>
    <v>9.15</v>
    <v>5.84</v>
    <v>BVMF</v>
    <v>2289425000</v>
    <v>8.7899999999999991</v>
    <v>1998</v>
    <v>8.4</v>
    <v>0.95520000000000005</v>
    <v>B3 - Brazil Stock Exchange</v>
    <v>22856710000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8.7899999999999991</v>
    <v>17000</v>
    <v>45884.958333333336</v>
    <v>511</v>
    <v>9590</v>
    <v>BRL</v>
    <v>ENERGISA S.A.</v>
    <v>ENERGISA S.A.</v>
    <v>8.7899999999999991</v>
    <v>8.41</v>
    <v>Praca Rui Barbosa,N 80(Parte), Centro, CATAGUASES, MINAS GERAIS, 36.770-901 BR</v>
    <v>Electrical Utilities &amp; IPPs</v>
    <v>ENGI4</v>
    <v>Ações</v>
    <v>ENERGISA S.A. (BVMF:ENGI4)</v>
    <v>-0.38</v>
    <v>-4.3230999999999999E-2</v>
    <v>39600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3.45</v>
    <v>2007</v>
    <v>3.27</v>
    <v>2.8730000000000002</v>
    <v>B3 - Brazil Stock Exchange</v>
    <v>1352960000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3.35</v>
    <v>4046</v>
    <v>45884.958391203705</v>
    <v>514</v>
    <v>7318260</v>
    <v>BRL</v>
    <v>Ânima Holding S/A</v>
    <v>Ânima Holding S/A</v>
    <v>3.34</v>
    <v>3.33</v>
    <v>Rua Harmonia, 1250 9 andar, Sumarezinho, SAO PAULO, SAO PAULO, 05.435-001 BR</v>
    <v>Miscellaneous Educational Service Providers</v>
    <v>ANIM3</v>
    <v>Ações</v>
    <v>Ânima Holding S/A (BVMF:ANIM3)</v>
    <v>-0.02</v>
    <v>-5.9699999999999996E-3</v>
    <v>4205100</v>
  </rv>
  <rv s="2">
    <v>515</v>
  </rv>
  <rv s="0">
    <v>https://www.bing.com/financeapi/forcetrigger?t=apn6hw&amp;q=BVMF%3aPRIO3&amp;form=skydnc</v>
    <v>Learn more on Bing</v>
  </rv>
  <rv s="8">
    <v>pt-BR</v>
    <v>apn6hw</v>
    <v>268435456</v>
    <v>1</v>
    <v>Da plataforma Refinitiv</v>
    <v>14</v>
    <v>15</v>
    <v>PRIO S.A. (BVMF:PRIO3)</v>
    <v>12</v>
    <v>16</v>
    <v>Finance</v>
    <v>5</v>
    <v>50.12</v>
    <v>32.68</v>
    <v>BVMF</v>
    <v>896346200</v>
    <v>38.85</v>
    <v>2008</v>
    <v>38.409999999999997</v>
    <v>1.2887999999999999</v>
    <v>B3 - Brazil Stock Exchange</v>
    <v>34787196022</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38.799999999999997</v>
    <v>90</v>
    <v>45884.958333333336</v>
    <v>517</v>
    <v>7568090</v>
    <v>BRL</v>
    <v>PRIO S.A.</v>
    <v>PRIO S.A.</v>
    <v>38.51</v>
    <v>38.81</v>
    <v>Pr De Botafogo 370 : 1 Andar Parte;, Botafogo, RIO DE JANEIRO, RIO DE JANEIRO, 22.250-040 BR</v>
    <v>Oil &amp; Gas</v>
    <v>PRIO3</v>
    <v>Ações</v>
    <v>PRIO S.A. (BVMF:PRIO3)</v>
    <v>0.01</v>
    <v>2.5770000000000003E-4</v>
    <v>6083300</v>
  </rv>
  <rv s="2">
    <v>518</v>
  </rv>
  <rv s="0">
    <v>https://www.bing.com/financeapi/forcetrigger?t=apn2c7&amp;q=BVMF%3aODPV3&amp;form=skydnc</v>
    <v>Learn more on Bing</v>
  </rv>
  <rv s="8">
    <v>pt-BR</v>
    <v>apn2c7</v>
    <v>268435456</v>
    <v>1</v>
    <v>Da plataforma Refinitiv</v>
    <v>14</v>
    <v>15</v>
    <v>ODONTOPREV S.A. (BVMF:ODPV3)</v>
    <v>12</v>
    <v>16</v>
    <v>Finance</v>
    <v>5</v>
    <v>12.8</v>
    <v>9.34</v>
    <v>BVMF</v>
    <v>552495700</v>
    <v>12.8</v>
    <v>1987</v>
    <v>12.21</v>
    <v>0.51680000000000004</v>
    <v>B3 - Brazil Stock Exchange</v>
    <v>7071944960</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12.25</v>
    <v>2026</v>
    <v>45884.958333333336</v>
    <v>520</v>
    <v>2197630</v>
    <v>BRL</v>
    <v>ODONTOPREV S.A.</v>
    <v>ODONTOPREV S.A.</v>
    <v>12.3</v>
    <v>12.8</v>
    <v>Alameda Araguaia, 2104 - 21 Andar, Alphaville, BARUERI, SAO PAULO, 06.460-040 BR</v>
    <v>Healthcare Providers &amp; Services</v>
    <v>ODPV3</v>
    <v>Ações</v>
    <v>ODONTOPREV S.A. (BVMF:ODPV3)</v>
    <v>0.55000000000000004</v>
    <v>4.4898E-2</v>
    <v>1391400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12.73</v>
    <v>2000</v>
    <v>12.5</v>
    <v>0.83299999999999996</v>
    <v>B3 - Brazil Stock Exchange</v>
    <v>3721226228</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12.66</v>
    <v>532</v>
    <v>45884.958356481482</v>
    <v>523</v>
    <v>1731250</v>
    <v>BRL</v>
    <v>PetroRecôncavo S.A.</v>
    <v>PetroRecôncavo S.A.</v>
    <v>12.66</v>
    <v>12.68</v>
    <v>Est Do Vinte Mil Km 3,5 Estacao De Sao Roque, Mata De Sao Joao, MATA DE SAO JOAO, BAHIA, 48.280-000 BR</v>
    <v>Oil &amp; Gas</v>
    <v>RECV3</v>
    <v>Ações</v>
    <v>PetroRecôncavo S.A. (BVMF:RECV3)</v>
    <v>0.02</v>
    <v>1.58E-3</v>
    <v>1685100</v>
  </rv>
  <rv s="2">
    <v>524</v>
  </rv>
  <rv s="0">
    <v>https://www.bing.com/financeapi/forcetrigger?t=btrmim&amp;q=BVMF%3aMDNE3&amp;form=skydnc</v>
    <v>Learn more on Bing</v>
  </rv>
  <rv s="8">
    <v>pt-BR</v>
    <v>btrmim</v>
    <v>268435456</v>
    <v>1</v>
    <v>Da plataforma Refinitiv</v>
    <v>14</v>
    <v>15</v>
    <v>Moura Dubeux Engenharia S/A (BVMF:MDNE3)</v>
    <v>12</v>
    <v>16</v>
    <v>Finance</v>
    <v>5</v>
    <v>24.77</v>
    <v>9.74</v>
    <v>BVMF</v>
    <v>84909370</v>
    <v>23.95</v>
    <v>1987</v>
    <v>23.29</v>
    <v>1.6378999999999999</v>
    <v>B3 - Brazil Stock Exchange</v>
    <v>1996219288</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23.55</v>
    <v>1388</v>
    <v>45884.958391203705</v>
    <v>526</v>
    <v>810620</v>
    <v>BRL</v>
    <v>Moura Dubeux Engenharia S/A</v>
    <v>Moura Dubeux Engenharia S/A</v>
    <v>23.73</v>
    <v>23.51</v>
    <v>Av Engenheiro Domingos Ferreira 467 13 Andar Parte, Pina, RECIFE, PERNAMBUCO, 51.011-050 BR</v>
    <v>Real Estate Operations</v>
    <v>MDNE3</v>
    <v>Ações</v>
    <v>Moura Dubeux Engenharia S/A (BVMF:MDNE3)</v>
    <v>-0.04</v>
    <v>-1.699E-3</v>
    <v>567000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1.2</v>
    <v>1954</v>
    <v>1.06</v>
    <v>1.4298</v>
    <v>B3 - Brazil Stock Exchange</v>
    <v>41726150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1.08</v>
    <v>106</v>
    <v>45884.958333333336</v>
    <v>529</v>
    <v>2955130</v>
    <v>BRL</v>
    <v>RECRUSUL S.A.</v>
    <v>RECRUSUL S.A.</v>
    <v>1.1000000000000001</v>
    <v>1.1000000000000001</v>
    <v>Av. Luiz Pasteur, 1020, Tres Portos, SAPUCAIA DO SUL, RIO GRANDE DO SUL, 93.212-360 BR</v>
    <v>Automobiles &amp; Auto Parts</v>
    <v>RCSL4</v>
    <v>Ações</v>
    <v>RECRUSUL S.A. (BVMF:RCSL4)</v>
    <v>0.02</v>
    <v>1.8519000000000001E-2</v>
    <v>6734200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3.59</v>
    <v>BVMF</v>
    <v>44000000</v>
    <v>3.67</v>
    <v>1999</v>
    <v>3.59</v>
    <v>1.8033999999999999</v>
    <v>B3 - Brazil Stock Exchange</v>
    <v>157960000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3.66</v>
    <v>3380</v>
    <v>45884.958333333336</v>
    <v>532</v>
    <v>11910</v>
    <v>BRL</v>
    <v>TPI - Triunfo Participações e Investimentos S.A.</v>
    <v>TPI - Triunfo Participações e Investimentos S.A.</v>
    <v>3.66</v>
    <v>3.59</v>
    <v>Rua Olimpiadas, 205,14 andar, Vila Olimpia, SAO PAULO, SAO PAULO, 04.551-000 BR</v>
    <v>Transport Infrastructure</v>
    <v>TPIS3</v>
    <v>Ações</v>
    <v>TPI - Triunfo Participações e Investimentos S.A. (BVMF:TPIS3)</v>
    <v>-7.0000000000000007E-2</v>
    <v>-1.9126000000000001E-2</v>
    <v>19700</v>
  </rv>
  <rv s="2">
    <v>533</v>
  </rv>
  <rv s="0">
    <v>https://www.bing.com/financeapi/forcetrigger?t=apml6h&amp;q=BVMF%3aTASA4&amp;form=skydnc</v>
    <v>Learn more on Bing</v>
  </rv>
  <rv s="8">
    <v>pt-BR</v>
    <v>apml6h</v>
    <v>268435456</v>
    <v>1</v>
    <v>Da plataforma Refinitiv</v>
    <v>14</v>
    <v>15</v>
    <v>Taurus Armas S.A (BVMF:TASA4)</v>
    <v>12</v>
    <v>16</v>
    <v>Finance</v>
    <v>5</v>
    <v>10.6</v>
    <v>4.5</v>
    <v>BVMF</v>
    <v>139297900</v>
    <v>4.75</v>
    <v>1939</v>
    <v>4.63</v>
    <v>1.2574000000000001</v>
    <v>B3 - Brazil Stock Exchange</v>
    <v>699842600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4.76</v>
    <v>3286</v>
    <v>45884.958391203705</v>
    <v>535</v>
    <v>361070</v>
    <v>BRL</v>
    <v>Taurus Armas S.A</v>
    <v>Taurus Armas S.A</v>
    <v>4.74</v>
    <v>4.6900000000000004</v>
    <v>Avenida Sao Borja 2181/Predio A, Fazenda Sao Borja, SAO LEOPOLDO, RIO GRANDE DO SUL, 93.035-411 BR</v>
    <v>Aerospace &amp; Defense</v>
    <v>TASA4</v>
    <v>Ações</v>
    <v>Taurus Armas S.A (BVMF:TASA4)</v>
    <v>-7.0000000000000007E-2</v>
    <v>-1.4705999999999999E-2</v>
    <v>288800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3.29</v>
    <v>BVMF</v>
    <v>7716400</v>
    <v>3.53</v>
    <v>1979</v>
    <v>3.53</v>
    <v>0.45440000000000003</v>
    <v>B3 - Brazil Stock Exchange</v>
    <v>48368780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3.51</v>
    <v>1460</v>
    <v>45884.958333333336</v>
    <v>538</v>
    <v>950</v>
    <v>BRL</v>
    <v>Sansuy S/A Indústria de Plásticos em Recuperação Judicial</v>
    <v>Sansuy S/A Indústria de Plásticos em Recuperação Judicial</v>
    <v>3.53</v>
    <v>3.53</v>
    <v>Rua dos Plasticos, 761, Area Indl. Leste, CAMACARI, BAHIA, 42.810-240 BR</v>
    <v>Chemicals</v>
    <v>SNSY5</v>
    <v>Ações</v>
    <v>Sansuy S/A Indústria de Plásticos em Recuperação Judicial (BVMF:SNSY5)</v>
    <v>0.02</v>
    <v>5.6979999999999999E-3</v>
    <v>100</v>
  </rv>
  <rv s="2">
    <v>539</v>
  </rv>
  <rv s="0">
    <v>https://www.bing.com/financeapi/forcetrigger?t=bvjsa2&amp;q=BVMF%3aLAVV3&amp;form=skydnc</v>
    <v>Learn more on Bing</v>
  </rv>
  <rv s="8">
    <v>pt-BR</v>
    <v>bvjsa2</v>
    <v>268435456</v>
    <v>1</v>
    <v>Da plataforma Refinitiv</v>
    <v>14</v>
    <v>15</v>
    <v>Lavvi Empreendimentos Imobiliários S/A (BVMF:LAVV3)</v>
    <v>12</v>
    <v>16</v>
    <v>Finance</v>
    <v>5</v>
    <v>13.03</v>
    <v>6.62</v>
    <v>BVMF</v>
    <v>195434400</v>
    <v>12.7</v>
    <v>2016</v>
    <v>11.96</v>
    <v>1.1546000000000001</v>
    <v>B3 - Brazil Stock Exchange</v>
    <v>2413614000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12.21</v>
    <v>16</v>
    <v>45884.958391203705</v>
    <v>541</v>
    <v>417190</v>
    <v>BRL</v>
    <v>Lavvi Empreendimentos Imobiliários S/A</v>
    <v>Lavvi Empreendimentos Imobiliários S/A</v>
    <v>12.7</v>
    <v>12.12</v>
    <v>Avenida Angelica, 2346 8 andar CJ 84, Bairro Consolacao, Sao Paulo, SAO PAULO, 01.228-200 BR</v>
    <v>Real Estate Operations</v>
    <v>LAVV3</v>
    <v>Ações</v>
    <v>Lavvi Empreendimentos Imobiliários S/A (BVMF:LAVV3)</v>
    <v>-0.09</v>
    <v>-7.3709999999999999E-3</v>
    <v>512600</v>
  </rv>
  <rv s="2">
    <v>542</v>
  </rv>
  <rv s="0">
    <v>https://www.bing.com/financeapi/forcetrigger?t=aplvcw&amp;q=BVMF%3aALPA3&amp;form=skydnc</v>
    <v>Learn more on Bing</v>
  </rv>
  <rv s="8">
    <v>pt-BR</v>
    <v>aplvcw</v>
    <v>268435456</v>
    <v>1</v>
    <v>Da plataforma Refinitiv</v>
    <v>14</v>
    <v>15</v>
    <v>ALPARGATAS S.A. (BVMF:ALPA3)</v>
    <v>12</v>
    <v>16</v>
    <v>Finance</v>
    <v>5</v>
    <v>9.5</v>
    <v>5.61</v>
    <v>BVMF</v>
    <v>683062200</v>
    <v>8.9</v>
    <v>1907</v>
    <v>8.51</v>
    <v>1.0226</v>
    <v>B3 - Brazil Stock Exchange</v>
    <v>6288699000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8.93</v>
    <v>17000</v>
    <v>45884.958333333336</v>
    <v>544</v>
    <v>2415310</v>
    <v>BRL</v>
    <v>ALPARGATAS S.A.</v>
    <v>ALPARGATAS S.A.</v>
    <v>8.9</v>
    <v>8.58</v>
    <v>Av. das Nacoes Unidas, 14.261, Vila Gertrudes, SAO PAULO, SAO PAULO, 04.794-000 BR</v>
    <v>Textiles &amp; Apparel</v>
    <v>ALPA3</v>
    <v>Ações</v>
    <v>ALPARGATAS S.A. (BVMF:ALPA3)</v>
    <v>-0.35</v>
    <v>-3.9194E-2</v>
    <v>4300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3.27</v>
    <v>2003</v>
    <v>3.18</v>
    <v>1.4851000000000001</v>
    <v>B3 - Brazil Stock Exchange</v>
    <v>207518974</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3.17</v>
    <v>45884.958391203705</v>
    <v>547</v>
    <v>35880</v>
    <v>BRL</v>
    <v>Livetech da Bahia Indústria e Comércio S.A.</v>
    <v>Livetech da Bahia Indústria e Comércio S.A.</v>
    <v>3.21</v>
    <v>3.27</v>
    <v>Rodovia BA-262, Ilheus x Urucuca, s/n, Km 2,8 Quadra A, Polo de Informatica, Iguape, ILHEUS, BAHIA, 45.658-335 BR</v>
    <v>Telecommunications Services</v>
    <v>LVTC3</v>
    <v>Ações</v>
    <v>Livetech da Bahia Indústria e Comércio S.A. (BVMF:LVTC3)</v>
    <v>0.1</v>
    <v>3.1545999999999998E-2</v>
    <v>10500</v>
  </rv>
  <rv s="2">
    <v>548</v>
  </rv>
  <rv s="0">
    <v>https://www.bing.com/financeapi/forcetrigger?t=aplzoc&amp;q=BVMF%3aBEEF3&amp;form=skydnc</v>
    <v>Learn more on Bing</v>
  </rv>
  <rv s="8">
    <v>pt-BR</v>
    <v>aplzoc</v>
    <v>268435456</v>
    <v>1</v>
    <v>Da plataforma Refinitiv</v>
    <v>14</v>
    <v>15</v>
    <v>Minerva S.A (BVMF:BEEF3)</v>
    <v>12</v>
    <v>16</v>
    <v>Finance</v>
    <v>5</v>
    <v>7.3</v>
    <v>3.75</v>
    <v>BVMF</v>
    <v>994489400</v>
    <v>4.92</v>
    <v>1992</v>
    <v>4.75</v>
    <v>0.7782</v>
    <v>B3 - Brazil Stock Exchange</v>
    <v>4882942954</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4.79</v>
    <v>22000</v>
    <v>45884.958333333336</v>
    <v>550</v>
    <v>14338290</v>
    <v>BRL</v>
    <v>Minerva S.A</v>
    <v>Minerva S.A</v>
    <v>4.7699999999999996</v>
    <v>4.91</v>
    <v>Avenida Antonio Manco Bernardes s/n, BARRETOS, SAO PAULO, 14.781-545 BR</v>
    <v>Food &amp; Tobacco</v>
    <v>BEEF3</v>
    <v>Ações</v>
    <v>Minerva S.A (BVMF:BEEF3)</v>
    <v>0.12</v>
    <v>2.5051999999999998E-2</v>
    <v>8681200</v>
  </rv>
  <rv s="2">
    <v>551</v>
  </rv>
  <rv s="0">
    <v>https://www.bing.com/financeapi/forcetrigger?t=aplvfr&amp;q=BVMF%3aALPA4&amp;form=skydnc</v>
    <v>Learn more on Bing</v>
  </rv>
  <rv s="8">
    <v>pt-BR</v>
    <v>aplvfr</v>
    <v>268435456</v>
    <v>1</v>
    <v>Da plataforma Refinitiv</v>
    <v>14</v>
    <v>15</v>
    <v>ALPARGATAS S.A. (BVMF:ALPA4)</v>
    <v>12</v>
    <v>16</v>
    <v>Finance</v>
    <v>5</v>
    <v>10.01</v>
    <v>5.86</v>
    <v>BVMF</v>
    <v>683062200</v>
    <v>9.5399999999999991</v>
    <v>1907</v>
    <v>9.27</v>
    <v>1.0226</v>
    <v>B3 - Brazil Stock Exchange</v>
    <v>6288699000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9.48</v>
    <v>17000</v>
    <v>45884.958333333336</v>
    <v>553</v>
    <v>2415310</v>
    <v>BRL</v>
    <v>ALPARGATAS S.A.</v>
    <v>ALPARGATAS S.A.</v>
    <v>9.35</v>
    <v>9.4</v>
    <v>Av. das Nacoes Unidas, 14.261, Vila Gertrudes, SAO PAULO, SAO PAULO, 04.794-000 BR</v>
    <v>Textiles &amp; Apparel</v>
    <v>ALPA4</v>
    <v>Ações</v>
    <v>ALPARGATAS S.A. (BVMF:ALPA4)</v>
    <v>-0.08</v>
    <v>-8.4390000000000003E-3</v>
    <v>998800</v>
  </rv>
  <rv s="2">
    <v>554</v>
  </rv>
  <rv s="0">
    <v>https://www.bing.com/financeapi/forcetrigger?t=c2tzrw&amp;q=BVMF%3aMLAS3&amp;form=skydnc</v>
    <v>Learn more on Bing</v>
  </rv>
  <rv s="8">
    <v>pt-BR</v>
    <v>c2tzrw</v>
    <v>268435456</v>
    <v>1</v>
    <v>Da plataforma Refinitiv</v>
    <v>14</v>
    <v>15</v>
    <v>GRUPO MULTI S.A. (BVMF:MLAS3)</v>
    <v>12</v>
    <v>16</v>
    <v>Finance</v>
    <v>5</v>
    <v>2.1</v>
    <v>0.99</v>
    <v>BVMF</v>
    <v>820539200</v>
    <v>1.01</v>
    <v>1988</v>
    <v>0.99</v>
    <v>1.8258000000000001</v>
    <v>B3 - Brazil Stock Exchange</v>
    <v>828744592</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1.01</v>
    <v>5000</v>
    <v>45884.958391203705</v>
    <v>556</v>
    <v>1206550</v>
    <v>BRL</v>
    <v>GRUPO MULTI S.A.</v>
    <v>GRUPO MULTI S.A.</v>
    <v>1.01</v>
    <v>1.01</v>
    <v>Avenida Brigadeiro Faria Lima, n 1811 15 andar, Jardim America, SAO PAULO, SAO PAULO, 01.452-000 BR</v>
    <v>Computers, Phones &amp; Household Electronics</v>
    <v>MLAS3</v>
    <v>Ações</v>
    <v>GRUPO MULTI S.A. (BVMF:MLAS3)</v>
    <v>0</v>
    <v>0</v>
    <v>1322700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17.600000000000001</v>
    <v>1951</v>
    <v>17.350000000000001</v>
    <v>1.0212000000000001</v>
    <v>B3 - Brazil Stock Exchange</v>
    <v>1648829000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17.350000000000001</v>
    <v>2378</v>
    <v>45884.958333333336</v>
    <v>559</v>
    <v>34920</v>
    <v>BRL</v>
    <v>Eucatex S.A. Industria e Comercio</v>
    <v>Eucatex S.A. Industria e Comercio</v>
    <v>17.54</v>
    <v>17.600000000000001</v>
    <v>Av. Juscelino Kubitschek, 1830 11 andar,Torre I, Vila Olimpia, SAO PAULO, SAO PAULO, 04.543-900 BR</v>
    <v>Paper &amp; Forest Products</v>
    <v>EUCA4</v>
    <v>Ações</v>
    <v>Eucatex S.A. Industria e Comercio (BVMF:EUCA4)</v>
    <v>0.25</v>
    <v>1.4409E-2</v>
    <v>20100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13.16</v>
    <v>2007</v>
    <v>12.77</v>
    <v>1.5078</v>
    <v>B3 - Brazil Stock Exchange</v>
    <v>71358475000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12.85</v>
    <v>2135</v>
    <v>45884.958333333336</v>
    <v>562</v>
    <v>27917670</v>
    <v>BRL</v>
    <v>B3 S.A - Brasil, Bolsa, Balcão</v>
    <v>B3 S.A - Brasil, Bolsa, Balcão</v>
    <v>12.77</v>
    <v>13.15</v>
    <v>Praca Antonio Prado, 48 7 andar, Centro, SAO PAULO, SAO PAULO, 01.010-901 BR</v>
    <v>Investment Banking &amp; Investment Services</v>
    <v>B3SA3</v>
    <v>Ações</v>
    <v>B3 S.A - Brasil, Bolsa, Balcão (BVMF:B3SA3)</v>
    <v>0.3</v>
    <v>2.3345999999999999E-2</v>
    <v>25138200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1.31</v>
    <v>BVMF</v>
    <v>260509800</v>
    <v>1.35</v>
    <v>1948</v>
    <v>1.31</v>
    <v>0.91320000000000001</v>
    <v>B3 - Brazil Stock Exchange</v>
    <v>346478034</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1.34</v>
    <v>2911</v>
    <v>45884.958333333336</v>
    <v>568</v>
    <v>4360</v>
    <v>BRL</v>
    <v>BOMBRIL S.A.</v>
    <v>BOMBRIL S.A.</v>
    <v>1.31</v>
    <v>1.33</v>
    <v>Via Anchieta, KM 14,S/N, Rudge Ramos, SAO BERNARDO DO CAMPO, SAO PAULO, 09.696-000 BR</v>
    <v>Personal &amp; Household Products &amp; Services</v>
    <v>BOBR4</v>
    <v>Ações</v>
    <v>BOMBRIL S.A. (BVMF:BOBR4)</v>
    <v>-0.01</v>
    <v>-7.463E-3</v>
    <v>14600</v>
  </rv>
  <rv s="2">
    <v>569</v>
  </rv>
  <rv s="0">
    <v>https://www.bing.com/financeapi/forcetrigger?t=apmivh&amp;q=BVMF%3aETER3&amp;form=skydnc</v>
    <v>Learn more on Bing</v>
  </rv>
  <rv s="8">
    <v>pt-BR</v>
    <v>apmivh</v>
    <v>268435456</v>
    <v>1</v>
    <v>Da plataforma Refinitiv</v>
    <v>14</v>
    <v>15</v>
    <v>Eternit S.A. - Em Recuperação Judicial (BVMF:ETER3)</v>
    <v>12</v>
    <v>16</v>
    <v>Finance</v>
    <v>5</v>
    <v>6.36</v>
    <v>3.58</v>
    <v>BVMF</v>
    <v>61776580</v>
    <v>4.25</v>
    <v>1940</v>
    <v>4.0999999999999996</v>
    <v>1.8624000000000001</v>
    <v>B3 - Brazil Stock Exchange</v>
    <v>258843870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4.1900000000000004</v>
    <v>631</v>
    <v>45884.958391203705</v>
    <v>571</v>
    <v>168180</v>
    <v>BRL</v>
    <v>Eternit S.A. - Em Recuperação Judicial</v>
    <v>Eternit S.A. - Em Recuperação Judicial</v>
    <v>4.2300000000000004</v>
    <v>4.1900000000000004</v>
    <v>Rua Dr. Fernandes Coelho, 85, 8 andar, Pinheiros, SAO PAULO, SAO PAULO, 05.423-040 BR</v>
    <v>Construction Materials</v>
    <v>ETER3</v>
    <v>Ações</v>
    <v>Eternit S.A. - Em Recuperação Judicial (BVMF:ETER3)</v>
    <v>0</v>
    <v>0</v>
    <v>51000</v>
  </rv>
  <rv s="2">
    <v>572</v>
  </rv>
  <rv s="0">
    <v>https://www.bing.com/financeapi/forcetrigger?t=bxgbu2&amp;q=BVMF%3aESPA3&amp;form=skydnc</v>
    <v>Learn more on Bing</v>
  </rv>
  <rv s="8">
    <v>pt-BR</v>
    <v>bxgbu2</v>
    <v>268435456</v>
    <v>1</v>
    <v>Da plataforma Refinitiv</v>
    <v>14</v>
    <v>15</v>
    <v>MPM Corpóreos S.A. (BVMF:ESPA3)</v>
    <v>12</v>
    <v>16</v>
    <v>Finance</v>
    <v>5</v>
    <v>1.23</v>
    <v>0.66</v>
    <v>BVMF</v>
    <v>361423100</v>
    <v>1.02</v>
    <v>2016</v>
    <v>0.98</v>
    <v>1.5896999999999999</v>
    <v>B3 - Brazil Stock Exchange</v>
    <v>361423100</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1.01</v>
    <v>3038</v>
    <v>45884.958333333336</v>
    <v>574</v>
    <v>474190</v>
    <v>BRL</v>
    <v>MPM Corpóreos S.A.</v>
    <v>MPM Corpóreos S.A.</v>
    <v>1.02</v>
    <v>1</v>
    <v>Avenida dos Eucaliptos, no 763 sala 2, Indianopolis, Sao Paulo, SAO PAULO, 04.517-050 BR</v>
    <v>Personal &amp; Household Products &amp; Services</v>
    <v>ESPA3</v>
    <v>Ações</v>
    <v>MPM Corpóreos S.A. (BVMF:ESPA3)</v>
    <v>-0.01</v>
    <v>-9.9010000000000001E-3</v>
    <v>397800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4.79</v>
    <v>1973</v>
    <v>4.55</v>
    <v>1.5833999999999999</v>
    <v>B3 - Brazil Stock Exchange</v>
    <v>1615677280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4.6900000000000004</v>
    <v>3677</v>
    <v>45884.958391203705</v>
    <v>577</v>
    <v>186490</v>
    <v>BRL</v>
    <v>Hospital Mater Dei S.A.</v>
    <v>Hospital Mater Dei S.A.</v>
    <v>4.68</v>
    <v>4.76</v>
    <v>R Mato Grosso 1100, Santo Agostinho, BELO HORIZONTE, MINAS GERAIS, 30.190-081 BR</v>
    <v>Healthcare Providers &amp; Services</v>
    <v>MATD3</v>
    <v>Ações</v>
    <v>Hospital Mater Dei S.A. (BVMF:MATD3)</v>
    <v>7.0000000000000007E-2</v>
    <v>1.4924999999999999E-2</v>
    <v>170500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8.2899999999999991</v>
    <v>2016</v>
    <v>7.8</v>
    <v>0.56189999999999996</v>
    <v>B3 - Brazil Stock Exchange</v>
    <v>312164000</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8.39</v>
    <v>179</v>
    <v>45884.958391203705</v>
    <v>580</v>
    <v>42680</v>
    <v>BRL</v>
    <v>TC S.A.</v>
    <v>TC S.A.</v>
    <v>8.2899999999999991</v>
    <v>7.8</v>
    <v>Avenida Presidente Juscelino Kubitschek, n 1830 Torre2, 5 andar,cj52, Vila Nova Conceicao, SAO PAULO, SAO PAULO, 04.543-900 BR</v>
    <v>Professional &amp; Business Education</v>
    <v>TRAD3</v>
    <v>Ações</v>
    <v>TC S.A. (BVMF:TRAD3)</v>
    <v>-0.59</v>
    <v>-7.0321999999999996E-2</v>
    <v>15300</v>
  </rv>
  <rv s="2">
    <v>581</v>
  </rv>
  <rv s="0">
    <v>https://www.bing.com/financeapi/forcetrigger?t=apnl4c&amp;q=BVMF%3aVULC3&amp;form=skydnc</v>
    <v>Learn more on Bing</v>
  </rv>
  <rv s="8">
    <v>pt-BR</v>
    <v>apnl4c</v>
    <v>268435456</v>
    <v>1</v>
    <v>Da plataforma Refinitiv</v>
    <v>14</v>
    <v>15</v>
    <v>Vulcabras S/A (BVMF:VULC3)</v>
    <v>12</v>
    <v>16</v>
    <v>Finance</v>
    <v>5</v>
    <v>21.84</v>
    <v>14.15</v>
    <v>BVMF</v>
    <v>275536300</v>
    <v>20.28</v>
    <v>1952</v>
    <v>19.489999999999998</v>
    <v>0.94640000000000002</v>
    <v>B3 - Brazil Stock Exchange</v>
    <v>5546545719</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19.48</v>
    <v>23878</v>
    <v>45884.958333333336</v>
    <v>583</v>
    <v>753550</v>
    <v>BRL</v>
    <v>Vulcabras S/A</v>
    <v>Vulcabras S/A</v>
    <v>20.18</v>
    <v>20.13</v>
    <v>Av. Antonio Frederico Ozanan, 1440, Da Grama, JUNDIAI, SAO PAULO, 13.219-001 BR</v>
    <v>Textiles &amp; Apparel</v>
    <v>VULC3</v>
    <v>Ações</v>
    <v>Vulcabras S/A (BVMF:VULC3)</v>
    <v>0.65</v>
    <v>3.3368000000000002E-2</v>
    <v>2757100</v>
  </rv>
  <rv s="2">
    <v>584</v>
  </rv>
  <rv s="0">
    <v>https://www.bing.com/financeapi/forcetrigger?t=apmw4c&amp;q=BVMF%3aLUPA3&amp;form=skydnc</v>
    <v>Learn more on Bing</v>
  </rv>
  <rv s="8">
    <v>pt-BR</v>
    <v>apmw4c</v>
    <v>268435456</v>
    <v>1</v>
    <v>Da plataforma Refinitiv</v>
    <v>14</v>
    <v>15</v>
    <v>LUPATECH S.A (BVMF:LUPA3)</v>
    <v>12</v>
    <v>16</v>
    <v>Finance</v>
    <v>5</v>
    <v>1.71</v>
    <v>1.1299999999999999</v>
    <v>BVMF</v>
    <v>43716190</v>
    <v>1.17</v>
    <v>1980</v>
    <v>1.1399999999999999</v>
    <v>1.7968999999999999</v>
    <v>B3 - Brazil Stock Exchange</v>
    <v>50273618</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1.17</v>
    <v>448</v>
    <v>45884.958333333336</v>
    <v>586</v>
    <v>43970</v>
    <v>BRL</v>
    <v>LUPATECH S.A</v>
    <v>LUPATECH S.A</v>
    <v>1.17</v>
    <v>1.1499999999999999</v>
    <v>Rodovia Anhanguera, sentido interior/capital,KM 119, predio C, Distrito Industrial, NOVA ODESSA, SAO PAULO, 13.388-220 BR</v>
    <v>Machinery, Equipment &amp; Components</v>
    <v>LUPA3</v>
    <v>Ações</v>
    <v>LUPATECH S.A (BVMF:LUPA3)</v>
    <v>-0.02</v>
    <v>-1.7094000000000002E-2</v>
    <v>9800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7.85</v>
    <v>3.79</v>
    <v>BVMF</v>
    <v>696334200</v>
    <v>7.29</v>
    <v>2000</v>
    <v>7.07</v>
    <v>1.6198999999999999</v>
    <v>B3 - Brazil Stock Exchange</v>
    <v>4923082794</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7.21</v>
    <v>5821</v>
    <v>45884.958333333336</v>
    <v>589</v>
    <v>3397790</v>
    <v>BRL</v>
    <v>ECORODOVIAS INFRAESTRUTURA E LOGÍSTICA S.A.</v>
    <v>ECORODOVIAS INFRAESTRUTURA E LOGÍSTICA S.A.</v>
    <v>7.2</v>
    <v>7.07</v>
    <v>Rua Gomes de Carvalho, n 1.510, Conjuntos 31/32, Vila Olimpia, SAO PAULO, SAO PAULO, 04.547-005 BR</v>
    <v>Transport Infrastructure</v>
    <v>ECOR3</v>
    <v>Ações</v>
    <v>ECORODOVIAS INFRAESTRUTURA E LOGÍSTICA S.A. (BVMF:ECOR3)</v>
    <v>-0.14000000000000001</v>
    <v>-1.9417E-2</v>
    <v>2239500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27.5</v>
    <v>0.16</v>
    <v>BVMF</v>
    <v>657497300</v>
    <v>0.21</v>
    <v>1998</v>
    <v>0.18</v>
    <v>1.7743</v>
    <v>B3 - Brazil Stock Exchange</v>
    <v>118349514</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0.18</v>
    <v>45884.958333333336</v>
    <v>592</v>
    <v>1222450</v>
    <v>BRL</v>
    <v>PDG Realty S.A. Empreendimentos e Participações</v>
    <v>PDG Realty S.A. Empreendimentos e Participações</v>
    <v>0.2</v>
    <v>0.18</v>
    <v>Av. Dr. Cardoso de Melo 1855, 6 andar, Vila Olimpia, SAO PAULO, SAO PAULO, 04.548-005 BR</v>
    <v>Holding Companies</v>
    <v>PDGR3</v>
    <v>Ações</v>
    <v>PDG Realty S.A. Empreendimentos e Participações (BVMF:PDGR3)</v>
    <v>0</v>
    <v>0</v>
    <v>2068300</v>
  </rv>
  <rv s="2">
    <v>593</v>
  </rv>
  <rv s="0">
    <v>https://www.bing.com/financeapi/forcetrigger?t=apmamw&amp;q=BVMF%3aCOCE5&amp;form=skydnc</v>
    <v>Learn more on Bing</v>
  </rv>
  <rv s="8">
    <v>pt-BR</v>
    <v>apmamw</v>
    <v>268435456</v>
    <v>1</v>
    <v>Da plataforma Refinitiv</v>
    <v>14</v>
    <v>15</v>
    <v>Companhia Energética do Ceará (BVMF:COCE5)</v>
    <v>12</v>
    <v>16</v>
    <v>Finance</v>
    <v>5</v>
    <v>30.79</v>
    <v>22.25</v>
    <v>BVMF</v>
    <v>86302020</v>
    <v>29</v>
    <v>1971</v>
    <v>28.75</v>
    <v>0.31390000000000001</v>
    <v>B3 - Brazil Stock Exchange</v>
    <v>2617091000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29.1</v>
    <v>2098</v>
    <v>45884.958333333336</v>
    <v>595</v>
    <v>7980</v>
    <v>BRL</v>
    <v>Companhia Energética do Ceará</v>
    <v>Companhia Energética do Ceará</v>
    <v>28.99</v>
    <v>29</v>
    <v>R Padre Valdevino 150, Centro, FORTALEZA, CEARA, 60.135-040 BR</v>
    <v>Electrical Utilities &amp; IPPs</v>
    <v>COCE5</v>
    <v>Ações</v>
    <v>Companhia Energética do Ceará (BVMF:COCE5)</v>
    <v>-0.1</v>
    <v>-3.4360000000000003E-3</v>
    <v>1100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15.45</v>
    <v>1981</v>
    <v>14.88</v>
    <v>2.0813999999999999</v>
    <v>B3 - Brazil Stock Exchange</v>
    <v>4608264245</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15.1</v>
    <v>15000</v>
    <v>45884.958356481482</v>
    <v>598</v>
    <v>4209740</v>
    <v>BRL</v>
    <v>C&amp;A MODAS S.A.</v>
    <v>C&amp;A MODAS S.A.</v>
    <v>15.15</v>
    <v>14.95</v>
    <v>Alameda Araguaia, 1.222/1.022, Alphaville, BARUERI, SAO PAULO, 06.455-000 BR</v>
    <v>Specialty Retailers</v>
    <v>CEAB3</v>
    <v>Ações</v>
    <v>C&amp;A MODAS S.A. (BVMF:CEAB3)</v>
    <v>-0.15</v>
    <v>-9.9340000000000001E-3</v>
    <v>3730700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v>
    <v>6.04</v>
    <v>BVMF</v>
    <v>1670419000</v>
    <v>14.44</v>
    <v>2010</v>
    <v>14.01</v>
    <v>1.5980000000000001</v>
    <v>B3 - Brazil Stock Exchange</v>
    <v>23402570000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14.37</v>
    <v>45884.958356481482</v>
    <v>601</v>
    <v>560800</v>
    <v>BRL</v>
    <v>Ambipar Participações e Empreendimentos S.A.</v>
    <v>Ambipar Participações e Empreendimentos S.A.</v>
    <v>14.07</v>
    <v>14.01</v>
    <v>Av Pacaembu 1088 Sala 09, Pacaembu, SAO PAULO, SAO PAULO, 01.234-000 BR</v>
    <v>Professional &amp; Commercial Services</v>
    <v>AMBP3</v>
    <v>Ações</v>
    <v>Ambipar Participações e Empreendimentos S.A. (BVMF:AMBP3)</v>
    <v>-0.36</v>
    <v>-2.5051999999999998E-2</v>
    <v>287300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26</v>
    <v>2008</v>
    <v>25.4</v>
    <v>1.0557000000000001</v>
    <v>B3 - Brazil Stock Exchange</v>
    <v>234008200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25.6</v>
    <v>719</v>
    <v>45884.958391203705</v>
    <v>604</v>
    <v>10250</v>
    <v>BRL</v>
    <v>Neogrid Participações S.A</v>
    <v>Neogrid Participações S.A</v>
    <v>25.7</v>
    <v>26</v>
    <v>Avenida Santos Dumont, 935 1 andar, Santo Antonio, Joinville, SANTA CATARINA, 89.218-105 BR</v>
    <v>Software &amp; IT Services</v>
    <v>NGRD3</v>
    <v>Ações</v>
    <v>Neogrid Participações S.A (BVMF:NGRD3)</v>
    <v>0.4</v>
    <v>1.5625E-2</v>
    <v>9800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4.53</v>
    <v>1990</v>
    <v>4.3899999999999997</v>
    <v>0.39679999999999999</v>
    <v>B3 - Brazil Stock Exchange</v>
    <v>1550500000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4.49</v>
    <v>7000</v>
    <v>45884.958391203705</v>
    <v>607</v>
    <v>1080170</v>
    <v>BRL</v>
    <v>CAMIL ALIMENTOS S.A.</v>
    <v>CAMIL ALIMENTOS S.A.</v>
    <v>4.49</v>
    <v>4.43</v>
    <v>Av. Doutora Ruth Cardoso 8501, 12 andar, Pinheiros, Eldorado Business Tower, SAO PAULO, SAO PAULO, 05.425-070 BR</v>
    <v>Food &amp; Tobacco</v>
    <v>CAML3</v>
    <v>Ações</v>
    <v>CAMIL ALIMENTOS S.A. (BVMF:CAML3)</v>
    <v>-0.06</v>
    <v>-1.3363E-2</v>
    <v>992700</v>
  </rv>
  <rv s="2">
    <v>608</v>
  </rv>
  <rv s="0">
    <v>https://www.bing.com/financeapi/forcetrigger?t=apml3m&amp;q=BVMF%3aTASA3&amp;form=skydnc</v>
    <v>Learn more on Bing</v>
  </rv>
  <rv s="8">
    <v>pt-BR</v>
    <v>apml3m</v>
    <v>268435456</v>
    <v>1</v>
    <v>Da plataforma Refinitiv</v>
    <v>14</v>
    <v>15</v>
    <v>Taurus Armas S.A (BVMF:TASA3)</v>
    <v>12</v>
    <v>16</v>
    <v>Finance</v>
    <v>5</v>
    <v>10.55</v>
    <v>5.16</v>
    <v>BVMF</v>
    <v>139297900</v>
    <v>5.55</v>
    <v>1939</v>
    <v>5.16</v>
    <v>1.2574000000000001</v>
    <v>B3 - Brazil Stock Exchange</v>
    <v>699842600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5.48</v>
    <v>3286</v>
    <v>45884.958391203705</v>
    <v>610</v>
    <v>361070</v>
    <v>BRL</v>
    <v>Taurus Armas S.A</v>
    <v>Taurus Armas S.A</v>
    <v>5.55</v>
    <v>5.16</v>
    <v>Avenida Sao Borja 2181/Predio A, Fazenda Sao Borja, SAO LEOPOLDO, RIO GRANDE DO SUL, 93.035-411 BR</v>
    <v>Aerospace &amp; Defense</v>
    <v>TASA3</v>
    <v>Ações</v>
    <v>Taurus Armas S.A (BVMF:TASA3)</v>
    <v>-0.32</v>
    <v>-5.8394000000000001E-2</v>
    <v>21000</v>
  </rv>
  <rv s="2">
    <v>611</v>
  </rv>
  <rv s="0">
    <v>https://www.bing.com/financeapi/forcetrigger?t=bpryr7&amp;q=BVMF%3aSBFG3&amp;form=skydnc</v>
    <v>Learn more on Bing</v>
  </rv>
  <rv s="8">
    <v>pt-BR</v>
    <v>bpryr7</v>
    <v>268435456</v>
    <v>1</v>
    <v>Da plataforma Refinitiv</v>
    <v>14</v>
    <v>15</v>
    <v>GRUPO SBF S.A. (BVMF:SBFG3)</v>
    <v>12</v>
    <v>16</v>
    <v>Finance</v>
    <v>5</v>
    <v>17.91</v>
    <v>8.92</v>
    <v>BVMF</v>
    <v>244555300</v>
    <v>10.34</v>
    <v>2011</v>
    <v>9.9600000000000009</v>
    <v>2.2222</v>
    <v>B3 - Brazil Stock Exchange</v>
    <v>2447450390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10.220000000000001</v>
    <v>8196</v>
    <v>45884.958391203705</v>
    <v>613</v>
    <v>2451100</v>
    <v>BRL</v>
    <v>GRUPO SBF S.A.</v>
    <v>GRUPO SBF S.A.</v>
    <v>10.29</v>
    <v>10.029999999999999</v>
    <v>Av Dra Ruth Cardoso 7221 Andar Ed Birman 3, Pinheiros, PINHEIROS, SAO PAULO, 05.425-902 BR</v>
    <v>Specialty Retailers</v>
    <v>SBFG3</v>
    <v>Ações</v>
    <v>GRUPO SBF S.A. (BVMF:SBFG3)</v>
    <v>-0.19</v>
    <v>-1.8591E-2</v>
    <v>1793500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6.63</v>
    <v>2007</v>
    <v>6.4</v>
    <v>0.88570000000000004</v>
    <v>B3 - Brazil Stock Exchange</v>
    <v>403921051</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6.53</v>
    <v>900</v>
    <v>45884.958391203705</v>
    <v>616</v>
    <v>44970</v>
    <v>BRL</v>
    <v>TECHNOS S.A.</v>
    <v>TECHNOS S.A.</v>
    <v>6.59</v>
    <v>6.53</v>
    <v>Avenida Das Americas, 4200 - Bloco 5 - 6 Andar, Barra Da Tijuca, RIO DE JANEIRO, RIO DE JANEIRO, 22.640-907 BR</v>
    <v>Specialty Retailers</v>
    <v>TECN3</v>
    <v>Ações</v>
    <v>TECHNOS S.A. (BVMF:TECN3)</v>
    <v>0</v>
    <v>0</v>
    <v>37400</v>
  </rv>
  <rv s="2">
    <v>617</v>
  </rv>
  <rv s="0">
    <v>https://www.bing.com/financeapi/forcetrigger?t=apncxm&amp;q=BVMF%3aSMTO3&amp;form=skydnc</v>
    <v>Learn more on Bing</v>
  </rv>
  <rv s="8">
    <v>pt-BR</v>
    <v>apncxm</v>
    <v>268435456</v>
    <v>1</v>
    <v>Da plataforma Refinitiv</v>
    <v>14</v>
    <v>15</v>
    <v>São Martinho S.A. (BVMF:SMTO3)</v>
    <v>12</v>
    <v>16</v>
    <v>Finance</v>
    <v>5</v>
    <v>29.75</v>
    <v>16.25</v>
    <v>BVMF</v>
    <v>332435400</v>
    <v>16.91</v>
    <v>1943</v>
    <v>16.29</v>
    <v>0.37040000000000001</v>
    <v>B3 - Brazil Stock Exchange</v>
    <v>5415372666</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16.91</v>
    <v>7869</v>
    <v>45884.958356481482</v>
    <v>619</v>
    <v>1809230</v>
    <v>BRL</v>
    <v>São Martinho S.A.</v>
    <v>São Martinho S.A.</v>
    <v>16.91</v>
    <v>16.29</v>
    <v>Fazenda Sao Martinho, S/Nr., Zona Rural, PRADOPOLIS, SAO PAULO, 14.850-000 BR</v>
    <v>Food &amp; Tobacco</v>
    <v>SMTO3</v>
    <v>Ações</v>
    <v>São Martinho S.A. (BVMF:SMTO3)</v>
    <v>-0.62</v>
    <v>-3.6665000000000003E-2</v>
    <v>2369700</v>
  </rv>
  <rv s="2">
    <v>620</v>
  </rv>
  <rv s="0">
    <v>https://www.bing.com/financeapi/forcetrigger?t=apn852&amp;q=BVMF%3aRANI3&amp;form=skydnc</v>
    <v>Learn more on Bing</v>
  </rv>
  <rv s="8">
    <v>pt-BR</v>
    <v>apn852</v>
    <v>268435456</v>
    <v>1</v>
    <v>Da plataforma Refinitiv</v>
    <v>14</v>
    <v>15</v>
    <v>IRANI PAPEL E EMBALAGEM S.A. (BVMF:RANI3)</v>
    <v>12</v>
    <v>16</v>
    <v>Finance</v>
    <v>5</v>
    <v>8.08</v>
    <v>5.88</v>
    <v>BVMF</v>
    <v>239829900</v>
    <v>7.43</v>
    <v>1941</v>
    <v>7.3</v>
    <v>0.6169</v>
    <v>B3 - Brazil Stock Exchange</v>
    <v>1777139559</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7.34</v>
    <v>2348</v>
    <v>45884.958333333336</v>
    <v>622</v>
    <v>809600</v>
    <v>BRL</v>
    <v>IRANI PAPEL E EMBALAGEM S.A.</v>
    <v>IRANI PAPEL E EMBALAGEM S.A.</v>
    <v>7.33</v>
    <v>7.41</v>
    <v>Avenida Carlos Gomes,n400, Edificio Joao Benjamin Zaffari, salas 502/503, Boa Vista, PORTO ALEGRE, RIO GRANDE DO SUL, 90.480-900 BR</v>
    <v>Containers &amp; Packaging</v>
    <v>RANI3</v>
    <v>Ações</v>
    <v>IRANI PAPEL E EMBALAGEM S.A. (BVMF:RANI3)</v>
    <v>7.0000000000000007E-2</v>
    <v>9.5370000000000003E-3</v>
    <v>497500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3.23</v>
    <v>BVMF</v>
    <v>462739900</v>
    <v>4</v>
    <v>2013</v>
    <v>3.82</v>
    <v>1.1634</v>
    <v>B3 - Brazil Stock Exchange</v>
    <v>1804685610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3.98</v>
    <v>45884.958356481482</v>
    <v>625</v>
    <v>7552810</v>
    <v>BRL</v>
    <v>Pet Center Comércio e Participações S.A.</v>
    <v>Pet Center Comércio e Participações S.A.</v>
    <v>4</v>
    <v>3.9</v>
    <v>Rua Guaranta, 555/587 Sala 1, Pari, SAO PAULO, SAO PAULO, 03.035-050 BR</v>
    <v>Specialty Retailers</v>
    <v>PETZ3</v>
    <v>Ações</v>
    <v>Pet Center Comércio e Participações S.A. (BVMF:PETZ3)</v>
    <v>-0.08</v>
    <v>-2.0101000000000001E-2</v>
    <v>9215900</v>
  </rv>
  <rv s="2">
    <v>626</v>
  </rv>
  <rv s="0">
    <v>https://www.bing.com/financeapi/forcetrigger?t=apnh77&amp;q=BVMF%3aTOTS3&amp;form=skydnc</v>
    <v>Learn more on Bing</v>
  </rv>
  <rv s="9">
    <v>pt-BR</v>
    <v>apnh77</v>
    <v>268435456</v>
    <v>1</v>
    <v>Da plataforma Refinitiv</v>
    <v>17</v>
    <v>18</v>
    <v>TOTVS S.A. (BVMF:TOTS3)</v>
    <v>12</v>
    <v>19</v>
    <v>Finance</v>
    <v>5</v>
    <v>45.31</v>
    <v>25.69</v>
    <v>BVMF</v>
    <v>599401600</v>
    <v>42.16</v>
    <v>1983</v>
    <v>41.06</v>
    <v>0.96850000000000003</v>
    <v>B3 - Brazil Stock Exchange</v>
    <v>25270770000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41.3</v>
    <v>45884.958333333336</v>
    <v>628</v>
    <v>2958150</v>
    <v>BRL</v>
    <v>TOTVS S.A.</v>
    <v>TOTVS S.A.</v>
    <v>41.4</v>
    <v>42.16</v>
    <v>Avenida Braz Leme 1000, Casa Verde, SAO PAULO, SAO PAULO, 02.511-000 BR</v>
    <v>Software &amp; IT Services</v>
    <v>TOTS3</v>
    <v>Ações</v>
    <v>TOTVS S.A. (BVMF:TOTS3)</v>
    <v>0.86</v>
    <v>2.0823000000000001E-2</v>
    <v>2805400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13.06</v>
    <v>2007</v>
    <v>12.27</v>
    <v>2.0472000000000001</v>
    <v>B3 - Brazil Stock Exchange</v>
    <v>3576858840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13.04</v>
    <v>16000</v>
    <v>45884.958356481482</v>
    <v>631</v>
    <v>3763430</v>
    <v>BRL</v>
    <v>YDUQS Participações S.A.</v>
    <v>YDUQS Participações S.A.</v>
    <v>12.6</v>
    <v>13.05</v>
    <v>Avenida Venezuela 43, 6 andar, Saude, RIO DE JANEIRO, RIO DE JANEIRO, 20.081-311 BR</v>
    <v>School, College &amp; University</v>
    <v>YDUQ3</v>
    <v>Ações</v>
    <v>YDUQS Participações S.A. (BVMF:YDUQ3)</v>
    <v>0.01</v>
    <v>7.6689999999999994E-4</v>
    <v>5618100</v>
  </rv>
  <rv s="2">
    <v>632</v>
  </rv>
  <rv s="0">
    <v>https://www.bing.com/financeapi/forcetrigger?t=bvs1lh&amp;q=BVMF%3aJSLG3&amp;form=skydnc</v>
    <v>Learn more on Bing</v>
  </rv>
  <rv s="8">
    <v>pt-BR</v>
    <v>bvs1lh</v>
    <v>268435456</v>
    <v>1</v>
    <v>Da plataforma Refinitiv</v>
    <v>14</v>
    <v>15</v>
    <v>JSL S.A. (BVMF:JSLG3)</v>
    <v>12</v>
    <v>16</v>
    <v>Finance</v>
    <v>5</v>
    <v>9.6199999999999992</v>
    <v>5</v>
    <v>BVMF</v>
    <v>286431100</v>
    <v>5.39</v>
    <v>1969</v>
    <v>5.2</v>
    <v>1.4762</v>
    <v>B3 - Brazil Stock Exchange</v>
    <v>1518084830</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5.33</v>
    <v>28000</v>
    <v>45884.958333333336</v>
    <v>634</v>
    <v>585550</v>
    <v>BRL</v>
    <v>JSL S.A.</v>
    <v>JSL S.A.</v>
    <v>5.39</v>
    <v>5.3</v>
    <v>Rua Doutor Renato Paes de Barros, 1017, Conjunto 91,ED. Corporate Park, Itaim Bibi, SAO PAULO, SAO PAULO, 04.530-001 BR</v>
    <v>Freight &amp; Logistics Services</v>
    <v>JSLG3</v>
    <v>Ações</v>
    <v>JSL S.A. (BVMF:JSLG3)</v>
    <v>-0.03</v>
    <v>-5.6289999999999995E-3</v>
    <v>389900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6.84</v>
    <v>1.74</v>
    <v>BVMF</v>
    <v>651756300</v>
    <v>5.37</v>
    <v>2010</v>
    <v>5.0999999999999996</v>
    <v>1.3433999999999999</v>
    <v>B3 - Brazil Stock Exchange</v>
    <v>3499931331</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5.39</v>
    <v>45884.958356481482</v>
    <v>637</v>
    <v>853310</v>
    <v>BRL</v>
    <v>Oncoclínicas do Brasil Serviços Médicos S.A.</v>
    <v>Oncoclínicas do Brasil Serviços Médicos S.A.</v>
    <v>5.2</v>
    <v>5.37</v>
    <v>Avenida Presidente Juscelino Kubitschek, n 510 2 andar, Vila Nova Conceicao, SAO PAULO, SAO PAULO, 04.543-906 BR</v>
    <v>Healthcare Providers &amp; Services</v>
    <v>ONCO3</v>
    <v>Ações</v>
    <v>Oncoclínicas do Brasil Serviços Médicos S.A. (BVMF:ONCO3)</v>
    <v>-0.02</v>
    <v>-3.7109999999999999E-3</v>
    <v>1321200</v>
  </rv>
  <rv s="2">
    <v>638</v>
  </rv>
  <rv s="0">
    <v>https://www.bing.com/financeapi/forcetrigger?t=apltk2&amp;q=BVMF%3aAALR3&amp;form=skydnc</v>
    <v>Learn more on Bing</v>
  </rv>
  <rv s="9">
    <v>pt-BR</v>
    <v>apltk2</v>
    <v>268435456</v>
    <v>1</v>
    <v>Da plataforma Refinitiv</v>
    <v>17</v>
    <v>18</v>
    <v>ALLIANÇA SAÚDE E PARTICIPAÇÕES S.A. (BVMF:AALR3)</v>
    <v>12</v>
    <v>19</v>
    <v>Finance</v>
    <v>5</v>
    <v>16.489999999999998</v>
    <v>3.88</v>
    <v>BVMF</v>
    <v>152359500</v>
    <v>5.65</v>
    <v>1992</v>
    <v>5.41</v>
    <v>0.90229999999999999</v>
    <v>B3 - Brazil Stock Exchange</v>
    <v>837977250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5.54</v>
    <v>45884.958391203705</v>
    <v>640</v>
    <v>104790</v>
    <v>BRL</v>
    <v>ALLIANÇA SAÚDE E PARTICIPAÇÕES S.A.</v>
    <v>ALLIANÇA SAÚDE E PARTICIPAÇÕES S.A.</v>
    <v>5.49</v>
    <v>5.5</v>
    <v>Avenida Presidente Juscelino Kubitschek, 1830, Sala 111 - Bloco 1, Vila Nova Conceicao, SAO PAULO, SAO PAULO, 04.543-900 BR</v>
    <v>Healthcare Providers &amp; Services</v>
    <v>AALR3</v>
    <v>Ações</v>
    <v>ALLIANÇA SAÚDE E PARTICIPAÇÕES S.A. (BVMF:AALR3)</v>
    <v>-0.04</v>
    <v>-7.2199999999999999E-3</v>
    <v>47900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2.88</v>
    <v>1977</v>
    <v>2.68</v>
    <v>2.0082</v>
    <v>B3 - Brazil Stock Exchange</v>
    <v>385491168</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2.81</v>
    <v>183</v>
    <v>45884.958333333336</v>
    <v>643</v>
    <v>1226050</v>
    <v>BRL</v>
    <v>HELBOR EMPREENDIMENTOS S.A.</v>
    <v>HELBOR EMPREENDIMENTOS S.A.</v>
    <v>2.85</v>
    <v>2.88</v>
    <v>Av. Vereador Narciso Yague Guimaraes, N 1145,15 Andar, Jardim Armenia, MOGI DAS CRUZES, SAO PAULO, 08.780-500 BR</v>
    <v>Real Estate Operations</v>
    <v>HBOR3</v>
    <v>Ações</v>
    <v>HELBOR EMPREENDIMENTOS S.A. (BVMF:HBOR3)</v>
    <v>7.0000000000000007E-2</v>
    <v>2.4910999999999999E-2</v>
    <v>1967500</v>
  </rv>
  <rv s="2">
    <v>644</v>
  </rv>
  <rv s="0">
    <v>https://www.bing.com/financeapi/forcetrigger?t=apmbxm&amp;q=BVMF%3aCRPG5&amp;form=skydnc</v>
    <v>Learn more on Bing</v>
  </rv>
  <rv s="9">
    <v>pt-BR</v>
    <v>apmbxm</v>
    <v>268435456</v>
    <v>1</v>
    <v>Da plataforma Refinitiv</v>
    <v>17</v>
    <v>18</v>
    <v>Tronox Pigmentos do Brasil SA (BVMF:CRPG5)</v>
    <v>12</v>
    <v>19</v>
    <v>Finance</v>
    <v>5</v>
    <v>29.49</v>
    <v>14.62</v>
    <v>BVMF</v>
    <v>29018750</v>
    <v>15.99</v>
    <v>1966</v>
    <v>14.87</v>
    <v>0.81810000000000005</v>
    <v>B3 - Brazil Stock Exchange</v>
    <v>471934300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15.25</v>
    <v>45884.958333333336</v>
    <v>646</v>
    <v>1530</v>
    <v>BRL</v>
    <v>Tronox Pigmentos do Brasil SA</v>
    <v>Tronox Pigmentos do Brasil SA</v>
    <v>15.49</v>
    <v>14.87</v>
    <v>Rodovia Ba 099 Km 20 Centro, Abrantes, CAMACARI, BAHIA, 42.840-000 BR</v>
    <v>Chemicals</v>
    <v>CRPG5</v>
    <v>Ações</v>
    <v>Tronox Pigmentos do Brasil SA (BVMF:CRPG5)</v>
    <v>-0.38</v>
    <v>-2.4917999999999999E-2</v>
    <v>3100</v>
  </rv>
  <rv s="2">
    <v>647</v>
  </rv>
  <rv s="0">
    <v>https://www.bing.com/financeapi/forcetrigger?t=apmvrw&amp;q=BVMF%3aLOGN3&amp;form=skydnc</v>
    <v>Learn more on Bing</v>
  </rv>
  <rv s="8">
    <v>pt-BR</v>
    <v>apmvrw</v>
    <v>268435456</v>
    <v>1</v>
    <v>Da plataforma Refinitiv</v>
    <v>14</v>
    <v>15</v>
    <v>LOG-IN LOGISTICA INTERMODAL S.A. (BVMF:LOGN3)</v>
    <v>12</v>
    <v>16</v>
    <v>Finance</v>
    <v>5</v>
    <v>38.5</v>
    <v>19.25</v>
    <v>BVMF</v>
    <v>107306500</v>
    <v>25.15</v>
    <v>1973</v>
    <v>24.91</v>
    <v>0.96730000000000005</v>
    <v>B3 - Brazil Stock Exchange</v>
    <v>2692320085</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25</v>
    <v>750</v>
    <v>45884.958333333336</v>
    <v>649</v>
    <v>14900</v>
    <v>BRL</v>
    <v>LOG-IN LOGISTICA INTERMODAL S.A.</v>
    <v>LOG-IN LOGISTICA INTERMODAL S.A.</v>
    <v>24.91</v>
    <v>25.09</v>
    <v>Rua do Passeio, 78 12 andar - 1201, Centro, RIO DE JANEIRO, RIO DE JANEIRO, 20.021-290 BR</v>
    <v>Freight &amp; Logistics Services</v>
    <v>LOGN3</v>
    <v>Ações</v>
    <v>LOG-IN LOGISTICA INTERMODAL S.A. (BVMF:LOGN3)</v>
    <v>0.09</v>
    <v>3.5999999999999999E-3</v>
    <v>3500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7.65</v>
    <v>3.54</v>
    <v>BVMF</v>
    <v>1081033000</v>
    <v>3.91</v>
    <v>2015</v>
    <v>3.8</v>
    <v>1.2727999999999999</v>
    <v>B3 - Brazil Stock Exchange</v>
    <v>4161975000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3.85</v>
    <v>2291</v>
    <v>45884.958356481482</v>
    <v>652</v>
    <v>13538790</v>
    <v>BRL</v>
    <v>Vamos Locação de Caminhões, Máquinas e Equipamentos S.A.</v>
    <v>Vamos Locação de Caminhões, Máquinas e Equipamentos S.A.</v>
    <v>3.9</v>
    <v>3.83</v>
    <v>Rua Doutor Renato Paes de Barros, 1017, 6 andar, Itaim Bibi, SAO PAULO, SAO PAULO, 04.530-001 BR</v>
    <v>Freight &amp; Logistics Services</v>
    <v>VAMO3</v>
    <v>Ações</v>
    <v>Vamos Locação de Caminhões, Máquinas e Equipamentos S.A. (BVMF:VAMO3)</v>
    <v>-0.02</v>
    <v>-5.195E-3</v>
    <v>12382300</v>
  </rv>
  <rv s="2">
    <v>653</v>
  </rv>
  <rv s="0">
    <v>https://www.bing.com/financeapi/forcetrigger?t=apmsww&amp;q=BVMF%3aJHSF3&amp;form=skydnc</v>
    <v>Learn more on Bing</v>
  </rv>
  <rv s="9">
    <v>pt-BR</v>
    <v>apmsww</v>
    <v>268435456</v>
    <v>1</v>
    <v>Da plataforma Refinitiv</v>
    <v>17</v>
    <v>18</v>
    <v>JHS F Participações S.A (BVMF:JHSF3)</v>
    <v>12</v>
    <v>19</v>
    <v>Finance</v>
    <v>5</v>
    <v>5.55</v>
    <v>3.39</v>
    <v>BVMF</v>
    <v>681322800</v>
    <v>5.49</v>
    <v>2006</v>
    <v>5.32</v>
    <v>1.5088999999999999</v>
    <v>B3 - Brazil Stock Exchange</v>
    <v>3713209260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5.27</v>
    <v>45884.958333333336</v>
    <v>655</v>
    <v>2300390</v>
    <v>BRL</v>
    <v>JHS F Participações S.A</v>
    <v>JHS F Participações S.A</v>
    <v>5.36</v>
    <v>5.45</v>
    <v>Avenida Alcides Sangirardi s/n - 301 Usina SP Espaco C.01.01, Cidade Jardim, SAO PAULO, SAO PAULO, 05.672-015 BR</v>
    <v>Real Estate Operations</v>
    <v>JHSF3</v>
    <v>Ações</v>
    <v>JHS F Participações S.A (BVMF:JHSF3)</v>
    <v>0.18</v>
    <v>3.4155999999999999E-2</v>
    <v>4142700</v>
  </rv>
  <rv s="2">
    <v>656</v>
  </rv>
  <rv s="0">
    <v>https://www.bing.com/financeapi/forcetrigger?t=apmtf2&amp;q=BVMF%3aSIMH3&amp;form=skydnc</v>
    <v>Learn more on Bing</v>
  </rv>
  <rv s="8">
    <v>pt-BR</v>
    <v>apmtf2</v>
    <v>268435456</v>
    <v>1</v>
    <v>Da plataforma Refinitiv</v>
    <v>14</v>
    <v>15</v>
    <v>SIMPAR S.A. (BVMF:SIMH3)</v>
    <v>12</v>
    <v>16</v>
    <v>Finance</v>
    <v>5</v>
    <v>7.04</v>
    <v>2.95</v>
    <v>BVMF</v>
    <v>873040500</v>
    <v>4.5199999999999996</v>
    <v>2005</v>
    <v>4.22</v>
    <v>1.6484000000000001</v>
    <v>B3 - Brazil Stock Exchange</v>
    <v>3727882934</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4.45</v>
    <v>55000</v>
    <v>45884.958391203705</v>
    <v>658</v>
    <v>4731960</v>
    <v>BRL</v>
    <v>SIMPAR S.A.</v>
    <v>SIMPAR S.A.</v>
    <v>4.38</v>
    <v>4.2699999999999996</v>
    <v>Rua Doutor Renato Paes de Barros, 1017, 10 andar, cj. 101, Itaim Bibi, SAO PAULO, SAO PAULO, 04.530-001 BR</v>
    <v>Freight &amp; Logistics Services</v>
    <v>SIMH3</v>
    <v>Ações</v>
    <v>SIMPAR S.A. (BVMF:SIMH3)</v>
    <v>-0.18</v>
    <v>-4.0448999999999999E-2</v>
    <v>5085700</v>
  </rv>
  <rv s="2">
    <v>659</v>
  </rv>
  <rv s="0">
    <v>https://www.bing.com/financeapi/forcetrigger?t=apmp9c&amp;q=BVMF%3aGUAR3&amp;form=skydnc</v>
    <v>Learn more on Bing</v>
  </rv>
  <rv s="8">
    <v>pt-BR</v>
    <v>apmp9c</v>
    <v>268435456</v>
    <v>1</v>
    <v>Da plataforma Refinitiv</v>
    <v>14</v>
    <v>15</v>
    <v>Guararapes Confecções S/A (BVMF:GUAR3)</v>
    <v>12</v>
    <v>16</v>
    <v>Finance</v>
    <v>5</v>
    <v>9.57</v>
    <v>5.48</v>
    <v>BVMF</v>
    <v>499200000</v>
    <v>8.33</v>
    <v>1956</v>
    <v>8.08</v>
    <v>2.2061000000000002</v>
    <v>B3 - Brazil Stock Exchange</v>
    <v>4073472000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8.14</v>
    <v>31919</v>
    <v>45884.958391203705</v>
    <v>661</v>
    <v>1141280</v>
    <v>BRL</v>
    <v>Guararapes Confecções S/A</v>
    <v>Guararapes Confecções S/A</v>
    <v>8.14</v>
    <v>8.16</v>
    <v>Rodovia BR 101 Norte, n 9.000, Anexo Guararapes Confeccoes, N. Sra. Apresentacao, NATAL, RIO GRANDE DO NORTE, 59.115-900 BR</v>
    <v>Specialty Retailers</v>
    <v>GUAR3</v>
    <v>Ações</v>
    <v>Guararapes Confecções S/A (BVMF:GUAR3)</v>
    <v>0.02</v>
    <v>2.457E-3</v>
    <v>579700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1.75</v>
    <v>1.64</v>
    <v>BVMF</v>
    <v>10000000</v>
    <v>1.64</v>
    <v>2005</v>
    <v>1.64</v>
    <v>2.1299000000000001</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2.9</v>
    <v>1998</v>
    <v>2.82</v>
    <v>1.8645</v>
    <v>B3 - Brazil Stock Exchange</v>
    <v>5310794980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2.87</v>
    <v>26933</v>
    <v>45884.958356481482</v>
    <v>667</v>
    <v>40342790</v>
    <v>BRL</v>
    <v>COGNA EDUCAÇÃO S.A.</v>
    <v>COGNA EDUCAÇÃO S.A.</v>
    <v>2.87</v>
    <v>2.83</v>
    <v>Rua dos Guajajaras, n 591 4 andar, sala 1, Lourdes, BELO HORIZONTE, MINAS GERAIS, 30.180-101 BR</v>
    <v>School, College &amp; University</v>
    <v>COGN3</v>
    <v>Ações</v>
    <v>COGNA EDUCAÇÃO S.A. (BVMF:COGN3)</v>
    <v>-0.04</v>
    <v>-1.3937E-2</v>
    <v>17273100</v>
  </rv>
  <rv s="2">
    <v>668</v>
  </rv>
  <rv s="0">
    <v>https://www.bing.com/financeapi/forcetrigger?t=apn2nm&amp;q=BVMF%3aOIBR4&amp;form=skydnc</v>
    <v>Learn more on Bing</v>
  </rv>
  <rv s="8">
    <v>pt-BR</v>
    <v>apn2nm</v>
    <v>268435456</v>
    <v>1</v>
    <v>Da plataforma Refinitiv</v>
    <v>14</v>
    <v>15</v>
    <v>Oi S.A. – Em Recuperação Judicial (BVMF:OIBR4)</v>
    <v>12</v>
    <v>16</v>
    <v>Finance</v>
    <v>5</v>
    <v>14.3</v>
    <v>5.65</v>
    <v>BVMF</v>
    <v>330121700</v>
    <v>7.56</v>
    <v>1963</v>
    <v>7.3</v>
    <v>1.3706</v>
    <v>B3 - Brazil Stock Exchange</v>
    <v>195893300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7.55</v>
    <v>2600</v>
    <v>45884.833252314813</v>
    <v>670</v>
    <v>17980</v>
    <v>BRL</v>
    <v>Oi S.A. – Em Recuperação Judicial</v>
    <v>Oi S.A. – Em Recuperação Judicial</v>
    <v>7.47</v>
    <v>7.3</v>
    <v>Rua do Lavradio, 71,2 andar, Centro, RIO DE JANEIRO, RIO DE JANEIRO, 20.230-070 BR</v>
    <v>Telecommunications Services</v>
    <v>OIBR4</v>
    <v>Ações</v>
    <v>Oi S.A. – Em Recuperação Judicial (BVMF:OIBR4)</v>
    <v>-0.25</v>
    <v>-3.3113000000000004E-2</v>
    <v>2500</v>
  </rv>
  <rv s="2">
    <v>671</v>
  </rv>
  <rv s="0">
    <v>https://www.bing.com/financeapi/forcetrigger?t=c3an52&amp;q=BVMF%3aVITT3&amp;form=skydnc</v>
    <v>Learn more on Bing</v>
  </rv>
  <rv s="8">
    <v>pt-BR</v>
    <v>c3an52</v>
    <v>268435456</v>
    <v>1</v>
    <v>Da plataforma Refinitiv</v>
    <v>14</v>
    <v>15</v>
    <v>VITTIA S.A. (BVMF:VITT3)</v>
    <v>12</v>
    <v>16</v>
    <v>Finance</v>
    <v>5</v>
    <v>6.1</v>
    <v>4.2</v>
    <v>BVMF</v>
    <v>150314000</v>
    <v>4.6500000000000004</v>
    <v>1971</v>
    <v>4.3099999999999996</v>
    <v>0.99539999999999995</v>
    <v>B3 - Brazil Stock Exchange</v>
    <v>698960100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4.32</v>
    <v>1158</v>
    <v>45884.958391203705</v>
    <v>673</v>
    <v>194780</v>
    <v>BRL</v>
    <v>VITTIA S.A.</v>
    <v>VITTIA S.A.</v>
    <v>4.32</v>
    <v>4.6500000000000004</v>
    <v>Av. MarginAvenida Marginal Esquerda, 1.000al Esquerda, 1.000, Distrito Industrial, Sao Joaquim da Barra, SAO PAULO, 14.600-000 BR</v>
    <v>Chemicals</v>
    <v>VITT3</v>
    <v>Ações</v>
    <v>VITTIA S.A. (BVMF:VITT3)</v>
    <v>0.33</v>
    <v>7.6388999999999999E-2</v>
    <v>255600</v>
  </rv>
  <rv s="2">
    <v>674</v>
  </rv>
  <rv s="0">
    <v>https://www.bing.com/financeapi/forcetrigger?t=apn7bh&amp;q=BVMF%3aPTBL3&amp;form=skydnc</v>
    <v>Learn more on Bing</v>
  </rv>
  <rv s="8">
    <v>pt-BR</v>
    <v>apn7bh</v>
    <v>268435456</v>
    <v>1</v>
    <v>Da plataforma Refinitiv</v>
    <v>14</v>
    <v>15</v>
    <v>PBG S/A (BVMF:PTBL3)</v>
    <v>12</v>
    <v>16</v>
    <v>Finance</v>
    <v>5</v>
    <v>5.55</v>
    <v>3.25</v>
    <v>BVMF</v>
    <v>140986900</v>
    <v>3.77</v>
    <v>1977</v>
    <v>3.65</v>
    <v>1.7684</v>
    <v>B3 - Brazil Stock Exchange</v>
    <v>531520600</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3.7</v>
    <v>2448</v>
    <v>45884.958391203705</v>
    <v>676</v>
    <v>229850</v>
    <v>BRL</v>
    <v>PBG S/A</v>
    <v>PBG S/A</v>
    <v>3.71</v>
    <v>3.77</v>
    <v>Sc-401 4756, Saco Grande, FLORIANOPOLIS, SANTA CATARINA, 88.032-005 BR</v>
    <v>Homebuilding &amp; Construction Supplies</v>
    <v>PTBL3</v>
    <v>Ações</v>
    <v>PBG S/A (BVMF:PTBL3)</v>
    <v>7.0000000000000007E-2</v>
    <v>1.8918999999999998E-2</v>
    <v>84400</v>
  </rv>
  <rv s="2">
    <v>677</v>
  </rv>
  <rv s="0">
    <v>https://www.bing.com/financeapi/forcetrigger?t=c1c2vh&amp;q=BVMF%3aVVEO3&amp;form=skydnc</v>
    <v>Learn more on Bing</v>
  </rv>
  <rv s="8">
    <v>pt-BR</v>
    <v>c1c2vh</v>
    <v>268435456</v>
    <v>1</v>
    <v>Da plataforma Refinitiv</v>
    <v>14</v>
    <v>15</v>
    <v>CM Hospitalar S.A. (BVMF:VVEO3)</v>
    <v>12</v>
    <v>16</v>
    <v>Finance</v>
    <v>5</v>
    <v>2.94</v>
    <v>0.93</v>
    <v>BVMF</v>
    <v>322820600</v>
    <v>1</v>
    <v>2010</v>
    <v>0.93</v>
    <v>0.95269999999999999</v>
    <v>B3 - Brazil Stock Exchange</v>
    <v>300223158</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0.98</v>
    <v>6000</v>
    <v>45884.958391203705</v>
    <v>679</v>
    <v>758820</v>
    <v>BRL</v>
    <v>CM Hospitalar S.A.</v>
    <v>CM Hospitalar S.A.</v>
    <v>1</v>
    <v>0.93</v>
    <v>Avenida Luiz Maggioni, n 2.727, Distrito Empresarial, RIBEIRAO PRETO, SAO PAULO, 14.072-055 BR</v>
    <v>Pharmaceuticals</v>
    <v>VVEO3</v>
    <v>Ações</v>
    <v>CM Hospitalar S.A. (BVMF:VVEO3)</v>
    <v>-0.05</v>
    <v>-5.1020000000000003E-2</v>
    <v>1121400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5.37</v>
    <v>2.5499999999999998</v>
    <v>BVMF</v>
    <v>103189000</v>
    <v>3.7</v>
    <v>2011</v>
    <v>3.61</v>
    <v>1.4412</v>
    <v>B3 - Brazil Stock Exchange</v>
    <v>381799300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3.63</v>
    <v>45884.958391203705</v>
    <v>682</v>
    <v>281660</v>
    <v>BRL</v>
    <v>HBR Realty Empreendimentos Imobiliários S.A.</v>
    <v>HBR Realty Empreendimentos Imobiliários S.A.</v>
    <v>3.68</v>
    <v>3.7</v>
    <v>Avenida Vereador Narciso Yague Guimaraes, 1.145, 2 andar, Jardim Armenia, Mogi Das Cruzes, SAO PAULO, 08.780-500 BR</v>
    <v>Real Estate Operations</v>
    <v>HBRE3</v>
    <v>Ações</v>
    <v>HBR Realty Empreendimentos Imobiliários S.A. (BVMF:HBRE3)</v>
    <v>7.0000000000000007E-2</v>
    <v>1.9283999999999999E-2</v>
    <v>87800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2.14</v>
    <v>1991</v>
    <v>2.1</v>
    <v>0.66539999999999999</v>
    <v>B3 - Brazil Stock Exchange</v>
    <v>91916601</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2.11</v>
    <v>296</v>
    <v>45884.958333333336</v>
    <v>685</v>
    <v>2140</v>
    <v>BRL</v>
    <v>RNI Negócios Imobiliários S.A.</v>
    <v>RNI Negócios Imobiliários S.A.</v>
    <v>2.13</v>
    <v>2.1</v>
    <v>Av. Francisco das Chagas de Oliveira, 2.500, SAO JOSE DO RIO PRETO, SAO PAULO, 15.085-485 BR</v>
    <v>Real Estate Operations</v>
    <v>RDNI3</v>
    <v>Ações</v>
    <v>RNI Negócios Imobiliários S.A. (BVMF:RDNI3)</v>
    <v>-0.01</v>
    <v>-4.7390000000000002E-3</v>
    <v>3000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2.87</v>
    <v>1981</v>
    <v>2.61</v>
    <v>1.954</v>
    <v>B3 - Brazil Stock Exchange</v>
    <v>1397617200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2.67</v>
    <v>110000</v>
    <v>45884.958356481482</v>
    <v>688</v>
    <v>13009160</v>
    <v>BRL</v>
    <v>Companhia Brasileira de Distribuição S.A.</v>
    <v>Companhia Brasileira de Distribuição S.A.</v>
    <v>2.67</v>
    <v>2.85</v>
    <v>Avenida Brigadeiro Luis Antonio, 3142, Jardim Paulista, SAO PAULO, SAO PAULO, 01.402-901 BR</v>
    <v>Food &amp; Drug Retailing</v>
    <v>PCAR3</v>
    <v>Ações</v>
    <v>Companhia Brasileira de Distribuição S.A. (BVMF:PCAR3)</v>
    <v>0.18</v>
    <v>6.7416000000000004E-2</v>
    <v>20299200</v>
  </rv>
  <rv s="2">
    <v>689</v>
  </rv>
  <rv s="0">
    <v>https://www.bing.com/financeapi/forcetrigger?t=bwihur&amp;q=BVMF%3aCASH3&amp;form=skydnc</v>
    <v>Learn more on Bing</v>
  </rv>
  <rv s="8">
    <v>pt-BR</v>
    <v>bwihur</v>
    <v>268435456</v>
    <v>1</v>
    <v>Da plataforma Refinitiv</v>
    <v>14</v>
    <v>15</v>
    <v>MÉLIUZ S.A. (BVMF:CASH3)</v>
    <v>12</v>
    <v>16</v>
    <v>Finance</v>
    <v>5</v>
    <v>10.34</v>
    <v>2.4</v>
    <v>BVMF</v>
    <v>112784600</v>
    <v>5.75</v>
    <v>2011</v>
    <v>5.38</v>
    <v>1.9188000000000001</v>
    <v>B3 - Brazil Stock Exchange</v>
    <v>611292532</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5.6</v>
    <v>470</v>
    <v>45884.958333333336</v>
    <v>691</v>
    <v>2722580</v>
    <v>BRL</v>
    <v>MÉLIUZ S.A.</v>
    <v>MÉLIUZ S.A.</v>
    <v>5.75</v>
    <v>5.42</v>
    <v>Rua Jose Versolato, n 111-B Sala 3014, Bairro Carmo, Belo Horizonte, MINAS GERAIS, 30.310-030 BR</v>
    <v>Software &amp; IT Services</v>
    <v>CASH3</v>
    <v>Ações</v>
    <v>MÉLIUZ S.A. (BVMF:CASH3)</v>
    <v>-0.18</v>
    <v>-3.2143000000000005E-2</v>
    <v>2507200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4.0599999999999996</v>
    <v>1968</v>
    <v>3.98</v>
    <v>0.4899</v>
    <v>B3 - Brazil Stock Exchange</v>
    <v>218660556</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4.0999999999999996</v>
    <v>1466</v>
    <v>45884.958391203705</v>
    <v>694</v>
    <v>9400</v>
    <v>BRL</v>
    <v>FERTILIZANTES HERINGER S.A.</v>
    <v>FERTILIZANTES HERINGER S.A.</v>
    <v>3.98</v>
    <v>4.0599999999999996</v>
    <v>Avenida Irene Karcher, 620, n/a, Betel, PAULINIA, SAO PAULO, 13.148-906 BR</v>
    <v>Chemicals</v>
    <v>FHER3</v>
    <v>Ações</v>
    <v>FERTILIZANTES HERINGER S.A. (BVMF:FHER3)</v>
    <v>-0.04</v>
    <v>-9.7560000000000008E-3</v>
    <v>2100</v>
  </rv>
  <rv s="2">
    <v>695</v>
  </rv>
  <rv s="0">
    <v>https://www.bing.com/financeapi/forcetrigger?t=apmngh&amp;q=BVMF%3aGFSA3&amp;form=skydnc</v>
    <v>Learn more on Bing</v>
  </rv>
  <rv s="8">
    <v>pt-BR</v>
    <v>apmngh</v>
    <v>268435456</v>
    <v>1</v>
    <v>Da plataforma Refinitiv</v>
    <v>14</v>
    <v>15</v>
    <v>Gafisa S.A. (BVMF:GFSA3)</v>
    <v>12</v>
    <v>16</v>
    <v>Finance</v>
    <v>5</v>
    <v>61.8</v>
    <v>13.8</v>
    <v>BVMF</v>
    <v>11160570</v>
    <v>14.69</v>
    <v>1996</v>
    <v>13.8</v>
    <v>1.93</v>
    <v>B3 - Brazil Stock Exchange</v>
    <v>154015866</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14.41</v>
    <v>295</v>
    <v>45884.958391203705</v>
    <v>697</v>
    <v>327010</v>
    <v>BRL</v>
    <v>Gafisa S.A.</v>
    <v>Gafisa S.A.</v>
    <v>14.61</v>
    <v>13.8</v>
    <v>Av. Pres. Juscelino Kubitschek, 1830, conjunto comercial 32, 3 andar, Bloco 2, Itaim Bibi, SAO PAULO, SAO PAULO, 04.543-900 BR</v>
    <v>Real Estate Operations</v>
    <v>GFSA3</v>
    <v>Ações</v>
    <v>Gafisa S.A. (BVMF:GFSA3)</v>
    <v>-0.61</v>
    <v>-4.2332000000000002E-2</v>
    <v>266400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23.1</v>
    <v>2001</v>
    <v>22.56</v>
    <v>1.0905</v>
    <v>B3 - Brazil Stock Exchange</v>
    <v>14454662656</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23</v>
    <v>9000</v>
    <v>45884.958356481482</v>
    <v>700</v>
    <v>4142220</v>
    <v>BRL</v>
    <v>Hypera S.A.</v>
    <v>Hypera S.A.</v>
    <v>22.94</v>
    <v>22.82</v>
    <v>Rua Nova Cidade, 404, Vila Olimpia, SAO PAULO, SAO PAULO, 04.547-070 BR</v>
    <v>Pharmaceuticals</v>
    <v>HYPE3</v>
    <v>Ações</v>
    <v>Hypera S.A. (BVMF:HYPE3)</v>
    <v>-0.18</v>
    <v>-7.8259999999999996E-3</v>
    <v>1293100</v>
  </rv>
  <rv s="2">
    <v>701</v>
  </rv>
  <rv s="0">
    <v>https://www.bing.com/financeapi/forcetrigger?t=bwh3vh&amp;q=BVMF%3aENJU3&amp;form=skydnc</v>
    <v>Learn more on Bing</v>
  </rv>
  <rv s="8">
    <v>pt-BR</v>
    <v>bwh3vh</v>
    <v>268435456</v>
    <v>1</v>
    <v>Da plataforma Refinitiv</v>
    <v>14</v>
    <v>15</v>
    <v>ENJOEI S.A. (BVMF:ENJU3)</v>
    <v>12</v>
    <v>16</v>
    <v>Finance</v>
    <v>5</v>
    <v>1.87</v>
    <v>0.91</v>
    <v>BVMF</v>
    <v>205018000</v>
    <v>1</v>
    <v>2012</v>
    <v>0.98</v>
    <v>1.7886</v>
    <v>B3 - Brazil Stock Exchange</v>
    <v>202967820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0.98</v>
    <v>76</v>
    <v>45884.958391203705</v>
    <v>703</v>
    <v>933230</v>
    <v>BRL</v>
    <v>ENJOEI S.A.</v>
    <v>ENJOEI S.A.</v>
    <v>1</v>
    <v>0.99</v>
    <v>Av. Presidente Juscelino Kubitschek, 1830 12 Andar, Torre 4, Vila Nova Conceicao, Sao Paulo, SAO PAULO, 04.543-900 BR</v>
    <v>Software &amp; IT Services</v>
    <v>ENJU3</v>
    <v>Ações</v>
    <v>ENJOEI S.A. (BVMF:ENJU3)</v>
    <v>0.01</v>
    <v>1.0204E-2</v>
    <v>534700</v>
  </rv>
  <rv s="2">
    <v>704</v>
  </rv>
  <rv s="0">
    <v>https://www.bing.com/financeapi/forcetrigger?t=c2yvmw&amp;q=BVMF%3aRAIZ4&amp;form=skydnc</v>
    <v>Learn more on Bing</v>
  </rv>
  <rv s="8">
    <v>pt-BR</v>
    <v>c2yvmw</v>
    <v>268435456</v>
    <v>1</v>
    <v>Da plataforma Refinitiv</v>
    <v>14</v>
    <v>15</v>
    <v>Raízen S.A. (BVMF:RAIZ4)</v>
    <v>12</v>
    <v>16</v>
    <v>Finance</v>
    <v>5</v>
    <v>3.35</v>
    <v>1.02</v>
    <v>BVMF</v>
    <v>1358937000</v>
    <v>1.08</v>
    <v>1961</v>
    <v>1.02</v>
    <v>1.1338999999999999</v>
    <v>B3 - Brazil Stock Exchange</v>
    <v>1413294480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1.05</v>
    <v>45417</v>
    <v>45884.958356481482</v>
    <v>706</v>
    <v>30797760</v>
    <v>BRL</v>
    <v>Raízen S.A.</v>
    <v>Raízen S.A.</v>
    <v>1.05</v>
    <v>1.04</v>
    <v>Avenida Afonso Arinos de Melo Franco, 222. Sala 321, Barra da Tijuca, RIO DE JANEIRO, RIO DE JANEIRO, 22.631-455 BR</v>
    <v>Oil &amp; Gas</v>
    <v>RAIZ4</v>
    <v>Ações</v>
    <v>Raízen S.A. (BVMF:RAIZ4)</v>
    <v>-0.01</v>
    <v>-9.5239999999999995E-3</v>
    <v>36509100</v>
  </rv>
  <rv s="2">
    <v>707</v>
  </rv>
  <rv s="0">
    <v>https://www.bing.com/financeapi/forcetrigger?t=aplygh&amp;q=BVMF%3aBBAS3&amp;form=skydnc</v>
    <v>Learn more on Bing</v>
  </rv>
  <rv s="8">
    <v>pt-BR</v>
    <v>aplygh</v>
    <v>268435456</v>
    <v>1</v>
    <v>Da plataforma Refinitiv</v>
    <v>14</v>
    <v>15</v>
    <v>Banco do Brasil S.A. (BVMF:BBAS3)</v>
    <v>12</v>
    <v>16</v>
    <v>Finance</v>
    <v>5</v>
    <v>29.49</v>
    <v>18.12</v>
    <v>BVMF</v>
    <v>5730834000</v>
    <v>20.8</v>
    <v>1808</v>
    <v>19.02</v>
    <v>0.998</v>
    <v>B3 - Brazil Stock Exchange</v>
    <v>113757100000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19.850000000000001</v>
    <v>85953</v>
    <v>45884.958333333336</v>
    <v>709</v>
    <v>43760750</v>
    <v>BRL</v>
    <v>Banco do Brasil S.A.</v>
    <v>Banco do Brasil S.A.</v>
    <v>19.03</v>
    <v>20.65</v>
    <v>Saun Quadra 05, Lote B Ed. BB, Asa Norte, BRASILIA, DISTRITO FEDERAL, 70.040-912 BR</v>
    <v>Banking Services</v>
    <v>BBAS3</v>
    <v>Ações</v>
    <v>Banco do Brasil S.A. (BVMF:BBAS3)</v>
    <v>0.8</v>
    <v>4.0301999999999998E-2</v>
    <v>131325700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4.45</v>
    <v>1974</v>
    <v>4.3600000000000003</v>
    <v>0.46700000000000003</v>
    <v>B3 - Brazil Stock Exchange</v>
    <v>65237902</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4.45</v>
    <v>45884.958333333336</v>
    <v>712</v>
    <v>15050</v>
    <v>BRL</v>
    <v>EMBPAR PARTICIPAÇÕES S/A</v>
    <v>EMBPAR PARTICIPAÇÕES S/A</v>
    <v>4.3899999999999997</v>
    <v>4.3899999999999997</v>
    <v>Alameda Bom Pastor, 3700,Lote A, Sala 06, Barro Preto, SAO JOSE DOS PINHAIS, PARANA, 83.015-140 BR</v>
    <v>Automobiles &amp; Auto Parts</v>
    <v>EPAR3</v>
    <v>Ações</v>
    <v>EMBPAR PARTICIPAÇÕES S/A (BVMF:EPAR3)</v>
    <v>-0.06</v>
    <v>-1.3483E-2</v>
    <v>1500</v>
  </rv>
  <rv s="2">
    <v>713</v>
  </rv>
  <rv s="0">
    <v>https://www.bing.com/financeapi/forcetrigger?t=apm7dm&amp;q=BVMF%3aSYNE3&amp;form=skydnc</v>
    <v>Learn more on Bing</v>
  </rv>
  <rv s="9">
    <v>pt-BR</v>
    <v>apm7dm</v>
    <v>268435456</v>
    <v>1</v>
    <v>Da plataforma Refinitiv</v>
    <v>17</v>
    <v>18</v>
    <v>SYN prop e tech S.A. (BVMF:SYNE3)</v>
    <v>12</v>
    <v>19</v>
    <v>Finance</v>
    <v>5</v>
    <v>7.2</v>
    <v>3.59</v>
    <v>BVMF</v>
    <v>152644400</v>
    <v>7.08</v>
    <v>2007</v>
    <v>6.75</v>
    <v>0.78949999999999998</v>
    <v>B3 - Brazil Stock Exchange</v>
    <v>1063932000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6.97</v>
    <v>45884.958391203705</v>
    <v>715</v>
    <v>485460</v>
    <v>BRL</v>
    <v>SYN prop e tech S.A.</v>
    <v>SYN prop e tech S.A.</v>
    <v>6.97</v>
    <v>6.97</v>
    <v>Avenida Brigadeiro Faria Lima, 3.600 Conj. 141 e 142, Itaim Bibi, SAO PAULO, SAO PAULO, 04.538-132 BR</v>
    <v>Real Estate Operations</v>
    <v>SYNE3</v>
    <v>Ações</v>
    <v>SYN prop e tech S.A. (BVMF:SYNE3)</v>
    <v>0</v>
    <v>0</v>
    <v>618700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7.3</v>
    <v>2006</v>
    <v>7.11</v>
    <v>1.6783999999999999</v>
    <v>B3 - Brazil Stock Exchange</v>
    <v>4029839000</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7.17</v>
    <v>30000</v>
    <v>45884.958333333336</v>
    <v>718</v>
    <v>12354430</v>
    <v>BRL</v>
    <v>MRV ENGENHARIA E PARTICIPACOES S.A.</v>
    <v>MRV ENGENHARIA E PARTICIPACOES S.A.</v>
    <v>7.2</v>
    <v>7.16</v>
    <v>Avenida Professor Mario Werneck,621, Estoril, BELO HORIZONTE, MINAS GERAIS, 30.455-610 BR</v>
    <v>Real Estate Operations</v>
    <v>MRVE3</v>
    <v>Ações</v>
    <v>MRV ENGENHARIA E PARTICIPACOES S.A. (BVMF:MRVE3)</v>
    <v>-0.01</v>
    <v>-1.3950000000000002E-3</v>
    <v>10925200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7.62</v>
    <v>2014</v>
    <v>7.21</v>
    <v>1.5227999999999999</v>
    <v>B3 - Brazil Stock Exchange</v>
    <v>2519024060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7.48</v>
    <v>6831</v>
    <v>45884.958333333336</v>
    <v>721</v>
    <v>6569100</v>
    <v>BRL</v>
    <v>Movida Participações S.A.</v>
    <v>Movida Participações S.A.</v>
    <v>7.46</v>
    <v>7.24</v>
    <v>Rua Doutor Renato Paes de Barros, 1017, Conjunto 91, Itaim Bibi, SAO PAULO, SAO PAULO, 04.530-001 BR</v>
    <v>Passenger Transportation Services</v>
    <v>MOVI3</v>
    <v>Ações</v>
    <v>Movida Participações S.A. (BVMF:MOVI3)</v>
    <v>-0.24</v>
    <v>-3.2086000000000003E-2</v>
    <v>5034000</v>
  </rv>
  <rv s="2">
    <v>722</v>
  </rv>
  <rv s="0">
    <v>https://www.bing.com/financeapi/forcetrigger?t=aplxmw&amp;q=BVMF%3aAZEV4&amp;form=skydnc</v>
    <v>Learn more on Bing</v>
  </rv>
  <rv s="9">
    <v>pt-BR</v>
    <v>aplxmw</v>
    <v>268435456</v>
    <v>1</v>
    <v>Da plataforma Refinitiv</v>
    <v>17</v>
    <v>18</v>
    <v>AZEVEDO &amp; TRAVASSOS S.A. (BVMF:AZEV4)</v>
    <v>12</v>
    <v>19</v>
    <v>Finance</v>
    <v>5</v>
    <v>1.82</v>
    <v>0.52</v>
    <v>BVMF</v>
    <v>592753700</v>
    <v>0.67</v>
    <v>1922</v>
    <v>0.57999999999999996</v>
    <v>1.0609999999999999</v>
    <v>B3 - Brazil Stock Exchange</v>
    <v>363467700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0.62</v>
    <v>45884.958333333336</v>
    <v>724</v>
    <v>1519960</v>
    <v>BRL</v>
    <v>AZEVEDO &amp; TRAVASSOS S.A.</v>
    <v>AZEVEDO &amp; TRAVASSOS S.A.</v>
    <v>0.66</v>
    <v>0.57999999999999996</v>
    <v>Rua Vicente Antonio de Oliveira 1050, Pirituba, SAO PAULO, SAO PAULO, 02.955-080 BR</v>
    <v>Construction &amp; Engineering</v>
    <v>AZEV4</v>
    <v>Ações</v>
    <v>AZEVEDO &amp; TRAVASSOS S.A. (BVMF:AZEV4)</v>
    <v>-0.04</v>
    <v>-6.4516000000000004E-2</v>
    <v>3170200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6.72</v>
    <v>BVMF</v>
    <v>1326094000</v>
    <v>7.03</v>
    <v>1941</v>
    <v>6.72</v>
    <v>1.4414</v>
    <v>B3 - Brazil Stock Exchange</v>
    <v>8977656380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6.97</v>
    <v>24924</v>
    <v>45884.958333333336</v>
    <v>729</v>
    <v>730</v>
    <v>9361400</v>
    <v>BRL</v>
    <v>Companhia Siderúrgica Nacional S. A.</v>
    <v>Companhia Siderúrgica Nacional S. A.</v>
    <v>7.01</v>
    <v>6.77</v>
    <v>Av. Brigadeiro Faria Lima, 3400, 19 andar, Itaim Bibi, SAO PAULO, SAO PAULO, 04.538-132 BR</v>
    <v>Metals &amp; Mining</v>
    <v>CSNA3</v>
    <v>Ações</v>
    <v>Companhia Siderúrgica Nacional S. A. (BVMF:CSNA3)</v>
    <v>-0.2</v>
    <v>-2.8694000000000001E-2</v>
    <v>12375000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0.88</v>
    <v>0.86</v>
    <v>BVMF</v>
    <v>30636460</v>
    <v>0.86</v>
    <v>1967</v>
    <v>0.86</v>
    <v>1.2122999999999999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5.66</v>
    <v>0.59</v>
    <v>BVMF</v>
    <v>90778350</v>
    <v>0.7</v>
    <v>2020</v>
    <v>0.59</v>
    <v>2.5390000000000001</v>
    <v>B3 - Brazil Stock Exchange</v>
    <v>53163625</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0.69</v>
    <v>2099</v>
    <v>45884.958333333336</v>
    <v>736</v>
    <v>777140</v>
    <v>BRL</v>
    <v>Infracommerce CXAAS S.A</v>
    <v>Infracommerce CXAAS S.A</v>
    <v>0.69</v>
    <v>0.59</v>
    <v>Av das Nacoes Unidas, 12.901, 32 e 33 andares, Torre Norte CENU, Cidade Moncoes, Sao Paulo, SAO PAULO, 04.578-910 BR</v>
    <v>Software &amp; IT Services</v>
    <v>IFCM3</v>
    <v>Ações</v>
    <v>Infracommerce CXAAS S.A (BVMF:IFCM3)</v>
    <v>-0.1</v>
    <v>-0.144928</v>
    <v>2197000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38.659999999999997</v>
    <v>2001</v>
    <v>37.479999999999997</v>
    <v>1.6503000000000001</v>
    <v>B3 - Brazil Stock Exchange</v>
    <v>19200500380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37.770000000000003</v>
    <v>45884.958333333336</v>
    <v>739</v>
    <v>4945640</v>
    <v>BRL</v>
    <v>Hapvida Participações e Investimentos S/A</v>
    <v>Hapvida Participações e Investimentos S/A</v>
    <v>37.69</v>
    <v>38.200000000000003</v>
    <v>Avenida Heraclito Graca n 406, Centro, FORTALEZA, CEARA, 60.140-060 BR</v>
    <v>Healthcare Providers &amp; Services</v>
    <v>HAPV3</v>
    <v>Ações</v>
    <v>Hapvida Participações e Investimentos S/A (BVMF:HAPV3)</v>
    <v>0.43</v>
    <v>1.1385000000000001E-2</v>
    <v>5542200</v>
  </rv>
  <rv s="2">
    <v>740</v>
  </rv>
  <rv s="0">
    <v>https://www.bing.com/financeapi/forcetrigger?t=bvtfnm&amp;q=BVMF%3aSEQL3&amp;form=skydnc</v>
    <v>Learn more on Bing</v>
  </rv>
  <rv s="9">
    <v>pt-BR</v>
    <v>bvtfnm</v>
    <v>268435456</v>
    <v>1</v>
    <v>Da plataforma Refinitiv</v>
    <v>17</v>
    <v>18</v>
    <v>SEQUOIA LOGÍSTICA E TRANSPORTES S.A. (BVMF:SEQL3)</v>
    <v>12</v>
    <v>19</v>
    <v>Finance</v>
    <v>5</v>
    <v>9.2100000000000009</v>
    <v>0.92</v>
    <v>BVMF</v>
    <v>50311580</v>
    <v>0.97</v>
    <v>1996</v>
    <v>0.95</v>
    <v>1.7982</v>
    <v>B3 - Brazil Stock Exchange</v>
    <v>48802232</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0.97</v>
    <v>45884.958333333336</v>
    <v>742</v>
    <v>138630</v>
    <v>BRL</v>
    <v>SEQUOIA LOGÍSTICA E TRANSPORTES S.A.</v>
    <v>SEQUOIA LOGÍSTICA E TRANSPORTES S.A.</v>
    <v>0.96</v>
    <v>0.97</v>
    <v>Alameda Rio Negro, 500 6 Andar, Sala 601, Alphaville, BARUERI, SAO PAULO, 06.454-000 BR</v>
    <v>Freight &amp; Logistics Services</v>
    <v>SEQL3</v>
    <v>Ações</v>
    <v>SEQUOIA LOGÍSTICA E TRANSPORTES S.A. (BVMF:SEQL3)</v>
    <v>0</v>
    <v>0</v>
    <v>117800</v>
  </rv>
  <rv s="2">
    <v>743</v>
  </rv>
  <rv s="0">
    <v>https://www.bing.com/financeapi/forcetrigger?t=axx6m7&amp;q=BVMF%3aBKBR3&amp;form=skydnc</v>
    <v>Learn more on Bing</v>
  </rv>
  <rv s="8">
    <v>pt-BR</v>
    <v>axx6m7</v>
    <v>268435456</v>
    <v>1</v>
    <v>Da plataforma Refinitiv</v>
    <v>14</v>
    <v>15</v>
    <v>ZAMP S.A. (BVMF:ZAMP3)</v>
    <v>12</v>
    <v>16</v>
    <v>Finance</v>
    <v>5</v>
    <v>3.69</v>
    <v>2.09</v>
    <v>BVMF</v>
    <v>406934400</v>
    <v>3.49</v>
    <v>2011</v>
    <v>3.45</v>
    <v>1.2009000000000001</v>
    <v>B3 - Brazil Stock Exchange</v>
    <v>1412062368</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3.48</v>
    <v>20000</v>
    <v>45884.958391203705</v>
    <v>745</v>
    <v>588610</v>
    <v>BRL</v>
    <v>ZAMP S.A.</v>
    <v>ZAMP S.A.</v>
    <v>3.48</v>
    <v>3.47</v>
    <v>Al Tocantins 350 Andar 10, Alphaville Centro Industrial E Empresarial/Alphavi, BARUERI, SAO PAULO, 06.455-020 BR</v>
    <v>Hotels &amp; Entertainment Services</v>
    <v>ZAMP3</v>
    <v>Ações</v>
    <v>ZAMP S.A. (BVMF:ZAMP3)</v>
    <v>-0.01</v>
    <v>-2.8739999999999998E-3</v>
    <v>630700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1.58</v>
    <v>1968</v>
    <v>1.37</v>
    <v>1.9832000000000001</v>
    <v>B3 - Brazil Stock Exchange</v>
    <v>72604480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1.38</v>
    <v>3216</v>
    <v>45884.958333333336</v>
    <v>748</v>
    <v>8380</v>
    <v>BRL</v>
    <v>Inepar S.A. Indústria e Construções - em Recuperação Judicial</v>
    <v>Inepar S.A. Indústria e Construções - em Recuperação Judicial</v>
    <v>1.44</v>
    <v>1.57</v>
    <v>Alameda Dr. Carlos de Carvalho n 373,Cjto. 1101 11 andar, Centro, CURITIBA, PARANA, 80.410-180 BR</v>
    <v>Construction &amp; Engineering</v>
    <v>INEP4</v>
    <v>Ações</v>
    <v>Inepar S.A. Indústria e Construções - em Recuperação Judicial (BVMF:INEP4)</v>
    <v>0.19</v>
    <v>0.137681</v>
    <v>20500</v>
  </rv>
  <rv s="2">
    <v>749</v>
  </rv>
  <rv s="0">
    <v>https://www.bing.com/financeapi/forcetrigger?t=apn2kr&amp;q=BVMF%3aOIBR3&amp;form=skydnc</v>
    <v>Learn more on Bing</v>
  </rv>
  <rv s="8">
    <v>pt-BR</v>
    <v>apn2kr</v>
    <v>268435456</v>
    <v>1</v>
    <v>Da plataforma Refinitiv</v>
    <v>14</v>
    <v>15</v>
    <v>Oi S.A. – Em Recuperação Judicial (BVMF:OIBR3)</v>
    <v>12</v>
    <v>16</v>
    <v>Finance</v>
    <v>5</v>
    <v>5.6</v>
    <v>0.45</v>
    <v>BVMF</v>
    <v>330121700</v>
    <v>0.56999999999999995</v>
    <v>1963</v>
    <v>0.53</v>
    <v>1.3706</v>
    <v>B3 - Brazil Stock Exchange</v>
    <v>195893300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0.56000000000000005</v>
    <v>2600</v>
    <v>45884.958333333336</v>
    <v>751</v>
    <v>17980</v>
    <v>BRL</v>
    <v>Oi S.A. – Em Recuperação Judicial</v>
    <v>Oi S.A. – Em Recuperação Judicial</v>
    <v>0.56000000000000005</v>
    <v>0.56000000000000005</v>
    <v>Rua do Lavradio, 71,2 andar, Centro, RIO DE JANEIRO, RIO DE JANEIRO, 20.230-070 BR</v>
    <v>Telecommunications Services</v>
    <v>OIBR3</v>
    <v>Ações</v>
    <v>Oi S.A. – Em Recuperação Judicial (BVMF:OIBR3)</v>
    <v>0</v>
    <v>0</v>
    <v>2475600</v>
  </rv>
  <rv s="2">
    <v>752</v>
  </rv>
  <rv s="0">
    <v>https://www.bing.com/financeapi/forcetrigger?t=apmcfr&amp;q=BVMF%3aCSAN3&amp;form=skydnc</v>
    <v>Learn more on Bing</v>
  </rv>
  <rv s="8">
    <v>pt-BR</v>
    <v>apmcfr</v>
    <v>268435456</v>
    <v>1</v>
    <v>Da plataforma Refinitiv</v>
    <v>14</v>
    <v>15</v>
    <v>Cosan S.A (BVMF:CSAN3)</v>
    <v>12</v>
    <v>16</v>
    <v>Finance</v>
    <v>5</v>
    <v>14.18</v>
    <v>5.29</v>
    <v>BVMF</v>
    <v>1866571000</v>
    <v>5.58</v>
    <v>1966</v>
    <v>5.29</v>
    <v>1.151</v>
    <v>B3 - Brazil Stock Exchange</v>
    <v>10228809080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5.4</v>
    <v>53498</v>
    <v>45884.958333333336</v>
    <v>754</v>
    <v>19760530</v>
    <v>BRL</v>
    <v>Cosan S.A</v>
    <v>Cosan S.A</v>
    <v>5.3</v>
    <v>5.48</v>
    <v>Avenida Brigadeiro Faria Lima, 4.100 16 andar, sala 01, Vila Nova Conceicao, SAO PAULO, SAO PAULO, 04.538-132 BR</v>
    <v>Consumer Goods Conglomerates</v>
    <v>CSAN3</v>
    <v>Ações</v>
    <v>Cosan S.A (BVMF:CSAN3)</v>
    <v>0.08</v>
    <v>1.4815E-2</v>
    <v>15408000</v>
  </rv>
  <rv s="2">
    <v>755</v>
  </rv>
  <rv s="0">
    <v>https://www.bing.com/financeapi/forcetrigger?t=apm4oc&amp;q=BVMF%3aBRKM3&amp;form=skydnc</v>
    <v>Learn more on Bing</v>
  </rv>
  <rv s="8">
    <v>pt-BR</v>
    <v>apm4oc</v>
    <v>268435456</v>
    <v>1</v>
    <v>Da plataforma Refinitiv</v>
    <v>14</v>
    <v>15</v>
    <v>BRASKEM S.A. (BVMF:BRKM3)</v>
    <v>12</v>
    <v>16</v>
    <v>Finance</v>
    <v>5</v>
    <v>20.86</v>
    <v>8.5</v>
    <v>BVMF</v>
    <v>797207800</v>
    <v>8.74</v>
    <v>1972</v>
    <v>8.5</v>
    <v>1.0583</v>
    <v>B3 - Brazil Stock Exchange</v>
    <v>6623176000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8.75</v>
    <v>8126</v>
    <v>45884.958333333336</v>
    <v>757</v>
    <v>4577240</v>
    <v>BRL</v>
    <v>BRASKEM S.A.</v>
    <v>BRASKEM S.A.</v>
    <v>8.74</v>
    <v>8.57</v>
    <v>R Eteno 1561, Polo Industrial De Camacari, CAMACARI, BAHIA, 42.816-200 BR</v>
    <v>Chemicals</v>
    <v>BRKM3</v>
    <v>Ações</v>
    <v>BRASKEM S.A. (BVMF:BRKM3)</v>
    <v>-0.18</v>
    <v>-2.0571000000000002E-2</v>
    <v>19100</v>
  </rv>
  <rv s="2">
    <v>758</v>
  </rv>
  <rv s="0">
    <v>https://www.bing.com/financeapi/forcetrigger?t=apnc7w&amp;q=BVMF%3aSHOW3&amp;form=skydnc</v>
    <v>Learn more on Bing</v>
  </rv>
  <rv s="8">
    <v>pt-BR</v>
    <v>apnc7w</v>
    <v>268435456</v>
    <v>1</v>
    <v>Da plataforma Refinitiv</v>
    <v>14</v>
    <v>15</v>
    <v>T4F ENTRETENIMENTO S.A. (BVMF:SHOW3)</v>
    <v>12</v>
    <v>16</v>
    <v>Finance</v>
    <v>5</v>
    <v>13.1</v>
    <v>5.99</v>
    <v>BVMF</v>
    <v>67412640</v>
    <v>6.36</v>
    <v>1998</v>
    <v>6.22</v>
    <v>1.885</v>
    <v>B3 - Brazil Stock Exchange</v>
    <v>419306620</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6.29</v>
    <v>621</v>
    <v>45884.958333333336</v>
    <v>760</v>
    <v>21170</v>
    <v>BRL</v>
    <v>T4F ENTRETENIMENTO S.A.</v>
    <v>T4F ENTRETENIMENTO S.A.</v>
    <v>6.29</v>
    <v>6.22</v>
    <v>Rua Cristiano Viana, n 401, 15 andar, Pinheiros, SAO PAULO, SAO PAULO, 05.411-000 BR</v>
    <v>Hotels &amp; Entertainment Services</v>
    <v>SHOW3</v>
    <v>Ações</v>
    <v>T4F ENTRETENIMENTO S.A. (BVMF:SHOW3)</v>
    <v>-7.0000000000000007E-2</v>
    <v>-1.1129E-2</v>
    <v>40800</v>
  </rv>
  <rv s="2">
    <v>761</v>
  </rv>
  <rv s="0">
    <v>https://www.bing.com/financeapi/forcetrigger?t=azilm7&amp;q=BVMF%3aAZEV3&amp;form=skydnc</v>
    <v>Learn more on Bing</v>
  </rv>
  <rv s="9">
    <v>pt-BR</v>
    <v>azilm7</v>
    <v>268435456</v>
    <v>1</v>
    <v>Da plataforma Refinitiv</v>
    <v>17</v>
    <v>18</v>
    <v>AZEVEDO &amp; TRAVASSOS S.A. (BVMF:AZEV3)</v>
    <v>12</v>
    <v>19</v>
    <v>Finance</v>
    <v>5</v>
    <v>1.82</v>
    <v>0.41</v>
    <v>BVMF</v>
    <v>592753700</v>
    <v>0.64</v>
    <v>1922</v>
    <v>0.55000000000000004</v>
    <v>1.0609999999999999</v>
    <v>B3 - Brazil Stock Exchange</v>
    <v>363467700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0.6</v>
    <v>45884.958333333336</v>
    <v>763</v>
    <v>1519960</v>
    <v>BRL</v>
    <v>AZEVEDO &amp; TRAVASSOS S.A.</v>
    <v>AZEVEDO &amp; TRAVASSOS S.A.</v>
    <v>0.64</v>
    <v>0.55000000000000004</v>
    <v>Rua Vicente Antonio de Oliveira 1050, Pirituba, SAO PAULO, SAO PAULO, 02.955-080 BR</v>
    <v>Construction &amp; Engineering</v>
    <v>AZEV3</v>
    <v>Ações</v>
    <v>AZEVEDO &amp; TRAVASSOS S.A. (BVMF:AZEV3)</v>
    <v>-0.05</v>
    <v>-8.333299999999999E-2</v>
    <v>2857700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5.44</v>
    <v>2004</v>
    <v>4.8499999999999996</v>
    <v>2.0024999999999999</v>
    <v>B3 - Brazil Stock Exchange</v>
    <v>324897600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5.2</v>
    <v>13694</v>
    <v>45884.958333333336</v>
    <v>766</v>
    <v>2045290320</v>
    <v>BRL</v>
    <v>Gol Linhas Aéreas Inteligentes S.A.</v>
    <v>Gol Linhas Aéreas Inteligentes S.A.</v>
    <v>5.3</v>
    <v>4.92</v>
    <v>Praca Comandante Lineu Gomes S/N, Portaria 3, Jardim Aeroporto, SAO PAULO, SAO PAULO, 04.626-020 BR</v>
    <v>Passenger Transportation Services</v>
    <v>GOLL54</v>
    <v>Ações</v>
    <v>Gol Linhas Aéreas Inteligentes S.A. (BVMF:GOLL54)</v>
    <v>-0.28000000000000003</v>
    <v>-5.3845999999999998E-2</v>
    <v>575347</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9.34</v>
    <v>2002</v>
    <v>8.07</v>
    <v>1.8151999999999999</v>
    <v>B3 - Brazil Stock Exchange</v>
    <v>1081261440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8.93</v>
    <v>7800</v>
    <v>45884.958391203705</v>
    <v>769</v>
    <v>729790</v>
    <v>BRL</v>
    <v>Ser Educacional S.A.</v>
    <v>Ser Educacional S.A.</v>
    <v>9.32</v>
    <v>8.4</v>
    <v>Av. da Saudade, 254, Santo Amaro, RECIFE, PERNAMBUCO, 50.100-200 BR</v>
    <v>School, College &amp; University</v>
    <v>SEER3</v>
    <v>Ações</v>
    <v>Ser Educacional S.A. (BVMF:SEER3)</v>
    <v>-0.53</v>
    <v>-5.9351000000000001E-2</v>
    <v>1739700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8.2200000000000006</v>
    <v>6.05</v>
    <v>BVMF</v>
    <v>353175000</v>
    <v>6.22</v>
    <v>1961</v>
    <v>6.05</v>
    <v>0.33760000000000001</v>
    <v>B3 - Brazil Stock Exchange</v>
    <v>2752410000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6.19</v>
    <v>3218</v>
    <v>45884.958333333336</v>
    <v>772</v>
    <v>623300</v>
    <v>BRL</v>
    <v>Companhia de Ferro Ligas da Bahia (Ferbasa)</v>
    <v>Companhia de Ferro Ligas da Bahia (Ferbasa)</v>
    <v>6.2</v>
    <v>6.14</v>
    <v>Estrada de Santiago, s/n, Sede, Santiago, POJUCA, BAHIA, 48.120-000 BR</v>
    <v>Metals &amp; Mining</v>
    <v>FESA4</v>
    <v>Ações</v>
    <v>Companhia de Ferro Ligas da Bahia (Ferbasa) (BVMF:FESA4)</v>
    <v>-0.05</v>
    <v>-8.0780000000000001E-3</v>
    <v>637700</v>
  </rv>
  <rv s="2">
    <v>773</v>
  </rv>
  <rv s="0">
    <v>https://www.bing.com/financeapi/forcetrigger?t=bvcw52&amp;q=BVMF%3aLJQQ3&amp;form=skydnc</v>
    <v>Learn more on Bing</v>
  </rv>
  <rv s="8">
    <v>pt-BR</v>
    <v>bvcw52</v>
    <v>268435456</v>
    <v>1</v>
    <v>Da plataforma Refinitiv</v>
    <v>14</v>
    <v>15</v>
    <v>Lojas Quero-Quero S.A (BVMF:LJQQ3)</v>
    <v>12</v>
    <v>16</v>
    <v>Finance</v>
    <v>5</v>
    <v>4.28</v>
    <v>1.87</v>
    <v>BVMF</v>
    <v>206917300</v>
    <v>2.2400000000000002</v>
    <v>1967</v>
    <v>2.13</v>
    <v>1.7932999999999999</v>
    <v>B3 - Brazil Stock Exchange</v>
    <v>463494752</v>
    <v>A Lojas Quero-Quero SA possui e opera lojas de varejo de artefatos domésticos em cidades de pequeno e médio porte do Rio Grande do Sul. A empresa foi fundada em 1967 e está localizada em Cachoeirinha, Brasil.</v>
    <v>BVMF</v>
    <v>2.15</v>
    <v>8200</v>
    <v>45884.958391203705</v>
    <v>775</v>
    <v>2480210</v>
    <v>BRL</v>
    <v>Lojas Quero-Quero S.A</v>
    <v>Lojas Quero-Quero S.A</v>
    <v>2.16</v>
    <v>2.2400000000000002</v>
    <v>Avenida General Flores da Cunha n 1943, Vila Cachoeirinha, CACHOEIRINHA, RIO GRANDE DO SUL, 94.910-003 BR</v>
    <v>Specialty Retailers</v>
    <v>LJQQ3</v>
    <v>Ações</v>
    <v>Lojas Quero-Quero S.A (BVMF:LJQQ3)</v>
    <v>0.09</v>
    <v>4.1860000000000001E-2</v>
    <v>2227600</v>
  </rv>
  <rv s="2">
    <v>776</v>
  </rv>
  <rv s="0">
    <v>https://www.bing.com/financeapi/forcetrigger?t=apnkar&amp;q=BVMF%3aVIVR3&amp;form=skydnc</v>
    <v>Learn more on Bing</v>
  </rv>
  <rv s="8">
    <v>pt-BR</v>
    <v>apnkar</v>
    <v>268435456</v>
    <v>1</v>
    <v>Da plataforma Refinitiv</v>
    <v>14</v>
    <v>15</v>
    <v>Viver Incorporadora e Construtora S.A. (BVMF:VIVR3)</v>
    <v>12</v>
    <v>16</v>
    <v>Finance</v>
    <v>5</v>
    <v>2.69</v>
    <v>0.71</v>
    <v>BVMF</v>
    <v>38366080</v>
    <v>0.77</v>
    <v>1992</v>
    <v>0.71</v>
    <v>1.6641999999999999</v>
    <v>B3 - Brazil Stock Exchange</v>
    <v>28774560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0.77</v>
    <v>256</v>
    <v>45884.958391203705</v>
    <v>778</v>
    <v>26780</v>
    <v>BRL</v>
    <v>Viver Incorporadora e Construtora S.A.</v>
    <v>Viver Incorporadora e Construtora S.A.</v>
    <v>0.77</v>
    <v>0.75</v>
    <v>Avenida Brigadeiro Faria Lima, 1.461, 10 andar, Jardim Paulista, SAO PAULO, SAO PAULO, 01.452-921 BR</v>
    <v>Real Estate Operations</v>
    <v>VIVR3</v>
    <v>Ações</v>
    <v>Viver Incorporadora e Construtora S.A. (BVMF:VIVR3)</v>
    <v>-0.02</v>
    <v>-2.5974000000000001E-2</v>
    <v>16500</v>
  </rv>
  <rv s="2">
    <v>779</v>
  </rv>
  <rv s="0">
    <v>https://www.bing.com/financeapi/forcetrigger?t=apmemw&amp;q=BVMF%3aDASA3&amp;form=skydnc</v>
    <v>Learn more on Bing</v>
  </rv>
  <rv s="8">
    <v>pt-BR</v>
    <v>apmemw</v>
    <v>268435456</v>
    <v>1</v>
    <v>Da plataforma Refinitiv</v>
    <v>14</v>
    <v>15</v>
    <v>Diagnósticos da América S.A (BVMF:DASA3)</v>
    <v>12</v>
    <v>16</v>
    <v>Finance</v>
    <v>5</v>
    <v>3.54</v>
    <v>1.18</v>
    <v>BVMF</v>
    <v>1255007000</v>
    <v>1.5</v>
    <v>1966</v>
    <v>1.32</v>
    <v>1.0522</v>
    <v>B3 - Brazil Stock Exchange</v>
    <v>1807210080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1.44</v>
    <v>18142</v>
    <v>45884.958333333336</v>
    <v>781</v>
    <v>1140160</v>
    <v>BRL</v>
    <v>Diagnósticos da América S.A</v>
    <v>Diagnósticos da América S.A</v>
    <v>1.43</v>
    <v>1.44</v>
    <v>Avenida Jurua, 434, Alphaville, BARUERI, SAO PAULO, 06.455-010 BR</v>
    <v>Healthcare Providers &amp; Services</v>
    <v>DASA3</v>
    <v>Ações</v>
    <v>Diagnósticos da América S.A (BVMF:DASA3)</v>
    <v>0</v>
    <v>0</v>
    <v>2493700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4.1500000000000004</v>
    <v>1.65</v>
    <v>BVMF</v>
    <v>20272200</v>
    <v>1.99</v>
    <v>1985</v>
    <v>1.93</v>
    <v>0.73980000000000001</v>
    <v>B3 - Brazil Stock Exchange</v>
    <v>40341678</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1.92</v>
    <v>45884.958333333336</v>
    <v>784</v>
    <v>8100</v>
    <v>BRL</v>
    <v>ROSSI RESIDENCIAL S.A. - Em Recuperação Judicial.</v>
    <v>ROSSI RESIDENCIAL S.A. - Em Recuperação Judicial.</v>
    <v>1.93</v>
    <v>1.99</v>
    <v>Rua Henri Dunant, 873 - Conj. 601 a 605 6 andar, Santo Amaro, SAO PAULO, SAO PAULO, 04.709-111 BR</v>
    <v>Real Estate Operations</v>
    <v>RSID3</v>
    <v>Ações</v>
    <v>ROSSI RESIDENCIAL S.A. - Em Recuperação Judicial. (BVMF:RSID3)</v>
    <v>7.0000000000000007E-2</v>
    <v>3.6457999999999997E-2</v>
    <v>2200</v>
  </rv>
  <rv s="2">
    <v>785</v>
  </rv>
  <rv s="0">
    <v>https://www.bing.com/financeapi/forcetrigger?t=apnf8m&amp;q=BVMF%3aTCSA3&amp;form=skydnc</v>
    <v>Learn more on Bing</v>
  </rv>
  <rv s="8">
    <v>pt-BR</v>
    <v>apnf8m</v>
    <v>268435456</v>
    <v>1</v>
    <v>Da plataforma Refinitiv</v>
    <v>14</v>
    <v>15</v>
    <v>TECNISA S.A. (BVMF:TCSA3)</v>
    <v>12</v>
    <v>16</v>
    <v>Finance</v>
    <v>5</v>
    <v>2.11</v>
    <v>1.1499999999999999</v>
    <v>BVMF</v>
    <v>90511120</v>
    <v>1.7</v>
    <v>2006</v>
    <v>1.62</v>
    <v>1.6240000000000001</v>
    <v>B3 - Brazil Stock Exchange</v>
    <v>148438236</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1.62</v>
    <v>8039</v>
    <v>45884.958391203705</v>
    <v>787</v>
    <v>82100</v>
    <v>BRL</v>
    <v>TECNISA S.A.</v>
    <v>TECNISA S.A.</v>
    <v>1.66</v>
    <v>1.64</v>
    <v>Avenida Nicolas Boer, 399, 5 andar - Unid 502S, Jardim das Perdizes, SAO PAULO, SAO PAULO, 01.140-060 BR</v>
    <v>Real Estate Operations</v>
    <v>TCSA3</v>
    <v>Ações</v>
    <v>TECNISA S.A. (BVMF:TCSA3)</v>
    <v>0.02</v>
    <v>1.2345999999999999E-2</v>
    <v>45300</v>
  </rv>
  <rv s="2">
    <v>788</v>
  </rv>
  <rv s="0">
    <v>https://www.bing.com/financeapi/forcetrigger?t=aplxpr&amp;q=BVMF%3aAZUL4&amp;form=skydnc</v>
    <v>Learn more on Bing</v>
  </rv>
  <rv s="8">
    <v>pt-BR</v>
    <v>aplxpr</v>
    <v>268435456</v>
    <v>1</v>
    <v>Da plataforma Refinitiv</v>
    <v>14</v>
    <v>15</v>
    <v>Azul S.A. (BVMF:AZUL4)</v>
    <v>12</v>
    <v>16</v>
    <v>Finance</v>
    <v>5</v>
    <v>8.09</v>
    <v>0.56999999999999995</v>
    <v>BVMF</v>
    <v>896039700</v>
    <v>0.63</v>
    <v>2008</v>
    <v>0.57999999999999996</v>
    <v>2.0958000000000001</v>
    <v>B3 - Brazil Stock Exchange</v>
    <v>519703025</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0.61</v>
    <v>15367</v>
    <v>45884.958333333336</v>
    <v>790</v>
    <v>17357570</v>
    <v>BRL</v>
    <v>Azul S.A.</v>
    <v>Azul S.A.</v>
    <v>0.62</v>
    <v>0.57999999999999996</v>
    <v>Av. Marcos P. de U. Rodrigues, 939 - Edif. C. Branco Office Park, Torre Jatoba, 11 andar, Alphaville Industrial, BARUERI, SAO PAULO, 06.460-040 BR</v>
    <v>Passenger Transportation Services</v>
    <v>AZUL4</v>
    <v>Ações</v>
    <v>Azul S.A. (BVMF:AZUL4)</v>
    <v>-0.03</v>
    <v>-4.9180000000000001E-2</v>
    <v>23196700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7.7</v>
    <v>2013</v>
    <v>7.37</v>
    <v>1.7293000000000001</v>
    <v>B3 - Brazil Stock Exchange</v>
    <v>102579246</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7.43</v>
    <v>226</v>
    <v>45884.958391203705</v>
    <v>793</v>
    <v>21710</v>
    <v>BRL</v>
    <v>Dotz S.A.</v>
    <v>Dotz S.A.</v>
    <v>7.59</v>
    <v>7.7</v>
    <v>R Joaquim Floriano 533 15 andar, Itaim Bibi, Sao Paulo, SAO PAULO, 04.534-011 BR</v>
    <v>Professional &amp; Commercial Services</v>
    <v>DOTZ3</v>
    <v>Ações</v>
    <v>Dotz S.A. (BVMF:DOTZ3)</v>
    <v>0.27</v>
    <v>3.6339000000000003E-2</v>
    <v>12600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511363900</v>
    <v>1.48</v>
    <v>1961</v>
    <v>1.43</v>
    <v>1.2834000000000001</v>
    <v>B3 - Brazil Stock Exchange</v>
    <v>731250377</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1.45</v>
    <v>2229</v>
    <v>45884.958333333336</v>
    <v>796</v>
    <v>186710</v>
    <v>BRL</v>
    <v>PARANAPANEMA S.A - EM RECUPERACAO JUDICIAL</v>
    <v>PARANAPANEMA S.A - EM RECUPERACAO JUDICIAL</v>
    <v>1.47</v>
    <v>1.43</v>
    <v>Rua Felipe Camarao, 500, Bairro Utinga, SANTO ANDRE, SAO PAULO, 09.220-580 BR</v>
    <v>Metals &amp; Mining</v>
    <v>PMAM3</v>
    <v>Ações</v>
    <v>PARANAPANEMA S.A - EM RECUPERACAO JUDICIAL (BVMF:PMAM3)</v>
    <v>-0.02</v>
    <v>-1.3793E-2</v>
    <v>150800</v>
  </rv>
  <rv s="2">
    <v>797</v>
  </rv>
  <rv s="0">
    <v>https://www.bing.com/financeapi/forcetrigger?t=apmvm7&amp;q=BVMF%3aLLIS3&amp;form=skydnc</v>
    <v>Learn more on Bing</v>
  </rv>
  <rv s="8">
    <v>pt-BR</v>
    <v>apmvm7</v>
    <v>268435456</v>
    <v>1</v>
    <v>Da plataforma Refinitiv</v>
    <v>14</v>
    <v>15</v>
    <v>VESTE S.A. ESTILO (BVMF:VSTE3)</v>
    <v>12</v>
    <v>16</v>
    <v>Finance</v>
    <v>5</v>
    <v>13.9</v>
    <v>5.5</v>
    <v>BVMF</v>
    <v>114333800</v>
    <v>5.94</v>
    <v>1982</v>
    <v>5.94</v>
    <v>1.4758</v>
    <v>B3 - Brazil Stock Exchange</v>
    <v>679142772</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5.92</v>
    <v>1833</v>
    <v>45884.958391203705</v>
    <v>799</v>
    <v>10990</v>
    <v>BRL</v>
    <v>VESTE S.A. ESTILO</v>
    <v>VESTE S.A. ESTILO</v>
    <v>5.94</v>
    <v>5.94</v>
    <v>Rua Othao 405, Vila Leopoldina, SAO PAULO, SAO PAULO, 05.313-020 BR</v>
    <v>Specialty Retailers</v>
    <v>VSTE3</v>
    <v>Ações</v>
    <v>VESTE S.A. ESTILO (BVMF:VSTE3)</v>
    <v>0.02</v>
    <v>3.3779999999999999E-3</v>
    <v>7000</v>
  </rv>
  <rv s="2">
    <v>800</v>
  </rv>
  <rv s="0">
    <v>https://www.bing.com/financeapi/forcetrigger?t=apmxkr&amp;q=BVMF%3aMGEL4&amp;form=skydnc</v>
    <v>Learn more on Bing</v>
  </rv>
  <rv s="8">
    <v>pt-BR</v>
    <v>apmxkr</v>
    <v>268435456</v>
    <v>1</v>
    <v>Da plataforma Refinitiv</v>
    <v>14</v>
    <v>15</v>
    <v>Mangels Industrial S.A. (BVMF:MGEL4)</v>
    <v>12</v>
    <v>16</v>
    <v>Finance</v>
    <v>5</v>
    <v>13</v>
    <v>3.9</v>
    <v>BVMF</v>
    <v>5783210</v>
    <v>4.9000000000000004</v>
    <v>1928</v>
    <v>4.42</v>
    <v>1.2025999999999999</v>
    <v>B3 - Brazil Stock Exchange</v>
    <v>16721860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4.5</v>
    <v>3100</v>
    <v>45884.958333333336</v>
    <v>802</v>
    <v>5530</v>
    <v>BRL</v>
    <v>Mangels Industrial S.A.</v>
    <v>Mangels Industrial S.A.</v>
    <v>4.9000000000000004</v>
    <v>4.5</v>
    <v>Rodovia Fernao Dias, Km 755,6, Distrito Industrial, Tres Coracoes, MINAS GERAIS, 37.418-760 BR</v>
    <v>Metals &amp; Mining</v>
    <v>MGEL4</v>
    <v>Ações</v>
    <v>Mangels Industrial S.A. (BVMF:MGEL4)</v>
    <v>0</v>
    <v>0</v>
    <v>8100</v>
  </rv>
  <rv s="2">
    <v>803</v>
  </rv>
  <rv s="0">
    <v>https://www.bing.com/financeapi/forcetrigger?t=apn91h&amp;q=BVMF%3aRCSL3&amp;form=skydnc</v>
    <v>Learn more on Bing</v>
  </rv>
  <rv s="8">
    <v>pt-BR</v>
    <v>apn91h</v>
    <v>268435456</v>
    <v>1</v>
    <v>Da plataforma Refinitiv</v>
    <v>14</v>
    <v>15</v>
    <v>RECRUSUL S.A. (BVMF:RCSL3)</v>
    <v>12</v>
    <v>16</v>
    <v>Finance</v>
    <v>5</v>
    <v>8.57</v>
    <v>1.75</v>
    <v>BVMF</v>
    <v>31822290</v>
    <v>1.84</v>
    <v>1954</v>
    <v>1.76</v>
    <v>1.4298</v>
    <v>B3 - Brazil Stock Exchange</v>
    <v>41726150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1.77</v>
    <v>106</v>
    <v>45884.958333333336</v>
    <v>805</v>
    <v>2955130</v>
    <v>BRL</v>
    <v>RECRUSUL S.A.</v>
    <v>RECRUSUL S.A.</v>
    <v>1.82</v>
    <v>1.76</v>
    <v>Av. Luiz Pasteur, 1020, Tres Portos, SAPUCAIA DO SUL, RIO GRANDE DO SUL, 93.212-360 BR</v>
    <v>Automobiles &amp; Auto Parts</v>
    <v>RCSL3</v>
    <v>Ações</v>
    <v>RECRUSUL S.A. (BVMF:RCSL3)</v>
    <v>-0.01</v>
    <v>-5.6499999999999996E-3</v>
    <v>50500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9.44</v>
    <v>2.95</v>
    <v>BVMF</v>
    <v>346494100</v>
    <v>4.04</v>
    <v>1994</v>
    <v>3.77</v>
    <v>1.3722000000000001</v>
    <v>B3 - Brazil Stock Exchange</v>
    <v>1354791931</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3.9</v>
    <v>6000</v>
    <v>45884.958391203705</v>
    <v>808</v>
    <v>1165500</v>
    <v>BRL</v>
    <v>Armac Locação, Logística e Serviços S.A.</v>
    <v>Armac Locação, Logística e Serviços S.A.</v>
    <v>3.9</v>
    <v>3.91</v>
    <v>Av. Marcos Penteado de Ulhoa Rodrigues, 939, Conj. 701 e 702 Torre II, Ed. Jatoba, Tambore, BARUERI, SAO PAULO, 06.460-040 BR</v>
    <v>Professional &amp; Commercial Services</v>
    <v>ARML3</v>
    <v>Ações</v>
    <v>Armac Locação, Logística e Serviços S.A. (BVMF:ARML3)</v>
    <v>0.01</v>
    <v>2.5640000000000003E-3</v>
    <v>1058700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1.7</v>
    <v>0.95</v>
    <v>BVMF</v>
    <v>26710360</v>
    <v>1.02</v>
    <v>2000</v>
    <v>0.99</v>
    <v>1.7182999999999999</v>
    <v>B3 - Brazil Stock Exchange</v>
    <v>27244567</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1.01</v>
    <v>57370</v>
    <v>45884.958333333336</v>
    <v>811</v>
    <v>2130</v>
    <v>BRL</v>
    <v>ATMA Participações S.A. - Em Recuperação Judicial</v>
    <v>ATMA Participações S.A. - Em Recuperação Judicial</v>
    <v>1.01</v>
    <v>1.02</v>
    <v>Rua Beneditinos, n. 15/17, Parte, Centro, RIO DE JANEIRO, RIO DE JANEIRO, 20.081-050 BR</v>
    <v>Professional &amp; Commercial Services</v>
    <v>CTAX3</v>
    <v>Ações</v>
    <v>ATMA Participações S.A. - Em Recuperação Judicial (BVMF:CTAX3)</v>
    <v>0.01</v>
    <v>9.9010000000000001E-3</v>
    <v>5100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11.28</v>
    <v>2006</v>
    <v>11.12</v>
    <v>0.71309999999999996</v>
    <v>B3 - Brazil Stock Exchange</v>
    <v>11654400000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11.15</v>
    <v>854</v>
    <v>45884.958333333336</v>
    <v>820</v>
    <v>2357510</v>
    <v>BRL</v>
    <v>Transmissora Aliança de Energia Elétrica S/A</v>
    <v>Transmissora Aliança de Energia Elétrica S/A</v>
    <v>11.19</v>
    <v>11.19</v>
    <v>Av. das Americas, 2480 Bloco 6, Barra da Tijuca, RIO DE JANEIRO, RIO DE JANEIRO, 22.640-101 BR</v>
    <v>Electrical Utilities &amp; IPPs</v>
    <v>TAEE3</v>
    <v>Ações</v>
    <v>Transmissora Aliança de Energia Elétrica S/A (BVMF:TAEE3)</v>
    <v>0.04</v>
    <v>3.5870000000000003E-3</v>
    <v>88500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FB279"/>
  <sheetViews>
    <sheetView topLeftCell="BL256" zoomScale="120" zoomScaleNormal="120" workbookViewId="0">
      <pane xSplit="7" topLeftCell="BS1" activePane="topRight" state="frozen"/>
      <selection activeCell="BL1" sqref="BL1"/>
      <selection pane="topRight" activeCell="BQ6" sqref="BQ6:BQ271"/>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6" width="8.85546875" style="6" customWidth="1"/>
    <col min="57" max="57" width="8.7109375" style="6" customWidth="1"/>
    <col min="58" max="68" width="9.85546875" style="6" customWidth="1"/>
    <col min="69" max="69" width="9.28515625" style="6" customWidth="1"/>
    <col min="70" max="70" width="10.5703125" style="7" customWidth="1"/>
    <col min="71" max="71" width="9" style="19" customWidth="1"/>
    <col min="72" max="73" width="9" style="7" customWidth="1"/>
    <col min="74" max="74" width="3.42578125" style="22" customWidth="1"/>
    <col min="75" max="75" width="10.140625" style="16" bestFit="1" customWidth="1"/>
    <col min="76" max="76" width="1.5703125" customWidth="1"/>
    <col min="77" max="77" width="7.28515625" style="1" customWidth="1"/>
    <col min="78" max="78" width="7.7109375" style="1" customWidth="1"/>
    <col min="79" max="79" width="2.28515625" style="22" customWidth="1"/>
    <col min="80" max="80" width="7.5703125" style="22" customWidth="1"/>
    <col min="81" max="81" width="1.28515625" customWidth="1"/>
    <col min="82" max="82" width="8.140625" style="8" customWidth="1"/>
    <col min="83" max="83" width="1.85546875" style="22" customWidth="1"/>
    <col min="84" max="84" width="6.85546875" style="14" customWidth="1"/>
    <col min="85" max="85" width="9.42578125" style="14" customWidth="1"/>
    <col min="86" max="86" width="8.5703125" style="14" customWidth="1"/>
    <col min="87" max="87" width="1.85546875" style="14" customWidth="1"/>
    <col min="88" max="88" width="7.28515625" style="1" customWidth="1"/>
    <col min="89" max="89" width="7.42578125" style="1" customWidth="1"/>
    <col min="90" max="90" width="8.140625" style="1" customWidth="1"/>
    <col min="91" max="91" width="1.7109375" customWidth="1"/>
    <col min="92" max="92" width="1.42578125" style="14" customWidth="1"/>
    <col min="93" max="93" width="6.42578125" style="1" customWidth="1"/>
    <col min="94" max="94" width="7" style="1" customWidth="1"/>
    <col min="95" max="95" width="7.28515625" style="1" customWidth="1"/>
    <col min="96" max="96" width="6.85546875" style="1" customWidth="1"/>
    <col min="97" max="97" width="7.7109375" style="1" customWidth="1"/>
    <col min="98" max="99" width="6.85546875" style="1" customWidth="1"/>
    <col min="100" max="100" width="9" style="1" customWidth="1"/>
    <col min="101" max="101" width="10.42578125" style="1" customWidth="1"/>
    <col min="102" max="102" width="9.42578125" style="1" customWidth="1"/>
    <col min="103" max="116" width="8.140625" style="1" customWidth="1"/>
    <col min="117" max="117" width="2.7109375" customWidth="1"/>
    <col min="118" max="118" width="6.7109375" style="1" customWidth="1"/>
    <col min="119" max="119" width="7.28515625" style="1" customWidth="1"/>
    <col min="120" max="120" width="7.5703125" style="1" customWidth="1"/>
    <col min="121" max="121" width="8.7109375" style="1" customWidth="1"/>
    <col min="122" max="122" width="9.28515625" style="1" customWidth="1"/>
    <col min="123" max="123" width="9.140625" style="1" customWidth="1"/>
    <col min="124" max="126" width="1.5703125" style="1" customWidth="1"/>
    <col min="127" max="127" width="9.140625" style="81" customWidth="1"/>
    <col min="128" max="128" width="7.85546875" style="82" customWidth="1"/>
    <col min="129" max="129" width="7.5703125" style="73" customWidth="1"/>
    <col min="130" max="130" width="1.5703125" style="1" customWidth="1"/>
    <col min="131" max="131" width="6" style="1" customWidth="1"/>
    <col min="132" max="132" width="1.28515625" style="1" customWidth="1"/>
    <col min="133" max="133" width="1.7109375" style="1" customWidth="1"/>
    <col min="134" max="136" width="2.28515625" style="1" customWidth="1"/>
    <col min="137" max="137" width="12" style="1" customWidth="1"/>
    <col min="138" max="138" width="6.5703125" style="1" customWidth="1"/>
    <col min="139" max="139" width="16.85546875" style="1" customWidth="1"/>
    <col min="140" max="141" width="15.28515625" style="1" customWidth="1"/>
    <col min="142" max="142" width="1.85546875" style="1" customWidth="1"/>
    <col min="143" max="143" width="6.140625" style="1" customWidth="1"/>
    <col min="144" max="144" width="9.28515625" style="1" customWidth="1"/>
    <col min="145" max="145" width="9.140625" style="1" customWidth="1"/>
    <col min="146" max="146" width="10.5703125" customWidth="1"/>
    <col min="147" max="147" width="8.28515625" style="1" customWidth="1"/>
    <col min="148" max="148" width="15.85546875" style="1" customWidth="1"/>
    <col min="149" max="149" width="1.42578125" style="1" customWidth="1"/>
    <col min="150" max="151" width="12.28515625" style="1" customWidth="1"/>
    <col min="152" max="152" width="13.85546875" style="1" customWidth="1"/>
    <col min="153" max="153" width="9" style="1" customWidth="1"/>
    <col min="154" max="154" width="10.28515625" style="1" customWidth="1"/>
    <col min="155" max="155" width="2" customWidth="1"/>
    <col min="156" max="156" width="11.7109375" style="1" customWidth="1"/>
    <col min="157" max="157" width="10.85546875" style="1" customWidth="1"/>
    <col min="158" max="158" width="3.7109375" customWidth="1"/>
    <col min="159" max="159" width="32.7109375" style="1" customWidth="1"/>
    <col min="160" max="160" width="4.28515625" style="1" customWidth="1"/>
    <col min="161" max="16384" width="5.7109375" style="1"/>
  </cols>
  <sheetData>
    <row r="1" spans="1:157" x14ac:dyDescent="0.25">
      <c r="BF1" s="6">
        <v>19.350000000000001</v>
      </c>
      <c r="BG1" s="6">
        <v>19.399999999999999</v>
      </c>
      <c r="BH1" s="6">
        <v>19.41</v>
      </c>
      <c r="BI1" s="6">
        <v>18.77</v>
      </c>
      <c r="BJ1" s="6">
        <v>18.91</v>
      </c>
      <c r="BK1" s="6">
        <v>19.489999999999998</v>
      </c>
      <c r="BL1" s="6">
        <v>19.55</v>
      </c>
      <c r="BM1" s="6">
        <v>19.38</v>
      </c>
      <c r="BN1" s="6">
        <v>19.47</v>
      </c>
      <c r="BO1" s="6">
        <v>19.329999999999998</v>
      </c>
      <c r="BP1" s="6">
        <v>18.82</v>
      </c>
      <c r="BQ1" s="87" cm="1">
        <f t="array" aca="1" ref="BQ1" ca="1">_FV(BR1,"Preço")</f>
        <v>18.82</v>
      </c>
      <c r="BR1" s="1" t="e" vm="1">
        <v>#VALUE!</v>
      </c>
    </row>
    <row r="2" spans="1:157" x14ac:dyDescent="0.25">
      <c r="BG2" s="86">
        <f>(BG1/$BF1)-1</f>
        <v>2.5839793281652312E-3</v>
      </c>
      <c r="BH2" s="86">
        <f t="shared" ref="BH2:BQ2" si="0">(BH1/$BF1)-1</f>
        <v>3.1007751937983663E-3</v>
      </c>
      <c r="BI2" s="86">
        <f t="shared" si="0"/>
        <v>-2.9974160206718392E-2</v>
      </c>
      <c r="BJ2" s="86">
        <v>-2.2739018087855389E-2</v>
      </c>
      <c r="BK2" s="86">
        <v>7.2351421188630027E-3</v>
      </c>
      <c r="BL2" s="86">
        <v>1.0335917312661369E-2</v>
      </c>
      <c r="BM2" s="86">
        <v>1.5503875968991832E-3</v>
      </c>
      <c r="BN2" s="86">
        <v>6.2015503875967326E-3</v>
      </c>
      <c r="BO2" s="86">
        <v>-1.0335917312662701E-3</v>
      </c>
      <c r="BP2" s="86">
        <v>-2.739018087855305E-2</v>
      </c>
      <c r="BQ2" s="86">
        <f t="shared" ca="1" si="0"/>
        <v>-2.739018087855305E-2</v>
      </c>
      <c r="BR2" s="8">
        <f ca="1">AVERAGE(BG2:BQ2)</f>
        <v>-7.047216349542024E-3</v>
      </c>
      <c r="BW2" s="88" cm="1">
        <f t="array" aca="1" ref="BW2" ca="1">_FV(BR1,"Variação (%)",TRUE)</f>
        <v>-2.65E-3</v>
      </c>
    </row>
    <row r="3" spans="1:157" x14ac:dyDescent="0.25">
      <c r="BE3" s="76">
        <v>137026</v>
      </c>
      <c r="BF3" s="76">
        <v>136102</v>
      </c>
      <c r="BG3" s="76">
        <v>137212</v>
      </c>
      <c r="BH3" s="76">
        <v>137115.82999999999</v>
      </c>
      <c r="BI3" s="76">
        <v>136865.79</v>
      </c>
      <c r="BJ3" s="76">
        <v>141263.56</v>
      </c>
      <c r="BK3" s="76">
        <v>136187.31</v>
      </c>
      <c r="BL3" s="76">
        <v>133381.57999999999</v>
      </c>
      <c r="BM3" s="76">
        <v>133524.18</v>
      </c>
      <c r="BN3" s="76">
        <v>132437.39000000001</v>
      </c>
      <c r="BO3" s="76">
        <v>135913.25</v>
      </c>
      <c r="BP3" s="76">
        <v>136340.76999999999</v>
      </c>
      <c r="BQ3" s="76" cm="1">
        <f t="array" aca="1" ref="BQ3" ca="1">_FV(BR3,"Preço")</f>
        <v>136340.76999999999</v>
      </c>
      <c r="BR3" s="1" t="e" vm="2">
        <v>#VALUE!</v>
      </c>
      <c r="BV3" s="1"/>
      <c r="CJ3" s="8"/>
      <c r="DX3" s="83"/>
    </row>
    <row r="4" spans="1:157" x14ac:dyDescent="0.25">
      <c r="BG4" s="86">
        <f>(BG3/$BF3)-1</f>
        <v>8.1556479699049778E-3</v>
      </c>
      <c r="BH4" s="86">
        <f>(BH3/$BF3)-1</f>
        <v>7.4490455687645785E-3</v>
      </c>
      <c r="BI4" s="86">
        <f>(BI3/$BF3)-1</f>
        <v>5.6118940206610901E-3</v>
      </c>
      <c r="BJ4" s="86">
        <v>3.7924203905894016E-2</v>
      </c>
      <c r="BK4" s="86">
        <v>6.268093047860912E-4</v>
      </c>
      <c r="BL4" s="86">
        <v>-1.9988097162422447E-2</v>
      </c>
      <c r="BM4" s="86">
        <v>-1.8940353558360656E-2</v>
      </c>
      <c r="BN4" s="86">
        <v>-2.6925467663957758E-2</v>
      </c>
      <c r="BO4" s="86">
        <v>-1.3868275264140584E-3</v>
      </c>
      <c r="BP4" s="86">
        <v>1.7543460052018567E-3</v>
      </c>
      <c r="BQ4" s="86">
        <f ca="1">(BQ3/$BF3)-1</f>
        <v>1.7543460052018567E-3</v>
      </c>
      <c r="BR4" s="8">
        <f ca="1">AVERAGE(BG4:BQ4)</f>
        <v>-3.6040483006731392E-4</v>
      </c>
      <c r="BW4" s="88" cm="1">
        <f t="array" aca="1" ref="BW4" ca="1">_FV(BR3,"Variação (%)",TRUE)</f>
        <v>-1.1010000000000001E-4</v>
      </c>
    </row>
    <row r="5" spans="1:157"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0">
        <v>45785</v>
      </c>
      <c r="BC5" s="50">
        <v>45792</v>
      </c>
      <c r="BD5" s="50">
        <v>45800</v>
      </c>
      <c r="BE5" s="50">
        <v>45807</v>
      </c>
      <c r="BF5" s="50">
        <v>45814</v>
      </c>
      <c r="BG5" s="68">
        <v>45821</v>
      </c>
      <c r="BH5" s="50">
        <v>45828</v>
      </c>
      <c r="BI5" s="50">
        <v>45835</v>
      </c>
      <c r="BJ5" s="50">
        <v>45842</v>
      </c>
      <c r="BK5" s="50">
        <v>45849</v>
      </c>
      <c r="BL5" s="50">
        <v>45856</v>
      </c>
      <c r="BM5" s="50">
        <v>45863</v>
      </c>
      <c r="BN5" s="50">
        <v>45870</v>
      </c>
      <c r="BO5" s="50">
        <v>45877</v>
      </c>
      <c r="BP5" s="50">
        <v>45884</v>
      </c>
      <c r="BQ5" s="50" t="s">
        <v>272</v>
      </c>
      <c r="BR5" s="38" t="s">
        <v>475</v>
      </c>
      <c r="BS5" s="51" t="s">
        <v>493</v>
      </c>
      <c r="BT5" s="50" t="s">
        <v>284</v>
      </c>
      <c r="BU5" s="38" t="s">
        <v>284</v>
      </c>
      <c r="BV5" s="3" t="s">
        <v>285</v>
      </c>
      <c r="BW5" s="28" t="s">
        <v>476</v>
      </c>
      <c r="BY5" s="38" t="s">
        <v>477</v>
      </c>
      <c r="BZ5" s="38" t="s">
        <v>478</v>
      </c>
      <c r="CB5" s="64" t="s">
        <v>479</v>
      </c>
      <c r="CD5" s="50" t="s">
        <v>501</v>
      </c>
      <c r="CF5" s="61" t="s">
        <v>481</v>
      </c>
      <c r="CG5" s="61" t="s">
        <v>483</v>
      </c>
      <c r="CH5" s="61" t="s">
        <v>482</v>
      </c>
      <c r="CI5" s="14"/>
      <c r="CJ5" s="38" t="s">
        <v>494</v>
      </c>
      <c r="CK5" s="38" t="s">
        <v>504</v>
      </c>
      <c r="CL5" s="38" t="s">
        <v>495</v>
      </c>
      <c r="CN5" s="14"/>
      <c r="CO5" s="38" t="s">
        <v>484</v>
      </c>
      <c r="CP5" s="38" t="s">
        <v>485</v>
      </c>
      <c r="CQ5" s="38" t="s">
        <v>486</v>
      </c>
      <c r="CR5" s="38" t="s">
        <v>487</v>
      </c>
      <c r="CS5" s="38" t="s">
        <v>488</v>
      </c>
      <c r="CT5" s="38" t="s">
        <v>489</v>
      </c>
      <c r="CU5" s="38" t="s">
        <v>490</v>
      </c>
      <c r="CV5" s="3" t="s">
        <v>491</v>
      </c>
      <c r="CW5" s="3" t="s">
        <v>492</v>
      </c>
      <c r="CX5" s="8" t="s">
        <v>268</v>
      </c>
      <c r="CY5" s="38" t="s">
        <v>275</v>
      </c>
      <c r="CZ5" s="28" t="s">
        <v>269</v>
      </c>
      <c r="DA5" s="28" t="s">
        <v>271</v>
      </c>
      <c r="DB5" s="28" t="s">
        <v>270</v>
      </c>
      <c r="DC5" s="28" t="s">
        <v>279</v>
      </c>
      <c r="DD5" s="28" t="s">
        <v>280</v>
      </c>
      <c r="DE5" s="28" t="s">
        <v>281</v>
      </c>
      <c r="DF5" s="28" t="s">
        <v>283</v>
      </c>
      <c r="DG5" s="28" t="s">
        <v>280</v>
      </c>
      <c r="DH5" s="28" t="s">
        <v>282</v>
      </c>
      <c r="DI5" s="28" t="s">
        <v>270</v>
      </c>
      <c r="DJ5" s="28" t="s">
        <v>271</v>
      </c>
      <c r="DK5" s="28" t="s">
        <v>269</v>
      </c>
      <c r="DL5" s="38" t="s">
        <v>275</v>
      </c>
      <c r="DN5" s="38" t="s">
        <v>273</v>
      </c>
      <c r="DO5" s="38" t="s">
        <v>278</v>
      </c>
      <c r="DP5" s="3" t="s">
        <v>274</v>
      </c>
      <c r="DQ5" s="38" t="s">
        <v>276</v>
      </c>
      <c r="DR5" s="38" t="s">
        <v>491</v>
      </c>
      <c r="DS5" s="38" t="s">
        <v>492</v>
      </c>
      <c r="DW5" s="85" t="s">
        <v>502</v>
      </c>
      <c r="DX5" s="85" t="s">
        <v>502</v>
      </c>
      <c r="DY5" s="74" t="s">
        <v>496</v>
      </c>
      <c r="EA5" s="17" t="s">
        <v>277</v>
      </c>
      <c r="EG5" s="3" t="s">
        <v>464</v>
      </c>
      <c r="EH5" s="3" t="s">
        <v>289</v>
      </c>
      <c r="EI5" s="3" t="s">
        <v>463</v>
      </c>
      <c r="EJ5" s="38" t="s">
        <v>465</v>
      </c>
      <c r="EK5" s="38" t="s">
        <v>465</v>
      </c>
      <c r="EN5" s="38" t="s">
        <v>472</v>
      </c>
      <c r="EO5" s="38" t="s">
        <v>473</v>
      </c>
      <c r="EP5" s="38" t="s">
        <v>474</v>
      </c>
      <c r="EQ5" s="38" t="s">
        <v>289</v>
      </c>
      <c r="ER5" s="38" t="s">
        <v>467</v>
      </c>
      <c r="ET5" s="38" t="s">
        <v>301</v>
      </c>
      <c r="EU5" s="38" t="s">
        <v>470</v>
      </c>
      <c r="EV5" s="38" t="s">
        <v>469</v>
      </c>
      <c r="EW5" s="38" t="s">
        <v>480</v>
      </c>
      <c r="EX5" s="38" t="s">
        <v>468</v>
      </c>
      <c r="EZ5" s="38" t="s">
        <v>471</v>
      </c>
      <c r="FA5" s="38" t="s">
        <v>466</v>
      </c>
    </row>
    <row r="6" spans="1:157" s="2" customFormat="1" ht="11.25"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5">
        <v>8.25</v>
      </c>
      <c r="BC6" s="52">
        <v>8.25</v>
      </c>
      <c r="BD6" s="52">
        <v>8.25</v>
      </c>
      <c r="BE6" s="52">
        <v>8.25</v>
      </c>
      <c r="BF6" s="52">
        <v>8.25</v>
      </c>
      <c r="BG6" s="67">
        <v>8.0500000000000007</v>
      </c>
      <c r="BH6" s="52">
        <v>8.0500000000000007</v>
      </c>
      <c r="BI6" s="52">
        <v>8.0500000000000007</v>
      </c>
      <c r="BJ6" s="52">
        <v>8.0500000000000007</v>
      </c>
      <c r="BK6" s="52">
        <v>8.0500000000000007</v>
      </c>
      <c r="BL6" s="52">
        <v>8.0500000000000007</v>
      </c>
      <c r="BM6" s="52">
        <v>8.0500000000000007</v>
      </c>
      <c r="BN6" s="52">
        <v>6.52</v>
      </c>
      <c r="BO6" s="52">
        <v>6.52</v>
      </c>
      <c r="BP6" s="52">
        <v>6.52</v>
      </c>
      <c r="BQ6" s="52" cm="1">
        <f t="array" aca="1" ref="BQ6" ca="1">_FV(EE6,"Preço")</f>
        <v>6.52</v>
      </c>
      <c r="BR6" s="69" t="s">
        <v>3</v>
      </c>
      <c r="BS6" s="36" t="e" cm="1" vm="3">
        <f t="array" ref="BS6">_FV(EE6,"Média de volume",TRUE)</f>
        <v>#VALUE!</v>
      </c>
      <c r="BT6" s="36">
        <v>300</v>
      </c>
      <c r="BU6" s="36" cm="1">
        <f t="array" aca="1" ref="BU6" ca="1">_FV(EE6,"Volume")</f>
        <v>300</v>
      </c>
      <c r="BV6" s="24" cm="1">
        <f t="array" aca="1" ref="BV6" ca="1">_FV(EE6,"Beta")</f>
        <v>0.64129999999999998</v>
      </c>
      <c r="BW6" s="71" cm="1">
        <f t="array" aca="1" ref="BW6" ca="1">_FV(EE6,"Variação (%)",TRUE)</f>
        <v>-0.19006200000000001</v>
      </c>
      <c r="BY6" s="17" cm="1">
        <f t="array" aca="1" ref="BY6" ca="1">_FV(EE6,"Baixo")</f>
        <v>6.52</v>
      </c>
      <c r="BZ6" s="17" cm="1">
        <f t="array" aca="1" ref="BZ6" ca="1">_FV(EE6,"Alto")</f>
        <v>6.88</v>
      </c>
      <c r="CA6" s="24"/>
      <c r="CB6" s="63">
        <f ca="1">SQRT(22.5*(BQ6/VLOOKUP(BR6,Fundamentus!A:U,3,FALSE))*(BQ6/VLOOKUP(BR6,Fundamentus!A:U,4,FALSE)))</f>
        <v>5.6220825354394215</v>
      </c>
      <c r="CD6" s="62">
        <f ca="1">(BQ6 - BP6) / BP6</f>
        <v>0</v>
      </c>
      <c r="CE6" s="8"/>
      <c r="CF6" s="61">
        <f>MIN(A6:BP6)</f>
        <v>6.52</v>
      </c>
      <c r="CG6" s="61">
        <f>MAX(A6:BP6)</f>
        <v>9</v>
      </c>
      <c r="CH6" s="61">
        <f>AVERAGE(A6:BP6)</f>
        <v>8.2464705882352956</v>
      </c>
      <c r="CI6" s="14"/>
      <c r="CJ6" s="35">
        <f t="shared" ref="CJ6:CJ69" si="1">CK6-EA6*2</f>
        <v>4.2559122774167815</v>
      </c>
      <c r="CK6" s="15">
        <f>FORECAST("22/08/2025", BM6:BP6, $BM$5:$BP$5)</f>
        <v>5.7550000000001091</v>
      </c>
      <c r="CL6" s="35">
        <f t="shared" ref="CL6:CL69" si="2">CK6+EA6*2</f>
        <v>7.2540877225834368</v>
      </c>
      <c r="CN6" s="14"/>
      <c r="CO6" s="17">
        <f t="shared" ref="CO6:CO69" si="3">CF6-2*(CG6-CR6)</f>
        <v>3.2133333333333329</v>
      </c>
      <c r="CP6" s="17">
        <f t="shared" ref="CP6:CP69" si="4">CR6-(CG6-CF6)</f>
        <v>4.8666666666666663</v>
      </c>
      <c r="CQ6" s="17">
        <f t="shared" ref="CQ6:CQ69" si="5">2*CR6-CG6</f>
        <v>5.6933333333333334</v>
      </c>
      <c r="CR6" s="38">
        <f>(CG6+CF6+BP6)/3</f>
        <v>7.3466666666666667</v>
      </c>
      <c r="CS6" s="17">
        <f t="shared" ref="CS6:CS69" si="6">2*CR6-CF6</f>
        <v>8.1733333333333338</v>
      </c>
      <c r="CT6" s="17">
        <f t="shared" ref="CT6:CT69" si="7">CR6+(CG6-CF6)</f>
        <v>9.826666666666668</v>
      </c>
      <c r="CU6" s="17">
        <f t="shared" ref="CU6:CU69" si="8">CG6+2*(CR6-CF6)</f>
        <v>10.653333333333334</v>
      </c>
      <c r="CV6" s="2" cm="1">
        <f t="array" aca="1" ref="CV6" ca="1">MAX(_xlfn._xlws.FILTER(CO6:CU6,CO6:CU6&lt;BQ6))</f>
        <v>5.6933333333333334</v>
      </c>
      <c r="CW6" s="2" cm="1">
        <f t="array" aca="1" ref="CW6" ca="1">MIN(_xlfn._xlws.FILTER($CO6:$CU6,$CO6:$CU6&gt;BQ6))</f>
        <v>7.3466666666666667</v>
      </c>
      <c r="CX6" s="16">
        <f ca="1">(CW6/CV6)-1</f>
        <v>0.29039812646370033</v>
      </c>
      <c r="CY6" s="20">
        <f ca="1">-$CX6/2</f>
        <v>-0.14519906323185017</v>
      </c>
      <c r="CZ6" s="20">
        <f ca="1">-$CX6/3</f>
        <v>-9.6799375487900116E-2</v>
      </c>
      <c r="DA6" s="20">
        <f ca="1">-$CX6/5</f>
        <v>-5.8079625292740064E-2</v>
      </c>
      <c r="DB6" s="20">
        <f ca="1">-$CX6/9</f>
        <v>-3.2266458495966703E-2</v>
      </c>
      <c r="DC6" s="20">
        <f t="shared" ref="DC6:DC7" ca="1" si="9">-$CX6/17</f>
        <v>-1.7082242733158844E-2</v>
      </c>
      <c r="DD6" s="20">
        <f t="shared" ref="DD6:DD7" ca="1" si="10">-$CX6/33</f>
        <v>-8.7999432261727378E-3</v>
      </c>
      <c r="DE6" s="20">
        <f t="shared" ref="DE6:DE7" ca="1" si="11">-$CX6/65</f>
        <v>-4.4676634840569284E-3</v>
      </c>
      <c r="DF6" s="21">
        <f t="shared" ref="DF6:DF7" ca="1" si="12">-$CX6/65*-1</f>
        <v>4.4676634840569284E-3</v>
      </c>
      <c r="DG6" s="21">
        <f t="shared" ref="DG6:DG7" ca="1" si="13">-$CX6/33*-1</f>
        <v>8.7999432261727378E-3</v>
      </c>
      <c r="DH6" s="21">
        <f t="shared" ref="DH6:DH7" ca="1" si="14">-$CX6/17*-1</f>
        <v>1.7082242733158844E-2</v>
      </c>
      <c r="DI6" s="21">
        <f ca="1">-$CX6/9*-1</f>
        <v>3.2266458495966703E-2</v>
      </c>
      <c r="DJ6" s="21">
        <f ca="1">-$CX6/5*-1</f>
        <v>5.8079625292740064E-2</v>
      </c>
      <c r="DK6" s="21">
        <f ca="1">-$CX6/3*-1</f>
        <v>9.6799375487900116E-2</v>
      </c>
      <c r="DL6" s="21">
        <f ca="1">-$CX6/2*-1</f>
        <v>0.14519906323185017</v>
      </c>
      <c r="DN6" s="16" t="e" cm="1" vm="4">
        <f t="array" aca="1" ref="DN6" ca="1">MAX(_xlfn._xlws.FILTER(CY6:DL6,CY6:DL6&lt;BW6))</f>
        <v>#VALUE!</v>
      </c>
      <c r="DO6" s="16" cm="1">
        <f t="array" aca="1" ref="DO6" ca="1">MIN(_xlfn._xlws.FILTER(CY6:DL6,CY6:DL6&gt;BW6))</f>
        <v>-0.14519906323185017</v>
      </c>
      <c r="DP6" s="2" cm="1">
        <f t="array" aca="1" ref="DP6" ca="1">_FV(EE6,"Fechamento anterior",TRUE)</f>
        <v>8.0500000000000007</v>
      </c>
      <c r="DQ6" s="28" t="e" vm="5">
        <f t="shared" ref="DQ6:DQ69" ca="1" si="15">(BQ6-DR6)/(DS6-DR6)</f>
        <v>#VALUE!</v>
      </c>
      <c r="DR6" s="15" t="e" vm="5">
        <f t="shared" ref="DR6:DR13" ca="1" si="16">DP6+(DP6*DN6)</f>
        <v>#VALUE!</v>
      </c>
      <c r="DS6" s="15">
        <f t="shared" ref="DS6:DS13" ca="1" si="17">DP6+(DP6*DO6)</f>
        <v>6.8811475409836067</v>
      </c>
      <c r="DT6" s="9"/>
      <c r="DU6" s="9"/>
      <c r="DV6" s="9"/>
      <c r="DW6" s="89" t="e" vm="5">
        <v>#VALUE!</v>
      </c>
      <c r="DX6" s="89" t="e" vm="5">
        <f t="shared" ref="DX6:DX69" ca="1" si="18">DO6-DN6</f>
        <v>#VALUE!</v>
      </c>
      <c r="DY6" s="72">
        <f t="shared" ref="DY6:DY69" ca="1" si="19">(BQ6-CK6)/(CK6-CJ6)</f>
        <v>0.51031036307974798</v>
      </c>
      <c r="DZ6" s="37"/>
      <c r="EA6" s="35">
        <f>_xlfn.STDEV.P(BK6:BO6)</f>
        <v>0.74954386129166384</v>
      </c>
      <c r="EB6" s="56"/>
      <c r="EC6" s="56"/>
      <c r="EE6" s="2" t="e" vm="6">
        <v>#VALUE!</v>
      </c>
      <c r="EG6" s="10" cm="1">
        <f t="array" aca="1" ref="EG6" ca="1">_FV(EE6,"Ações em circulação",TRUE)</f>
        <v>4453440</v>
      </c>
      <c r="EH6" s="18">
        <f>VLOOKUP(BR6,Fundamentus!A:U,5,FALSE)</f>
        <v>1.593</v>
      </c>
      <c r="EI6" s="2">
        <f t="shared" ref="EI6:EI69" ca="1" si="20">(BQ6*EG6)/EH6</f>
        <v>18227513.370998114</v>
      </c>
      <c r="EJ6" s="17">
        <v>3166119.0725423722</v>
      </c>
      <c r="EK6" s="17">
        <f t="shared" ref="EK6:EK69" ca="1" si="21">EI6*EW6</f>
        <v>3166119.0725423722</v>
      </c>
      <c r="EM6" s="16">
        <f t="shared" ref="EM6:EM65" ca="1" si="22">(EK6/EJ6)-1</f>
        <v>0</v>
      </c>
      <c r="EN6" s="45" t="str">
        <f>IF(VLOOKUP(BR6,Fundamentus!A:U,3,FALSE)&lt;15,"Bom",IF(VLOOKUP(BR6,Fundamentus!A:U,3,FALSE)&gt;15,"Ruim","n/a"))</f>
        <v>Bom</v>
      </c>
      <c r="EO6" s="46" t="str">
        <f>IF(VLOOKUP(BR6,Fundamentus!A:U,4,FALSE)&lt;1,"Baixo",IF(VLOOKUP(BR6,Fundamentus!A:U,4,FALSE)&lt;1.5,"Moderado",IF(VLOOKUP(BR6,Fundamentus!A:U,4,FALSE)&gt;1.5,"Alto","n/a")))</f>
        <v>Alto</v>
      </c>
      <c r="EP6" s="30" t="str">
        <f>IF(VLOOKUP(BR6,Fundamentus!A:U,8,FALSE)&lt;0,"Risco elevado",IF(VLOOKUP(BR6,Fundamentus!A:U,8,FALSE)&lt;1,"Saudável",IF(VLOOKUP(BR6,Fundamentus!A:U,8,FALSE)&lt;3,"Estável",IF(VLOOKUP(BR6,Fundamentus!A:U,8,FALSE)&gt;3,"Alerta","n/a"))))</f>
        <v>Alerta</v>
      </c>
      <c r="EQ6" s="46" t="str">
        <f t="shared" ref="EQ6:EQ69" si="23">IF(EH6&gt;1,"Bom","Ruim")</f>
        <v>Bom</v>
      </c>
      <c r="ER6" s="30" t="str">
        <f>IF(VLOOKUP(BR6,Fundamentus!A:U,12,FALSE)&lt;2,"Subvalorizada",IF(VLOOKUP(BR6,Fundamentus!A:U,12,FALSE)&lt;6,"Muita barata",IF(VLOOKUP(BR6,Fundamentus!A:U,12,FALSE)&lt;6,"Barata",IF(VLOOKUP(BR6,Fundamentus!A:U,12,FALSE)&lt;8,"Atrativa",IF(VLOOKUP(BR6,Fundamentus!A:U,12,FALSE)&gt;8,"Supervalorizada","n/a")))))</f>
        <v>Atrativa</v>
      </c>
      <c r="ET6" s="30" t="str">
        <f>IF(VLOOKUP(BR6,Fundamentus!A:U,17,FALSE)&lt;0.1,"Fraco retorno",IF(VLOOKUP(BR6,Fundamentus!A:U,17,FALSE)&gt;0.1,"Bom retorno","n/a"))</f>
        <v>Bom retorno</v>
      </c>
      <c r="EU6" s="30" t="str">
        <f>IF(VLOOKUP(BR6,Fundamentus!A:U,16,FALSE)&lt;0.1,"Ineficiente",IF(VLOOKUP(BR6,Fundamentus!A:U,16,FALSE)&gt;0.1,"Eficiente","n/a"))</f>
        <v>Eficiente</v>
      </c>
      <c r="EV6" s="47" t="str">
        <f>IF(VLOOKUP(BR6,Fundamentus!A:U,16,FALSE)&lt;0.1,"Oper.Ineficiente",IF(VLOOKUP(BR6,Fundamentus!A:U,16,FALSE)&gt;0.1,"Oper.Eficiente","n/a"))</f>
        <v>Oper.Eficiente</v>
      </c>
      <c r="EW6" s="48">
        <f>VLOOKUP(BR6,Fundamentus!A:U,14,FALSE)</f>
        <v>0.17369999999999999</v>
      </c>
      <c r="EX6" s="30" t="str">
        <f>IF(VLOOKUP(BR6,Fundamentus!A:U,21,FALSE)&lt;0,"Negativo",IF(VLOOKUP(BR6,Fundamentus!A:U,21,FALSE)&lt;0.05,"Fraco",IF(VLOOKUP(BR6,Fundamentus!A:U,21,FALSE)&lt;0.1,"Bom",IF(VLOOKUP(BR6,Fundamentus!A:U,21,FALSE)&gt;0.1,"Muito bom","n/a"))))</f>
        <v>Muito bom</v>
      </c>
      <c r="EZ6" s="31" t="str">
        <f>IF(VLOOKUP(BR6,Fundamentus!A:U,15,FALSE)&gt;1,"Bom",IF(VLOOKUP(BR6,Fundamentus!A:U,15,FALSE)&lt;1,"Ruim","n/a"))</f>
        <v>Bom</v>
      </c>
      <c r="FA6" s="30" t="str">
        <f>IF(VLOOKUP(BR6,Fundamentus!A:U,20,FALSE)&lt;0.5,"Baixa",IF(VLOOKUP(BR6,Fundamentus!A:U,20,FALSE)&lt;1,"Moderada",IF(VLOOKUP(BR6,Fundamentus!A:U,20,FALSE)&lt;2,"Alerta",IF(VLOOKUP(BR6,Fundamentus!A:U,20,FALSE)&gt;2,"Alta","n/a"))))</f>
        <v>Alerta</v>
      </c>
    </row>
    <row r="7" spans="1:157" s="2" customFormat="1" ht="11.25"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5">
        <v>26.4</v>
      </c>
      <c r="BC7" s="52">
        <v>26.68</v>
      </c>
      <c r="BD7" s="52">
        <v>26.99</v>
      </c>
      <c r="BE7" s="52">
        <v>27.58</v>
      </c>
      <c r="BF7" s="52">
        <v>27.49</v>
      </c>
      <c r="BG7" s="67">
        <v>29.05</v>
      </c>
      <c r="BH7" s="52">
        <v>28.76</v>
      </c>
      <c r="BI7" s="52">
        <v>28.38</v>
      </c>
      <c r="BJ7" s="52">
        <v>29.05</v>
      </c>
      <c r="BK7" s="52">
        <v>28.7</v>
      </c>
      <c r="BL7" s="52">
        <v>27.52</v>
      </c>
      <c r="BM7" s="52">
        <v>27.24</v>
      </c>
      <c r="BN7" s="52">
        <v>26.87</v>
      </c>
      <c r="BO7" s="52">
        <v>27.08</v>
      </c>
      <c r="BP7" s="52">
        <v>26</v>
      </c>
      <c r="BQ7" s="52" cm="1">
        <f t="array" aca="1" ref="BQ7" ca="1">_FV(EE7,"Preço")</f>
        <v>26</v>
      </c>
      <c r="BR7" s="69" t="s">
        <v>4</v>
      </c>
      <c r="BS7" s="36" cm="1">
        <f t="array" aca="1" ref="BS7" ca="1">_FV(EE7,"Média de volume",TRUE)</f>
        <v>16950</v>
      </c>
      <c r="BT7" s="36">
        <v>32500</v>
      </c>
      <c r="BU7" s="36" cm="1">
        <f t="array" aca="1" ref="BU7" ca="1">_FV(EE7,"Volume")</f>
        <v>32500</v>
      </c>
      <c r="BV7" s="24" cm="1">
        <f t="array" aca="1" ref="BV7" ca="1">_FV(EE7,"Beta")</f>
        <v>0.59150000000000003</v>
      </c>
      <c r="BW7" s="71" cm="1">
        <f t="array" aca="1" ref="BW7" ca="1">_FV(EE7,"Variação (%)",TRUE)</f>
        <v>3.6683E-2</v>
      </c>
      <c r="BY7" s="17" cm="1">
        <f t="array" aca="1" ref="BY7" ca="1">_FV(EE7,"Baixo")</f>
        <v>25.32</v>
      </c>
      <c r="BZ7" s="17" cm="1">
        <f t="array" aca="1" ref="BZ7" ca="1">_FV(EE7,"Alto")</f>
        <v>26.36</v>
      </c>
      <c r="CA7" s="24"/>
      <c r="CB7" s="63">
        <f ca="1">SQRT(22.5*(BQ7/VLOOKUP(BR7,Fundamentus!A:U,3,FALSE))*(BQ7/VLOOKUP(BR7,Fundamentus!A:U,4,FALSE)))</f>
        <v>67.767184568549311</v>
      </c>
      <c r="CD7" s="62">
        <f t="shared" ref="CD7:CD70" ca="1" si="24">(BQ7 - BP7) / BP7</f>
        <v>0</v>
      </c>
      <c r="CE7" s="8"/>
      <c r="CF7" s="61">
        <f t="shared" ref="CF7:CF70" si="25">MIN(A7:BP7)</f>
        <v>24.1</v>
      </c>
      <c r="CG7" s="61">
        <f t="shared" ref="CG7:CG70" si="26">MAX(A7:BP7)</f>
        <v>29.05</v>
      </c>
      <c r="CH7" s="61">
        <f t="shared" ref="CH7:CH70" si="27">AVERAGE(A7:BP7)</f>
        <v>26.206323529411772</v>
      </c>
      <c r="CI7" s="14"/>
      <c r="CJ7" s="35">
        <f t="shared" si="1"/>
        <v>24.630137991876722</v>
      </c>
      <c r="CK7" s="15">
        <f t="shared" ref="CK7:CK70" si="28">FORECAST("22/08/2025", BM7:BP7, $BM$5:$BP$5)</f>
        <v>25.920000000000073</v>
      </c>
      <c r="CL7" s="35">
        <f t="shared" si="2"/>
        <v>27.209862008123423</v>
      </c>
      <c r="CN7" s="14"/>
      <c r="CO7" s="17">
        <f t="shared" si="3"/>
        <v>18.766666666666673</v>
      </c>
      <c r="CP7" s="17">
        <f t="shared" si="4"/>
        <v>21.433333333333337</v>
      </c>
      <c r="CQ7" s="17">
        <f t="shared" si="5"/>
        <v>23.716666666666672</v>
      </c>
      <c r="CR7" s="38">
        <f t="shared" ref="CR7:CR70" si="29">(CG7+CF7+BP7)/3</f>
        <v>26.383333333333336</v>
      </c>
      <c r="CS7" s="17">
        <f t="shared" si="6"/>
        <v>28.666666666666671</v>
      </c>
      <c r="CT7" s="17">
        <f t="shared" si="7"/>
        <v>31.333333333333336</v>
      </c>
      <c r="CU7" s="17">
        <f t="shared" si="8"/>
        <v>33.616666666666674</v>
      </c>
      <c r="CV7" s="2" cm="1">
        <f t="array" aca="1" ref="CV7" ca="1">MAX(_xlfn._xlws.FILTER(CO7:CU7,CO7:CU7&lt;BQ7))</f>
        <v>23.716666666666672</v>
      </c>
      <c r="CW7" s="2" cm="1">
        <f t="array" aca="1" ref="CW7" ca="1">MIN(_xlfn._xlws.FILTER($CO7:$CU7,$CO7:$CU7&gt;BQ7))</f>
        <v>26.383333333333336</v>
      </c>
      <c r="CX7" s="16">
        <f t="shared" ref="CX7:CX13" ca="1" si="30">(CW7/CV7)-1</f>
        <v>0.11243851018973983</v>
      </c>
      <c r="CY7" s="20">
        <f t="shared" ref="CY7:CY13" ca="1" si="31">-$CX7/2</f>
        <v>-5.6219255094869913E-2</v>
      </c>
      <c r="CZ7" s="20">
        <f t="shared" ref="CZ7:CZ13" ca="1" si="32">-$CX7/3</f>
        <v>-3.747950339657994E-2</v>
      </c>
      <c r="DA7" s="20">
        <f t="shared" ref="DA7:DA13" ca="1" si="33">-$CX7/5</f>
        <v>-2.2487702037947966E-2</v>
      </c>
      <c r="DB7" s="20">
        <f t="shared" ref="DB7:DB13" ca="1" si="34">-$CX7/9</f>
        <v>-1.2493167798859981E-2</v>
      </c>
      <c r="DC7" s="20">
        <f t="shared" ca="1" si="9"/>
        <v>-6.6140300111611665E-3</v>
      </c>
      <c r="DD7" s="20">
        <f t="shared" ca="1" si="10"/>
        <v>-3.4072275815072673E-3</v>
      </c>
      <c r="DE7" s="20">
        <f t="shared" ca="1" si="11"/>
        <v>-1.7298232336883049E-3</v>
      </c>
      <c r="DF7" s="21">
        <f t="shared" ca="1" si="12"/>
        <v>1.7298232336883049E-3</v>
      </c>
      <c r="DG7" s="21">
        <f t="shared" ca="1" si="13"/>
        <v>3.4072275815072673E-3</v>
      </c>
      <c r="DH7" s="21">
        <f t="shared" ca="1" si="14"/>
        <v>6.6140300111611665E-3</v>
      </c>
      <c r="DI7" s="21">
        <f t="shared" ref="DI7:DI13" ca="1" si="35">-$CX7/9*-1</f>
        <v>1.2493167798859981E-2</v>
      </c>
      <c r="DJ7" s="21">
        <f t="shared" ref="DJ7:DJ13" ca="1" si="36">-$CX7/5*-1</f>
        <v>2.2487702037947966E-2</v>
      </c>
      <c r="DK7" s="21">
        <f t="shared" ref="DK7:DK13" ca="1" si="37">-$CX7/3*-1</f>
        <v>3.747950339657994E-2</v>
      </c>
      <c r="DL7" s="21">
        <f t="shared" ref="DL7:DL13" ca="1" si="38">-$CX7/2*-1</f>
        <v>5.6219255094869913E-2</v>
      </c>
      <c r="DN7" s="16" cm="1">
        <f t="array" aca="1" ref="DN7" ca="1">MAX(_xlfn._xlws.FILTER(CY7:DL7,CY7:DL7&lt;BW7))</f>
        <v>2.2487702037947966E-2</v>
      </c>
      <c r="DO7" s="16" cm="1">
        <f t="array" aca="1" ref="DO7" ca="1">MIN(_xlfn._xlws.FILTER(CY7:DL7,CY7:DL7&gt;BW7))</f>
        <v>3.747950339657994E-2</v>
      </c>
      <c r="DP7" s="2" cm="1">
        <f t="array" aca="1" ref="DP7" ca="1">_FV(EE7,"Fechamento anterior",TRUE)</f>
        <v>25.08</v>
      </c>
      <c r="DQ7" s="28">
        <f t="shared" ca="1" si="15"/>
        <v>0.94684509569378461</v>
      </c>
      <c r="DR7" s="15">
        <f t="shared" ca="1" si="16"/>
        <v>25.643991567111733</v>
      </c>
      <c r="DS7" s="15">
        <f t="shared" ca="1" si="17"/>
        <v>26.019985945186225</v>
      </c>
      <c r="DT7" s="9"/>
      <c r="DU7" s="9"/>
      <c r="DV7" s="9"/>
      <c r="DW7" s="89">
        <v>8.7858517872228519E-3</v>
      </c>
      <c r="DX7" s="89">
        <f t="shared" ca="1" si="18"/>
        <v>1.4991801358631974E-2</v>
      </c>
      <c r="DY7" s="72">
        <f t="shared" ca="1" si="19"/>
        <v>6.2022138411783341E-2</v>
      </c>
      <c r="DZ7" s="37"/>
      <c r="EA7" s="35">
        <f t="shared" ref="EA7:EA70" si="39">_xlfn.STDEV.P(BK7:BO7)</f>
        <v>0.6449310040616747</v>
      </c>
      <c r="EB7" s="56"/>
      <c r="EC7" s="56"/>
      <c r="EE7" s="2" t="e" vm="7">
        <v>#VALUE!</v>
      </c>
      <c r="EG7" s="10" cm="1">
        <f t="array" aca="1" ref="EG7" ca="1">_FV(EE7,"Ações em circulação",TRUE)</f>
        <v>20585620</v>
      </c>
      <c r="EH7" s="18">
        <f>VLOOKUP(BR7,Fundamentus!A:U,5,FALSE)</f>
        <v>0.77600000000000002</v>
      </c>
      <c r="EI7" s="2">
        <f t="shared" ca="1" si="20"/>
        <v>689724381.44329894</v>
      </c>
      <c r="EJ7" s="17">
        <v>97044220.469072148</v>
      </c>
      <c r="EK7" s="17">
        <f t="shared" ca="1" si="21"/>
        <v>97044220.469072148</v>
      </c>
      <c r="EM7" s="16">
        <f t="shared" ca="1" si="22"/>
        <v>0</v>
      </c>
      <c r="EN7" s="32" t="str">
        <f>IF(VLOOKUP(BR7,Fundamentus!A:U,3,FALSE)&lt;15,"Bom",IF(VLOOKUP(BR7,Fundamentus!A:U,3,FALSE)&gt;15,"Ruim","n/a"))</f>
        <v>Bom</v>
      </c>
      <c r="EO7" s="28" t="str">
        <f>IF(VLOOKUP(BR7,Fundamentus!A:U,4,FALSE)&lt;1,"Baixo",IF(VLOOKUP(BR7,Fundamentus!A:U,4,FALSE)&lt;1.5,"Moderado",IF(VLOOKUP(BR7,Fundamentus!A:U,4,FALSE)&gt;1.5,"Alto","n/a")))</f>
        <v>Baixo</v>
      </c>
      <c r="EP7" s="17" t="str">
        <f>IF(VLOOKUP(BR7,Fundamentus!A:U,8,FALSE)&lt;0,"Risco elevado",IF(VLOOKUP(BR7,Fundamentus!A:U,8,FALSE)&lt;1,"Saudável",IF(VLOOKUP(BR7,Fundamentus!A:U,8,FALSE)&lt;3,"Estável",IF(VLOOKUP(BR7,Fundamentus!A:U,8,FALSE)&gt;3,"Alerta","n/a"))))</f>
        <v>Estável</v>
      </c>
      <c r="EQ7" s="28" t="str">
        <f t="shared" si="23"/>
        <v>Ruim</v>
      </c>
      <c r="ER7" s="17" t="str">
        <f>IF(VLOOKUP(BR7,Fundamentus!A:U,12,FALSE)&lt;2,"Subvalorizada",IF(VLOOKUP(BR7,Fundamentus!A:U,12,FALSE)&lt;6,"Muita barata",IF(VLOOKUP(BR7,Fundamentus!A:U,12,FALSE)&lt;6,"Barata",IF(VLOOKUP(BR7,Fundamentus!A:U,12,FALSE)&lt;8,"Atrativa",IF(VLOOKUP(BR7,Fundamentus!A:U,12,FALSE)&gt;8,"Supervalorizada","n/a")))))</f>
        <v>Muita barata</v>
      </c>
      <c r="ET7" s="17" t="str">
        <f>IF(VLOOKUP(BR7,Fundamentus!A:U,17,FALSE)&lt;0.1,"Fraco retorno",IF(VLOOKUP(BR7,Fundamentus!A:U,17,FALSE)&gt;0.1,"Bom retorno","n/a"))</f>
        <v>Bom retorno</v>
      </c>
      <c r="EU7" s="17" t="str">
        <f>IF(VLOOKUP(BR7,Fundamentus!A:U,16,FALSE)&lt;0.1,"Ineficiente",IF(VLOOKUP(BR7,Fundamentus!A:U,16,FALSE)&gt;0.1,"Eficiente","n/a"))</f>
        <v>Ineficiente</v>
      </c>
      <c r="EV7" s="33" t="str">
        <f>IF(VLOOKUP(BR7,Fundamentus!A:U,16,FALSE)&lt;0.1,"Oper. Ineficiente",IF(VLOOKUP(BR7,Fundamentus!A:U,16,FALSE)&gt;0.1,"Oper.Eficiente","n/a"))</f>
        <v>Oper. Ineficiente</v>
      </c>
      <c r="EW7" s="34">
        <f>VLOOKUP(BR7,Fundamentus!A:U,14,FALSE)</f>
        <v>0.14069999999999999</v>
      </c>
      <c r="EX7" s="17" t="str">
        <f>IF(VLOOKUP(BR7,Fundamentus!A:U,21,FALSE)&lt;0,"Negativo",IF(VLOOKUP(BR7,Fundamentus!A:U,21,FALSE)&lt;0.05,"Fraco",IF(VLOOKUP(BR7,Fundamentus!A:U,21,FALSE)&lt;0.1,"Bom",IF(VLOOKUP(BR7,Fundamentus!A:U,21,FALSE)&gt;0.1,"Muito bom","n/a"))))</f>
        <v>Muito bom</v>
      </c>
      <c r="EZ7" s="29" t="str">
        <f>IF(VLOOKUP(BR7,Fundamentus!A:U,15,FALSE)&gt;1,"Bom",IF(VLOOKUP(BR7,Fundamentus!A:U,15,FALSE)&lt;1,"Ruim","n/a"))</f>
        <v>Bom</v>
      </c>
      <c r="FA7" s="17" t="str">
        <f>IF(VLOOKUP(BR7,Fundamentus!A:U,20,FALSE)&lt;0.5,"Baixa",IF(VLOOKUP(BR7,Fundamentus!A:U,20,FALSE)&lt;1,"Moderada",IF(VLOOKUP(BR7,Fundamentus!A:U,20,FALSE)&lt;2,"Alerta",IF(VLOOKUP(BR7,Fundamentus!A:U,20,FALSE)&gt;2,"Alta","n/a"))))</f>
        <v>Baixa</v>
      </c>
    </row>
    <row r="8" spans="1:157" s="2" customFormat="1" ht="11.25"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5">
        <v>22.87</v>
      </c>
      <c r="BC8" s="52">
        <v>23.42</v>
      </c>
      <c r="BD8" s="52">
        <v>23.5</v>
      </c>
      <c r="BE8" s="52">
        <v>23.4</v>
      </c>
      <c r="BF8" s="52">
        <v>23.14</v>
      </c>
      <c r="BG8" s="67">
        <v>23.12</v>
      </c>
      <c r="BH8" s="52">
        <v>23.03</v>
      </c>
      <c r="BI8" s="52">
        <v>22.79</v>
      </c>
      <c r="BJ8" s="52">
        <v>23.31</v>
      </c>
      <c r="BK8" s="52">
        <v>22.8</v>
      </c>
      <c r="BL8" s="52">
        <v>22.44</v>
      </c>
      <c r="BM8" s="52">
        <v>22.37</v>
      </c>
      <c r="BN8" s="52">
        <v>21.6</v>
      </c>
      <c r="BO8" s="52">
        <v>21.82</v>
      </c>
      <c r="BP8" s="52">
        <v>22.13</v>
      </c>
      <c r="BQ8" s="52" cm="1">
        <f t="array" aca="1" ref="BQ8" ca="1">_FV(EE8,"Preço")</f>
        <v>22.13</v>
      </c>
      <c r="BR8" s="69" t="s">
        <v>5</v>
      </c>
      <c r="BS8" s="36" cm="1">
        <f t="array" aca="1" ref="BS8" ca="1">_FV(EE8,"Média de volume",TRUE)</f>
        <v>2192490</v>
      </c>
      <c r="BT8" s="36">
        <v>1749700</v>
      </c>
      <c r="BU8" s="36" cm="1">
        <f t="array" aca="1" ref="BU8" ca="1">_FV(EE8,"Volume")</f>
        <v>1749700</v>
      </c>
      <c r="BV8" s="24" cm="1">
        <f t="array" aca="1" ref="BV8" ca="1">_FV(EE8,"Beta")</f>
        <v>0.70420000000000005</v>
      </c>
      <c r="BW8" s="71" cm="1">
        <f t="array" aca="1" ref="BW8" ca="1">_FV(EE8,"Variação (%)",TRUE)</f>
        <v>4.9950000000000003E-3</v>
      </c>
      <c r="BY8" s="17" cm="1">
        <f t="array" aca="1" ref="BY8" ca="1">_FV(EE8,"Baixo")</f>
        <v>21.97</v>
      </c>
      <c r="BZ8" s="17" cm="1">
        <f t="array" aca="1" ref="BZ8" ca="1">_FV(EE8,"Alto")</f>
        <v>22.25</v>
      </c>
      <c r="CA8" s="24"/>
      <c r="CB8" s="63">
        <f ca="1">SQRT(22.5*(BQ8/VLOOKUP(BR8,Fundamentus!A:U,3,FALSE))*(BQ8/VLOOKUP(BR8,Fundamentus!A:U,4,FALSE)))</f>
        <v>60.800374484369861</v>
      </c>
      <c r="CD8" s="62">
        <f t="shared" ca="1" si="24"/>
        <v>0</v>
      </c>
      <c r="CE8" s="8"/>
      <c r="CF8" s="61">
        <f t="shared" si="25"/>
        <v>21.6</v>
      </c>
      <c r="CG8" s="61">
        <f t="shared" si="26"/>
        <v>27.09</v>
      </c>
      <c r="CH8" s="61">
        <f t="shared" si="27"/>
        <v>23.933970588235297</v>
      </c>
      <c r="CI8" s="14"/>
      <c r="CJ8" s="35">
        <f t="shared" si="1"/>
        <v>20.982889915205671</v>
      </c>
      <c r="CK8" s="15">
        <f t="shared" si="28"/>
        <v>21.855000000000018</v>
      </c>
      <c r="CL8" s="35">
        <f t="shared" si="2"/>
        <v>22.727110084794365</v>
      </c>
      <c r="CN8" s="14"/>
      <c r="CO8" s="17">
        <f t="shared" si="3"/>
        <v>14.633333333333333</v>
      </c>
      <c r="CP8" s="17">
        <f t="shared" si="4"/>
        <v>18.116666666666667</v>
      </c>
      <c r="CQ8" s="17">
        <f t="shared" si="5"/>
        <v>20.123333333333331</v>
      </c>
      <c r="CR8" s="38">
        <f t="shared" si="29"/>
        <v>23.606666666666666</v>
      </c>
      <c r="CS8" s="17">
        <f t="shared" si="6"/>
        <v>25.61333333333333</v>
      </c>
      <c r="CT8" s="17">
        <f t="shared" si="7"/>
        <v>29.096666666666664</v>
      </c>
      <c r="CU8" s="17">
        <f t="shared" si="8"/>
        <v>31.103333333333328</v>
      </c>
      <c r="CV8" s="2" cm="1">
        <f t="array" aca="1" ref="CV8" ca="1">MAX(_xlfn._xlws.FILTER(CO8:CU8,CO8:CU8&lt;BQ8))</f>
        <v>20.123333333333331</v>
      </c>
      <c r="CW8" s="2" cm="1">
        <f t="array" aca="1" ref="CW8" ca="1">MIN(_xlfn._xlws.FILTER($CO8:$CU8,$CO8:$CU8&gt;BQ8))</f>
        <v>23.606666666666666</v>
      </c>
      <c r="CX8" s="16">
        <f t="shared" ca="1" si="30"/>
        <v>0.17309922146761636</v>
      </c>
      <c r="CY8" s="20">
        <f t="shared" ca="1" si="31"/>
        <v>-8.654961073380818E-2</v>
      </c>
      <c r="CZ8" s="20">
        <f t="shared" ca="1" si="32"/>
        <v>-5.7699740489205453E-2</v>
      </c>
      <c r="DA8" s="20">
        <f t="shared" ca="1" si="33"/>
        <v>-3.4619844293523272E-2</v>
      </c>
      <c r="DB8" s="20">
        <f t="shared" ca="1" si="34"/>
        <v>-1.9233246829735151E-2</v>
      </c>
      <c r="DC8" s="20">
        <f ca="1">-$CX8/17</f>
        <v>-1.0182307145153904E-2</v>
      </c>
      <c r="DD8" s="20">
        <f ca="1">-$CX8/33</f>
        <v>-5.2454309535641319E-3</v>
      </c>
      <c r="DE8" s="20">
        <f ca="1">-$CX8/65</f>
        <v>-2.6630649456556364E-3</v>
      </c>
      <c r="DF8" s="21">
        <f ca="1">-$CX8/65*-1</f>
        <v>2.6630649456556364E-3</v>
      </c>
      <c r="DG8" s="21">
        <f ca="1">-$CX8/33*-1</f>
        <v>5.2454309535641319E-3</v>
      </c>
      <c r="DH8" s="21">
        <f ca="1">-$CX8/17*-1</f>
        <v>1.0182307145153904E-2</v>
      </c>
      <c r="DI8" s="21">
        <f t="shared" ca="1" si="35"/>
        <v>1.9233246829735151E-2</v>
      </c>
      <c r="DJ8" s="21">
        <f t="shared" ca="1" si="36"/>
        <v>3.4619844293523272E-2</v>
      </c>
      <c r="DK8" s="21">
        <f t="shared" ca="1" si="37"/>
        <v>5.7699740489205453E-2</v>
      </c>
      <c r="DL8" s="21">
        <f t="shared" ca="1" si="38"/>
        <v>8.654961073380818E-2</v>
      </c>
      <c r="DN8" s="16" cm="1">
        <f t="array" aca="1" ref="DN8" ca="1">MAX(_xlfn._xlws.FILTER(CY8:DL8,CY8:DL8&lt;BW8))</f>
        <v>2.6630649456556364E-3</v>
      </c>
      <c r="DO8" s="16" cm="1">
        <f t="array" aca="1" ref="DO8" ca="1">MIN(_xlfn._xlws.FILTER(CY8:DL8,CY8:DL8&gt;BW8))</f>
        <v>5.2454309535641319E-3</v>
      </c>
      <c r="DP8" s="2" cm="1">
        <f t="array" aca="1" ref="DP8" ca="1">_FV(EE8,"Fechamento anterior",TRUE)</f>
        <v>22.02</v>
      </c>
      <c r="DQ8" s="28">
        <f t="shared" ca="1" si="15"/>
        <v>0.90320029040582961</v>
      </c>
      <c r="DR8" s="15">
        <f t="shared" ca="1" si="16"/>
        <v>22.078640690103338</v>
      </c>
      <c r="DS8" s="15">
        <f t="shared" ca="1" si="17"/>
        <v>22.135504389597482</v>
      </c>
      <c r="DT8" s="9"/>
      <c r="DU8" s="9"/>
      <c r="DV8" s="9"/>
      <c r="DW8" s="89">
        <v>5.1360764922172815E-3</v>
      </c>
      <c r="DX8" s="89">
        <f t="shared" ca="1" si="18"/>
        <v>2.5823660079084955E-3</v>
      </c>
      <c r="DY8" s="72">
        <f t="shared" ca="1" si="19"/>
        <v>0.31532716430498431</v>
      </c>
      <c r="DZ8" s="37"/>
      <c r="EA8" s="35">
        <f t="shared" si="39"/>
        <v>0.43605504239717258</v>
      </c>
      <c r="EB8" s="56"/>
      <c r="EC8" s="56"/>
      <c r="EE8" s="2" t="e" vm="8">
        <v>#VALUE!</v>
      </c>
      <c r="EG8" s="10" cm="1">
        <f t="array" aca="1" ref="EG8" ca="1">_FV(EE8,"Ações em circulação",TRUE)</f>
        <v>658883300</v>
      </c>
      <c r="EH8" s="18">
        <f>VLOOKUP(BR8,Fundamentus!A:U,5,FALSE)</f>
        <v>1.76</v>
      </c>
      <c r="EI8" s="2">
        <f t="shared" ca="1" si="20"/>
        <v>8284708766.477273</v>
      </c>
      <c r="EJ8" s="17">
        <v>3571537949.2283521</v>
      </c>
      <c r="EK8" s="17">
        <f t="shared" ca="1" si="21"/>
        <v>3571537949.2283521</v>
      </c>
      <c r="EM8" s="16">
        <f t="shared" ca="1" si="22"/>
        <v>0</v>
      </c>
      <c r="EN8" s="32" t="str">
        <f>IF(VLOOKUP(BR8,Fundamentus!A:U,3,FALSE)&lt;15,"Bom",IF(VLOOKUP(BR8,Fundamentus!A:U,3,FALSE)&gt;15,"Ruim","n/a"))</f>
        <v>Bom</v>
      </c>
      <c r="EO8" s="28" t="str">
        <f>IF(VLOOKUP(BR8,Fundamentus!A:U,4,FALSE)&lt;1,"Baixo",IF(VLOOKUP(BR8,Fundamentus!A:U,4,FALSE)&lt;1.5,"Moderado",IF(VLOOKUP(BR8,Fundamentus!A:U,4,FALSE)&gt;1.5,"Alto","n/a")))</f>
        <v>Baixo</v>
      </c>
      <c r="EP8" s="17" t="str">
        <f>IF(VLOOKUP(BR8,Fundamentus!A:U,8,FALSE)&lt;0,"Risco elevado",IF(VLOOKUP(BR8,Fundamentus!A:U,8,FALSE)&lt;1,"Saudável",IF(VLOOKUP(BR8,Fundamentus!A:U,8,FALSE)&lt;3,"Estável",IF(VLOOKUP(BR8,Fundamentus!A:U,8,FALSE)&gt;3,"Alerta","n/a"))))</f>
        <v>Estável</v>
      </c>
      <c r="EQ8" s="28" t="str">
        <f t="shared" si="23"/>
        <v>Bom</v>
      </c>
      <c r="ER8" s="17" t="str">
        <f>IF(VLOOKUP(BR8,Fundamentus!A:U,12,FALSE)&lt;2,"Subvalorizada",IF(VLOOKUP(BR8,Fundamentus!A:U,12,FALSE)&lt;6,"Muita barata",IF(VLOOKUP(BR8,Fundamentus!A:U,12,FALSE)&lt;6,"Barata",IF(VLOOKUP(BR8,Fundamentus!A:U,12,FALSE)&lt;8,"Atrativa",IF(VLOOKUP(BR8,Fundamentus!A:U,12,FALSE)&gt;8,"Supervalorizada","n/a")))))</f>
        <v>Muita barata</v>
      </c>
      <c r="ET8" s="17" t="str">
        <f>IF(VLOOKUP(BR8,Fundamentus!A:U,17,FALSE)&lt;0.1,"Fraco retorno",IF(VLOOKUP(BR8,Fundamentus!A:U,17,FALSE)&gt;0.1,"Bom retorno","n/a"))</f>
        <v>Bom retorno</v>
      </c>
      <c r="EU8" s="17" t="str">
        <f>IF(VLOOKUP(BR8,Fundamentus!A:U,16,FALSE)&lt;0.1,"Ineficiente",IF(VLOOKUP(BR8,Fundamentus!A:U,16,FALSE)&gt;0.1,"Eficiente","n/a"))</f>
        <v>Eficiente</v>
      </c>
      <c r="EV8" s="33" t="str">
        <f>IF(VLOOKUP(BR8,Fundamentus!A:U,16,FALSE)&lt;0.1,"Oper. Ineficiente",IF(VLOOKUP(BR8,Fundamentus!A:U,16,FALSE)&gt;0.1,"Oper.Eficiente","n/a"))</f>
        <v>Oper.Eficiente</v>
      </c>
      <c r="EW8" s="34">
        <f>VLOOKUP(BR8,Fundamentus!A:U,14,FALSE)</f>
        <v>0.43109999999999998</v>
      </c>
      <c r="EX8" s="17" t="str">
        <f>IF(VLOOKUP(BR8,Fundamentus!A:U,21,FALSE)&lt;0,"Negativo",IF(VLOOKUP(BR8,Fundamentus!A:U,21,FALSE)&lt;0.05,"Fraco",IF(VLOOKUP(BR8,Fundamentus!A:U,21,FALSE)&lt;0.1,"Bom",IF(VLOOKUP(BR8,Fundamentus!A:U,21,FALSE)&gt;0.1,"Muito bom","n/a"))))</f>
        <v>Muito bom</v>
      </c>
      <c r="EZ8" s="29" t="str">
        <f>IF(VLOOKUP(BR8,Fundamentus!A:U,15,FALSE)&gt;1,"Bom",IF(VLOOKUP(BR8,Fundamentus!A:U,15,FALSE)&lt;1,"Ruim","n/a"))</f>
        <v>Bom</v>
      </c>
      <c r="FA8" s="17" t="str">
        <f>IF(VLOOKUP(BR8,Fundamentus!A:U,20,FALSE)&lt;0.5,"Baixa",IF(VLOOKUP(BR8,Fundamentus!A:U,20,FALSE)&lt;1,"Moderada",IF(VLOOKUP(BR8,Fundamentus!A:U,20,FALSE)&lt;2,"Alerta",IF(VLOOKUP(BR8,Fundamentus!A:U,20,FALSE)&gt;2,"Alta","n/a"))))</f>
        <v>Moderada</v>
      </c>
    </row>
    <row r="9" spans="1:157" s="2" customFormat="1" ht="11.25"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5">
        <v>8.73</v>
      </c>
      <c r="BC9" s="52">
        <v>8.52</v>
      </c>
      <c r="BD9" s="52">
        <v>8.77</v>
      </c>
      <c r="BE9" s="52">
        <v>8.64</v>
      </c>
      <c r="BF9" s="52">
        <v>8.56</v>
      </c>
      <c r="BG9" s="67">
        <v>8.58</v>
      </c>
      <c r="BH9" s="52">
        <v>8.42</v>
      </c>
      <c r="BI9" s="52">
        <v>8.49</v>
      </c>
      <c r="BJ9" s="52">
        <v>8.6300000000000008</v>
      </c>
      <c r="BK9" s="52">
        <v>8.5</v>
      </c>
      <c r="BL9" s="52">
        <v>8.49</v>
      </c>
      <c r="BM9" s="52">
        <v>8.39</v>
      </c>
      <c r="BN9" s="52">
        <v>8.3800000000000008</v>
      </c>
      <c r="BO9" s="52">
        <v>8.5</v>
      </c>
      <c r="BP9" s="52">
        <v>8.5399999999999991</v>
      </c>
      <c r="BQ9" s="52" cm="1">
        <f t="array" aca="1" ref="BQ9" ca="1">_FV(EE9,"Preço")</f>
        <v>8.5399999999999991</v>
      </c>
      <c r="BR9" s="69" t="s">
        <v>6</v>
      </c>
      <c r="BS9" s="36" cm="1">
        <f t="array" aca="1" ref="BS9" ca="1">_FV(EE9,"Média de volume",TRUE)</f>
        <v>10500</v>
      </c>
      <c r="BT9" s="36">
        <v>12000</v>
      </c>
      <c r="BU9" s="36" cm="1">
        <f t="array" aca="1" ref="BU9" ca="1">_FV(EE9,"Volume")</f>
        <v>12000</v>
      </c>
      <c r="BV9" s="24" cm="1">
        <f t="array" aca="1" ref="BV9" ca="1">_FV(EE9,"Beta")</f>
        <v>0.43680000000000002</v>
      </c>
      <c r="BW9" s="71" cm="1">
        <f t="array" aca="1" ref="BW9" ca="1">_FV(EE9,"Variação (%)",TRUE)</f>
        <v>9.4559999999999991E-3</v>
      </c>
      <c r="BY9" s="17" cm="1">
        <f t="array" aca="1" ref="BY9" ca="1">_FV(EE9,"Baixo")</f>
        <v>8.48</v>
      </c>
      <c r="BZ9" s="17" cm="1">
        <f t="array" aca="1" ref="BZ9" ca="1">_FV(EE9,"Alto")</f>
        <v>8.5500000000000007</v>
      </c>
      <c r="CA9" s="24"/>
      <c r="CB9" s="63">
        <f ca="1">SQRT(22.5*(BQ9/VLOOKUP(BR9,Fundamentus!A:U,3,FALSE))*(BQ9/VLOOKUP(BR9,Fundamentus!A:U,4,FALSE)))</f>
        <v>14.114642065223283</v>
      </c>
      <c r="CD9" s="62">
        <f t="shared" ca="1" si="24"/>
        <v>0</v>
      </c>
      <c r="CE9" s="8"/>
      <c r="CF9" s="61">
        <f t="shared" si="25"/>
        <v>8.1199999999999992</v>
      </c>
      <c r="CG9" s="61">
        <f t="shared" si="26"/>
        <v>9.1999999999999993</v>
      </c>
      <c r="CH9" s="61">
        <f t="shared" si="27"/>
        <v>8.6293382352941173</v>
      </c>
      <c r="CI9" s="14"/>
      <c r="CJ9" s="35">
        <f t="shared" si="1"/>
        <v>8.485163758258004</v>
      </c>
      <c r="CK9" s="15">
        <f t="shared" si="28"/>
        <v>8.5949999999999704</v>
      </c>
      <c r="CL9" s="35">
        <f t="shared" si="2"/>
        <v>8.7048362417419369</v>
      </c>
      <c r="CN9" s="14"/>
      <c r="CO9" s="17">
        <f t="shared" si="3"/>
        <v>6.9599999999999991</v>
      </c>
      <c r="CP9" s="17">
        <f t="shared" si="4"/>
        <v>7.5399999999999991</v>
      </c>
      <c r="CQ9" s="17">
        <f t="shared" si="5"/>
        <v>8.0399999999999991</v>
      </c>
      <c r="CR9" s="38">
        <f t="shared" si="29"/>
        <v>8.6199999999999992</v>
      </c>
      <c r="CS9" s="17">
        <f t="shared" si="6"/>
        <v>9.1199999999999992</v>
      </c>
      <c r="CT9" s="17">
        <f t="shared" si="7"/>
        <v>9.6999999999999993</v>
      </c>
      <c r="CU9" s="17">
        <f t="shared" si="8"/>
        <v>10.199999999999999</v>
      </c>
      <c r="CV9" s="2" cm="1">
        <f t="array" aca="1" ref="CV9" ca="1">MAX(_xlfn._xlws.FILTER(CO9:CU9,CO9:CU9&lt;BQ9))</f>
        <v>8.0399999999999991</v>
      </c>
      <c r="CW9" s="2" cm="1">
        <f t="array" aca="1" ref="CW9" ca="1">MIN(_xlfn._xlws.FILTER($CO9:$CU9,$CO9:$CU9&gt;BQ9))</f>
        <v>8.6199999999999992</v>
      </c>
      <c r="CX9" s="16">
        <f t="shared" ca="1" si="30"/>
        <v>7.2139303482587014E-2</v>
      </c>
      <c r="CY9" s="20">
        <f t="shared" ca="1" si="31"/>
        <v>-3.6069651741293507E-2</v>
      </c>
      <c r="CZ9" s="20">
        <f t="shared" ca="1" si="32"/>
        <v>-2.4046434494195672E-2</v>
      </c>
      <c r="DA9" s="20">
        <f t="shared" ca="1" si="33"/>
        <v>-1.4427860696517403E-2</v>
      </c>
      <c r="DB9" s="20">
        <f t="shared" ca="1" si="34"/>
        <v>-8.0154781647318908E-3</v>
      </c>
      <c r="DC9" s="20">
        <f t="shared" ref="DC9:DC13" ca="1" si="40">-$CX9/17</f>
        <v>-4.243488440152177E-3</v>
      </c>
      <c r="DD9" s="20">
        <f t="shared" ref="DD9:DD13" ca="1" si="41">-$CX9/33</f>
        <v>-2.1860394994723336E-3</v>
      </c>
      <c r="DE9" s="20">
        <f t="shared" ref="DE9:DE13" ca="1" si="42">-$CX9/65</f>
        <v>-1.1098354381936463E-3</v>
      </c>
      <c r="DF9" s="21">
        <f t="shared" ref="DF9:DF13" ca="1" si="43">-$CX9/65*-1</f>
        <v>1.1098354381936463E-3</v>
      </c>
      <c r="DG9" s="21">
        <f t="shared" ref="DG9:DG13" ca="1" si="44">-$CX9/33*-1</f>
        <v>2.1860394994723336E-3</v>
      </c>
      <c r="DH9" s="21">
        <f t="shared" ref="DH9:DH13" ca="1" si="45">-$CX9/17*-1</f>
        <v>4.243488440152177E-3</v>
      </c>
      <c r="DI9" s="21">
        <f t="shared" ca="1" si="35"/>
        <v>8.0154781647318908E-3</v>
      </c>
      <c r="DJ9" s="21">
        <f t="shared" ca="1" si="36"/>
        <v>1.4427860696517403E-2</v>
      </c>
      <c r="DK9" s="21">
        <f t="shared" ca="1" si="37"/>
        <v>2.4046434494195672E-2</v>
      </c>
      <c r="DL9" s="21">
        <f t="shared" ca="1" si="38"/>
        <v>3.6069651741293507E-2</v>
      </c>
      <c r="DN9" s="16" cm="1">
        <f t="array" aca="1" ref="DN9" ca="1">MAX(_xlfn._xlws.FILTER(CY9:DL9,CY9:DL9&lt;BW9))</f>
        <v>8.0154781647318908E-3</v>
      </c>
      <c r="DO9" s="16" cm="1">
        <f t="array" aca="1" ref="DO9" ca="1">MIN(_xlfn._xlws.FILTER(CY9:DL9,CY9:DL9&gt;BW9))</f>
        <v>1.4427860696517403E-2</v>
      </c>
      <c r="DP9" s="2" cm="1">
        <f t="array" aca="1" ref="DP9" ca="1">_FV(EE9,"Fechamento anterior",TRUE)</f>
        <v>8.4600000000000009</v>
      </c>
      <c r="DQ9" s="28">
        <f t="shared" ca="1" si="15"/>
        <v>0.22468818782095726</v>
      </c>
      <c r="DR9" s="15">
        <f t="shared" ca="1" si="16"/>
        <v>8.5278109452736324</v>
      </c>
      <c r="DS9" s="15">
        <f t="shared" ca="1" si="17"/>
        <v>8.5820597014925379</v>
      </c>
      <c r="DT9" s="9"/>
      <c r="DU9" s="9"/>
      <c r="DV9" s="9"/>
      <c r="DW9" s="89">
        <v>2.1117507659545358E-3</v>
      </c>
      <c r="DX9" s="89">
        <f t="shared" ca="1" si="18"/>
        <v>6.4123825317855127E-3</v>
      </c>
      <c r="DY9" s="72">
        <f t="shared" ca="1" si="19"/>
        <v>-0.50074546550109034</v>
      </c>
      <c r="DZ9" s="37"/>
      <c r="EA9" s="35">
        <f t="shared" si="39"/>
        <v>5.4918120870983619E-2</v>
      </c>
      <c r="EB9" s="56"/>
      <c r="EC9" s="56"/>
      <c r="EE9" s="2" t="e" vm="9">
        <v>#VALUE!</v>
      </c>
      <c r="EG9" s="10" cm="1">
        <f t="array" aca="1" ref="EG9" ca="1">_FV(EE9,"Ações em circulação",TRUE)</f>
        <v>315912900</v>
      </c>
      <c r="EH9" s="18">
        <f>VLOOKUP(BR9,Fundamentus!A:U,5,FALSE)</f>
        <v>0</v>
      </c>
      <c r="EI9" s="2" t="e">
        <f t="shared" ca="1" si="20"/>
        <v>#DIV/0!</v>
      </c>
      <c r="EJ9" s="17" t="e">
        <v>#DIV/0!</v>
      </c>
      <c r="EK9" s="17" t="e">
        <f t="shared" ca="1" si="21"/>
        <v>#DIV/0!</v>
      </c>
      <c r="EM9" s="16" t="e">
        <f t="shared" ca="1" si="22"/>
        <v>#DIV/0!</v>
      </c>
      <c r="EN9" s="32" t="str">
        <f>IF(VLOOKUP(BR9,Fundamentus!A:U,3,FALSE)&lt;15,"Bom",IF(VLOOKUP(BR9,Fundamentus!A:U,3,FALSE)&gt;15,"Ruim","n/a"))</f>
        <v>Bom</v>
      </c>
      <c r="EO9" s="28" t="str">
        <f>IF(VLOOKUP(BR9,Fundamentus!A:U,4,FALSE)&lt;1,"Baixo",IF(VLOOKUP(BR9,Fundamentus!A:U,4,FALSE)&lt;1.5,"Moderado",IF(VLOOKUP(BR9,Fundamentus!A:U,4,FALSE)&gt;1.5,"Alto","n/a")))</f>
        <v>Moderado</v>
      </c>
      <c r="EP9" s="17" t="str">
        <f>IF(VLOOKUP(BR9,Fundamentus!A:U,8,FALSE)&lt;0,"Risco elevado",IF(VLOOKUP(BR9,Fundamentus!A:U,8,FALSE)&lt;1,"Saudável",IF(VLOOKUP(BR9,Fundamentus!A:U,8,FALSE)&lt;3,"Estável",IF(VLOOKUP(BR9,Fundamentus!A:U,8,FALSE)&gt;3,"Alerta","n/a"))))</f>
        <v>Saudável</v>
      </c>
      <c r="EQ9" s="28" t="str">
        <f t="shared" si="23"/>
        <v>Ruim</v>
      </c>
      <c r="ER9" s="17" t="str">
        <f>IF(VLOOKUP(BR9,Fundamentus!A:U,12,FALSE)&lt;2,"Subvalorizada",IF(VLOOKUP(BR9,Fundamentus!A:U,12,FALSE)&lt;6,"Muita barata",IF(VLOOKUP(BR9,Fundamentus!A:U,12,FALSE)&lt;6,"Barata",IF(VLOOKUP(BR9,Fundamentus!A:U,12,FALSE)&lt;8,"Atrativa",IF(VLOOKUP(BR9,Fundamentus!A:U,12,FALSE)&gt;8,"Supervalorizada","n/a")))))</f>
        <v>Subvalorizada</v>
      </c>
      <c r="ET9" s="17" t="str">
        <f>IF(VLOOKUP(BR9,Fundamentus!A:U,17,FALSE)&lt;0.1,"Fraco retorno",IF(VLOOKUP(BR9,Fundamentus!A:U,17,FALSE)&gt;0.1,"Bom retorno","n/a"))</f>
        <v>Bom retorno</v>
      </c>
      <c r="EU9" s="17" t="str">
        <f>IF(VLOOKUP(BR9,Fundamentus!A:U,16,FALSE)&lt;0.1,"Ineficiente",IF(VLOOKUP(BR9,Fundamentus!A:U,16,FALSE)&gt;0.1,"Eficiente","n/a"))</f>
        <v>Ineficiente</v>
      </c>
      <c r="EV9" s="33" t="str">
        <f>IF(VLOOKUP(BR9,Fundamentus!A:U,16,FALSE)&lt;0.1,"Oper. Ineficiente",IF(VLOOKUP(BR9,Fundamentus!A:U,16,FALSE)&gt;0.1,"Oper.Eficiente","n/a"))</f>
        <v>Oper. Ineficiente</v>
      </c>
      <c r="EW9" s="34">
        <f>VLOOKUP(BR9,Fundamentus!A:U,14,FALSE)</f>
        <v>0</v>
      </c>
      <c r="EX9" s="17" t="str">
        <f>IF(VLOOKUP(BR9,Fundamentus!A:U,21,FALSE)&lt;0,"Negativo",IF(VLOOKUP(BR9,Fundamentus!A:U,21,FALSE)&lt;0.05,"Fraco",IF(VLOOKUP(BR9,Fundamentus!A:U,21,FALSE)&lt;0.1,"Bom",IF(VLOOKUP(BR9,Fundamentus!A:U,21,FALSE)&gt;0.1,"Muito bom","n/a"))))</f>
        <v>Muito bom</v>
      </c>
      <c r="EZ9" s="29" t="str">
        <f>IF(VLOOKUP(BR9,Fundamentus!A:U,15,FALSE)&gt;1,"Bom",IF(VLOOKUP(BR9,Fundamentus!A:U,15,FALSE)&lt;1,"Ruim","n/a"))</f>
        <v>Ruim</v>
      </c>
      <c r="FA9" s="17" t="str">
        <f>IF(VLOOKUP(BR9,Fundamentus!A:U,20,FALSE)&lt;0.5,"Baixa",IF(VLOOKUP(BR9,Fundamentus!A:U,20,FALSE)&lt;1,"Moderada",IF(VLOOKUP(BR9,Fundamentus!A:U,20,FALSE)&lt;2,"Alerta",IF(VLOOKUP(BR9,Fundamentus!A:U,20,FALSE)&gt;2,"Alta","n/a"))))</f>
        <v>Baixa</v>
      </c>
    </row>
    <row r="10" spans="1:157" s="2" customFormat="1" ht="11.25"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5">
        <v>14.37</v>
      </c>
      <c r="BC10" s="52">
        <v>14.41</v>
      </c>
      <c r="BD10" s="52">
        <v>14.24</v>
      </c>
      <c r="BE10" s="52">
        <v>14.03</v>
      </c>
      <c r="BF10" s="52">
        <v>14.08</v>
      </c>
      <c r="BG10" s="67">
        <v>13.64</v>
      </c>
      <c r="BH10" s="52">
        <v>13.53</v>
      </c>
      <c r="BI10" s="52">
        <v>13.15</v>
      </c>
      <c r="BJ10" s="52">
        <v>13.52</v>
      </c>
      <c r="BK10" s="52">
        <v>13.3</v>
      </c>
      <c r="BL10" s="52">
        <v>13.32</v>
      </c>
      <c r="BM10" s="52">
        <v>13.47</v>
      </c>
      <c r="BN10" s="52">
        <v>12.29</v>
      </c>
      <c r="BO10" s="52">
        <v>12.4</v>
      </c>
      <c r="BP10" s="52">
        <v>12.04</v>
      </c>
      <c r="BQ10" s="52" cm="1">
        <f t="array" aca="1" ref="BQ10" ca="1">_FV(EE10,"Preço")</f>
        <v>12.04</v>
      </c>
      <c r="BR10" s="69" t="s">
        <v>7</v>
      </c>
      <c r="BS10" s="36" cm="1">
        <f t="array" aca="1" ref="BS10" ca="1">_FV(EE10,"Média de volume",TRUE)</f>
        <v>32362040</v>
      </c>
      <c r="BT10" s="36">
        <v>22216800</v>
      </c>
      <c r="BU10" s="36" cm="1">
        <f t="array" aca="1" ref="BU10" ca="1">_FV(EE10,"Volume")</f>
        <v>22216800</v>
      </c>
      <c r="BV10" s="24" cm="1">
        <f t="array" aca="1" ref="BV10" ca="1">_FV(EE10,"Beta")</f>
        <v>0.67710000000000004</v>
      </c>
      <c r="BW10" s="71" cm="1">
        <f t="array" aca="1" ref="BW10" ca="1">_FV(EE10,"Variação (%)",TRUE)</f>
        <v>1.6639999999999999E-3</v>
      </c>
      <c r="BY10" s="17" cm="1">
        <f t="array" aca="1" ref="BY10" ca="1">_FV(EE10,"Baixo")</f>
        <v>11.96</v>
      </c>
      <c r="BZ10" s="17" cm="1">
        <f t="array" aca="1" ref="BZ10" ca="1">_FV(EE10,"Alto")</f>
        <v>12.11</v>
      </c>
      <c r="CA10" s="24"/>
      <c r="CB10" s="63">
        <f ca="1">SQRT(22.5*(BQ10/VLOOKUP(BR10,Fundamentus!A:U,3,FALSE))*(BQ10/VLOOKUP(BR10,Fundamentus!A:U,4,FALSE)))</f>
        <v>9.8398361536095269</v>
      </c>
      <c r="CD10" s="62">
        <f t="shared" ca="1" si="24"/>
        <v>0</v>
      </c>
      <c r="CE10" s="8"/>
      <c r="CF10" s="61">
        <f t="shared" si="25"/>
        <v>10.85</v>
      </c>
      <c r="CG10" s="61">
        <f t="shared" si="26"/>
        <v>14.57</v>
      </c>
      <c r="CH10" s="61">
        <f t="shared" si="27"/>
        <v>12.637573529411764</v>
      </c>
      <c r="CI10" s="14"/>
      <c r="CJ10" s="35">
        <f t="shared" si="1"/>
        <v>10.497936943384486</v>
      </c>
      <c r="CK10" s="15">
        <f t="shared" si="28"/>
        <v>11.505000000000109</v>
      </c>
      <c r="CL10" s="35">
        <f t="shared" si="2"/>
        <v>12.512063056615732</v>
      </c>
      <c r="CN10" s="14"/>
      <c r="CO10" s="17">
        <f t="shared" si="3"/>
        <v>6.6833333333333318</v>
      </c>
      <c r="CP10" s="17">
        <f t="shared" si="4"/>
        <v>8.7666666666666657</v>
      </c>
      <c r="CQ10" s="17">
        <f t="shared" si="5"/>
        <v>10.403333333333332</v>
      </c>
      <c r="CR10" s="38">
        <f t="shared" si="29"/>
        <v>12.486666666666666</v>
      </c>
      <c r="CS10" s="17">
        <f t="shared" si="6"/>
        <v>14.123333333333333</v>
      </c>
      <c r="CT10" s="17">
        <f t="shared" si="7"/>
        <v>16.206666666666667</v>
      </c>
      <c r="CU10" s="17">
        <f t="shared" si="8"/>
        <v>17.843333333333334</v>
      </c>
      <c r="CV10" s="2" cm="1">
        <f t="array" aca="1" ref="CV10" ca="1">MAX(_xlfn._xlws.FILTER(CO10:CU10,CO10:CU10&lt;BQ10))</f>
        <v>10.403333333333332</v>
      </c>
      <c r="CW10" s="2" cm="1">
        <f t="array" aca="1" ref="CW10" ca="1">MIN(_xlfn._xlws.FILTER($CO10:$CU10,$CO10:$CU10&gt;BQ10))</f>
        <v>12.486666666666666</v>
      </c>
      <c r="CX10" s="16">
        <f t="shared" ca="1" si="30"/>
        <v>0.20025632809996807</v>
      </c>
      <c r="CY10" s="20">
        <f t="shared" ca="1" si="31"/>
        <v>-0.10012816404998404</v>
      </c>
      <c r="CZ10" s="20">
        <f t="shared" ca="1" si="32"/>
        <v>-6.6752109366656029E-2</v>
      </c>
      <c r="DA10" s="20">
        <f t="shared" ca="1" si="33"/>
        <v>-4.0051265619993615E-2</v>
      </c>
      <c r="DB10" s="20">
        <f t="shared" ca="1" si="34"/>
        <v>-2.2250703122218676E-2</v>
      </c>
      <c r="DC10" s="20">
        <f t="shared" ca="1" si="40"/>
        <v>-1.1779784005880475E-2</v>
      </c>
      <c r="DD10" s="20">
        <f t="shared" ca="1" si="41"/>
        <v>-6.0683735787869109E-3</v>
      </c>
      <c r="DE10" s="20">
        <f t="shared" ca="1" si="42"/>
        <v>-3.0808665861533548E-3</v>
      </c>
      <c r="DF10" s="21">
        <f t="shared" ca="1" si="43"/>
        <v>3.0808665861533548E-3</v>
      </c>
      <c r="DG10" s="21">
        <f t="shared" ca="1" si="44"/>
        <v>6.0683735787869109E-3</v>
      </c>
      <c r="DH10" s="21">
        <f t="shared" ca="1" si="45"/>
        <v>1.1779784005880475E-2</v>
      </c>
      <c r="DI10" s="21">
        <f t="shared" ca="1" si="35"/>
        <v>2.2250703122218676E-2</v>
      </c>
      <c r="DJ10" s="21">
        <f t="shared" ca="1" si="36"/>
        <v>4.0051265619993615E-2</v>
      </c>
      <c r="DK10" s="21">
        <f t="shared" ca="1" si="37"/>
        <v>6.6752109366656029E-2</v>
      </c>
      <c r="DL10" s="21">
        <f t="shared" ca="1" si="38"/>
        <v>0.10012816404998404</v>
      </c>
      <c r="DN10" s="16" cm="1">
        <f t="array" aca="1" ref="DN10" ca="1">MAX(_xlfn._xlws.FILTER(CY10:DL10,CY10:DL10&lt;BW10))</f>
        <v>-3.0808665861533548E-3</v>
      </c>
      <c r="DO10" s="16" cm="1">
        <f t="array" aca="1" ref="DO10" ca="1">MIN(_xlfn._xlws.FILTER(CY10:DL10,CY10:DL10&gt;BW10))</f>
        <v>3.0808665861533548E-3</v>
      </c>
      <c r="DP10" s="2" cm="1">
        <f t="array" aca="1" ref="DP10" ca="1">_FV(EE10,"Fechamento anterior",TRUE)</f>
        <v>12.02</v>
      </c>
      <c r="DQ10" s="28">
        <f t="shared" ca="1" si="15"/>
        <v>0.77003660565723386</v>
      </c>
      <c r="DR10" s="15">
        <f t="shared" ca="1" si="16"/>
        <v>11.982967983634436</v>
      </c>
      <c r="DS10" s="15">
        <f t="shared" ca="1" si="17"/>
        <v>12.057032016365563</v>
      </c>
      <c r="DT10" s="9"/>
      <c r="DU10" s="9"/>
      <c r="DV10" s="9"/>
      <c r="DW10" s="89">
        <v>5.6758775205377121E-3</v>
      </c>
      <c r="DX10" s="89">
        <f t="shared" ca="1" si="18"/>
        <v>6.1617331723067097E-3</v>
      </c>
      <c r="DY10" s="72">
        <f t="shared" ca="1" si="19"/>
        <v>0.53124776694503395</v>
      </c>
      <c r="DZ10" s="37"/>
      <c r="EA10" s="35">
        <f t="shared" si="39"/>
        <v>0.50353152830781156</v>
      </c>
      <c r="EB10" s="56"/>
      <c r="EC10" s="56"/>
      <c r="EE10" s="2" t="e" vm="10">
        <v>#VALUE!</v>
      </c>
      <c r="EG10" s="10" cm="1">
        <f t="array" aca="1" ref="EG10" ca="1">_FV(EE10,"Ações em circulação",TRUE)</f>
        <v>15761640000</v>
      </c>
      <c r="EH10" s="18">
        <f>VLOOKUP(BR10,Fundamentus!A:U,5,FALSE)</f>
        <v>2.3370000000000002</v>
      </c>
      <c r="EI10" s="2">
        <f t="shared" ca="1" si="20"/>
        <v>81202458536.585358</v>
      </c>
      <c r="EJ10" s="17">
        <v>13154798282.926828</v>
      </c>
      <c r="EK10" s="17">
        <f t="shared" ca="1" si="21"/>
        <v>13154798282.926828</v>
      </c>
      <c r="EM10" s="16">
        <f t="shared" ca="1" si="22"/>
        <v>0</v>
      </c>
      <c r="EN10" s="32" t="str">
        <f>IF(VLOOKUP(BR10,Fundamentus!A:U,3,FALSE)&lt;15,"Bom",IF(VLOOKUP(BR10,Fundamentus!A:U,3,FALSE)&gt;15,"Ruim","n/a"))</f>
        <v>Bom</v>
      </c>
      <c r="EO10" s="28" t="str">
        <f>IF(VLOOKUP(BR10,Fundamentus!A:U,4,FALSE)&lt;1,"Baixo",IF(VLOOKUP(BR10,Fundamentus!A:U,4,FALSE)&lt;1.5,"Moderado",IF(VLOOKUP(BR10,Fundamentus!A:U,4,FALSE)&gt;1.5,"Alto","n/a")))</f>
        <v>Alto</v>
      </c>
      <c r="EP10" s="17" t="str">
        <f>IF(VLOOKUP(BR10,Fundamentus!A:U,8,FALSE)&lt;0,"Risco elevado",IF(VLOOKUP(BR10,Fundamentus!A:U,8,FALSE)&lt;1,"Saudável",IF(VLOOKUP(BR10,Fundamentus!A:U,8,FALSE)&lt;3,"Estável",IF(VLOOKUP(BR10,Fundamentus!A:U,8,FALSE)&gt;3,"Alerta","n/a"))))</f>
        <v>Alerta</v>
      </c>
      <c r="EQ10" s="28" t="str">
        <f t="shared" si="23"/>
        <v>Bom</v>
      </c>
      <c r="ER10" s="17" t="str">
        <f>IF(VLOOKUP(BR10,Fundamentus!A:U,12,FALSE)&lt;2,"Subvalorizada",IF(VLOOKUP(BR10,Fundamentus!A:U,12,FALSE)&lt;6,"Muita barata",IF(VLOOKUP(BR10,Fundamentus!A:U,12,FALSE)&lt;6,"Barata",IF(VLOOKUP(BR10,Fundamentus!A:U,12,FALSE)&lt;8,"Atrativa",IF(VLOOKUP(BR10,Fundamentus!A:U,12,FALSE)&gt;8,"Supervalorizada","n/a")))))</f>
        <v>Atrativa</v>
      </c>
      <c r="ET10" s="17" t="str">
        <f>IF(VLOOKUP(BR10,Fundamentus!A:U,17,FALSE)&lt;0.1,"Fraco retorno",IF(VLOOKUP(BR10,Fundamentus!A:U,17,FALSE)&gt;0.1,"Bom retorno","n/a"))</f>
        <v>Bom retorno</v>
      </c>
      <c r="EU10" s="17" t="str">
        <f>IF(VLOOKUP(BR10,Fundamentus!A:U,16,FALSE)&lt;0.1,"Ineficiente",IF(VLOOKUP(BR10,Fundamentus!A:U,16,FALSE)&gt;0.1,"Eficiente","n/a"))</f>
        <v>Eficiente</v>
      </c>
      <c r="EV10" s="33" t="str">
        <f>IF(VLOOKUP(BR10,Fundamentus!A:U,16,FALSE)&lt;0.1,"Oper. Ineficiente",IF(VLOOKUP(BR10,Fundamentus!A:U,16,FALSE)&gt;0.1,"Oper.Eficiente","n/a"))</f>
        <v>Oper.Eficiente</v>
      </c>
      <c r="EW10" s="34">
        <f>VLOOKUP(BR10,Fundamentus!A:U,14,FALSE)</f>
        <v>0.16200000000000001</v>
      </c>
      <c r="EX10" s="17" t="str">
        <f>IF(VLOOKUP(BR10,Fundamentus!A:U,21,FALSE)&lt;0,"Negativo",IF(VLOOKUP(BR10,Fundamentus!A:U,21,FALSE)&lt;0.05,"Fraco",IF(VLOOKUP(BR10,Fundamentus!A:U,21,FALSE)&lt;0.1,"Bom",IF(VLOOKUP(BR10,Fundamentus!A:U,21,FALSE)&gt;0.1,"Muito bom","n/a"))))</f>
        <v>Bom</v>
      </c>
      <c r="EZ10" s="29" t="str">
        <f>IF(VLOOKUP(BR10,Fundamentus!A:U,15,FALSE)&gt;1,"Bom",IF(VLOOKUP(BR10,Fundamentus!A:U,15,FALSE)&lt;1,"Ruim","n/a"))</f>
        <v>Bom</v>
      </c>
      <c r="FA10" s="17" t="str">
        <f>IF(VLOOKUP(BR10,Fundamentus!A:U,20,FALSE)&lt;0.5,"Baixa",IF(VLOOKUP(BR10,Fundamentus!A:U,20,FALSE)&lt;1,"Moderada",IF(VLOOKUP(BR10,Fundamentus!A:U,20,FALSE)&lt;2,"Alerta",IF(VLOOKUP(BR10,Fundamentus!A:U,20,FALSE)&gt;2,"Alta","n/a"))))</f>
        <v>Baixa</v>
      </c>
    </row>
    <row r="11" spans="1:157" s="2" customFormat="1" ht="11.25"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5">
        <v>2.81</v>
      </c>
      <c r="BC11" s="52">
        <v>2.82</v>
      </c>
      <c r="BD11" s="52">
        <v>2.88</v>
      </c>
      <c r="BE11" s="52">
        <v>2.98</v>
      </c>
      <c r="BF11" s="52">
        <v>2.9</v>
      </c>
      <c r="BG11" s="67">
        <v>2.88</v>
      </c>
      <c r="BH11" s="52">
        <v>2.91</v>
      </c>
      <c r="BI11" s="52">
        <v>2.9</v>
      </c>
      <c r="BJ11" s="52">
        <v>2.96</v>
      </c>
      <c r="BK11" s="52">
        <v>2.9</v>
      </c>
      <c r="BL11" s="52">
        <v>2.9</v>
      </c>
      <c r="BM11" s="52">
        <v>2.98</v>
      </c>
      <c r="BN11" s="52">
        <v>2.91</v>
      </c>
      <c r="BO11" s="52">
        <v>2.92</v>
      </c>
      <c r="BP11" s="52">
        <v>2.9</v>
      </c>
      <c r="BQ11" s="52" cm="1">
        <f t="array" aca="1" ref="BQ11" ca="1">_FV(EE11,"Preço")</f>
        <v>2.9</v>
      </c>
      <c r="BR11" s="69" t="s">
        <v>8</v>
      </c>
      <c r="BS11" s="36" cm="1">
        <f t="array" aca="1" ref="BS11" ca="1">_FV(EE11,"Média de volume",TRUE)</f>
        <v>7430</v>
      </c>
      <c r="BT11" s="36">
        <v>200</v>
      </c>
      <c r="BU11" s="36" cm="1">
        <f t="array" aca="1" ref="BU11" ca="1">_FV(EE11,"Volume")</f>
        <v>200</v>
      </c>
      <c r="BV11" s="24" cm="1">
        <f t="array" aca="1" ref="BV11" ca="1">_FV(EE11,"Beta")</f>
        <v>0.85099999999999998</v>
      </c>
      <c r="BW11" s="71" cm="1">
        <f t="array" aca="1" ref="BW11" ca="1">_FV(EE11,"Variação (%)",TRUE)</f>
        <v>1.0452999999999999E-2</v>
      </c>
      <c r="BY11" s="17" cm="1">
        <f t="array" aca="1" ref="BY11" ca="1">_FV(EE11,"Baixo")</f>
        <v>2.9</v>
      </c>
      <c r="BZ11" s="17" cm="1">
        <f t="array" aca="1" ref="BZ11" ca="1">_FV(EE11,"Alto")</f>
        <v>2.9</v>
      </c>
      <c r="CA11" s="24"/>
      <c r="CB11" s="63">
        <f ca="1">SQRT(22.5*(BQ11/VLOOKUP(BR11,Fundamentus!A:U,3,FALSE))*(BQ11/VLOOKUP(BR11,Fundamentus!A:U,4,FALSE)))</f>
        <v>205.06096654409879</v>
      </c>
      <c r="CD11" s="62">
        <f t="shared" ca="1" si="24"/>
        <v>0</v>
      </c>
      <c r="CE11" s="8"/>
      <c r="CF11" s="61">
        <f t="shared" si="25"/>
        <v>2.0099999999999998</v>
      </c>
      <c r="CG11" s="61">
        <f t="shared" si="26"/>
        <v>3.15</v>
      </c>
      <c r="CH11" s="61">
        <f t="shared" si="27"/>
        <v>2.7865441176470576</v>
      </c>
      <c r="CI11" s="14"/>
      <c r="CJ11" s="35">
        <f t="shared" si="1"/>
        <v>2.8101334818116213</v>
      </c>
      <c r="CK11" s="15">
        <f t="shared" si="28"/>
        <v>2.8700000000000045</v>
      </c>
      <c r="CL11" s="35">
        <f t="shared" si="2"/>
        <v>2.9298665181883878</v>
      </c>
      <c r="CN11" s="14"/>
      <c r="CO11" s="17">
        <f t="shared" si="3"/>
        <v>1.0833333333333339</v>
      </c>
      <c r="CP11" s="17">
        <f t="shared" si="4"/>
        <v>1.5466666666666669</v>
      </c>
      <c r="CQ11" s="17">
        <f t="shared" si="5"/>
        <v>2.223333333333334</v>
      </c>
      <c r="CR11" s="38">
        <f t="shared" si="29"/>
        <v>2.686666666666667</v>
      </c>
      <c r="CS11" s="17">
        <f t="shared" si="6"/>
        <v>3.3633333333333342</v>
      </c>
      <c r="CT11" s="17">
        <f t="shared" si="7"/>
        <v>3.8266666666666671</v>
      </c>
      <c r="CU11" s="17">
        <f t="shared" si="8"/>
        <v>4.5033333333333339</v>
      </c>
      <c r="CV11" s="2" cm="1">
        <f t="array" aca="1" ref="CV11" ca="1">MAX(_xlfn._xlws.FILTER(CO11:CU11,CO11:CU11&lt;BQ11))</f>
        <v>2.686666666666667</v>
      </c>
      <c r="CW11" s="2" cm="1">
        <f t="array" aca="1" ref="CW11" ca="1">MIN(_xlfn._xlws.FILTER($CO11:$CU11,$CO11:$CU11&gt;BQ11))</f>
        <v>3.3633333333333342</v>
      </c>
      <c r="CX11" s="16">
        <f t="shared" ca="1" si="30"/>
        <v>0.25186104218362293</v>
      </c>
      <c r="CY11" s="20">
        <f t="shared" ca="1" si="31"/>
        <v>-0.12593052109181146</v>
      </c>
      <c r="CZ11" s="20">
        <f t="shared" ca="1" si="32"/>
        <v>-8.3953680727874305E-2</v>
      </c>
      <c r="DA11" s="20">
        <f t="shared" ca="1" si="33"/>
        <v>-5.0372208436724589E-2</v>
      </c>
      <c r="DB11" s="20">
        <f t="shared" ca="1" si="34"/>
        <v>-2.798456024262477E-2</v>
      </c>
      <c r="DC11" s="20">
        <f t="shared" ca="1" si="40"/>
        <v>-1.4815355422566054E-2</v>
      </c>
      <c r="DD11" s="20">
        <f t="shared" ca="1" si="41"/>
        <v>-7.6321527934431191E-3</v>
      </c>
      <c r="DE11" s="20">
        <f t="shared" ca="1" si="42"/>
        <v>-3.8747852643634295E-3</v>
      </c>
      <c r="DF11" s="21">
        <f t="shared" ca="1" si="43"/>
        <v>3.8747852643634295E-3</v>
      </c>
      <c r="DG11" s="21">
        <f t="shared" ca="1" si="44"/>
        <v>7.6321527934431191E-3</v>
      </c>
      <c r="DH11" s="21">
        <f t="shared" ca="1" si="45"/>
        <v>1.4815355422566054E-2</v>
      </c>
      <c r="DI11" s="21">
        <f t="shared" ca="1" si="35"/>
        <v>2.798456024262477E-2</v>
      </c>
      <c r="DJ11" s="21">
        <f t="shared" ca="1" si="36"/>
        <v>5.0372208436724589E-2</v>
      </c>
      <c r="DK11" s="21">
        <f t="shared" ca="1" si="37"/>
        <v>8.3953680727874305E-2</v>
      </c>
      <c r="DL11" s="21">
        <f t="shared" ca="1" si="38"/>
        <v>0.12593052109181146</v>
      </c>
      <c r="DN11" s="16" cm="1">
        <f t="array" aca="1" ref="DN11" ca="1">MAX(_xlfn._xlws.FILTER(CY11:DL11,CY11:DL11&lt;BW11))</f>
        <v>7.6321527934431191E-3</v>
      </c>
      <c r="DO11" s="16" cm="1">
        <f t="array" aca="1" ref="DO11" ca="1">MIN(_xlfn._xlws.FILTER(CY11:DL11,CY11:DL11&gt;BW11))</f>
        <v>1.4815355422566054E-2</v>
      </c>
      <c r="DP11" s="2" cm="1">
        <f t="array" aca="1" ref="DP11" ca="1">_FV(EE11,"Fechamento anterior",TRUE)</f>
        <v>2.87</v>
      </c>
      <c r="DQ11" s="28">
        <f t="shared" ca="1" si="15"/>
        <v>0.39269515627948592</v>
      </c>
      <c r="DR11" s="15">
        <f t="shared" ca="1" si="16"/>
        <v>2.891904278517182</v>
      </c>
      <c r="DS11" s="15">
        <f t="shared" ca="1" si="17"/>
        <v>2.9125200700627647</v>
      </c>
      <c r="DT11" s="9"/>
      <c r="DU11" s="9"/>
      <c r="DV11" s="9"/>
      <c r="DW11" s="89">
        <v>7.8065498857578103E-3</v>
      </c>
      <c r="DX11" s="89">
        <f t="shared" ca="1" si="18"/>
        <v>7.1832026291229348E-3</v>
      </c>
      <c r="DY11" s="72">
        <f t="shared" ca="1" si="19"/>
        <v>0.50111482858571643</v>
      </c>
      <c r="DZ11" s="37"/>
      <c r="EA11" s="35">
        <f t="shared" si="39"/>
        <v>2.9933259094191537E-2</v>
      </c>
      <c r="EB11" s="56"/>
      <c r="EC11" s="56"/>
      <c r="EE11" s="2" t="e" vm="11">
        <v>#VALUE!</v>
      </c>
      <c r="EG11" s="10" cm="1">
        <f t="array" aca="1" ref="EG11" ca="1">_FV(EE11,"Ações em circulação",TRUE)</f>
        <v>67691630</v>
      </c>
      <c r="EH11" s="18">
        <f>VLOOKUP(BR11,Fundamentus!A:U,5,FALSE)</f>
        <v>2.7E-2</v>
      </c>
      <c r="EI11" s="2">
        <f t="shared" ca="1" si="20"/>
        <v>7270582481.4814816</v>
      </c>
      <c r="EJ11" s="17">
        <v>-1283984866.2296298</v>
      </c>
      <c r="EK11" s="17">
        <f t="shared" ca="1" si="21"/>
        <v>-1283984866.2296298</v>
      </c>
      <c r="EM11" s="16">
        <f t="shared" ca="1" si="22"/>
        <v>0</v>
      </c>
      <c r="EN11" s="32" t="str">
        <f>IF(VLOOKUP(BR11,Fundamentus!A:U,3,FALSE)&lt;15,"Bom",IF(VLOOKUP(BR11,Fundamentus!A:U,3,FALSE)&gt;15,"Ruim","n/a"))</f>
        <v>Bom</v>
      </c>
      <c r="EO11" s="28" t="str">
        <f>IF(VLOOKUP(BR11,Fundamentus!A:U,4,FALSE)&lt;1,"Baixo",IF(VLOOKUP(BR11,Fundamentus!A:U,4,FALSE)&lt;1.5,"Moderado",IF(VLOOKUP(BR11,Fundamentus!A:U,4,FALSE)&gt;1.5,"Alto","n/a")))</f>
        <v>Baixo</v>
      </c>
      <c r="EP11" s="17" t="str">
        <f>IF(VLOOKUP(BR11,Fundamentus!A:U,8,FALSE)&lt;0,"Risco elevado",IF(VLOOKUP(BR11,Fundamentus!A:U,8,FALSE)&lt;1,"Saudável",IF(VLOOKUP(BR11,Fundamentus!A:U,8,FALSE)&lt;3,"Estável",IF(VLOOKUP(BR11,Fundamentus!A:U,8,FALSE)&gt;3,"Alerta","n/a"))))</f>
        <v>Risco elevado</v>
      </c>
      <c r="EQ11" s="28" t="str">
        <f t="shared" si="23"/>
        <v>Ruim</v>
      </c>
      <c r="ER11" s="17" t="str">
        <f>IF(VLOOKUP(BR11,Fundamentus!A:U,12,FALSE)&lt;2,"Subvalorizada",IF(VLOOKUP(BR11,Fundamentus!A:U,12,FALSE)&lt;6,"Muita barata",IF(VLOOKUP(BR11,Fundamentus!A:U,12,FALSE)&lt;6,"Barata",IF(VLOOKUP(BR11,Fundamentus!A:U,12,FALSE)&lt;8,"Atrativa",IF(VLOOKUP(BR11,Fundamentus!A:U,12,FALSE)&gt;8,"Supervalorizada","n/a")))))</f>
        <v>Subvalorizada</v>
      </c>
      <c r="ET11" s="17" t="str">
        <f>IF(VLOOKUP(BR11,Fundamentus!A:U,17,FALSE)&lt;0.1,"Fraco retorno",IF(VLOOKUP(BR11,Fundamentus!A:U,17,FALSE)&gt;0.1,"Bom retorno","n/a"))</f>
        <v>Bom retorno</v>
      </c>
      <c r="EU11" s="17" t="str">
        <f>IF(VLOOKUP(BR11,Fundamentus!A:U,16,FALSE)&lt;0.1,"Ineficiente",IF(VLOOKUP(BR11,Fundamentus!A:U,16,FALSE)&gt;0.1,"Eficiente","n/a"))</f>
        <v>Ineficiente</v>
      </c>
      <c r="EV11" s="33" t="str">
        <f>IF(VLOOKUP(BR11,Fundamentus!A:U,16,FALSE)&lt;0.1,"Oper. Ineficiente",IF(VLOOKUP(BR11,Fundamentus!A:U,16,FALSE)&gt;0.1,"Oper.Eficiente","n/a"))</f>
        <v>Oper. Ineficiente</v>
      </c>
      <c r="EW11" s="34">
        <f>VLOOKUP(BR11,Fundamentus!A:U,14,FALSE)</f>
        <v>-0.17660000000000001</v>
      </c>
      <c r="EX11" s="17" t="str">
        <f>IF(VLOOKUP(BR11,Fundamentus!A:U,21,FALSE)&lt;0,"Negativo",IF(VLOOKUP(BR11,Fundamentus!A:U,21,FALSE)&lt;0.05,"Fraco",IF(VLOOKUP(BR11,Fundamentus!A:U,21,FALSE)&lt;0.1,"Bom",IF(VLOOKUP(BR11,Fundamentus!A:U,21,FALSE)&gt;0.1,"Muito bom","n/a"))))</f>
        <v>Muito bom</v>
      </c>
      <c r="EZ11" s="29" t="str">
        <f>IF(VLOOKUP(BR11,Fundamentus!A:U,15,FALSE)&gt;1,"Bom",IF(VLOOKUP(BR11,Fundamentus!A:U,15,FALSE)&lt;1,"Ruim","n/a"))</f>
        <v>Ruim</v>
      </c>
      <c r="FA11" s="17" t="str">
        <f>IF(VLOOKUP(BR11,Fundamentus!A:U,20,FALSE)&lt;0.5,"Baixa",IF(VLOOKUP(BR11,Fundamentus!A:U,20,FALSE)&lt;1,"Moderada",IF(VLOOKUP(BR11,Fundamentus!A:U,20,FALSE)&lt;2,"Alerta",IF(VLOOKUP(BR11,Fundamentus!A:U,20,FALSE)&gt;2,"Alta","n/a"))))</f>
        <v>Baixa</v>
      </c>
    </row>
    <row r="12" spans="1:157" s="2" customFormat="1" ht="11.25"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5">
        <v>5.32</v>
      </c>
      <c r="BC12" s="52">
        <v>5.4</v>
      </c>
      <c r="BD12" s="52">
        <v>5.3</v>
      </c>
      <c r="BE12" s="52">
        <v>5.4</v>
      </c>
      <c r="BF12" s="52">
        <v>5.47</v>
      </c>
      <c r="BG12" s="67">
        <v>5.07</v>
      </c>
      <c r="BH12" s="52">
        <v>4.9400000000000004</v>
      </c>
      <c r="BI12" s="52">
        <v>4.99</v>
      </c>
      <c r="BJ12" s="52">
        <v>4.9400000000000004</v>
      </c>
      <c r="BK12" s="52">
        <v>4.74</v>
      </c>
      <c r="BL12" s="52">
        <v>4.6900000000000004</v>
      </c>
      <c r="BM12" s="52">
        <v>4.7300000000000004</v>
      </c>
      <c r="BN12" s="52">
        <v>4.67</v>
      </c>
      <c r="BO12" s="52">
        <v>4.6100000000000003</v>
      </c>
      <c r="BP12" s="52">
        <v>4.55</v>
      </c>
      <c r="BQ12" s="52" cm="1">
        <f t="array" aca="1" ref="BQ12" ca="1">_FV(EE12,"Preço")</f>
        <v>4.55</v>
      </c>
      <c r="BR12" s="69" t="s">
        <v>9</v>
      </c>
      <c r="BS12" s="36" cm="1">
        <f t="array" aca="1" ref="BS12" ca="1">_FV(EE12,"Média de volume",TRUE)</f>
        <v>52340</v>
      </c>
      <c r="BT12" s="36">
        <v>68200</v>
      </c>
      <c r="BU12" s="36" cm="1">
        <f t="array" aca="1" ref="BU12" ca="1">_FV(EE12,"Volume")</f>
        <v>68200</v>
      </c>
      <c r="BV12" s="24" cm="1">
        <f t="array" aca="1" ref="BV12" ca="1">_FV(EE12,"Beta")</f>
        <v>0.95530000000000004</v>
      </c>
      <c r="BW12" s="71" cm="1">
        <f t="array" aca="1" ref="BW12" ca="1">_FV(EE12,"Variação (%)",TRUE)</f>
        <v>-1.0869999999999999E-2</v>
      </c>
      <c r="BY12" s="17" cm="1">
        <f t="array" aca="1" ref="BY12" ca="1">_FV(EE12,"Baixo")</f>
        <v>4.5</v>
      </c>
      <c r="BZ12" s="17" cm="1">
        <f t="array" aca="1" ref="BZ12" ca="1">_FV(EE12,"Alto")</f>
        <v>4.6500000000000004</v>
      </c>
      <c r="CA12" s="24"/>
      <c r="CB12" s="63">
        <f ca="1">SQRT(22.5*(BQ12/VLOOKUP(BR12,Fundamentus!A:U,3,FALSE))*(BQ12/VLOOKUP(BR12,Fundamentus!A:U,4,FALSE)))</f>
        <v>13.440613351333148</v>
      </c>
      <c r="CD12" s="62">
        <f t="shared" ca="1" si="24"/>
        <v>0</v>
      </c>
      <c r="CE12" s="8"/>
      <c r="CF12" s="61">
        <f t="shared" si="25"/>
        <v>4.55</v>
      </c>
      <c r="CG12" s="61">
        <f t="shared" si="26"/>
        <v>8.1199999999999992</v>
      </c>
      <c r="CH12" s="61">
        <f t="shared" si="27"/>
        <v>6.2333088235294092</v>
      </c>
      <c r="CI12" s="14"/>
      <c r="CJ12" s="35">
        <f t="shared" si="1"/>
        <v>4.3967047696824277</v>
      </c>
      <c r="CK12" s="15">
        <f t="shared" si="28"/>
        <v>4.4899999999999523</v>
      </c>
      <c r="CL12" s="35">
        <f t="shared" si="2"/>
        <v>4.5832952303174768</v>
      </c>
      <c r="CN12" s="14"/>
      <c r="CO12" s="17">
        <f t="shared" si="3"/>
        <v>-0.20999999999999996</v>
      </c>
      <c r="CP12" s="17">
        <f t="shared" si="4"/>
        <v>2.17</v>
      </c>
      <c r="CQ12" s="17">
        <f t="shared" si="5"/>
        <v>3.3599999999999994</v>
      </c>
      <c r="CR12" s="38">
        <f t="shared" si="29"/>
        <v>5.7399999999999993</v>
      </c>
      <c r="CS12" s="17">
        <f t="shared" si="6"/>
        <v>6.9299999999999988</v>
      </c>
      <c r="CT12" s="17">
        <f t="shared" si="7"/>
        <v>9.3099999999999987</v>
      </c>
      <c r="CU12" s="17">
        <f t="shared" si="8"/>
        <v>10.499999999999998</v>
      </c>
      <c r="CV12" s="2" cm="1">
        <f t="array" aca="1" ref="CV12" ca="1">MAX(_xlfn._xlws.FILTER(CO12:CU12,CO12:CU12&lt;BQ12))</f>
        <v>3.3599999999999994</v>
      </c>
      <c r="CW12" s="2" cm="1">
        <f t="array" aca="1" ref="CW12" ca="1">MIN(_xlfn._xlws.FILTER($CO12:$CU12,$CO12:$CU12&gt;BQ12))</f>
        <v>5.7399999999999993</v>
      </c>
      <c r="CX12" s="16">
        <f t="shared" ca="1" si="30"/>
        <v>0.70833333333333348</v>
      </c>
      <c r="CY12" s="20">
        <f t="shared" ca="1" si="31"/>
        <v>-0.35416666666666674</v>
      </c>
      <c r="CZ12" s="20">
        <f t="shared" ca="1" si="32"/>
        <v>-0.23611111111111116</v>
      </c>
      <c r="DA12" s="20">
        <f t="shared" ca="1" si="33"/>
        <v>-0.14166666666666669</v>
      </c>
      <c r="DB12" s="20">
        <f t="shared" ca="1" si="34"/>
        <v>-7.870370370370372E-2</v>
      </c>
      <c r="DC12" s="20">
        <f t="shared" ca="1" si="40"/>
        <v>-4.1666666666666678E-2</v>
      </c>
      <c r="DD12" s="20">
        <f t="shared" ca="1" si="41"/>
        <v>-2.1464646464646468E-2</v>
      </c>
      <c r="DE12" s="20">
        <f t="shared" ca="1" si="42"/>
        <v>-1.08974358974359E-2</v>
      </c>
      <c r="DF12" s="21">
        <f t="shared" ca="1" si="43"/>
        <v>1.08974358974359E-2</v>
      </c>
      <c r="DG12" s="21">
        <f t="shared" ca="1" si="44"/>
        <v>2.1464646464646468E-2</v>
      </c>
      <c r="DH12" s="21">
        <f t="shared" ca="1" si="45"/>
        <v>4.1666666666666678E-2</v>
      </c>
      <c r="DI12" s="21">
        <f t="shared" ca="1" si="35"/>
        <v>7.870370370370372E-2</v>
      </c>
      <c r="DJ12" s="21">
        <f t="shared" ca="1" si="36"/>
        <v>0.14166666666666669</v>
      </c>
      <c r="DK12" s="21">
        <f t="shared" ca="1" si="37"/>
        <v>0.23611111111111116</v>
      </c>
      <c r="DL12" s="21">
        <f t="shared" ca="1" si="38"/>
        <v>0.35416666666666674</v>
      </c>
      <c r="DN12" s="16" cm="1">
        <f t="array" aca="1" ref="DN12" ca="1">MAX(_xlfn._xlws.FILTER(CY12:DL12,CY12:DL12&lt;BW12))</f>
        <v>-1.08974358974359E-2</v>
      </c>
      <c r="DO12" s="16" cm="1">
        <f t="array" aca="1" ref="DO12" ca="1">MIN(_xlfn._xlws.FILTER(CY12:DL12,CY12:DL12&gt;BW12))</f>
        <v>1.08974358974359E-2</v>
      </c>
      <c r="DP12" s="2" cm="1">
        <f t="array" aca="1" ref="DP12" ca="1">_FV(EE12,"Fechamento anterior",TRUE)</f>
        <v>4.5999999999999996</v>
      </c>
      <c r="DQ12" s="28">
        <f t="shared" ca="1" si="15"/>
        <v>1.2787723785175078E-3</v>
      </c>
      <c r="DR12" s="15">
        <f t="shared" ca="1" si="16"/>
        <v>4.5498717948717946</v>
      </c>
      <c r="DS12" s="15">
        <f t="shared" ca="1" si="17"/>
        <v>4.6501282051282047</v>
      </c>
      <c r="DT12" s="9"/>
      <c r="DU12" s="9"/>
      <c r="DV12" s="9"/>
      <c r="DW12" s="89">
        <v>1.9400572068150712E-2</v>
      </c>
      <c r="DX12" s="89">
        <f t="shared" ca="1" si="18"/>
        <v>2.1794871794871801E-2</v>
      </c>
      <c r="DY12" s="72">
        <f t="shared" ca="1" si="19"/>
        <v>0.64311969428492011</v>
      </c>
      <c r="DZ12" s="37"/>
      <c r="EA12" s="35">
        <f t="shared" si="39"/>
        <v>4.664761515876243E-2</v>
      </c>
      <c r="EB12" s="56"/>
      <c r="EC12" s="56"/>
      <c r="EE12" s="2" t="e" vm="12">
        <v>#VALUE!</v>
      </c>
      <c r="EG12" s="10" cm="1">
        <f t="array" aca="1" ref="EG12" ca="1">_FV(EE12,"Ações em circulação",TRUE)</f>
        <v>50602840</v>
      </c>
      <c r="EH12" s="18">
        <f>VLOOKUP(BR12,Fundamentus!A:U,5,FALSE)</f>
        <v>0.106</v>
      </c>
      <c r="EI12" s="2">
        <f t="shared" ca="1" si="20"/>
        <v>2172103037.7358489</v>
      </c>
      <c r="EJ12" s="17">
        <v>24110343.718867924</v>
      </c>
      <c r="EK12" s="17">
        <f t="shared" ca="1" si="21"/>
        <v>24110343.718867924</v>
      </c>
      <c r="EM12" s="16">
        <f t="shared" ca="1" si="22"/>
        <v>0</v>
      </c>
      <c r="EN12" s="32" t="str">
        <f>IF(VLOOKUP(BR12,Fundamentus!A:U,3,FALSE)&lt;15,"Bom",IF(VLOOKUP(BR12,Fundamentus!A:U,3,FALSE)&gt;15,"Ruim","n/a"))</f>
        <v>Bom</v>
      </c>
      <c r="EO12" s="28" t="str">
        <f>IF(VLOOKUP(BR12,Fundamentus!A:U,4,FALSE)&lt;1,"Baixo",IF(VLOOKUP(BR12,Fundamentus!A:U,4,FALSE)&lt;1.5,"Moderado",IF(VLOOKUP(BR12,Fundamentus!A:U,4,FALSE)&gt;1.5,"Alto","n/a")))</f>
        <v>Baixo</v>
      </c>
      <c r="EP12" s="17" t="str">
        <f>IF(VLOOKUP(BR12,Fundamentus!A:U,8,FALSE)&lt;0,"Risco elevado",IF(VLOOKUP(BR12,Fundamentus!A:U,8,FALSE)&lt;1,"Saudável",IF(VLOOKUP(BR12,Fundamentus!A:U,8,FALSE)&lt;3,"Estável",IF(VLOOKUP(BR12,Fundamentus!A:U,8,FALSE)&gt;3,"Alerta","n/a"))))</f>
        <v>Alerta</v>
      </c>
      <c r="EQ12" s="28" t="str">
        <f t="shared" si="23"/>
        <v>Ruim</v>
      </c>
      <c r="ER12" s="17" t="str">
        <f>IF(VLOOKUP(BR12,Fundamentus!A:U,12,FALSE)&lt;2,"Subvalorizada",IF(VLOOKUP(BR12,Fundamentus!A:U,12,FALSE)&lt;6,"Muita barata",IF(VLOOKUP(BR12,Fundamentus!A:U,12,FALSE)&lt;6,"Barata",IF(VLOOKUP(BR12,Fundamentus!A:U,12,FALSE)&lt;8,"Atrativa",IF(VLOOKUP(BR12,Fundamentus!A:U,12,FALSE)&gt;8,"Supervalorizada","n/a")))))</f>
        <v>Subvalorizada</v>
      </c>
      <c r="ET12" s="17" t="str">
        <f>IF(VLOOKUP(BR12,Fundamentus!A:U,17,FALSE)&lt;0.1,"Fraco retorno",IF(VLOOKUP(BR12,Fundamentus!A:U,17,FALSE)&gt;0.1,"Bom retorno","n/a"))</f>
        <v>Fraco retorno</v>
      </c>
      <c r="EU12" s="17" t="str">
        <f>IF(VLOOKUP(BR12,Fundamentus!A:U,16,FALSE)&lt;0.1,"Ineficiente",IF(VLOOKUP(BR12,Fundamentus!A:U,16,FALSE)&gt;0.1,"Eficiente","n/a"))</f>
        <v>Ineficiente</v>
      </c>
      <c r="EV12" s="33" t="str">
        <f>IF(VLOOKUP(BR12,Fundamentus!A:U,16,FALSE)&lt;0.1,"Oper. Ineficiente",IF(VLOOKUP(BR12,Fundamentus!A:U,16,FALSE)&gt;0.1,"Oper.Eficiente","n/a"))</f>
        <v>Oper. Ineficiente</v>
      </c>
      <c r="EW12" s="34">
        <f>VLOOKUP(BR12,Fundamentus!A:U,14,FALSE)</f>
        <v>1.11E-2</v>
      </c>
      <c r="EX12" s="17" t="str">
        <f>IF(VLOOKUP(BR12,Fundamentus!A:U,21,FALSE)&lt;0,"Negativo",IF(VLOOKUP(BR12,Fundamentus!A:U,21,FALSE)&lt;0.05,"Fraco",IF(VLOOKUP(BR12,Fundamentus!A:U,21,FALSE)&lt;0.1,"Bom",IF(VLOOKUP(BR12,Fundamentus!A:U,21,FALSE)&gt;0.1,"Muito bom","n/a"))))</f>
        <v>Muito bom</v>
      </c>
      <c r="EZ12" s="29" t="str">
        <f>IF(VLOOKUP(BR12,Fundamentus!A:U,15,FALSE)&gt;1,"Bom",IF(VLOOKUP(BR12,Fundamentus!A:U,15,FALSE)&lt;1,"Ruim","n/a"))</f>
        <v>Bom</v>
      </c>
      <c r="FA12" s="17" t="str">
        <f>IF(VLOOKUP(BR12,Fundamentus!A:U,20,FALSE)&lt;0.5,"Baixa",IF(VLOOKUP(BR12,Fundamentus!A:U,20,FALSE)&lt;1,"Moderada",IF(VLOOKUP(BR12,Fundamentus!A:U,20,FALSE)&lt;2,"Alerta",IF(VLOOKUP(BR12,Fundamentus!A:U,20,FALSE)&gt;2,"Alta","n/a"))))</f>
        <v>Baixa</v>
      </c>
    </row>
    <row r="13" spans="1:157" s="2" customFormat="1" ht="11.25"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5">
        <v>19.329999999999998</v>
      </c>
      <c r="BC13" s="52">
        <v>19.04</v>
      </c>
      <c r="BD13" s="52">
        <v>18.88</v>
      </c>
      <c r="BE13" s="52">
        <v>18.89</v>
      </c>
      <c r="BF13" s="52">
        <v>18.91</v>
      </c>
      <c r="BG13" s="67">
        <v>18.489999999999998</v>
      </c>
      <c r="BH13" s="52">
        <v>18.45</v>
      </c>
      <c r="BI13" s="52">
        <v>17.91</v>
      </c>
      <c r="BJ13" s="52">
        <v>18.100000000000001</v>
      </c>
      <c r="BK13" s="52">
        <v>18.2</v>
      </c>
      <c r="BL13" s="52">
        <v>18.2</v>
      </c>
      <c r="BM13" s="52">
        <v>17.989999999999998</v>
      </c>
      <c r="BN13" s="52">
        <v>18.14</v>
      </c>
      <c r="BO13" s="52">
        <v>17.32</v>
      </c>
      <c r="BP13" s="52">
        <v>16.899999999999999</v>
      </c>
      <c r="BQ13" s="52" cm="1">
        <f t="array" aca="1" ref="BQ13" ca="1">_FV(EE13,"Preço")</f>
        <v>16.899999999999999</v>
      </c>
      <c r="BR13" s="69" t="s">
        <v>10</v>
      </c>
      <c r="BS13" s="36" cm="1">
        <f t="array" aca="1" ref="BS13" ca="1">_FV(EE13,"Média de volume",TRUE)</f>
        <v>2101170</v>
      </c>
      <c r="BT13" s="36">
        <v>1894000</v>
      </c>
      <c r="BU13" s="36" cm="1">
        <f t="array" aca="1" ref="BU13" ca="1">_FV(EE13,"Volume")</f>
        <v>1894000</v>
      </c>
      <c r="BV13" s="24" cm="1">
        <f t="array" aca="1" ref="BV13" ca="1">_FV(EE13,"Beta")</f>
        <v>0.48320000000000002</v>
      </c>
      <c r="BW13" s="71" cm="1">
        <f t="array" aca="1" ref="BW13" ca="1">_FV(EE13,"Variação (%)",TRUE)</f>
        <v>-1.2274E-2</v>
      </c>
      <c r="BY13" s="17" cm="1">
        <f t="array" aca="1" ref="BY13" ca="1">_FV(EE13,"Baixo")</f>
        <v>16.899999999999999</v>
      </c>
      <c r="BZ13" s="17" cm="1">
        <f t="array" aca="1" ref="BZ13" ca="1">_FV(EE13,"Alto")</f>
        <v>17.190000000000001</v>
      </c>
      <c r="CA13" s="24"/>
      <c r="CB13" s="63">
        <f ca="1">SQRT(22.5*(BQ13/VLOOKUP(BR13,Fundamentus!A:U,3,FALSE))*(BQ13/VLOOKUP(BR13,Fundamentus!A:U,4,FALSE)))</f>
        <v>19.186220266123851</v>
      </c>
      <c r="CD13" s="62">
        <f t="shared" ca="1" si="24"/>
        <v>0</v>
      </c>
      <c r="CE13" s="8"/>
      <c r="CF13" s="61">
        <f t="shared" si="25"/>
        <v>16.84</v>
      </c>
      <c r="CG13" s="61">
        <f t="shared" si="26"/>
        <v>20.149999999999999</v>
      </c>
      <c r="CH13" s="61">
        <f t="shared" si="27"/>
        <v>18.148897058823533</v>
      </c>
      <c r="CI13" s="14"/>
      <c r="CJ13" s="35">
        <f t="shared" si="1"/>
        <v>15.897107793128317</v>
      </c>
      <c r="CK13" s="15">
        <f t="shared" si="28"/>
        <v>16.565000000000055</v>
      </c>
      <c r="CL13" s="35">
        <f t="shared" si="2"/>
        <v>17.232892206871792</v>
      </c>
      <c r="CN13" s="14"/>
      <c r="CO13" s="17">
        <f t="shared" si="3"/>
        <v>12.466666666666665</v>
      </c>
      <c r="CP13" s="17">
        <f t="shared" si="4"/>
        <v>14.653333333333332</v>
      </c>
      <c r="CQ13" s="17">
        <f t="shared" si="5"/>
        <v>15.776666666666664</v>
      </c>
      <c r="CR13" s="38">
        <f t="shared" si="29"/>
        <v>17.963333333333331</v>
      </c>
      <c r="CS13" s="17">
        <f t="shared" si="6"/>
        <v>19.086666666666662</v>
      </c>
      <c r="CT13" s="17">
        <f t="shared" si="7"/>
        <v>21.27333333333333</v>
      </c>
      <c r="CU13" s="17">
        <f t="shared" si="8"/>
        <v>22.396666666666661</v>
      </c>
      <c r="CV13" s="2" cm="1">
        <f t="array" aca="1" ref="CV13" ca="1">MAX(_xlfn._xlws.FILTER(CO13:CU13,CO13:CU13&lt;BQ13))</f>
        <v>15.776666666666664</v>
      </c>
      <c r="CW13" s="2" cm="1">
        <f t="array" aca="1" ref="CW13" ca="1">MIN(_xlfn._xlws.FILTER($CO13:$CU13,$CO13:$CU13&gt;BQ13))</f>
        <v>17.963333333333331</v>
      </c>
      <c r="CX13" s="16">
        <f t="shared" ca="1" si="30"/>
        <v>0.13860130995140518</v>
      </c>
      <c r="CY13" s="20">
        <f t="shared" ca="1" si="31"/>
        <v>-6.9300654975702591E-2</v>
      </c>
      <c r="CZ13" s="20">
        <f t="shared" ca="1" si="32"/>
        <v>-4.6200436650468392E-2</v>
      </c>
      <c r="DA13" s="20">
        <f t="shared" ca="1" si="33"/>
        <v>-2.7720261990281037E-2</v>
      </c>
      <c r="DB13" s="20">
        <f t="shared" ca="1" si="34"/>
        <v>-1.5400145550156131E-2</v>
      </c>
      <c r="DC13" s="20">
        <f t="shared" ca="1" si="40"/>
        <v>-8.1530182324355983E-3</v>
      </c>
      <c r="DD13" s="20">
        <f t="shared" ca="1" si="41"/>
        <v>-4.2000396954971269E-3</v>
      </c>
      <c r="DE13" s="20">
        <f t="shared" ca="1" si="42"/>
        <v>-2.1323278454062336E-3</v>
      </c>
      <c r="DF13" s="21">
        <f t="shared" ca="1" si="43"/>
        <v>2.1323278454062336E-3</v>
      </c>
      <c r="DG13" s="21">
        <f t="shared" ca="1" si="44"/>
        <v>4.2000396954971269E-3</v>
      </c>
      <c r="DH13" s="21">
        <f t="shared" ca="1" si="45"/>
        <v>8.1530182324355983E-3</v>
      </c>
      <c r="DI13" s="21">
        <f t="shared" ca="1" si="35"/>
        <v>1.5400145550156131E-2</v>
      </c>
      <c r="DJ13" s="21">
        <f t="shared" ca="1" si="36"/>
        <v>2.7720261990281037E-2</v>
      </c>
      <c r="DK13" s="21">
        <f t="shared" ca="1" si="37"/>
        <v>4.6200436650468392E-2</v>
      </c>
      <c r="DL13" s="21">
        <f t="shared" ca="1" si="38"/>
        <v>6.9300654975702591E-2</v>
      </c>
      <c r="DN13" s="16" cm="1">
        <f t="array" aca="1" ref="DN13" ca="1">MAX(_xlfn._xlws.FILTER(CY13:DL13,CY13:DL13&lt;BW13))</f>
        <v>-1.5400145550156131E-2</v>
      </c>
      <c r="DO13" s="16" cm="1">
        <f t="array" aca="1" ref="DO13" ca="1">MIN(_xlfn._xlws.FILTER(CY13:DL13,CY13:DL13&gt;BW13))</f>
        <v>-8.1530182324355983E-3</v>
      </c>
      <c r="DP13" s="2" cm="1">
        <f t="array" aca="1" ref="DP13" ca="1">_FV(EE13,"Fechamento anterior",TRUE)</f>
        <v>17.11</v>
      </c>
      <c r="DQ13" s="28">
        <f t="shared" ca="1" si="15"/>
        <v>0.43142905571552126</v>
      </c>
      <c r="DR13" s="15">
        <f t="shared" ca="1" si="16"/>
        <v>16.846503509636829</v>
      </c>
      <c r="DS13" s="15">
        <f t="shared" ca="1" si="17"/>
        <v>16.970501858043026</v>
      </c>
      <c r="DT13" s="9"/>
      <c r="DU13" s="9"/>
      <c r="DV13" s="9"/>
      <c r="DW13" s="89">
        <v>1.9015791488284734E-3</v>
      </c>
      <c r="DX13" s="89">
        <f t="shared" ca="1" si="18"/>
        <v>7.247127317720533E-3</v>
      </c>
      <c r="DY13" s="72">
        <f t="shared" ca="1" si="19"/>
        <v>0.50157794409521772</v>
      </c>
      <c r="DZ13" s="37"/>
      <c r="EA13" s="35">
        <f t="shared" si="39"/>
        <v>0.33394610343586856</v>
      </c>
      <c r="EB13" s="56"/>
      <c r="EC13" s="56"/>
      <c r="EE13" s="2" t="e" vm="13">
        <v>#VALUE!</v>
      </c>
      <c r="EG13" s="10" cm="1">
        <f t="array" aca="1" ref="EG13" ca="1">_FV(EE13,"Ações em circulação",TRUE)</f>
        <v>443329700</v>
      </c>
      <c r="EH13" s="18">
        <f>VLOOKUP(BR13,Fundamentus!A:U,5,FALSE)</f>
        <v>0.92500000000000004</v>
      </c>
      <c r="EI13" s="2">
        <f t="shared" ca="1" si="20"/>
        <v>8099753437.8378363</v>
      </c>
      <c r="EJ13" s="17">
        <v>715208228.56108093</v>
      </c>
      <c r="EK13" s="17">
        <f t="shared" ca="1" si="21"/>
        <v>715208228.56108093</v>
      </c>
      <c r="EM13" s="16">
        <f t="shared" ca="1" si="22"/>
        <v>0</v>
      </c>
      <c r="EN13" s="32" t="str">
        <f>IF(VLOOKUP(BR13,Fundamentus!A:U,3,FALSE)&lt;15,"Bom",IF(VLOOKUP(BR13,Fundamentus!A:U,3,FALSE)&gt;15,"Ruim","n/a"))</f>
        <v>Bom</v>
      </c>
      <c r="EO13" s="28" t="str">
        <f>IF(VLOOKUP(BR13,Fundamentus!A:U,4,FALSE)&lt;1,"Baixo",IF(VLOOKUP(BR13,Fundamentus!A:U,4,FALSE)&lt;1.5,"Moderado",IF(VLOOKUP(BR13,Fundamentus!A:U,4,FALSE)&gt;1.5,"Alto","n/a")))</f>
        <v>Alto</v>
      </c>
      <c r="EP13" s="17" t="str">
        <f>IF(VLOOKUP(BR13,Fundamentus!A:U,8,FALSE)&lt;0,"Risco elevado",IF(VLOOKUP(BR13,Fundamentus!A:U,8,FALSE)&lt;1,"Saudável",IF(VLOOKUP(BR13,Fundamentus!A:U,8,FALSE)&lt;3,"Estável",IF(VLOOKUP(BR13,Fundamentus!A:U,8,FALSE)&gt;3,"Alerta","n/a"))))</f>
        <v>Alerta</v>
      </c>
      <c r="EQ13" s="28" t="str">
        <f t="shared" si="23"/>
        <v>Ruim</v>
      </c>
      <c r="ER13" s="17" t="str">
        <f>IF(VLOOKUP(BR13,Fundamentus!A:U,12,FALSE)&lt;2,"Subvalorizada",IF(VLOOKUP(BR13,Fundamentus!A:U,12,FALSE)&lt;6,"Muita barata",IF(VLOOKUP(BR13,Fundamentus!A:U,12,FALSE)&lt;6,"Barata",IF(VLOOKUP(BR13,Fundamentus!A:U,12,FALSE)&lt;8,"Atrativa",IF(VLOOKUP(BR13,Fundamentus!A:U,12,FALSE)&gt;8,"Supervalorizada","n/a")))))</f>
        <v>Muita barata</v>
      </c>
      <c r="ET13" s="17" t="str">
        <f>IF(VLOOKUP(BR13,Fundamentus!A:U,17,FALSE)&lt;0.1,"Fraco retorno",IF(VLOOKUP(BR13,Fundamentus!A:U,17,FALSE)&gt;0.1,"Bom retorno","n/a"))</f>
        <v>Bom retorno</v>
      </c>
      <c r="EU13" s="17" t="str">
        <f>IF(VLOOKUP(BR13,Fundamentus!A:U,16,FALSE)&lt;0.1,"Ineficiente",IF(VLOOKUP(BR13,Fundamentus!A:U,16,FALSE)&gt;0.1,"Eficiente","n/a"))</f>
        <v>Eficiente</v>
      </c>
      <c r="EV13" s="33" t="str">
        <f>IF(VLOOKUP(BR13,Fundamentus!A:U,16,FALSE)&lt;0.1,"Oper. Ineficiente",IF(VLOOKUP(BR13,Fundamentus!A:U,16,FALSE)&gt;0.1,"Oper.Eficiente","n/a"))</f>
        <v>Oper.Eficiente</v>
      </c>
      <c r="EW13" s="34">
        <f>VLOOKUP(BR13,Fundamentus!A:U,14,FALSE)</f>
        <v>8.8300000000000003E-2</v>
      </c>
      <c r="EX13" s="17" t="str">
        <f>IF(VLOOKUP(BR13,Fundamentus!A:U,21,FALSE)&lt;0,"Negativo",IF(VLOOKUP(BR13,Fundamentus!A:U,21,FALSE)&lt;0.05,"Fraco",IF(VLOOKUP(BR13,Fundamentus!A:U,21,FALSE)&lt;0.1,"Bom",IF(VLOOKUP(BR13,Fundamentus!A:U,21,FALSE)&gt;0.1,"Muito bom","n/a"))))</f>
        <v>Muito bom</v>
      </c>
      <c r="EZ13" s="29" t="str">
        <f>IF(VLOOKUP(BR13,Fundamentus!A:U,15,FALSE)&gt;1,"Bom",IF(VLOOKUP(BR13,Fundamentus!A:U,15,FALSE)&lt;1,"Ruim","n/a"))</f>
        <v>Bom</v>
      </c>
      <c r="FA13" s="17" t="str">
        <f>IF(VLOOKUP(BR13,Fundamentus!A:U,20,FALSE)&lt;0.5,"Baixa",IF(VLOOKUP(BR13,Fundamentus!A:U,20,FALSE)&lt;1,"Moderada",IF(VLOOKUP(BR13,Fundamentus!A:U,20,FALSE)&lt;2,"Alerta",IF(VLOOKUP(BR13,Fundamentus!A:U,20,FALSE)&gt;2,"Alta","n/a"))))</f>
        <v>Alerta</v>
      </c>
    </row>
    <row r="14" spans="1:157" s="2" customFormat="1" ht="11.25"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5">
        <v>5.51</v>
      </c>
      <c r="BC14" s="52">
        <v>5.81</v>
      </c>
      <c r="BD14" s="52">
        <v>5.88</v>
      </c>
      <c r="BE14" s="52">
        <v>5.83</v>
      </c>
      <c r="BF14" s="52">
        <v>6.25</v>
      </c>
      <c r="BG14" s="67">
        <v>6.3</v>
      </c>
      <c r="BH14" s="52">
        <v>6.42</v>
      </c>
      <c r="BI14" s="52">
        <v>6.85</v>
      </c>
      <c r="BJ14" s="52">
        <v>7</v>
      </c>
      <c r="BK14" s="52">
        <v>6.82</v>
      </c>
      <c r="BL14" s="52">
        <v>6.42</v>
      </c>
      <c r="BM14" s="52">
        <v>6.4</v>
      </c>
      <c r="BN14" s="52">
        <v>6.1</v>
      </c>
      <c r="BO14" s="52">
        <v>6.38</v>
      </c>
      <c r="BP14" s="52">
        <v>6.36</v>
      </c>
      <c r="BQ14" s="52" cm="1">
        <f t="array" aca="1" ref="BQ14" ca="1">_FV(EE14,"Preço")</f>
        <v>6.36</v>
      </c>
      <c r="BR14" s="69" t="s">
        <v>123</v>
      </c>
      <c r="BS14" s="36" cm="1">
        <f t="array" aca="1" ref="BS14" ca="1">_FV(EE14,"Média de volume",TRUE)</f>
        <v>454620</v>
      </c>
      <c r="BT14" s="36">
        <v>570500</v>
      </c>
      <c r="BU14" s="36" cm="1">
        <f t="array" aca="1" ref="BU14" ca="1">_FV(EE14,"Volume")</f>
        <v>570500</v>
      </c>
      <c r="BV14" s="24" cm="1">
        <f t="array" aca="1" ref="BV14" ca="1">_FV(EE14,"Beta")</f>
        <v>1.2786999999999999</v>
      </c>
      <c r="BW14" s="71" cm="1">
        <f t="array" aca="1" ref="BW14" ca="1">_FV(EE14,"Variação (%)",TRUE)</f>
        <v>-2.7522999999999999E-2</v>
      </c>
      <c r="BY14" s="17" cm="1">
        <f t="array" aca="1" ref="BY14" ca="1">_FV(EE14,"Baixo")</f>
        <v>6.2</v>
      </c>
      <c r="BZ14" s="17" cm="1">
        <f t="array" aca="1" ref="BZ14" ca="1">_FV(EE14,"Alto")</f>
        <v>6.51</v>
      </c>
      <c r="CA14" s="24"/>
      <c r="CB14" s="63" t="e">
        <f ca="1">SQRT(22.5*(BQ14/VLOOKUP(BR14,Fundamentus!A:U,3,FALSE))*(BQ14/VLOOKUP(BR14,Fundamentus!A:U,4,FALSE)))</f>
        <v>#NUM!</v>
      </c>
      <c r="CD14" s="62">
        <f t="shared" ca="1" si="24"/>
        <v>0</v>
      </c>
      <c r="CE14" s="8"/>
      <c r="CF14" s="61">
        <f t="shared" si="25"/>
        <v>5.05</v>
      </c>
      <c r="CG14" s="61">
        <f t="shared" si="26"/>
        <v>7</v>
      </c>
      <c r="CH14" s="61">
        <f t="shared" si="27"/>
        <v>6.1108823529411787</v>
      </c>
      <c r="CI14" s="14"/>
      <c r="CJ14" s="35">
        <f t="shared" si="1"/>
        <v>5.8901565483775968</v>
      </c>
      <c r="CK14" s="15">
        <f t="shared" si="28"/>
        <v>6.3499999999999943</v>
      </c>
      <c r="CL14" s="35">
        <f t="shared" si="2"/>
        <v>6.8098434516223918</v>
      </c>
      <c r="CN14" s="14"/>
      <c r="CO14" s="17">
        <f t="shared" si="3"/>
        <v>3.3233333333333333</v>
      </c>
      <c r="CP14" s="17">
        <f t="shared" si="4"/>
        <v>4.1866666666666665</v>
      </c>
      <c r="CQ14" s="17">
        <f t="shared" si="5"/>
        <v>5.2733333333333334</v>
      </c>
      <c r="CR14" s="38">
        <f t="shared" si="29"/>
        <v>6.1366666666666667</v>
      </c>
      <c r="CS14" s="17">
        <f t="shared" si="6"/>
        <v>7.2233333333333336</v>
      </c>
      <c r="CT14" s="17">
        <f t="shared" si="7"/>
        <v>8.086666666666666</v>
      </c>
      <c r="CU14" s="17">
        <f t="shared" si="8"/>
        <v>9.1733333333333338</v>
      </c>
      <c r="CV14" s="2" cm="1">
        <f t="array" aca="1" ref="CV14" ca="1">MAX(_xlfn._xlws.FILTER(CO14:CU14,CO14:CU14&lt;BQ14))</f>
        <v>6.1366666666666667</v>
      </c>
      <c r="CW14" s="2" cm="1">
        <f t="array" aca="1" ref="CW14" ca="1">MIN(_xlfn._xlws.FILTER($CO14:$CU14,$CO14:$CU14&gt;BQ14))</f>
        <v>7.2233333333333336</v>
      </c>
      <c r="CX14" s="16">
        <f t="shared" ref="CX14:CX18" ca="1" si="46">(CW14/CV14)-1</f>
        <v>0.17707767517653461</v>
      </c>
      <c r="CY14" s="20">
        <f t="shared" ref="CY14:CY18" ca="1" si="47">-$CX14/2</f>
        <v>-8.8538837588267305E-2</v>
      </c>
      <c r="CZ14" s="20">
        <f t="shared" ref="CZ14:CZ18" ca="1" si="48">-$CX14/3</f>
        <v>-5.9025891725511537E-2</v>
      </c>
      <c r="DA14" s="20">
        <f t="shared" ref="DA14:DA18" ca="1" si="49">-$CX14/5</f>
        <v>-3.5415535035306922E-2</v>
      </c>
      <c r="DB14" s="20">
        <f t="shared" ref="DB14:DB18" ca="1" si="50">-$CX14/9</f>
        <v>-1.967529724183718E-2</v>
      </c>
      <c r="DC14" s="20">
        <f t="shared" ref="DC14:DC18" ca="1" si="51">-$CX14/17</f>
        <v>-1.0416333833913801E-2</v>
      </c>
      <c r="DD14" s="20">
        <f t="shared" ref="DD14:DD18" ca="1" si="52">-$CX14/33</f>
        <v>-5.3659901568646855E-3</v>
      </c>
      <c r="DE14" s="20">
        <f t="shared" ref="DE14:DE18" ca="1" si="53">-$CX14/65</f>
        <v>-2.7242719257928403E-3</v>
      </c>
      <c r="DF14" s="21">
        <f t="shared" ref="DF14:DF18" ca="1" si="54">-$CX14/65*-1</f>
        <v>2.7242719257928403E-3</v>
      </c>
      <c r="DG14" s="21">
        <f t="shared" ref="DG14:DG18" ca="1" si="55">-$CX14/33*-1</f>
        <v>5.3659901568646855E-3</v>
      </c>
      <c r="DH14" s="21">
        <f t="shared" ref="DH14:DH18" ca="1" si="56">-$CX14/17*-1</f>
        <v>1.0416333833913801E-2</v>
      </c>
      <c r="DI14" s="21">
        <f t="shared" ref="DI14:DI18" ca="1" si="57">-$CX14/9*-1</f>
        <v>1.967529724183718E-2</v>
      </c>
      <c r="DJ14" s="21">
        <f t="shared" ref="DJ14:DJ18" ca="1" si="58">-$CX14/5*-1</f>
        <v>3.5415535035306922E-2</v>
      </c>
      <c r="DK14" s="21">
        <f t="shared" ref="DK14:DK18" ca="1" si="59">-$CX14/3*-1</f>
        <v>5.9025891725511537E-2</v>
      </c>
      <c r="DL14" s="21">
        <f t="shared" ref="DL14:DL18" ca="1" si="60">-$CX14/2*-1</f>
        <v>8.8538837588267305E-2</v>
      </c>
      <c r="DN14" s="16" cm="1">
        <f t="array" aca="1" ref="DN14" ca="1">MAX(_xlfn._xlws.FILTER(CY14:DL14,CY14:DL14&lt;BW14))</f>
        <v>-3.5415535035306922E-2</v>
      </c>
      <c r="DO14" s="16" cm="1">
        <f t="array" aca="1" ref="DO14" ca="1">MIN(_xlfn._xlws.FILTER(CY14:DL14,CY14:DL14&gt;BW14))</f>
        <v>-1.967529724183718E-2</v>
      </c>
      <c r="DP14" s="2" cm="1">
        <f t="array" aca="1" ref="DP14" ca="1">_FV(EE14,"Fechamento anterior",TRUE)</f>
        <v>6.54</v>
      </c>
      <c r="DQ14" s="28">
        <f t="shared" ca="1" si="15"/>
        <v>0.50142820960207801</v>
      </c>
      <c r="DR14" s="15">
        <f t="shared" ref="DR14:DR18" ca="1" si="61">DP14+(DP14*DN14)</f>
        <v>6.3083824008690925</v>
      </c>
      <c r="DS14" s="15">
        <f t="shared" ref="DS14:DS18" ca="1" si="62">DP14+(DP14*DO14)</f>
        <v>6.4113235560383846</v>
      </c>
      <c r="DT14" s="9"/>
      <c r="DU14" s="9"/>
      <c r="DV14" s="9"/>
      <c r="DW14" s="89">
        <v>1.5819617772954729E-2</v>
      </c>
      <c r="DX14" s="89">
        <f t="shared" ca="1" si="18"/>
        <v>1.5740237793469742E-2</v>
      </c>
      <c r="DY14" s="72">
        <f t="shared" ca="1" si="19"/>
        <v>2.1746531269988701E-2</v>
      </c>
      <c r="DZ14" s="37"/>
      <c r="EA14" s="35">
        <f t="shared" si="39"/>
        <v>0.22992172581119882</v>
      </c>
      <c r="EB14" s="56"/>
      <c r="EC14" s="56"/>
      <c r="EE14" s="2" t="e" vm="14">
        <v>#VALUE!</v>
      </c>
      <c r="EG14" s="10" cm="1">
        <f t="array" aca="1" ref="EG14" ca="1">_FV(EE14,"Ações em circulação",TRUE)</f>
        <v>199959500</v>
      </c>
      <c r="EH14" s="18">
        <f>VLOOKUP(BR14,Fundamentus!A:U,5,FALSE)</f>
        <v>0.754</v>
      </c>
      <c r="EI14" s="2">
        <f t="shared" ca="1" si="20"/>
        <v>1686661034.4827585</v>
      </c>
      <c r="EJ14" s="17">
        <v>-23107256.172413792</v>
      </c>
      <c r="EK14" s="17">
        <f t="shared" ca="1" si="21"/>
        <v>-23107256.172413792</v>
      </c>
      <c r="EM14" s="16">
        <f t="shared" ca="1" si="22"/>
        <v>0</v>
      </c>
      <c r="EN14" s="32" t="str">
        <f>IF(VLOOKUP(BR14,Fundamentus!A:U,3,FALSE)&lt;15,"Bom",IF(VLOOKUP(BR14,Fundamentus!A:U,3,FALSE)&gt;15,"Ruim","n/a"))</f>
        <v>Bom</v>
      </c>
      <c r="EO14" s="28" t="str">
        <f>IF(VLOOKUP(BR14,Fundamentus!A:U,4,FALSE)&lt;1,"Baixo",IF(VLOOKUP(BR14,Fundamentus!A:U,4,FALSE)&lt;1.5,"Moderado",IF(VLOOKUP(BR14,Fundamentus!A:U,4,FALSE)&gt;1.5,"Alto","n/a")))</f>
        <v>Moderado</v>
      </c>
      <c r="EP14" s="17" t="str">
        <f>IF(VLOOKUP(BR14,Fundamentus!A:U,8,FALSE)&lt;0,"Risco elevado",IF(VLOOKUP(BR14,Fundamentus!A:U,8,FALSE)&lt;1,"Saudável",IF(VLOOKUP(BR14,Fundamentus!A:U,8,FALSE)&lt;3,"Estável",IF(VLOOKUP(BR14,Fundamentus!A:U,8,FALSE)&gt;3,"Alerta","n/a"))))</f>
        <v>Alerta</v>
      </c>
      <c r="EQ14" s="28" t="str">
        <f t="shared" si="23"/>
        <v>Ruim</v>
      </c>
      <c r="ER14" s="17" t="str">
        <f>IF(VLOOKUP(BR14,Fundamentus!A:U,12,FALSE)&lt;2,"Subvalorizada",IF(VLOOKUP(BR14,Fundamentus!A:U,12,FALSE)&lt;6,"Muita barata",IF(VLOOKUP(BR14,Fundamentus!A:U,12,FALSE)&lt;6,"Barata",IF(VLOOKUP(BR14,Fundamentus!A:U,12,FALSE)&lt;8,"Atrativa",IF(VLOOKUP(BR14,Fundamentus!A:U,12,FALSE)&gt;8,"Supervalorizada","n/a")))))</f>
        <v>Muita barata</v>
      </c>
      <c r="ET14" s="17" t="str">
        <f>IF(VLOOKUP(BR14,Fundamentus!A:U,17,FALSE)&lt;0.1,"Fraco retorno",IF(VLOOKUP(BR14,Fundamentus!A:U,17,FALSE)&gt;0.1,"Bom retorno","n/a"))</f>
        <v>Fraco retorno</v>
      </c>
      <c r="EU14" s="17" t="str">
        <f>IF(VLOOKUP(BR14,Fundamentus!A:U,16,FALSE)&lt;0.1,"Ineficiente",IF(VLOOKUP(BR14,Fundamentus!A:U,16,FALSE)&gt;0.1,"Eficiente","n/a"))</f>
        <v>Ineficiente</v>
      </c>
      <c r="EV14" s="33" t="str">
        <f>IF(VLOOKUP(BR14,Fundamentus!A:U,16,FALSE)&lt;0.1,"Oper. Ineficiente",IF(VLOOKUP(BR14,Fundamentus!A:U,16,FALSE)&gt;0.1,"Oper.Eficiente","n/a"))</f>
        <v>Oper. Ineficiente</v>
      </c>
      <c r="EW14" s="34">
        <f>VLOOKUP(BR14,Fundamentus!A:U,14,FALSE)</f>
        <v>-1.37E-2</v>
      </c>
      <c r="EX14" s="17" t="str">
        <f>IF(VLOOKUP(BR14,Fundamentus!A:U,21,FALSE)&lt;0,"Negativo",IF(VLOOKUP(BR14,Fundamentus!A:U,21,FALSE)&lt;0.05,"Fraco",IF(VLOOKUP(BR14,Fundamentus!A:U,21,FALSE)&lt;0.1,"Bom",IF(VLOOKUP(BR14,Fundamentus!A:U,21,FALSE)&gt;0.1,"Muito bom","n/a"))))</f>
        <v>Muito bom</v>
      </c>
      <c r="EZ14" s="29" t="str">
        <f>IF(VLOOKUP(BR14,Fundamentus!A:U,15,FALSE)&gt;1,"Bom",IF(VLOOKUP(BR14,Fundamentus!A:U,15,FALSE)&lt;1,"Ruim","n/a"))</f>
        <v>Bom</v>
      </c>
      <c r="FA14" s="17" t="str">
        <f>IF(VLOOKUP(BR14,Fundamentus!A:U,20,FALSE)&lt;0.5,"Baixa",IF(VLOOKUP(BR14,Fundamentus!A:U,20,FALSE)&lt;1,"Moderada",IF(VLOOKUP(BR14,Fundamentus!A:U,20,FALSE)&lt;2,"Alerta",IF(VLOOKUP(BR14,Fundamentus!A:U,20,FALSE)&gt;2,"Alta","n/a"))))</f>
        <v>Alerta</v>
      </c>
    </row>
    <row r="15" spans="1:157" s="2" customFormat="1" ht="11.25"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5">
        <v>15.53</v>
      </c>
      <c r="BC15" s="52">
        <v>15.91</v>
      </c>
      <c r="BD15" s="52">
        <v>15.69</v>
      </c>
      <c r="BE15" s="52">
        <v>15.4</v>
      </c>
      <c r="BF15" s="52">
        <v>14.98</v>
      </c>
      <c r="BG15" s="67">
        <v>15.5</v>
      </c>
      <c r="BH15" s="52">
        <v>15.37</v>
      </c>
      <c r="BI15" s="52">
        <v>15.34</v>
      </c>
      <c r="BJ15" s="52">
        <v>15.37</v>
      </c>
      <c r="BK15" s="52">
        <v>14.44</v>
      </c>
      <c r="BL15" s="52">
        <v>13.79</v>
      </c>
      <c r="BM15" s="52">
        <v>13.96</v>
      </c>
      <c r="BN15" s="52">
        <v>13.64</v>
      </c>
      <c r="BO15" s="52">
        <v>14.1</v>
      </c>
      <c r="BP15" s="52">
        <v>14.08</v>
      </c>
      <c r="BQ15" s="52" cm="1">
        <f t="array" aca="1" ref="BQ15" ca="1">_FV(EE15,"Preço")</f>
        <v>14.08</v>
      </c>
      <c r="BR15" s="69" t="s">
        <v>12</v>
      </c>
      <c r="BS15" s="36" cm="1">
        <f t="array" aca="1" ref="BS15" ca="1">_FV(EE15,"Média de volume",TRUE)</f>
        <v>50460</v>
      </c>
      <c r="BT15" s="36">
        <v>35300</v>
      </c>
      <c r="BU15" s="36" cm="1">
        <f t="array" aca="1" ref="BU15" ca="1">_FV(EE15,"Volume")</f>
        <v>35300</v>
      </c>
      <c r="BV15" s="24" cm="1">
        <f t="array" aca="1" ref="BV15" ca="1">_FV(EE15,"Beta")</f>
        <v>1.0993999999999999</v>
      </c>
      <c r="BW15" s="71" cm="1">
        <f t="array" aca="1" ref="BW15" ca="1">_FV(EE15,"Variação (%)",TRUE)</f>
        <v>1.4219999999999999E-3</v>
      </c>
      <c r="BY15" s="17" cm="1">
        <f t="array" aca="1" ref="BY15" ca="1">_FV(EE15,"Baixo")</f>
        <v>13.9</v>
      </c>
      <c r="BZ15" s="17" cm="1">
        <f t="array" aca="1" ref="BZ15" ca="1">_FV(EE15,"Alto")</f>
        <v>14.17</v>
      </c>
      <c r="CA15" s="24"/>
      <c r="CB15" s="63">
        <f ca="1">SQRT(22.5*(BQ15/VLOOKUP(BR15,Fundamentus!A:U,3,FALSE))*(BQ15/VLOOKUP(BR15,Fundamentus!A:U,4,FALSE)))</f>
        <v>22.627936469875142</v>
      </c>
      <c r="CD15" s="62">
        <f t="shared" ca="1" si="24"/>
        <v>0</v>
      </c>
      <c r="CE15" s="8"/>
      <c r="CF15" s="61">
        <f t="shared" si="25"/>
        <v>12.24</v>
      </c>
      <c r="CG15" s="61">
        <f t="shared" si="26"/>
        <v>16.399999999999999</v>
      </c>
      <c r="CH15" s="61">
        <f t="shared" si="27"/>
        <v>14.448970588235294</v>
      </c>
      <c r="CI15" s="14"/>
      <c r="CJ15" s="35">
        <f t="shared" si="1"/>
        <v>13.600149111122025</v>
      </c>
      <c r="CK15" s="15">
        <f t="shared" si="28"/>
        <v>14.150000000000091</v>
      </c>
      <c r="CL15" s="35">
        <f t="shared" si="2"/>
        <v>14.699850888878156</v>
      </c>
      <c r="CN15" s="14"/>
      <c r="CO15" s="17">
        <f t="shared" si="3"/>
        <v>7.9200000000000035</v>
      </c>
      <c r="CP15" s="17">
        <f t="shared" si="4"/>
        <v>10.080000000000002</v>
      </c>
      <c r="CQ15" s="17">
        <f t="shared" si="5"/>
        <v>12.080000000000002</v>
      </c>
      <c r="CR15" s="38">
        <f t="shared" si="29"/>
        <v>14.24</v>
      </c>
      <c r="CS15" s="17">
        <f t="shared" si="6"/>
        <v>16.240000000000002</v>
      </c>
      <c r="CT15" s="17">
        <f t="shared" si="7"/>
        <v>18.399999999999999</v>
      </c>
      <c r="CU15" s="17">
        <f t="shared" si="8"/>
        <v>20.399999999999999</v>
      </c>
      <c r="CV15" s="2" cm="1">
        <f t="array" aca="1" ref="CV15" ca="1">MAX(_xlfn._xlws.FILTER(CO15:CU15,CO15:CU15&lt;BQ15))</f>
        <v>12.080000000000002</v>
      </c>
      <c r="CW15" s="2" cm="1">
        <f t="array" aca="1" ref="CW15" ca="1">MIN(_xlfn._xlws.FILTER($CO15:$CU15,$CO15:$CU15&gt;BQ15))</f>
        <v>14.24</v>
      </c>
      <c r="CX15" s="16">
        <f t="shared" ca="1" si="46"/>
        <v>0.17880794701986735</v>
      </c>
      <c r="CY15" s="20">
        <f t="shared" ca="1" si="47"/>
        <v>-8.9403973509933676E-2</v>
      </c>
      <c r="CZ15" s="20">
        <f t="shared" ca="1" si="48"/>
        <v>-5.9602649006622453E-2</v>
      </c>
      <c r="DA15" s="20">
        <f t="shared" ca="1" si="49"/>
        <v>-3.5761589403973469E-2</v>
      </c>
      <c r="DB15" s="20">
        <f t="shared" ca="1" si="50"/>
        <v>-1.9867549668874149E-2</v>
      </c>
      <c r="DC15" s="20">
        <f t="shared" ca="1" si="51"/>
        <v>-1.0518114530580432E-2</v>
      </c>
      <c r="DD15" s="20">
        <f t="shared" ca="1" si="52"/>
        <v>-5.4184226369656772E-3</v>
      </c>
      <c r="DE15" s="20">
        <f t="shared" ca="1" si="53"/>
        <v>-2.7508914926133439E-3</v>
      </c>
      <c r="DF15" s="21">
        <f t="shared" ca="1" si="54"/>
        <v>2.7508914926133439E-3</v>
      </c>
      <c r="DG15" s="21">
        <f t="shared" ca="1" si="55"/>
        <v>5.4184226369656772E-3</v>
      </c>
      <c r="DH15" s="21">
        <f t="shared" ca="1" si="56"/>
        <v>1.0518114530580432E-2</v>
      </c>
      <c r="DI15" s="21">
        <f t="shared" ca="1" si="57"/>
        <v>1.9867549668874149E-2</v>
      </c>
      <c r="DJ15" s="21">
        <f t="shared" ca="1" si="58"/>
        <v>3.5761589403973469E-2</v>
      </c>
      <c r="DK15" s="21">
        <f t="shared" ca="1" si="59"/>
        <v>5.9602649006622453E-2</v>
      </c>
      <c r="DL15" s="21">
        <f t="shared" ca="1" si="60"/>
        <v>8.9403973509933676E-2</v>
      </c>
      <c r="DN15" s="16" cm="1">
        <f t="array" aca="1" ref="DN15" ca="1">MAX(_xlfn._xlws.FILTER(CY15:DL15,CY15:DL15&lt;BW15))</f>
        <v>-2.7508914926133439E-3</v>
      </c>
      <c r="DO15" s="16" cm="1">
        <f t="array" aca="1" ref="DO15" ca="1">MIN(_xlfn._xlws.FILTER(CY15:DL15,CY15:DL15&gt;BW15))</f>
        <v>2.7508914926133439E-3</v>
      </c>
      <c r="DP15" s="2" cm="1">
        <f t="array" aca="1" ref="DP15" ca="1">_FV(EE15,"Fechamento anterior",TRUE)</f>
        <v>14.06</v>
      </c>
      <c r="DQ15" s="28">
        <f t="shared" ca="1" si="15"/>
        <v>0.75854802170590818</v>
      </c>
      <c r="DR15" s="15">
        <f t="shared" ca="1" si="61"/>
        <v>14.021322465613856</v>
      </c>
      <c r="DS15" s="15">
        <f t="shared" ca="1" si="62"/>
        <v>14.098677534386145</v>
      </c>
      <c r="DT15" s="9"/>
      <c r="DU15" s="9"/>
      <c r="DV15" s="9"/>
      <c r="DW15" s="89">
        <v>5.0783468644549027E-3</v>
      </c>
      <c r="DX15" s="89">
        <f t="shared" ca="1" si="18"/>
        <v>5.5017829852266878E-3</v>
      </c>
      <c r="DY15" s="72">
        <f t="shared" ca="1" si="19"/>
        <v>-0.12730724168314297</v>
      </c>
      <c r="DZ15" s="37"/>
      <c r="EA15" s="35">
        <f t="shared" si="39"/>
        <v>0.27492544443903311</v>
      </c>
      <c r="EB15" s="56"/>
      <c r="EC15" s="56"/>
      <c r="EE15" s="2" t="e" vm="15">
        <v>#VALUE!</v>
      </c>
      <c r="EG15" s="10" cm="1">
        <f t="array" aca="1" ref="EG15" ca="1">_FV(EE15,"Ações em circulação",TRUE)</f>
        <v>3749266000</v>
      </c>
      <c r="EH15" s="18">
        <f>VLOOKUP(BR15,Fundamentus!A:U,5,FALSE)</f>
        <v>0</v>
      </c>
      <c r="EI15" s="2" t="e">
        <f t="shared" ca="1" si="20"/>
        <v>#DIV/0!</v>
      </c>
      <c r="EJ15" s="17" t="e">
        <v>#DIV/0!</v>
      </c>
      <c r="EK15" s="17" t="e">
        <f t="shared" ca="1" si="21"/>
        <v>#DIV/0!</v>
      </c>
      <c r="EM15" s="16" t="e">
        <f t="shared" ca="1" si="22"/>
        <v>#DIV/0!</v>
      </c>
      <c r="EN15" s="32" t="str">
        <f>IF(VLOOKUP(BR15,Fundamentus!A:U,3,FALSE)&lt;15,"Bom",IF(VLOOKUP(BR15,Fundamentus!A:U,3,FALSE)&gt;15,"Ruim","n/a"))</f>
        <v>Bom</v>
      </c>
      <c r="EO15" s="28" t="str">
        <f>IF(VLOOKUP(BR15,Fundamentus!A:U,4,FALSE)&lt;1,"Baixo",IF(VLOOKUP(BR15,Fundamentus!A:U,4,FALSE)&lt;1.5,"Moderado",IF(VLOOKUP(BR15,Fundamentus!A:U,4,FALSE)&gt;1.5,"Alto","n/a")))</f>
        <v>Moderado</v>
      </c>
      <c r="EP15" s="17" t="str">
        <f>IF(VLOOKUP(BR15,Fundamentus!A:U,8,FALSE)&lt;0,"Risco elevado",IF(VLOOKUP(BR15,Fundamentus!A:U,8,FALSE)&lt;1,"Saudável",IF(VLOOKUP(BR15,Fundamentus!A:U,8,FALSE)&lt;3,"Estável",IF(VLOOKUP(BR15,Fundamentus!A:U,8,FALSE)&gt;3,"Alerta","n/a"))))</f>
        <v>Saudável</v>
      </c>
      <c r="EQ15" s="28" t="str">
        <f t="shared" si="23"/>
        <v>Ruim</v>
      </c>
      <c r="ER15" s="17" t="str">
        <f>IF(VLOOKUP(BR15,Fundamentus!A:U,12,FALSE)&lt;2,"Subvalorizada",IF(VLOOKUP(BR15,Fundamentus!A:U,12,FALSE)&lt;6,"Muita barata",IF(VLOOKUP(BR15,Fundamentus!A:U,12,FALSE)&lt;6,"Barata",IF(VLOOKUP(BR15,Fundamentus!A:U,12,FALSE)&lt;8,"Atrativa",IF(VLOOKUP(BR15,Fundamentus!A:U,12,FALSE)&gt;8,"Supervalorizada","n/a")))))</f>
        <v>Subvalorizada</v>
      </c>
      <c r="ET15" s="17" t="str">
        <f>IF(VLOOKUP(BR15,Fundamentus!A:U,17,FALSE)&lt;0.1,"Fraco retorno",IF(VLOOKUP(BR15,Fundamentus!A:U,17,FALSE)&gt;0.1,"Bom retorno","n/a"))</f>
        <v>Bom retorno</v>
      </c>
      <c r="EU15" s="17" t="str">
        <f>IF(VLOOKUP(BR15,Fundamentus!A:U,16,FALSE)&lt;0.1,"Ineficiente",IF(VLOOKUP(BR15,Fundamentus!A:U,16,FALSE)&gt;0.1,"Eficiente","n/a"))</f>
        <v>Ineficiente</v>
      </c>
      <c r="EV15" s="33" t="str">
        <f>IF(VLOOKUP(BR15,Fundamentus!A:U,16,FALSE)&lt;0.1,"Oper. Ineficiente",IF(VLOOKUP(BR15,Fundamentus!A:U,16,FALSE)&gt;0.1,"Oper.Eficiente","n/a"))</f>
        <v>Oper. Ineficiente</v>
      </c>
      <c r="EW15" s="34">
        <f>VLOOKUP(BR15,Fundamentus!A:U,14,FALSE)</f>
        <v>0</v>
      </c>
      <c r="EX15" s="17" t="str">
        <f>IF(VLOOKUP(BR15,Fundamentus!A:U,21,FALSE)&lt;0,"Negativo",IF(VLOOKUP(BR15,Fundamentus!A:U,21,FALSE)&lt;0.05,"Fraco",IF(VLOOKUP(BR15,Fundamentus!A:U,21,FALSE)&lt;0.1,"Bom",IF(VLOOKUP(BR15,Fundamentus!A:U,21,FALSE)&gt;0.1,"Muito bom","n/a"))))</f>
        <v>Negativo</v>
      </c>
      <c r="EZ15" s="29" t="str">
        <f>IF(VLOOKUP(BR15,Fundamentus!A:U,15,FALSE)&gt;1,"Bom",IF(VLOOKUP(BR15,Fundamentus!A:U,15,FALSE)&lt;1,"Ruim","n/a"))</f>
        <v>Ruim</v>
      </c>
      <c r="FA15" s="17" t="str">
        <f>IF(VLOOKUP(BR15,Fundamentus!A:U,20,FALSE)&lt;0.5,"Baixa",IF(VLOOKUP(BR15,Fundamentus!A:U,20,FALSE)&lt;1,"Moderada",IF(VLOOKUP(BR15,Fundamentus!A:U,20,FALSE)&lt;2,"Alerta",IF(VLOOKUP(BR15,Fundamentus!A:U,20,FALSE)&gt;2,"Alta","n/a"))))</f>
        <v>Baixa</v>
      </c>
    </row>
    <row r="16" spans="1:157" s="2" customFormat="1" ht="11.25"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5">
        <v>4.42</v>
      </c>
      <c r="BC16" s="52">
        <v>4.7</v>
      </c>
      <c r="BD16" s="52">
        <v>4.8899999999999997</v>
      </c>
      <c r="BE16" s="52">
        <v>4.88</v>
      </c>
      <c r="BF16" s="52">
        <v>4.91</v>
      </c>
      <c r="BG16" s="67">
        <v>4.95</v>
      </c>
      <c r="BH16" s="52">
        <v>4.75</v>
      </c>
      <c r="BI16" s="52">
        <v>5.05</v>
      </c>
      <c r="BJ16" s="52">
        <v>4.5999999999999996</v>
      </c>
      <c r="BK16" s="52">
        <v>4.2</v>
      </c>
      <c r="BL16" s="52">
        <v>4.17</v>
      </c>
      <c r="BM16" s="52">
        <v>4.08</v>
      </c>
      <c r="BN16" s="52">
        <v>4.4000000000000004</v>
      </c>
      <c r="BO16" s="52">
        <v>4.76</v>
      </c>
      <c r="BP16" s="52">
        <v>4.5</v>
      </c>
      <c r="BQ16" s="52" cm="1">
        <f t="array" aca="1" ref="BQ16" ca="1">_FV(EE16,"Preço")</f>
        <v>4.5</v>
      </c>
      <c r="BR16" s="69" t="s">
        <v>13</v>
      </c>
      <c r="BS16" s="36" cm="1">
        <f t="array" aca="1" ref="BS16" ca="1">_FV(EE16,"Média de volume",TRUE)</f>
        <v>19780</v>
      </c>
      <c r="BT16" s="36">
        <v>10000</v>
      </c>
      <c r="BU16" s="36" cm="1">
        <f t="array" aca="1" ref="BU16" ca="1">_FV(EE16,"Volume")</f>
        <v>10000</v>
      </c>
      <c r="BV16" s="24" cm="1">
        <f t="array" aca="1" ref="BV16" ca="1">_FV(EE16,"Beta")</f>
        <v>0.55149999999999999</v>
      </c>
      <c r="BW16" s="71" cm="1">
        <f t="array" aca="1" ref="BW16" ca="1">_FV(EE16,"Variação (%)",TRUE)</f>
        <v>1.5800999999999999E-2</v>
      </c>
      <c r="BY16" s="17" cm="1">
        <f t="array" aca="1" ref="BY16" ca="1">_FV(EE16,"Baixo")</f>
        <v>4.4400000000000004</v>
      </c>
      <c r="BZ16" s="17" cm="1">
        <f t="array" aca="1" ref="BZ16" ca="1">_FV(EE16,"Alto")</f>
        <v>4.74</v>
      </c>
      <c r="CA16" s="24"/>
      <c r="CB16" s="63">
        <f ca="1">SQRT(22.5*(BQ16/VLOOKUP(BR16,Fundamentus!A:U,3,FALSE))*(BQ16/VLOOKUP(BR16,Fundamentus!A:U,4,FALSE)))</f>
        <v>5.3545127900592515</v>
      </c>
      <c r="CD16" s="62">
        <f t="shared" ca="1" si="24"/>
        <v>0</v>
      </c>
      <c r="CE16" s="8"/>
      <c r="CF16" s="61">
        <f t="shared" si="25"/>
        <v>4.08</v>
      </c>
      <c r="CG16" s="61">
        <f t="shared" si="26"/>
        <v>5.08</v>
      </c>
      <c r="CH16" s="61">
        <f t="shared" si="27"/>
        <v>4.4646323529411749</v>
      </c>
      <c r="CI16" s="14"/>
      <c r="CJ16" s="35">
        <f t="shared" si="1"/>
        <v>4.3546300380121581</v>
      </c>
      <c r="CK16" s="15">
        <f t="shared" si="28"/>
        <v>4.8399999999999181</v>
      </c>
      <c r="CL16" s="35">
        <f t="shared" si="2"/>
        <v>5.3253699619876782</v>
      </c>
      <c r="CN16" s="14"/>
      <c r="CO16" s="17">
        <f t="shared" si="3"/>
        <v>3.0266666666666673</v>
      </c>
      <c r="CP16" s="17">
        <f t="shared" si="4"/>
        <v>3.5533333333333337</v>
      </c>
      <c r="CQ16" s="17">
        <f t="shared" si="5"/>
        <v>4.0266666666666673</v>
      </c>
      <c r="CR16" s="38">
        <f t="shared" si="29"/>
        <v>4.5533333333333337</v>
      </c>
      <c r="CS16" s="17">
        <f t="shared" si="6"/>
        <v>5.0266666666666673</v>
      </c>
      <c r="CT16" s="17">
        <f t="shared" si="7"/>
        <v>5.5533333333333337</v>
      </c>
      <c r="CU16" s="17">
        <f t="shared" si="8"/>
        <v>6.0266666666666673</v>
      </c>
      <c r="CV16" s="2" cm="1">
        <f t="array" aca="1" ref="CV16" ca="1">MAX(_xlfn._xlws.FILTER(CO16:CU16,CO16:CU16&lt;BQ16))</f>
        <v>4.0266666666666673</v>
      </c>
      <c r="CW16" s="2" cm="1">
        <f t="array" aca="1" ref="CW16" ca="1">MIN(_xlfn._xlws.FILTER($CO16:$CU16,$CO16:$CU16&gt;BQ16))</f>
        <v>4.5533333333333337</v>
      </c>
      <c r="CX16" s="16">
        <f t="shared" ca="1" si="46"/>
        <v>0.1307947019867548</v>
      </c>
      <c r="CY16" s="20">
        <f t="shared" ca="1" si="47"/>
        <v>-6.5397350993377401E-2</v>
      </c>
      <c r="CZ16" s="20">
        <f t="shared" ca="1" si="48"/>
        <v>-4.3598233995584934E-2</v>
      </c>
      <c r="DA16" s="20">
        <f t="shared" ca="1" si="49"/>
        <v>-2.615894039735096E-2</v>
      </c>
      <c r="DB16" s="20">
        <f t="shared" ca="1" si="50"/>
        <v>-1.4532744665194977E-2</v>
      </c>
      <c r="DC16" s="20">
        <f t="shared" ca="1" si="51"/>
        <v>-7.6938059992208707E-3</v>
      </c>
      <c r="DD16" s="20">
        <f t="shared" ca="1" si="52"/>
        <v>-3.9634758177804486E-3</v>
      </c>
      <c r="DE16" s="20">
        <f t="shared" ca="1" si="53"/>
        <v>-2.0122261844116125E-3</v>
      </c>
      <c r="DF16" s="21">
        <f t="shared" ca="1" si="54"/>
        <v>2.0122261844116125E-3</v>
      </c>
      <c r="DG16" s="21">
        <f t="shared" ca="1" si="55"/>
        <v>3.9634758177804486E-3</v>
      </c>
      <c r="DH16" s="21">
        <f t="shared" ca="1" si="56"/>
        <v>7.6938059992208707E-3</v>
      </c>
      <c r="DI16" s="21">
        <f t="shared" ca="1" si="57"/>
        <v>1.4532744665194977E-2</v>
      </c>
      <c r="DJ16" s="21">
        <f t="shared" ca="1" si="58"/>
        <v>2.615894039735096E-2</v>
      </c>
      <c r="DK16" s="21">
        <f t="shared" ca="1" si="59"/>
        <v>4.3598233995584934E-2</v>
      </c>
      <c r="DL16" s="21">
        <f t="shared" ca="1" si="60"/>
        <v>6.5397350993377401E-2</v>
      </c>
      <c r="DN16" s="16" cm="1">
        <f t="array" aca="1" ref="DN16" ca="1">MAX(_xlfn._xlws.FILTER(CY16:DL16,CY16:DL16&lt;BW16))</f>
        <v>1.4532744665194977E-2</v>
      </c>
      <c r="DO16" s="16" cm="1">
        <f t="array" aca="1" ref="DO16" ca="1">MIN(_xlfn._xlws.FILTER(CY16:DL16,CY16:DL16&gt;BW16))</f>
        <v>2.615894039735096E-2</v>
      </c>
      <c r="DP16" s="2" cm="1">
        <f t="array" aca="1" ref="DP16" ca="1">_FV(EE16,"Fechamento anterior",TRUE)</f>
        <v>4.43</v>
      </c>
      <c r="DQ16" s="28">
        <f t="shared" ca="1" si="15"/>
        <v>0.10911649569964224</v>
      </c>
      <c r="DR16" s="15">
        <f t="shared" ca="1" si="61"/>
        <v>4.4943800588668132</v>
      </c>
      <c r="DS16" s="15">
        <f t="shared" ca="1" si="62"/>
        <v>4.5458841059602646</v>
      </c>
      <c r="DT16" s="9"/>
      <c r="DU16" s="9"/>
      <c r="DV16" s="9"/>
      <c r="DW16" s="89" t="e" vm="5">
        <v>#VALUE!</v>
      </c>
      <c r="DX16" s="89">
        <f t="shared" ca="1" si="18"/>
        <v>1.1626195732155982E-2</v>
      </c>
      <c r="DY16" s="72">
        <f t="shared" ca="1" si="19"/>
        <v>-0.70049658328154263</v>
      </c>
      <c r="DZ16" s="37"/>
      <c r="EA16" s="35">
        <f t="shared" si="39"/>
        <v>0.24268498099388014</v>
      </c>
      <c r="EB16" s="56"/>
      <c r="EC16" s="56"/>
      <c r="EE16" s="2" t="e" vm="16">
        <v>#VALUE!</v>
      </c>
      <c r="EG16" s="10" cm="1">
        <f t="array" aca="1" ref="EG16" ca="1">_FV(EE16,"Ações em circulação",TRUE)</f>
        <v>1502786000</v>
      </c>
      <c r="EH16" s="18">
        <f>VLOOKUP(BR16,Fundamentus!A:U,5,FALSE)</f>
        <v>0.47399999999999998</v>
      </c>
      <c r="EI16" s="2">
        <f t="shared" ca="1" si="20"/>
        <v>14266955696.202532</v>
      </c>
      <c r="EJ16" s="17">
        <v>971579682.91139233</v>
      </c>
      <c r="EK16" s="17">
        <f t="shared" ca="1" si="21"/>
        <v>971579682.91139233</v>
      </c>
      <c r="EM16" s="16">
        <f t="shared" ca="1" si="22"/>
        <v>0</v>
      </c>
      <c r="EN16" s="32" t="str">
        <f>IF(VLOOKUP(BR16,Fundamentus!A:U,3,FALSE)&lt;15,"Bom",IF(VLOOKUP(BR16,Fundamentus!A:U,3,FALSE)&gt;15,"Ruim","n/a"))</f>
        <v>Bom</v>
      </c>
      <c r="EO16" s="28" t="str">
        <f>IF(VLOOKUP(BR16,Fundamentus!A:U,4,FALSE)&lt;1,"Baixo",IF(VLOOKUP(BR16,Fundamentus!A:U,4,FALSE)&lt;1.5,"Moderado",IF(VLOOKUP(BR16,Fundamentus!A:U,4,FALSE)&gt;1.5,"Alto","n/a")))</f>
        <v>Alto</v>
      </c>
      <c r="EP16" s="17" t="str">
        <f>IF(VLOOKUP(BR16,Fundamentus!A:U,8,FALSE)&lt;0,"Risco elevado",IF(VLOOKUP(BR16,Fundamentus!A:U,8,FALSE)&lt;1,"Saudável",IF(VLOOKUP(BR16,Fundamentus!A:U,8,FALSE)&lt;3,"Estável",IF(VLOOKUP(BR16,Fundamentus!A:U,8,FALSE)&gt;3,"Alerta","n/a"))))</f>
        <v>Alerta</v>
      </c>
      <c r="EQ16" s="28" t="str">
        <f t="shared" si="23"/>
        <v>Ruim</v>
      </c>
      <c r="ER16" s="17" t="str">
        <f>IF(VLOOKUP(BR16,Fundamentus!A:U,12,FALSE)&lt;2,"Subvalorizada",IF(VLOOKUP(BR16,Fundamentus!A:U,12,FALSE)&lt;6,"Muita barata",IF(VLOOKUP(BR16,Fundamentus!A:U,12,FALSE)&lt;6,"Barata",IF(VLOOKUP(BR16,Fundamentus!A:U,12,FALSE)&lt;8,"Atrativa",IF(VLOOKUP(BR16,Fundamentus!A:U,12,FALSE)&gt;8,"Supervalorizada","n/a")))))</f>
        <v>Muita barata</v>
      </c>
      <c r="ET16" s="17" t="str">
        <f>IF(VLOOKUP(BR16,Fundamentus!A:U,17,FALSE)&lt;0.1,"Fraco retorno",IF(VLOOKUP(BR16,Fundamentus!A:U,17,FALSE)&gt;0.1,"Bom retorno","n/a"))</f>
        <v>Bom retorno</v>
      </c>
      <c r="EU16" s="17" t="str">
        <f>IF(VLOOKUP(BR16,Fundamentus!A:U,16,FALSE)&lt;0.1,"Ineficiente",IF(VLOOKUP(BR16,Fundamentus!A:U,16,FALSE)&gt;0.1,"Eficiente","n/a"))</f>
        <v>Eficiente</v>
      </c>
      <c r="EV16" s="33" t="str">
        <f>IF(VLOOKUP(BR16,Fundamentus!A:U,16,FALSE)&lt;0.1,"Oper. Ineficiente",IF(VLOOKUP(BR16,Fundamentus!A:U,16,FALSE)&gt;0.1,"Oper.Eficiente","n/a"))</f>
        <v>Oper.Eficiente</v>
      </c>
      <c r="EW16" s="34">
        <f>VLOOKUP(BR16,Fundamentus!A:U,14,FALSE)</f>
        <v>6.8099999999999994E-2</v>
      </c>
      <c r="EX16" s="17" t="str">
        <f>IF(VLOOKUP(BR16,Fundamentus!A:U,21,FALSE)&lt;0,"Negativo",IF(VLOOKUP(BR16,Fundamentus!A:U,21,FALSE)&lt;0.05,"Fraco",IF(VLOOKUP(BR16,Fundamentus!A:U,21,FALSE)&lt;0.1,"Bom",IF(VLOOKUP(BR16,Fundamentus!A:U,21,FALSE)&gt;0.1,"Muito bom","n/a"))))</f>
        <v>Bom</v>
      </c>
      <c r="EZ16" s="29" t="str">
        <f>IF(VLOOKUP(BR16,Fundamentus!A:U,15,FALSE)&gt;1,"Bom",IF(VLOOKUP(BR16,Fundamentus!A:U,15,FALSE)&lt;1,"Ruim","n/a"))</f>
        <v>Bom</v>
      </c>
      <c r="FA16" s="17" t="str">
        <f>IF(VLOOKUP(BR16,Fundamentus!A:U,20,FALSE)&lt;0.5,"Baixa",IF(VLOOKUP(BR16,Fundamentus!A:U,20,FALSE)&lt;1,"Moderada",IF(VLOOKUP(BR16,Fundamentus!A:U,20,FALSE)&lt;2,"Alerta",IF(VLOOKUP(BR16,Fundamentus!A:U,20,FALSE)&gt;2,"Alta","n/a"))))</f>
        <v>Baixa</v>
      </c>
    </row>
    <row r="17" spans="1:158" s="2" customFormat="1" ht="11.25"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5">
        <v>9.24</v>
      </c>
      <c r="BC17" s="52">
        <v>8.73</v>
      </c>
      <c r="BD17" s="52">
        <v>8.8000000000000007</v>
      </c>
      <c r="BE17" s="52">
        <v>8.92</v>
      </c>
      <c r="BF17" s="52">
        <v>8.89</v>
      </c>
      <c r="BG17" s="67">
        <v>8.64</v>
      </c>
      <c r="BH17" s="52">
        <v>8.74</v>
      </c>
      <c r="BI17" s="52">
        <v>8.8000000000000007</v>
      </c>
      <c r="BJ17" s="52">
        <v>8.27</v>
      </c>
      <c r="BK17" s="52">
        <v>7.96</v>
      </c>
      <c r="BL17" s="52">
        <v>7.3</v>
      </c>
      <c r="BM17" s="52">
        <v>7.5</v>
      </c>
      <c r="BN17" s="52">
        <v>7.6</v>
      </c>
      <c r="BO17" s="52">
        <v>7.4</v>
      </c>
      <c r="BP17" s="52">
        <v>7.28</v>
      </c>
      <c r="BQ17" s="52" cm="1">
        <f t="array" aca="1" ref="BQ17" ca="1">_FV(EE17,"Preço")</f>
        <v>7.28</v>
      </c>
      <c r="BR17" s="69" t="s">
        <v>14</v>
      </c>
      <c r="BS17" s="36" cm="1">
        <f t="array" aca="1" ref="BS17" ca="1">_FV(EE17,"Média de volume",TRUE)</f>
        <v>3010</v>
      </c>
      <c r="BT17" s="36">
        <v>100</v>
      </c>
      <c r="BU17" s="36" cm="1">
        <f t="array" aca="1" ref="BU17" ca="1">_FV(EE17,"Volume")</f>
        <v>100</v>
      </c>
      <c r="BV17" s="24" cm="1">
        <f t="array" aca="1" ref="BV17" ca="1">_FV(EE17,"Beta")</f>
        <v>1.0049999999999999</v>
      </c>
      <c r="BW17" s="71" cm="1">
        <f t="array" aca="1" ref="BW17" ca="1">_FV(EE17,"Variação (%)",TRUE)</f>
        <v>-1.2212000000000001E-2</v>
      </c>
      <c r="BY17" s="17" cm="1">
        <f t="array" aca="1" ref="BY17" ca="1">_FV(EE17,"Baixo")</f>
        <v>7.28</v>
      </c>
      <c r="BZ17" s="17" cm="1">
        <f t="array" aca="1" ref="BZ17" ca="1">_FV(EE17,"Alto")</f>
        <v>7.28</v>
      </c>
      <c r="CA17" s="24"/>
      <c r="CB17" s="63">
        <f ca="1">SQRT(22.5*(BQ17/VLOOKUP(BR17,Fundamentus!A:U,3,FALSE))*(BQ17/VLOOKUP(BR17,Fundamentus!A:U,4,FALSE)))</f>
        <v>4.3423894212328067</v>
      </c>
      <c r="CD17" s="62">
        <f t="shared" ca="1" si="24"/>
        <v>0</v>
      </c>
      <c r="CE17" s="8"/>
      <c r="CF17" s="61">
        <f t="shared" si="25"/>
        <v>6.8</v>
      </c>
      <c r="CG17" s="61">
        <f t="shared" si="26"/>
        <v>10.1</v>
      </c>
      <c r="CH17" s="61">
        <f t="shared" si="27"/>
        <v>8.7019852941176481</v>
      </c>
      <c r="CI17" s="14"/>
      <c r="CJ17" s="35">
        <f t="shared" si="1"/>
        <v>6.7756169017228043</v>
      </c>
      <c r="CK17" s="15">
        <f t="shared" si="28"/>
        <v>7.2300000000000182</v>
      </c>
      <c r="CL17" s="35">
        <f t="shared" si="2"/>
        <v>7.6843830982772321</v>
      </c>
      <c r="CN17" s="14"/>
      <c r="CO17" s="17">
        <f t="shared" si="3"/>
        <v>2.7200000000000015</v>
      </c>
      <c r="CP17" s="17">
        <f t="shared" si="4"/>
        <v>4.7600000000000007</v>
      </c>
      <c r="CQ17" s="17">
        <f t="shared" si="5"/>
        <v>6.0200000000000014</v>
      </c>
      <c r="CR17" s="38">
        <f t="shared" si="29"/>
        <v>8.06</v>
      </c>
      <c r="CS17" s="17">
        <f t="shared" si="6"/>
        <v>9.32</v>
      </c>
      <c r="CT17" s="17">
        <f t="shared" si="7"/>
        <v>11.36</v>
      </c>
      <c r="CU17" s="17">
        <f t="shared" si="8"/>
        <v>12.620000000000001</v>
      </c>
      <c r="CV17" s="2" cm="1">
        <f t="array" aca="1" ref="CV17" ca="1">MAX(_xlfn._xlws.FILTER(CO17:CU17,CO17:CU17&lt;BQ17))</f>
        <v>6.0200000000000014</v>
      </c>
      <c r="CW17" s="2" cm="1">
        <f t="array" aca="1" ref="CW17" ca="1">MIN(_xlfn._xlws.FILTER($CO17:$CU17,$CO17:$CU17&gt;BQ17))</f>
        <v>8.06</v>
      </c>
      <c r="CX17" s="16">
        <f t="shared" ca="1" si="46"/>
        <v>0.33887043189368748</v>
      </c>
      <c r="CY17" s="20">
        <f t="shared" ca="1" si="47"/>
        <v>-0.16943521594684374</v>
      </c>
      <c r="CZ17" s="20">
        <f t="shared" ca="1" si="48"/>
        <v>-0.11295681063122916</v>
      </c>
      <c r="DA17" s="20">
        <f t="shared" ca="1" si="49"/>
        <v>-6.7774086378737497E-2</v>
      </c>
      <c r="DB17" s="20">
        <f t="shared" ca="1" si="50"/>
        <v>-3.7652270210409719E-2</v>
      </c>
      <c r="DC17" s="20">
        <f t="shared" ca="1" si="51"/>
        <v>-1.9933554817275736E-2</v>
      </c>
      <c r="DD17" s="20">
        <f t="shared" ca="1" si="52"/>
        <v>-1.0268800966475379E-2</v>
      </c>
      <c r="DE17" s="20">
        <f t="shared" ca="1" si="53"/>
        <v>-5.2133912599028843E-3</v>
      </c>
      <c r="DF17" s="21">
        <f t="shared" ca="1" si="54"/>
        <v>5.2133912599028843E-3</v>
      </c>
      <c r="DG17" s="21">
        <f t="shared" ca="1" si="55"/>
        <v>1.0268800966475379E-2</v>
      </c>
      <c r="DH17" s="21">
        <f t="shared" ca="1" si="56"/>
        <v>1.9933554817275736E-2</v>
      </c>
      <c r="DI17" s="21">
        <f t="shared" ca="1" si="57"/>
        <v>3.7652270210409719E-2</v>
      </c>
      <c r="DJ17" s="21">
        <f t="shared" ca="1" si="58"/>
        <v>6.7774086378737497E-2</v>
      </c>
      <c r="DK17" s="21">
        <f t="shared" ca="1" si="59"/>
        <v>0.11295681063122916</v>
      </c>
      <c r="DL17" s="21">
        <f t="shared" ca="1" si="60"/>
        <v>0.16943521594684374</v>
      </c>
      <c r="DN17" s="16" cm="1">
        <f t="array" aca="1" ref="DN17" ca="1">MAX(_xlfn._xlws.FILTER(CY17:DL17,CY17:DL17&lt;BW17))</f>
        <v>-1.9933554817275736E-2</v>
      </c>
      <c r="DO17" s="16" cm="1">
        <f t="array" aca="1" ref="DO17" ca="1">MIN(_xlfn._xlws.FILTER(CY17:DL17,CY17:DL17&gt;BW17))</f>
        <v>-1.0268800966475379E-2</v>
      </c>
      <c r="DP17" s="2" cm="1">
        <f t="array" aca="1" ref="DP17" ca="1">_FV(EE17,"Fechamento anterior",TRUE)</f>
        <v>7.37</v>
      </c>
      <c r="DQ17" s="28">
        <f t="shared" ca="1" si="15"/>
        <v>0.79897388059701135</v>
      </c>
      <c r="DR17" s="15">
        <f t="shared" ca="1" si="61"/>
        <v>7.2230897009966784</v>
      </c>
      <c r="DS17" s="15">
        <f t="shared" ca="1" si="62"/>
        <v>7.2943189368770769</v>
      </c>
      <c r="DT17" s="9"/>
      <c r="DU17" s="9"/>
      <c r="DV17" s="9"/>
      <c r="DW17" s="89">
        <v>1.7143469409621765E-2</v>
      </c>
      <c r="DX17" s="89">
        <f t="shared" ca="1" si="18"/>
        <v>9.6647538508003571E-3</v>
      </c>
      <c r="DY17" s="72">
        <f t="shared" ca="1" si="19"/>
        <v>0.11003930425571778</v>
      </c>
      <c r="DZ17" s="37"/>
      <c r="EA17" s="35">
        <f t="shared" si="39"/>
        <v>0.22719154913860679</v>
      </c>
      <c r="EB17" s="56"/>
      <c r="EC17" s="56"/>
      <c r="EE17" s="2" t="e" vm="17">
        <v>#VALUE!</v>
      </c>
      <c r="EG17" s="10" cm="1">
        <f t="array" aca="1" ref="EG17" ca="1">_FV(EE17,"Ações em circulação",TRUE)</f>
        <v>101983400</v>
      </c>
      <c r="EH17" s="18">
        <f>VLOOKUP(BR17,Fundamentus!A:U,5,FALSE)</f>
        <v>1.591</v>
      </c>
      <c r="EI17" s="2">
        <f t="shared" ca="1" si="20"/>
        <v>466649372.72155875</v>
      </c>
      <c r="EJ17" s="17">
        <v>5739787.2844751729</v>
      </c>
      <c r="EK17" s="17">
        <f t="shared" ca="1" si="21"/>
        <v>5739787.2844751729</v>
      </c>
      <c r="EM17" s="16">
        <f t="shared" ca="1" si="22"/>
        <v>0</v>
      </c>
      <c r="EN17" s="32" t="str">
        <f>IF(VLOOKUP(BR17,Fundamentus!A:U,3,FALSE)&lt;15,"Bom",IF(VLOOKUP(BR17,Fundamentus!A:U,3,FALSE)&gt;15,"Ruim","n/a"))</f>
        <v>Ruim</v>
      </c>
      <c r="EO17" s="28" t="str">
        <f>IF(VLOOKUP(BR17,Fundamentus!A:U,4,FALSE)&lt;1,"Baixo",IF(VLOOKUP(BR17,Fundamentus!A:U,4,FALSE)&lt;1.5,"Moderado",IF(VLOOKUP(BR17,Fundamentus!A:U,4,FALSE)&gt;1.5,"Alto","n/a")))</f>
        <v>Baixo</v>
      </c>
      <c r="EP17" s="17" t="str">
        <f>IF(VLOOKUP(BR17,Fundamentus!A:U,8,FALSE)&lt;0,"Risco elevado",IF(VLOOKUP(BR17,Fundamentus!A:U,8,FALSE)&lt;1,"Saudável",IF(VLOOKUP(BR17,Fundamentus!A:U,8,FALSE)&lt;3,"Estável",IF(VLOOKUP(BR17,Fundamentus!A:U,8,FALSE)&gt;3,"Alerta","n/a"))))</f>
        <v>Saudável</v>
      </c>
      <c r="EQ17" s="28" t="str">
        <f t="shared" si="23"/>
        <v>Bom</v>
      </c>
      <c r="ER17" s="17" t="str">
        <f>IF(VLOOKUP(BR17,Fundamentus!A:U,12,FALSE)&lt;2,"Subvalorizada",IF(VLOOKUP(BR17,Fundamentus!A:U,12,FALSE)&lt;6,"Muita barata",IF(VLOOKUP(BR17,Fundamentus!A:U,12,FALSE)&lt;6,"Barata",IF(VLOOKUP(BR17,Fundamentus!A:U,12,FALSE)&lt;8,"Atrativa",IF(VLOOKUP(BR17,Fundamentus!A:U,12,FALSE)&gt;8,"Supervalorizada","n/a")))))</f>
        <v>Supervalorizada</v>
      </c>
      <c r="ET17" s="17" t="str">
        <f>IF(VLOOKUP(BR17,Fundamentus!A:U,17,FALSE)&lt;0.1,"Fraco retorno",IF(VLOOKUP(BR17,Fundamentus!A:U,17,FALSE)&gt;0.1,"Bom retorno","n/a"))</f>
        <v>Fraco retorno</v>
      </c>
      <c r="EU17" s="17" t="str">
        <f>IF(VLOOKUP(BR17,Fundamentus!A:U,16,FALSE)&lt;0.1,"Ineficiente",IF(VLOOKUP(BR17,Fundamentus!A:U,16,FALSE)&gt;0.1,"Eficiente","n/a"))</f>
        <v>Ineficiente</v>
      </c>
      <c r="EV17" s="33" t="str">
        <f>IF(VLOOKUP(BR17,Fundamentus!A:U,16,FALSE)&lt;0.1,"Oper. Ineficiente",IF(VLOOKUP(BR17,Fundamentus!A:U,16,FALSE)&gt;0.1,"Oper.Eficiente","n/a"))</f>
        <v>Oper. Ineficiente</v>
      </c>
      <c r="EW17" s="34">
        <f>VLOOKUP(BR17,Fundamentus!A:U,14,FALSE)</f>
        <v>1.23E-2</v>
      </c>
      <c r="EX17" s="17" t="str">
        <f>IF(VLOOKUP(BR17,Fundamentus!A:U,21,FALSE)&lt;0,"Negativo",IF(VLOOKUP(BR17,Fundamentus!A:U,21,FALSE)&lt;0.05,"Fraco",IF(VLOOKUP(BR17,Fundamentus!A:U,21,FALSE)&lt;0.1,"Bom",IF(VLOOKUP(BR17,Fundamentus!A:U,21,FALSE)&gt;0.1,"Muito bom","n/a"))))</f>
        <v>Muito bom</v>
      </c>
      <c r="EZ17" s="29" t="str">
        <f>IF(VLOOKUP(BR17,Fundamentus!A:U,15,FALSE)&gt;1,"Bom",IF(VLOOKUP(BR17,Fundamentus!A:U,15,FALSE)&lt;1,"Ruim","n/a"))</f>
        <v>Bom</v>
      </c>
      <c r="FA17" s="17" t="str">
        <f>IF(VLOOKUP(BR17,Fundamentus!A:U,20,FALSE)&lt;0.5,"Baixa",IF(VLOOKUP(BR17,Fundamentus!A:U,20,FALSE)&lt;1,"Moderada",IF(VLOOKUP(BR17,Fundamentus!A:U,20,FALSE)&lt;2,"Alerta",IF(VLOOKUP(BR17,Fundamentus!A:U,20,FALSE)&gt;2,"Alta","n/a"))))</f>
        <v>Baixa</v>
      </c>
    </row>
    <row r="18" spans="1:158" s="2" customFormat="1" ht="11.25"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5">
        <v>30.71</v>
      </c>
      <c r="BC18" s="52">
        <v>31.87</v>
      </c>
      <c r="BD18" s="52">
        <v>31.4</v>
      </c>
      <c r="BE18" s="52">
        <v>30.9</v>
      </c>
      <c r="BF18" s="52">
        <v>29.63</v>
      </c>
      <c r="BG18" s="67">
        <v>32.53</v>
      </c>
      <c r="BH18" s="52">
        <v>32.82</v>
      </c>
      <c r="BI18" s="52">
        <v>31.21</v>
      </c>
      <c r="BJ18" s="52">
        <v>32.119999999999997</v>
      </c>
      <c r="BK18" s="52">
        <v>32.6</v>
      </c>
      <c r="BL18" s="52">
        <v>30.99</v>
      </c>
      <c r="BM18" s="52">
        <v>31.98</v>
      </c>
      <c r="BN18" s="52">
        <v>32.21</v>
      </c>
      <c r="BO18" s="52">
        <v>30.53</v>
      </c>
      <c r="BP18" s="52">
        <v>30.17</v>
      </c>
      <c r="BQ18" s="52" cm="1">
        <f t="array" aca="1" ref="BQ18" ca="1">_FV(EE18,"Preço")</f>
        <v>30.17</v>
      </c>
      <c r="BR18" s="69" t="s">
        <v>15</v>
      </c>
      <c r="BS18" s="36" cm="1">
        <f t="array" aca="1" ref="BS18" ca="1">_FV(EE18,"Média de volume",TRUE)</f>
        <v>36759460</v>
      </c>
      <c r="BT18" s="36">
        <v>54888600</v>
      </c>
      <c r="BU18" s="36" cm="1">
        <f t="array" aca="1" ref="BU18" ca="1">_FV(EE18,"Volume")</f>
        <v>54888600</v>
      </c>
      <c r="BV18" s="24" cm="1">
        <f t="array" aca="1" ref="BV18" ca="1">_FV(EE18,"Beta")</f>
        <v>1.0041</v>
      </c>
      <c r="BW18" s="71" cm="1">
        <f t="array" aca="1" ref="BW18" ca="1">_FV(EE18,"Variação (%)",TRUE)</f>
        <v>-3.3129999999999998E-4</v>
      </c>
      <c r="BY18" s="17" cm="1">
        <f t="array" aca="1" ref="BY18" ca="1">_FV(EE18,"Baixo")</f>
        <v>29.74</v>
      </c>
      <c r="BZ18" s="17" cm="1">
        <f t="array" aca="1" ref="BZ18" ca="1">_FV(EE18,"Alto")</f>
        <v>30.22</v>
      </c>
      <c r="CA18" s="24"/>
      <c r="CB18" s="63">
        <f ca="1">SQRT(22.5*(BQ18/VLOOKUP(BR18,Fundamentus!A:U,3,FALSE))*(BQ18/VLOOKUP(BR18,Fundamentus!A:U,4,FALSE)))</f>
        <v>47.935745796062086</v>
      </c>
      <c r="CD18" s="62">
        <f t="shared" ca="1" si="24"/>
        <v>0</v>
      </c>
      <c r="CE18" s="8"/>
      <c r="CF18" s="61">
        <f t="shared" si="25"/>
        <v>29.63</v>
      </c>
      <c r="CG18" s="61">
        <f t="shared" si="26"/>
        <v>41.67</v>
      </c>
      <c r="CH18" s="61">
        <f t="shared" si="27"/>
        <v>35.54227941176471</v>
      </c>
      <c r="CI18" s="14"/>
      <c r="CJ18" s="35">
        <f t="shared" si="1"/>
        <v>27.892123958584939</v>
      </c>
      <c r="CK18" s="15">
        <f t="shared" si="28"/>
        <v>29.444999999999709</v>
      </c>
      <c r="CL18" s="35">
        <f t="shared" si="2"/>
        <v>30.997876041414479</v>
      </c>
      <c r="CN18" s="14"/>
      <c r="CO18" s="17">
        <f t="shared" si="3"/>
        <v>13.936666666666657</v>
      </c>
      <c r="CP18" s="17">
        <f t="shared" si="4"/>
        <v>21.783333333333328</v>
      </c>
      <c r="CQ18" s="17">
        <f t="shared" si="5"/>
        <v>25.976666666666659</v>
      </c>
      <c r="CR18" s="38">
        <f t="shared" si="29"/>
        <v>33.823333333333331</v>
      </c>
      <c r="CS18" s="17">
        <f t="shared" si="6"/>
        <v>38.016666666666666</v>
      </c>
      <c r="CT18" s="17">
        <f t="shared" si="7"/>
        <v>45.86333333333333</v>
      </c>
      <c r="CU18" s="17">
        <f t="shared" si="8"/>
        <v>50.056666666666665</v>
      </c>
      <c r="CV18" s="2" cm="1">
        <f t="array" aca="1" ref="CV18" ca="1">MAX(_xlfn._xlws.FILTER(CO18:CU18,CO18:CU18&lt;BQ18))</f>
        <v>25.976666666666659</v>
      </c>
      <c r="CW18" s="2" cm="1">
        <f t="array" aca="1" ref="CW18" ca="1">MIN(_xlfn._xlws.FILTER($CO18:$CU18,$CO18:$CU18&gt;BQ18))</f>
        <v>33.823333333333331</v>
      </c>
      <c r="CX18" s="16">
        <f t="shared" ca="1" si="46"/>
        <v>0.30206595662774305</v>
      </c>
      <c r="CY18" s="20">
        <f t="shared" ca="1" si="47"/>
        <v>-0.15103297831387152</v>
      </c>
      <c r="CZ18" s="20">
        <f t="shared" ca="1" si="48"/>
        <v>-0.10068865220924768</v>
      </c>
      <c r="DA18" s="20">
        <f t="shared" ca="1" si="49"/>
        <v>-6.0413191325548607E-2</v>
      </c>
      <c r="DB18" s="20">
        <f t="shared" ca="1" si="50"/>
        <v>-3.3562884069749228E-2</v>
      </c>
      <c r="DC18" s="20">
        <f t="shared" ca="1" si="51"/>
        <v>-1.7768585683984886E-2</v>
      </c>
      <c r="DD18" s="20">
        <f t="shared" ca="1" si="52"/>
        <v>-9.1535138372043356E-3</v>
      </c>
      <c r="DE18" s="20">
        <f t="shared" ca="1" si="53"/>
        <v>-4.6471685635037395E-3</v>
      </c>
      <c r="DF18" s="21">
        <f t="shared" ca="1" si="54"/>
        <v>4.6471685635037395E-3</v>
      </c>
      <c r="DG18" s="21">
        <f t="shared" ca="1" si="55"/>
        <v>9.1535138372043356E-3</v>
      </c>
      <c r="DH18" s="21">
        <f t="shared" ca="1" si="56"/>
        <v>1.7768585683984886E-2</v>
      </c>
      <c r="DI18" s="21">
        <f t="shared" ca="1" si="57"/>
        <v>3.3562884069749228E-2</v>
      </c>
      <c r="DJ18" s="21">
        <f t="shared" ca="1" si="58"/>
        <v>6.0413191325548607E-2</v>
      </c>
      <c r="DK18" s="21">
        <f t="shared" ca="1" si="59"/>
        <v>0.10068865220924768</v>
      </c>
      <c r="DL18" s="21">
        <f t="shared" ca="1" si="60"/>
        <v>0.15103297831387152</v>
      </c>
      <c r="DN18" s="16" cm="1">
        <f t="array" aca="1" ref="DN18" ca="1">MAX(_xlfn._xlws.FILTER(CY18:DL18,CY18:DL18&lt;BW18))</f>
        <v>-4.6471685635037395E-3</v>
      </c>
      <c r="DO18" s="16" cm="1">
        <f t="array" aca="1" ref="DO18" ca="1">MIN(_xlfn._xlws.FILTER(CY18:DL18,CY18:DL18&gt;BW18))</f>
        <v>4.6471685635037395E-3</v>
      </c>
      <c r="DP18" s="2" cm="1">
        <f t="array" aca="1" ref="DP18" ca="1">_FV(EE18,"Fechamento anterior",TRUE)</f>
        <v>30.18</v>
      </c>
      <c r="DQ18" s="28">
        <f t="shared" ca="1" si="15"/>
        <v>0.46434976940960437</v>
      </c>
      <c r="DR18" s="15">
        <f t="shared" ca="1" si="61"/>
        <v>30.039748452753457</v>
      </c>
      <c r="DS18" s="15">
        <f t="shared" ca="1" si="62"/>
        <v>30.320251547246542</v>
      </c>
      <c r="DT18" s="9"/>
      <c r="DU18" s="9"/>
      <c r="DV18" s="9"/>
      <c r="DW18" s="89">
        <v>3.9296461114642932E-2</v>
      </c>
      <c r="DX18" s="89">
        <f t="shared" ca="1" si="18"/>
        <v>9.2943371270074789E-3</v>
      </c>
      <c r="DY18" s="72">
        <f t="shared" ca="1" si="19"/>
        <v>0.46687564278457871</v>
      </c>
      <c r="DZ18" s="37"/>
      <c r="EA18" s="35">
        <f t="shared" si="39"/>
        <v>0.77643802070738444</v>
      </c>
      <c r="EB18" s="56"/>
      <c r="EC18" s="56"/>
      <c r="EE18" s="2" t="e" vm="18">
        <v>#VALUE!</v>
      </c>
      <c r="EG18" s="10" cm="1">
        <f t="array" aca="1" ref="EG18" ca="1">_FV(EE18,"Ações em circulação",TRUE)</f>
        <v>12888730000</v>
      </c>
      <c r="EH18" s="18">
        <f>VLOOKUP(BR18,Fundamentus!A:U,5,FALSE)</f>
        <v>0.83099999999999996</v>
      </c>
      <c r="EI18" s="2">
        <f t="shared" ca="1" si="20"/>
        <v>467933795547.53314</v>
      </c>
      <c r="EJ18" s="17">
        <v>45763925204.548737</v>
      </c>
      <c r="EK18" s="17">
        <f t="shared" ca="1" si="21"/>
        <v>45763925204.548737</v>
      </c>
      <c r="EM18" s="16">
        <f t="shared" ca="1" si="22"/>
        <v>0</v>
      </c>
      <c r="EN18" s="32" t="str">
        <f>IF(VLOOKUP(BR18,Fundamentus!A:U,3,FALSE)&lt;15,"Bom",IF(VLOOKUP(BR18,Fundamentus!A:U,3,FALSE)&gt;15,"Ruim","n/a"))</f>
        <v>Bom</v>
      </c>
      <c r="EO18" s="28" t="str">
        <f>IF(VLOOKUP(BR18,Fundamentus!A:U,4,FALSE)&lt;1,"Baixo",IF(VLOOKUP(BR18,Fundamentus!A:U,4,FALSE)&lt;1.5,"Moderado",IF(VLOOKUP(BR18,Fundamentus!A:U,4,FALSE)&gt;1.5,"Alto","n/a")))</f>
        <v>Moderado</v>
      </c>
      <c r="EP18" s="17" t="str">
        <f>IF(VLOOKUP(BR18,Fundamentus!A:U,8,FALSE)&lt;0,"Risco elevado",IF(VLOOKUP(BR18,Fundamentus!A:U,8,FALSE)&lt;1,"Saudável",IF(VLOOKUP(BR18,Fundamentus!A:U,8,FALSE)&lt;3,"Estável",IF(VLOOKUP(BR18,Fundamentus!A:U,8,FALSE)&gt;3,"Alerta","n/a"))))</f>
        <v>Risco elevado</v>
      </c>
      <c r="EQ18" s="28" t="str">
        <f t="shared" si="23"/>
        <v>Ruim</v>
      </c>
      <c r="ER18" s="17" t="str">
        <f>IF(VLOOKUP(BR18,Fundamentus!A:U,12,FALSE)&lt;2,"Subvalorizada",IF(VLOOKUP(BR18,Fundamentus!A:U,12,FALSE)&lt;6,"Muita barata",IF(VLOOKUP(BR18,Fundamentus!A:U,12,FALSE)&lt;6,"Barata",IF(VLOOKUP(BR18,Fundamentus!A:U,12,FALSE)&lt;8,"Atrativa",IF(VLOOKUP(BR18,Fundamentus!A:U,12,FALSE)&gt;8,"Supervalorizada","n/a")))))</f>
        <v>Muita barata</v>
      </c>
      <c r="ET18" s="17" t="str">
        <f>IF(VLOOKUP(BR18,Fundamentus!A:U,17,FALSE)&lt;0.1,"Fraco retorno",IF(VLOOKUP(BR18,Fundamentus!A:U,17,FALSE)&gt;0.1,"Bom retorno","n/a"))</f>
        <v>Bom retorno</v>
      </c>
      <c r="EU18" s="17" t="str">
        <f>IF(VLOOKUP(BR18,Fundamentus!A:U,16,FALSE)&lt;0.1,"Ineficiente",IF(VLOOKUP(BR18,Fundamentus!A:U,16,FALSE)&gt;0.1,"Eficiente","n/a"))</f>
        <v>Eficiente</v>
      </c>
      <c r="EV18" s="33" t="str">
        <f>IF(VLOOKUP(BR18,Fundamentus!A:U,16,FALSE)&lt;0.1,"Oper. Ineficiente",IF(VLOOKUP(BR18,Fundamentus!A:U,16,FALSE)&gt;0.1,"Oper.Eficiente","n/a"))</f>
        <v>Oper.Eficiente</v>
      </c>
      <c r="EW18" s="34">
        <f>VLOOKUP(BR18,Fundamentus!A:U,14,FALSE)</f>
        <v>9.7799999999999998E-2</v>
      </c>
      <c r="EX18" s="17" t="str">
        <f>IF(VLOOKUP(BR18,Fundamentus!A:U,21,FALSE)&lt;0,"Negativo",IF(VLOOKUP(BR18,Fundamentus!A:U,21,FALSE)&lt;0.05,"Fraco",IF(VLOOKUP(BR18,Fundamentus!A:U,21,FALSE)&lt;0.1,"Bom",IF(VLOOKUP(BR18,Fundamentus!A:U,21,FALSE)&gt;0.1,"Muito bom","n/a"))))</f>
        <v>Muito bom</v>
      </c>
      <c r="EZ18" s="29" t="str">
        <f>IF(VLOOKUP(BR18,Fundamentus!A:U,15,FALSE)&gt;1,"Bom",IF(VLOOKUP(BR18,Fundamentus!A:U,15,FALSE)&lt;1,"Ruim","n/a"))</f>
        <v>Ruim</v>
      </c>
      <c r="FA18" s="17" t="str">
        <f>IF(VLOOKUP(BR18,Fundamentus!A:U,20,FALSE)&lt;0.5,"Baixa",IF(VLOOKUP(BR18,Fundamentus!A:U,20,FALSE)&lt;1,"Moderada",IF(VLOOKUP(BR18,Fundamentus!A:U,20,FALSE)&lt;2,"Alerta",IF(VLOOKUP(BR18,Fundamentus!A:U,20,FALSE)&gt;2,"Alta","n/a"))))</f>
        <v>Moderada</v>
      </c>
    </row>
    <row r="19" spans="1:158" s="2" customFormat="1" ht="11.25"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5">
        <v>9.4</v>
      </c>
      <c r="BC19" s="52">
        <v>9.64</v>
      </c>
      <c r="BD19" s="52">
        <v>10.050000000000001</v>
      </c>
      <c r="BE19" s="52">
        <v>11.22</v>
      </c>
      <c r="BF19" s="52">
        <v>11.21</v>
      </c>
      <c r="BG19" s="67">
        <v>10.91</v>
      </c>
      <c r="BH19" s="52">
        <v>10.78</v>
      </c>
      <c r="BI19" s="52">
        <v>11.04</v>
      </c>
      <c r="BJ19" s="52">
        <v>10.3</v>
      </c>
      <c r="BK19" s="52">
        <v>9.98</v>
      </c>
      <c r="BL19" s="52">
        <v>9.7200000000000006</v>
      </c>
      <c r="BM19" s="52">
        <v>9.6999999999999993</v>
      </c>
      <c r="BN19" s="52">
        <v>9.6999999999999993</v>
      </c>
      <c r="BO19" s="52">
        <v>9.92</v>
      </c>
      <c r="BP19" s="52">
        <v>10.039999999999999</v>
      </c>
      <c r="BQ19" s="52" cm="1">
        <f t="array" aca="1" ref="BQ19" ca="1">_FV(EE19,"Preço")</f>
        <v>10.039999999999999</v>
      </c>
      <c r="BR19" s="69" t="s">
        <v>182</v>
      </c>
      <c r="BS19" s="36" cm="1">
        <f t="array" aca="1" ref="BS19" ca="1">_FV(EE19,"Média de volume",TRUE)</f>
        <v>20892310</v>
      </c>
      <c r="BT19" s="36">
        <v>13384200</v>
      </c>
      <c r="BU19" s="36" cm="1">
        <f t="array" aca="1" ref="BU19" ca="1">_FV(EE19,"Volume")</f>
        <v>13384200</v>
      </c>
      <c r="BV19" s="24" cm="1">
        <f t="array" aca="1" ref="BV19" ca="1">_FV(EE19,"Beta")</f>
        <v>1.4676</v>
      </c>
      <c r="BW19" s="71" cm="1">
        <f t="array" aca="1" ref="BW19" ca="1">_FV(EE19,"Variação (%)",TRUE)</f>
        <v>-9.9500000000000001E-4</v>
      </c>
      <c r="BY19" s="17" cm="1">
        <f t="array" aca="1" ref="BY19" ca="1">_FV(EE19,"Baixo")</f>
        <v>9.89</v>
      </c>
      <c r="BZ19" s="17" cm="1">
        <f t="array" aca="1" ref="BZ19" ca="1">_FV(EE19,"Alto")</f>
        <v>10.16</v>
      </c>
      <c r="CA19" s="24"/>
      <c r="CB19" s="63">
        <f ca="1">SQRT(22.5*(BQ19/VLOOKUP(BR19,Fundamentus!A:U,3,FALSE))*(BQ19/VLOOKUP(BR19,Fundamentus!A:U,4,FALSE)))</f>
        <v>7.6737421441661233</v>
      </c>
      <c r="CD19" s="62">
        <f t="shared" ca="1" si="24"/>
        <v>0</v>
      </c>
      <c r="CE19" s="8"/>
      <c r="CF19" s="61">
        <f t="shared" si="25"/>
        <v>5.42</v>
      </c>
      <c r="CG19" s="61">
        <f t="shared" si="26"/>
        <v>13.63</v>
      </c>
      <c r="CH19" s="61">
        <f t="shared" si="27"/>
        <v>8.9526470588235298</v>
      </c>
      <c r="CI19" s="14"/>
      <c r="CJ19" s="35">
        <f t="shared" si="1"/>
        <v>9.9081405366747948</v>
      </c>
      <c r="CK19" s="15">
        <f t="shared" si="28"/>
        <v>10.150000000000091</v>
      </c>
      <c r="CL19" s="35">
        <f t="shared" si="2"/>
        <v>10.391859463325387</v>
      </c>
      <c r="CN19" s="14"/>
      <c r="CO19" s="17">
        <f t="shared" si="3"/>
        <v>-2.4466666666666672</v>
      </c>
      <c r="CP19" s="17">
        <f t="shared" si="4"/>
        <v>1.4866666666666664</v>
      </c>
      <c r="CQ19" s="17">
        <f t="shared" si="5"/>
        <v>5.7633333333333336</v>
      </c>
      <c r="CR19" s="38">
        <f t="shared" si="29"/>
        <v>9.6966666666666672</v>
      </c>
      <c r="CS19" s="17">
        <f t="shared" si="6"/>
        <v>13.973333333333334</v>
      </c>
      <c r="CT19" s="17">
        <f t="shared" si="7"/>
        <v>17.906666666666666</v>
      </c>
      <c r="CU19" s="17">
        <f t="shared" si="8"/>
        <v>22.183333333333337</v>
      </c>
      <c r="CV19" s="2" cm="1">
        <f t="array" aca="1" ref="CV19" ca="1">MAX(_xlfn._xlws.FILTER(CO19:CU19,CO19:CU19&lt;BQ19))</f>
        <v>9.6966666666666672</v>
      </c>
      <c r="CW19" s="2" cm="1">
        <f t="array" aca="1" ref="CW19" ca="1">MIN(_xlfn._xlws.FILTER($CO19:$CU19,$CO19:$CU19&gt;BQ19))</f>
        <v>13.973333333333334</v>
      </c>
      <c r="CX19" s="16">
        <f t="shared" ref="CX19:CX50" ca="1" si="63">(CW19/CV19)-1</f>
        <v>0.44104503265727057</v>
      </c>
      <c r="CY19" s="20">
        <f t="shared" ref="CY19:CY50" ca="1" si="64">-$CX19/2</f>
        <v>-0.22052251632863529</v>
      </c>
      <c r="CZ19" s="20">
        <f t="shared" ref="CZ19:CZ50" ca="1" si="65">-$CX19/3</f>
        <v>-0.14701501088575686</v>
      </c>
      <c r="DA19" s="20">
        <f t="shared" ref="DA19:DA50" ca="1" si="66">-$CX19/5</f>
        <v>-8.8209006531454109E-2</v>
      </c>
      <c r="DB19" s="20">
        <f t="shared" ref="DB19:DB50" ca="1" si="67">-$CX19/9</f>
        <v>-4.9005003628585619E-2</v>
      </c>
      <c r="DC19" s="20">
        <f t="shared" ref="DC19:DC50" ca="1" si="68">-$CX19/17</f>
        <v>-2.5943825450427681E-2</v>
      </c>
      <c r="DD19" s="20">
        <f t="shared" ref="DD19:DD50" ca="1" si="69">-$CX19/33</f>
        <v>-1.336500098961426E-2</v>
      </c>
      <c r="DE19" s="20">
        <f t="shared" ref="DE19:DE50" ca="1" si="70">-$CX19/65</f>
        <v>-6.7853081947272399E-3</v>
      </c>
      <c r="DF19" s="21">
        <f t="shared" ref="DF19:DF50" ca="1" si="71">-$CX19/65*-1</f>
        <v>6.7853081947272399E-3</v>
      </c>
      <c r="DG19" s="21">
        <f t="shared" ref="DG19:DG50" ca="1" si="72">-$CX19/33*-1</f>
        <v>1.336500098961426E-2</v>
      </c>
      <c r="DH19" s="21">
        <f t="shared" ref="DH19:DH50" ca="1" si="73">-$CX19/17*-1</f>
        <v>2.5943825450427681E-2</v>
      </c>
      <c r="DI19" s="21">
        <f t="shared" ref="DI19:DI50" ca="1" si="74">-$CX19/9*-1</f>
        <v>4.9005003628585619E-2</v>
      </c>
      <c r="DJ19" s="21">
        <f t="shared" ref="DJ19:DJ50" ca="1" si="75">-$CX19/5*-1</f>
        <v>8.8209006531454109E-2</v>
      </c>
      <c r="DK19" s="21">
        <f t="shared" ref="DK19:DK50" ca="1" si="76">-$CX19/3*-1</f>
        <v>0.14701501088575686</v>
      </c>
      <c r="DL19" s="21">
        <f t="shared" ref="DL19:DL50" ca="1" si="77">-$CX19/2*-1</f>
        <v>0.22052251632863529</v>
      </c>
      <c r="DN19" s="16" cm="1">
        <f t="array" aca="1" ref="DN19" ca="1">MAX(_xlfn._xlws.FILTER(CY19:DL19,CY19:DL19&lt;BW19))</f>
        <v>-6.7853081947272399E-3</v>
      </c>
      <c r="DO19" s="16" cm="1">
        <f t="array" aca="1" ref="DO19" ca="1">MIN(_xlfn._xlws.FILTER(CY19:DL19,CY19:DL19&gt;BW19))</f>
        <v>6.7853081947272399E-3</v>
      </c>
      <c r="DP19" s="2" cm="1">
        <f t="array" aca="1" ref="DP19" ca="1">_FV(EE19,"Fechamento anterior",TRUE)</f>
        <v>10.050000000000001</v>
      </c>
      <c r="DQ19" s="28">
        <f t="shared" ca="1" si="15"/>
        <v>0.42667798963094522</v>
      </c>
      <c r="DR19" s="15">
        <f t="shared" ref="DR19:DR50" ca="1" si="78">DP19+(DP19*DN19)</f>
        <v>9.981807652642992</v>
      </c>
      <c r="DS19" s="15">
        <f t="shared" ref="DS19:DS50" ca="1" si="79">DP19+(DP19*DO19)</f>
        <v>10.118192347357009</v>
      </c>
      <c r="DT19" s="9"/>
      <c r="DU19" s="9"/>
      <c r="DV19" s="9"/>
      <c r="DW19" s="89">
        <v>1.2512790599655304E-2</v>
      </c>
      <c r="DX19" s="89">
        <f t="shared" ca="1" si="18"/>
        <v>1.357061638945448E-2</v>
      </c>
      <c r="DY19" s="72">
        <f t="shared" ca="1" si="19"/>
        <v>-0.45480957613861894</v>
      </c>
      <c r="DZ19" s="37"/>
      <c r="EA19" s="35">
        <f t="shared" si="39"/>
        <v>0.12092973166264806</v>
      </c>
      <c r="EB19" s="56"/>
      <c r="EC19" s="56"/>
      <c r="EE19" s="2" t="e" vm="19">
        <v>#VALUE!</v>
      </c>
      <c r="EG19" s="10" cm="1">
        <f t="array" aca="1" ref="EG19" ca="1">_FV(EE19,"Ações em circulação",TRUE)</f>
        <v>1353436000</v>
      </c>
      <c r="EH19" s="18">
        <f>VLOOKUP(BR19,Fundamentus!A:U,5,FALSE)</f>
        <v>0.17399999999999999</v>
      </c>
      <c r="EI19" s="2">
        <f t="shared" ca="1" si="20"/>
        <v>78094812873.563217</v>
      </c>
      <c r="EJ19" s="17">
        <v>859042941.60919535</v>
      </c>
      <c r="EK19" s="17">
        <f t="shared" ca="1" si="21"/>
        <v>859042941.60919535</v>
      </c>
      <c r="EM19" s="16">
        <f t="shared" ca="1" si="22"/>
        <v>0</v>
      </c>
      <c r="EN19" s="32" t="str">
        <f>IF(VLOOKUP(BR19,Fundamentus!A:U,3,FALSE)&lt;15,"Bom",IF(VLOOKUP(BR19,Fundamentus!A:U,3,FALSE)&gt;15,"Ruim","n/a"))</f>
        <v>Ruim</v>
      </c>
      <c r="EO19" s="28" t="str">
        <f>IF(VLOOKUP(BR19,Fundamentus!A:U,4,FALSE)&lt;1,"Baixo",IF(VLOOKUP(BR19,Fundamentus!A:U,4,FALSE)&lt;1.5,"Moderado",IF(VLOOKUP(BR19,Fundamentus!A:U,4,FALSE)&gt;1.5,"Alto","n/a")))</f>
        <v>Alto</v>
      </c>
      <c r="EP19" s="17" t="str">
        <f>IF(VLOOKUP(BR19,Fundamentus!A:U,8,FALSE)&lt;0,"Risco elevado",IF(VLOOKUP(BR19,Fundamentus!A:U,8,FALSE)&lt;1,"Saudável",IF(VLOOKUP(BR19,Fundamentus!A:U,8,FALSE)&lt;3,"Estável",IF(VLOOKUP(BR19,Fundamentus!A:U,8,FALSE)&gt;3,"Alerta","n/a"))))</f>
        <v>Alerta</v>
      </c>
      <c r="EQ19" s="28" t="str">
        <f t="shared" si="23"/>
        <v>Ruim</v>
      </c>
      <c r="ER19" s="17" t="str">
        <f>IF(VLOOKUP(BR19,Fundamentus!A:U,12,FALSE)&lt;2,"Subvalorizada",IF(VLOOKUP(BR19,Fundamentus!A:U,12,FALSE)&lt;6,"Muita barata",IF(VLOOKUP(BR19,Fundamentus!A:U,12,FALSE)&lt;6,"Barata",IF(VLOOKUP(BR19,Fundamentus!A:U,12,FALSE)&lt;8,"Atrativa",IF(VLOOKUP(BR19,Fundamentus!A:U,12,FALSE)&gt;8,"Supervalorizada","n/a")))))</f>
        <v>Muita barata</v>
      </c>
      <c r="ET19" s="17" t="str">
        <f>IF(VLOOKUP(BR19,Fundamentus!A:U,17,FALSE)&lt;0.1,"Fraco retorno",IF(VLOOKUP(BR19,Fundamentus!A:U,17,FALSE)&gt;0.1,"Bom retorno","n/a"))</f>
        <v>Bom retorno</v>
      </c>
      <c r="EU19" s="17" t="str">
        <f>IF(VLOOKUP(BR19,Fundamentus!A:U,16,FALSE)&lt;0.1,"Ineficiente",IF(VLOOKUP(BR19,Fundamentus!A:U,16,FALSE)&gt;0.1,"Eficiente","n/a"))</f>
        <v>Eficiente</v>
      </c>
      <c r="EV19" s="33" t="str">
        <f>IF(VLOOKUP(BR19,Fundamentus!A:U,16,FALSE)&lt;0.1,"Oper. Ineficiente",IF(VLOOKUP(BR19,Fundamentus!A:U,16,FALSE)&gt;0.1,"Oper.Eficiente","n/a"))</f>
        <v>Oper.Eficiente</v>
      </c>
      <c r="EW19" s="34">
        <f>VLOOKUP(BR19,Fundamentus!A:U,14,FALSE)</f>
        <v>1.0999999999999999E-2</v>
      </c>
      <c r="EX19" s="17" t="str">
        <f>IF(VLOOKUP(BR19,Fundamentus!A:U,21,FALSE)&lt;0,"Negativo",IF(VLOOKUP(BR19,Fundamentus!A:U,21,FALSE)&lt;0.05,"Fraco",IF(VLOOKUP(BR19,Fundamentus!A:U,21,FALSE)&lt;0.1,"Bom",IF(VLOOKUP(BR19,Fundamentus!A:U,21,FALSE)&gt;0.1,"Muito bom","n/a"))))</f>
        <v>Muito bom</v>
      </c>
      <c r="EZ19" s="29" t="str">
        <f>IF(VLOOKUP(BR19,Fundamentus!A:U,15,FALSE)&gt;1,"Bom",IF(VLOOKUP(BR19,Fundamentus!A:U,15,FALSE)&lt;1,"Ruim","n/a"))</f>
        <v>Bom</v>
      </c>
      <c r="FA19" s="17" t="str">
        <f>IF(VLOOKUP(BR19,Fundamentus!A:U,20,FALSE)&lt;0.5,"Baixa",IF(VLOOKUP(BR19,Fundamentus!A:U,20,FALSE)&lt;1,"Moderada",IF(VLOOKUP(BR19,Fundamentus!A:U,20,FALSE)&lt;2,"Alerta",IF(VLOOKUP(BR19,Fundamentus!A:U,20,FALSE)&gt;2,"Alta","n/a"))))</f>
        <v>Alta</v>
      </c>
      <c r="FB19" s="10"/>
    </row>
    <row r="20" spans="1:158" s="2" customFormat="1" ht="11.25"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5">
        <v>5.48</v>
      </c>
      <c r="BC20" s="52">
        <v>5.59</v>
      </c>
      <c r="BD20" s="52">
        <v>5.45</v>
      </c>
      <c r="BE20" s="52">
        <v>5.46</v>
      </c>
      <c r="BF20" s="52">
        <v>5.35</v>
      </c>
      <c r="BG20" s="67">
        <v>5.31</v>
      </c>
      <c r="BH20" s="52">
        <v>5.26</v>
      </c>
      <c r="BI20" s="52">
        <v>5.22</v>
      </c>
      <c r="BJ20" s="52">
        <v>5.28</v>
      </c>
      <c r="BK20" s="52">
        <v>5.19</v>
      </c>
      <c r="BL20" s="52">
        <v>5.0999999999999996</v>
      </c>
      <c r="BM20" s="52">
        <v>5.0999999999999996</v>
      </c>
      <c r="BN20" s="52">
        <v>5</v>
      </c>
      <c r="BO20" s="52">
        <v>4.79</v>
      </c>
      <c r="BP20" s="52">
        <v>4.7300000000000004</v>
      </c>
      <c r="BQ20" s="52" cm="1">
        <f t="array" aca="1" ref="BQ20" ca="1">_FV(EE20,"Preço")</f>
        <v>4.7300000000000004</v>
      </c>
      <c r="BR20" s="69" t="s">
        <v>17</v>
      </c>
      <c r="BS20" s="36" cm="1">
        <f t="array" aca="1" ref="BS20" ca="1">_FV(EE20,"Média de volume",TRUE)</f>
        <v>512890</v>
      </c>
      <c r="BT20" s="36">
        <v>448000</v>
      </c>
      <c r="BU20" s="36" cm="1">
        <f t="array" aca="1" ref="BU20" ca="1">_FV(EE20,"Volume")</f>
        <v>448000</v>
      </c>
      <c r="BV20" s="24" cm="1">
        <f t="array" aca="1" ref="BV20" ca="1">_FV(EE20,"Beta")</f>
        <v>0.5766</v>
      </c>
      <c r="BW20" s="71" cm="1">
        <f t="array" aca="1" ref="BW20" ca="1">_FV(EE20,"Variação (%)",TRUE)</f>
        <v>1.0684000000000001E-2</v>
      </c>
      <c r="BY20" s="17" cm="1">
        <f t="array" aca="1" ref="BY20" ca="1">_FV(EE20,"Baixo")</f>
        <v>4.67</v>
      </c>
      <c r="BZ20" s="17" cm="1">
        <f t="array" aca="1" ref="BZ20" ca="1">_FV(EE20,"Alto")</f>
        <v>4.75</v>
      </c>
      <c r="CA20" s="24"/>
      <c r="CB20" s="63">
        <f ca="1">SQRT(22.5*(BQ20/VLOOKUP(BR20,Fundamentus!A:U,3,FALSE))*(BQ20/VLOOKUP(BR20,Fundamentus!A:U,4,FALSE)))</f>
        <v>7.7579216237118356</v>
      </c>
      <c r="CD20" s="62">
        <f t="shared" ca="1" si="24"/>
        <v>0</v>
      </c>
      <c r="CE20" s="8"/>
      <c r="CF20" s="61">
        <f t="shared" si="25"/>
        <v>4.7300000000000004</v>
      </c>
      <c r="CG20" s="61">
        <f t="shared" si="26"/>
        <v>6.78</v>
      </c>
      <c r="CH20" s="61">
        <f t="shared" si="27"/>
        <v>5.831176470588237</v>
      </c>
      <c r="CI20" s="14"/>
      <c r="CJ20" s="35">
        <f t="shared" si="1"/>
        <v>4.3011825425580481</v>
      </c>
      <c r="CK20" s="15">
        <f t="shared" si="28"/>
        <v>4.5750000000000455</v>
      </c>
      <c r="CL20" s="35">
        <f t="shared" si="2"/>
        <v>4.8488174574420428</v>
      </c>
      <c r="CN20" s="14"/>
      <c r="CO20" s="17">
        <f t="shared" si="3"/>
        <v>1.9966666666666679</v>
      </c>
      <c r="CP20" s="17">
        <f t="shared" si="4"/>
        <v>3.3633333333333342</v>
      </c>
      <c r="CQ20" s="17">
        <f t="shared" si="5"/>
        <v>4.0466666666666677</v>
      </c>
      <c r="CR20" s="38">
        <f t="shared" si="29"/>
        <v>5.413333333333334</v>
      </c>
      <c r="CS20" s="17">
        <f t="shared" si="6"/>
        <v>6.0966666666666676</v>
      </c>
      <c r="CT20" s="17">
        <f t="shared" si="7"/>
        <v>7.4633333333333338</v>
      </c>
      <c r="CU20" s="17">
        <f t="shared" si="8"/>
        <v>8.1466666666666683</v>
      </c>
      <c r="CV20" s="2" cm="1">
        <f t="array" aca="1" ref="CV20" ca="1">MAX(_xlfn._xlws.FILTER(CO20:CU20,CO20:CU20&lt;BQ20))</f>
        <v>4.0466666666666677</v>
      </c>
      <c r="CW20" s="2" cm="1">
        <f t="array" aca="1" ref="CW20" ca="1">MIN(_xlfn._xlws.FILTER($CO20:$CU20,$CO20:$CU20&gt;BQ20))</f>
        <v>5.413333333333334</v>
      </c>
      <c r="CX20" s="16">
        <f t="shared" ca="1" si="63"/>
        <v>0.33772652388797342</v>
      </c>
      <c r="CY20" s="20">
        <f t="shared" ca="1" si="64"/>
        <v>-0.16886326194398671</v>
      </c>
      <c r="CZ20" s="20">
        <f t="shared" ca="1" si="65"/>
        <v>-0.11257550796265781</v>
      </c>
      <c r="DA20" s="20">
        <f t="shared" ca="1" si="66"/>
        <v>-6.7545304777594684E-2</v>
      </c>
      <c r="DB20" s="20">
        <f t="shared" ca="1" si="67"/>
        <v>-3.7525169320885933E-2</v>
      </c>
      <c r="DC20" s="20">
        <f t="shared" ca="1" si="68"/>
        <v>-1.9866266111057261E-2</v>
      </c>
      <c r="DD20" s="20">
        <f t="shared" ca="1" si="69"/>
        <v>-1.0234137087514346E-2</v>
      </c>
      <c r="DE20" s="20">
        <f t="shared" ca="1" si="70"/>
        <v>-5.195792675199591E-3</v>
      </c>
      <c r="DF20" s="21">
        <f t="shared" ca="1" si="71"/>
        <v>5.195792675199591E-3</v>
      </c>
      <c r="DG20" s="21">
        <f t="shared" ca="1" si="72"/>
        <v>1.0234137087514346E-2</v>
      </c>
      <c r="DH20" s="21">
        <f t="shared" ca="1" si="73"/>
        <v>1.9866266111057261E-2</v>
      </c>
      <c r="DI20" s="21">
        <f t="shared" ca="1" si="74"/>
        <v>3.7525169320885933E-2</v>
      </c>
      <c r="DJ20" s="21">
        <f t="shared" ca="1" si="75"/>
        <v>6.7545304777594684E-2</v>
      </c>
      <c r="DK20" s="21">
        <f t="shared" ca="1" si="76"/>
        <v>0.11257550796265781</v>
      </c>
      <c r="DL20" s="21">
        <f t="shared" ca="1" si="77"/>
        <v>0.16886326194398671</v>
      </c>
      <c r="DN20" s="16" cm="1">
        <f t="array" aca="1" ref="DN20" ca="1">MAX(_xlfn._xlws.FILTER(CY20:DL20,CY20:DL20&lt;BW20))</f>
        <v>1.0234137087514346E-2</v>
      </c>
      <c r="DO20" s="16" cm="1">
        <f t="array" aca="1" ref="DO20" ca="1">MIN(_xlfn._xlws.FILTER(CY20:DL20,CY20:DL20&gt;BW20))</f>
        <v>1.9866266111057261E-2</v>
      </c>
      <c r="DP20" s="2" cm="1">
        <f t="array" aca="1" ref="DP20" ca="1">_FV(EE20,"Fechamento anterior",TRUE)</f>
        <v>4.68</v>
      </c>
      <c r="DQ20" s="28">
        <f t="shared" ca="1" si="15"/>
        <v>4.6679565353365295E-2</v>
      </c>
      <c r="DR20" s="15">
        <f t="shared" ca="1" si="78"/>
        <v>4.7278957615695667</v>
      </c>
      <c r="DS20" s="15">
        <f t="shared" ca="1" si="79"/>
        <v>4.772974125399748</v>
      </c>
      <c r="DT20" s="9"/>
      <c r="DU20" s="9"/>
      <c r="DV20" s="9"/>
      <c r="DW20" s="89">
        <v>9.1689488249404646E-3</v>
      </c>
      <c r="DX20" s="89">
        <f t="shared" ca="1" si="18"/>
        <v>9.6321290235429156E-3</v>
      </c>
      <c r="DY20" s="72">
        <f t="shared" ca="1" si="19"/>
        <v>0.56607055462410949</v>
      </c>
      <c r="DZ20" s="37"/>
      <c r="EA20" s="35">
        <f t="shared" si="39"/>
        <v>0.13690872872099866</v>
      </c>
      <c r="EB20" s="56"/>
      <c r="EC20" s="56"/>
      <c r="EE20" s="2" t="e" vm="20">
        <v>#VALUE!</v>
      </c>
      <c r="EG20" s="10" cm="1">
        <f t="array" aca="1" ref="EG20" ca="1">_FV(EE20,"Ações em circulação",TRUE)</f>
        <v>357374800</v>
      </c>
      <c r="EH20" s="18">
        <f>VLOOKUP(BR20,Fundamentus!A:U,5,FALSE)</f>
        <v>0.91300000000000003</v>
      </c>
      <c r="EI20" s="2">
        <f t="shared" ca="1" si="20"/>
        <v>1851459807.2289159</v>
      </c>
      <c r="EJ20" s="17">
        <v>248465906.13012055</v>
      </c>
      <c r="EK20" s="17">
        <f t="shared" ca="1" si="21"/>
        <v>248465906.13012055</v>
      </c>
      <c r="EM20" s="16">
        <f t="shared" ca="1" si="22"/>
        <v>0</v>
      </c>
      <c r="EN20" s="32" t="str">
        <f>IF(VLOOKUP(BR20,Fundamentus!A:U,3,FALSE)&lt;15,"Bom",IF(VLOOKUP(BR20,Fundamentus!A:U,3,FALSE)&gt;15,"Ruim","n/a"))</f>
        <v>Bom</v>
      </c>
      <c r="EO20" s="28" t="str">
        <f>IF(VLOOKUP(BR20,Fundamentus!A:U,4,FALSE)&lt;1,"Baixo",IF(VLOOKUP(BR20,Fundamentus!A:U,4,FALSE)&lt;1.5,"Moderado",IF(VLOOKUP(BR20,Fundamentus!A:U,4,FALSE)&gt;1.5,"Alto","n/a")))</f>
        <v>Moderado</v>
      </c>
      <c r="EP20" s="17" t="str">
        <f>IF(VLOOKUP(BR20,Fundamentus!A:U,8,FALSE)&lt;0,"Risco elevado",IF(VLOOKUP(BR20,Fundamentus!A:U,8,FALSE)&lt;1,"Saudável",IF(VLOOKUP(BR20,Fundamentus!A:U,8,FALSE)&lt;3,"Estável",IF(VLOOKUP(BR20,Fundamentus!A:U,8,FALSE)&gt;3,"Alerta","n/a"))))</f>
        <v>Estável</v>
      </c>
      <c r="EQ20" s="28" t="str">
        <f t="shared" si="23"/>
        <v>Ruim</v>
      </c>
      <c r="ER20" s="17" t="str">
        <f>IF(VLOOKUP(BR20,Fundamentus!A:U,12,FALSE)&lt;2,"Subvalorizada",IF(VLOOKUP(BR20,Fundamentus!A:U,12,FALSE)&lt;6,"Muita barata",IF(VLOOKUP(BR20,Fundamentus!A:U,12,FALSE)&lt;6,"Barata",IF(VLOOKUP(BR20,Fundamentus!A:U,12,FALSE)&lt;8,"Atrativa",IF(VLOOKUP(BR20,Fundamentus!A:U,12,FALSE)&gt;8,"Supervalorizada","n/a")))))</f>
        <v>Atrativa</v>
      </c>
      <c r="ET20" s="17" t="str">
        <f>IF(VLOOKUP(BR20,Fundamentus!A:U,17,FALSE)&lt;0.1,"Fraco retorno",IF(VLOOKUP(BR20,Fundamentus!A:U,17,FALSE)&gt;0.1,"Bom retorno","n/a"))</f>
        <v>Bom retorno</v>
      </c>
      <c r="EU20" s="17" t="str">
        <f>IF(VLOOKUP(BR20,Fundamentus!A:U,16,FALSE)&lt;0.1,"Ineficiente",IF(VLOOKUP(BR20,Fundamentus!A:U,16,FALSE)&gt;0.1,"Eficiente","n/a"))</f>
        <v>Eficiente</v>
      </c>
      <c r="EV20" s="33" t="str">
        <f>IF(VLOOKUP(BR20,Fundamentus!A:U,16,FALSE)&lt;0.1,"Oper. Ineficiente",IF(VLOOKUP(BR20,Fundamentus!A:U,16,FALSE)&gt;0.1,"Oper.Eficiente","n/a"))</f>
        <v>Oper.Eficiente</v>
      </c>
      <c r="EW20" s="34">
        <f>VLOOKUP(BR20,Fundamentus!A:U,14,FALSE)</f>
        <v>0.13420000000000001</v>
      </c>
      <c r="EX20" s="17" t="str">
        <f>IF(VLOOKUP(BR20,Fundamentus!A:U,21,FALSE)&lt;0,"Negativo",IF(VLOOKUP(BR20,Fundamentus!A:U,21,FALSE)&lt;0.05,"Fraco",IF(VLOOKUP(BR20,Fundamentus!A:U,21,FALSE)&lt;0.1,"Bom",IF(VLOOKUP(BR20,Fundamentus!A:U,21,FALSE)&gt;0.1,"Muito bom","n/a"))))</f>
        <v>Muito bom</v>
      </c>
      <c r="EZ20" s="29" t="str">
        <f>IF(VLOOKUP(BR20,Fundamentus!A:U,15,FALSE)&gt;1,"Bom",IF(VLOOKUP(BR20,Fundamentus!A:U,15,FALSE)&lt;1,"Ruim","n/a"))</f>
        <v>Bom</v>
      </c>
      <c r="FA20" s="17" t="str">
        <f>IF(VLOOKUP(BR20,Fundamentus!A:U,20,FALSE)&lt;0.5,"Baixa",IF(VLOOKUP(BR20,Fundamentus!A:U,20,FALSE)&lt;1,"Moderada",IF(VLOOKUP(BR20,Fundamentus!A:U,20,FALSE)&lt;2,"Alerta",IF(VLOOKUP(BR20,Fundamentus!A:U,20,FALSE)&gt;2,"Alta","n/a"))))</f>
        <v>Moderada</v>
      </c>
    </row>
    <row r="21" spans="1:158" s="2" customFormat="1" ht="11.25"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5">
        <v>29.15</v>
      </c>
      <c r="BC21" s="52">
        <v>28.83</v>
      </c>
      <c r="BD21" s="52">
        <v>30.66</v>
      </c>
      <c r="BE21" s="52">
        <v>32.1</v>
      </c>
      <c r="BF21" s="52">
        <v>30.5</v>
      </c>
      <c r="BG21" s="67">
        <v>30.25</v>
      </c>
      <c r="BH21" s="52">
        <v>29.26</v>
      </c>
      <c r="BI21" s="52">
        <v>29.55</v>
      </c>
      <c r="BJ21" s="52">
        <v>30.01</v>
      </c>
      <c r="BK21" s="52">
        <v>29.2</v>
      </c>
      <c r="BL21" s="52">
        <v>28.7</v>
      </c>
      <c r="BM21" s="52">
        <v>28.3</v>
      </c>
      <c r="BN21" s="52">
        <v>28.29</v>
      </c>
      <c r="BO21" s="52">
        <v>27.54</v>
      </c>
      <c r="BP21" s="52">
        <v>27.44</v>
      </c>
      <c r="BQ21" s="52" cm="1">
        <f t="array" aca="1" ref="BQ21" ca="1">_FV(EE21,"Preço")</f>
        <v>27.44</v>
      </c>
      <c r="BR21" s="69" t="s">
        <v>18</v>
      </c>
      <c r="BS21" s="36" cm="1">
        <f t="array" aca="1" ref="BS21" ca="1">_FV(EE21,"Média de volume",TRUE)</f>
        <v>254260</v>
      </c>
      <c r="BT21" s="36">
        <v>169800</v>
      </c>
      <c r="BU21" s="36" cm="1">
        <f t="array" aca="1" ref="BU21" ca="1">_FV(EE21,"Volume")</f>
        <v>169800</v>
      </c>
      <c r="BV21" s="24" cm="1">
        <f t="array" aca="1" ref="BV21" ca="1">_FV(EE21,"Beta")</f>
        <v>0.74739999999999995</v>
      </c>
      <c r="BW21" s="71" cm="1">
        <f t="array" aca="1" ref="BW21" ca="1">_FV(EE21,"Variação (%)",TRUE)</f>
        <v>-3.993E-3</v>
      </c>
      <c r="BY21" s="17" cm="1">
        <f t="array" aca="1" ref="BY21" ca="1">_FV(EE21,"Baixo")</f>
        <v>27.28</v>
      </c>
      <c r="BZ21" s="17" cm="1">
        <f t="array" aca="1" ref="BZ21" ca="1">_FV(EE21,"Alto")</f>
        <v>27.7</v>
      </c>
      <c r="CA21" s="24"/>
      <c r="CB21" s="63">
        <f ca="1">SQRT(22.5*(BQ21/VLOOKUP(BR21,Fundamentus!A:U,3,FALSE))*(BQ21/VLOOKUP(BR21,Fundamentus!A:U,4,FALSE)))</f>
        <v>22.351351428063243</v>
      </c>
      <c r="CD21" s="62">
        <f t="shared" ca="1" si="24"/>
        <v>0</v>
      </c>
      <c r="CE21" s="8"/>
      <c r="CF21" s="61">
        <f t="shared" si="25"/>
        <v>26.18</v>
      </c>
      <c r="CG21" s="61">
        <f t="shared" si="26"/>
        <v>34.200000000000003</v>
      </c>
      <c r="CH21" s="61">
        <f t="shared" si="27"/>
        <v>29.909852941176467</v>
      </c>
      <c r="CI21" s="14"/>
      <c r="CJ21" s="35">
        <f t="shared" si="1"/>
        <v>25.967655731923255</v>
      </c>
      <c r="CK21" s="15">
        <f t="shared" si="28"/>
        <v>27.059999999999945</v>
      </c>
      <c r="CL21" s="35">
        <f t="shared" si="2"/>
        <v>28.152344268076636</v>
      </c>
      <c r="CN21" s="14"/>
      <c r="CO21" s="17">
        <f t="shared" si="3"/>
        <v>16.326666666666668</v>
      </c>
      <c r="CP21" s="17">
        <f t="shared" si="4"/>
        <v>21.253333333333334</v>
      </c>
      <c r="CQ21" s="17">
        <f t="shared" si="5"/>
        <v>24.346666666666671</v>
      </c>
      <c r="CR21" s="38">
        <f t="shared" si="29"/>
        <v>29.273333333333337</v>
      </c>
      <c r="CS21" s="17">
        <f t="shared" si="6"/>
        <v>32.366666666666674</v>
      </c>
      <c r="CT21" s="17">
        <f t="shared" si="7"/>
        <v>37.293333333333337</v>
      </c>
      <c r="CU21" s="17">
        <f t="shared" si="8"/>
        <v>40.386666666666677</v>
      </c>
      <c r="CV21" s="2" cm="1">
        <f t="array" aca="1" ref="CV21" ca="1">MAX(_xlfn._xlws.FILTER(CO21:CU21,CO21:CU21&lt;BQ21))</f>
        <v>24.346666666666671</v>
      </c>
      <c r="CW21" s="2" cm="1">
        <f t="array" aca="1" ref="CW21" ca="1">MIN(_xlfn._xlws.FILTER($CO21:$CU21,$CO21:$CU21&gt;BQ21))</f>
        <v>29.273333333333337</v>
      </c>
      <c r="CX21" s="16">
        <f t="shared" ca="1" si="63"/>
        <v>0.202354874041621</v>
      </c>
      <c r="CY21" s="20">
        <f t="shared" ca="1" si="64"/>
        <v>-0.1011774370208105</v>
      </c>
      <c r="CZ21" s="20">
        <f t="shared" ca="1" si="65"/>
        <v>-6.7451624680540334E-2</v>
      </c>
      <c r="DA21" s="20">
        <f t="shared" ca="1" si="66"/>
        <v>-4.0470974808324199E-2</v>
      </c>
      <c r="DB21" s="20">
        <f t="shared" ca="1" si="67"/>
        <v>-2.2483874893513445E-2</v>
      </c>
      <c r="DC21" s="20">
        <f t="shared" ca="1" si="68"/>
        <v>-1.1903227884801235E-2</v>
      </c>
      <c r="DD21" s="20">
        <f t="shared" ca="1" si="69"/>
        <v>-6.1319658800491209E-3</v>
      </c>
      <c r="DE21" s="20">
        <f t="shared" ca="1" si="70"/>
        <v>-3.1131519083326307E-3</v>
      </c>
      <c r="DF21" s="21">
        <f t="shared" ca="1" si="71"/>
        <v>3.1131519083326307E-3</v>
      </c>
      <c r="DG21" s="21">
        <f t="shared" ca="1" si="72"/>
        <v>6.1319658800491209E-3</v>
      </c>
      <c r="DH21" s="21">
        <f t="shared" ca="1" si="73"/>
        <v>1.1903227884801235E-2</v>
      </c>
      <c r="DI21" s="21">
        <f t="shared" ca="1" si="74"/>
        <v>2.2483874893513445E-2</v>
      </c>
      <c r="DJ21" s="21">
        <f t="shared" ca="1" si="75"/>
        <v>4.0470974808324199E-2</v>
      </c>
      <c r="DK21" s="21">
        <f t="shared" ca="1" si="76"/>
        <v>6.7451624680540334E-2</v>
      </c>
      <c r="DL21" s="21">
        <f t="shared" ca="1" si="77"/>
        <v>0.1011774370208105</v>
      </c>
      <c r="DN21" s="16" cm="1">
        <f t="array" aca="1" ref="DN21" ca="1">MAX(_xlfn._xlws.FILTER(CY21:DL21,CY21:DL21&lt;BW21))</f>
        <v>-6.1319658800491209E-3</v>
      </c>
      <c r="DO21" s="16" cm="1">
        <f t="array" aca="1" ref="DO21" ca="1">MIN(_xlfn._xlws.FILTER(CY21:DL21,CY21:DL21&gt;BW21))</f>
        <v>-3.1131519083326307E-3</v>
      </c>
      <c r="DP21" s="2" cm="1">
        <f t="array" aca="1" ref="DP21" ca="1">_FV(EE21,"Fechamento anterior",TRUE)</f>
        <v>27.55</v>
      </c>
      <c r="DQ21" s="28">
        <f t="shared" ca="1" si="15"/>
        <v>0.7086310810213482</v>
      </c>
      <c r="DR21" s="15">
        <f t="shared" ca="1" si="78"/>
        <v>27.381064340004649</v>
      </c>
      <c r="DS21" s="15">
        <f t="shared" ca="1" si="79"/>
        <v>27.464232664925436</v>
      </c>
      <c r="DT21" s="9"/>
      <c r="DU21" s="9"/>
      <c r="DV21" s="9"/>
      <c r="DW21" s="89">
        <v>5.7165609901177125E-3</v>
      </c>
      <c r="DX21" s="89">
        <f t="shared" ca="1" si="18"/>
        <v>3.0188139717164902E-3</v>
      </c>
      <c r="DY21" s="72">
        <f t="shared" ca="1" si="19"/>
        <v>0.34787567537579384</v>
      </c>
      <c r="DZ21" s="37"/>
      <c r="EA21" s="35">
        <f t="shared" si="39"/>
        <v>0.54617213403834508</v>
      </c>
      <c r="EB21" s="56"/>
      <c r="EC21" s="56"/>
      <c r="EE21" s="2" t="e" vm="21">
        <v>#VALUE!</v>
      </c>
      <c r="EG21" s="10" cm="1">
        <f t="array" aca="1" ref="EG21" ca="1">_FV(EE21,"Ações em circulação",TRUE)</f>
        <v>135539000</v>
      </c>
      <c r="EH21" s="18">
        <f>VLOOKUP(BR21,Fundamentus!A:U,5,FALSE)</f>
        <v>0.80700000000000005</v>
      </c>
      <c r="EI21" s="2">
        <f t="shared" ca="1" si="20"/>
        <v>4608661908.3023539</v>
      </c>
      <c r="EJ21" s="17">
        <v>479300838.46344477</v>
      </c>
      <c r="EK21" s="17">
        <f t="shared" ca="1" si="21"/>
        <v>479300838.46344477</v>
      </c>
      <c r="EM21" s="16">
        <f t="shared" ca="1" si="22"/>
        <v>0</v>
      </c>
      <c r="EN21" s="32" t="str">
        <f>IF(VLOOKUP(BR21,Fundamentus!A:U,3,FALSE)&lt;15,"Bom",IF(VLOOKUP(BR21,Fundamentus!A:U,3,FALSE)&gt;15,"Ruim","n/a"))</f>
        <v>Bom</v>
      </c>
      <c r="EO21" s="28" t="str">
        <f>IF(VLOOKUP(BR21,Fundamentus!A:U,4,FALSE)&lt;1,"Baixo",IF(VLOOKUP(BR21,Fundamentus!A:U,4,FALSE)&lt;1.5,"Moderado",IF(VLOOKUP(BR21,Fundamentus!A:U,4,FALSE)&gt;1.5,"Alto","n/a")))</f>
        <v>Alto</v>
      </c>
      <c r="EP21" s="17" t="str">
        <f>IF(VLOOKUP(BR21,Fundamentus!A:U,8,FALSE)&lt;0,"Risco elevado",IF(VLOOKUP(BR21,Fundamentus!A:U,8,FALSE)&lt;1,"Saudável",IF(VLOOKUP(BR21,Fundamentus!A:U,8,FALSE)&lt;3,"Estável",IF(VLOOKUP(BR21,Fundamentus!A:U,8,FALSE)&gt;3,"Alerta","n/a"))))</f>
        <v>Alerta</v>
      </c>
      <c r="EQ21" s="28" t="str">
        <f t="shared" si="23"/>
        <v>Ruim</v>
      </c>
      <c r="ER21" s="17" t="str">
        <f>IF(VLOOKUP(BR21,Fundamentus!A:U,12,FALSE)&lt;2,"Subvalorizada",IF(VLOOKUP(BR21,Fundamentus!A:U,12,FALSE)&lt;6,"Muita barata",IF(VLOOKUP(BR21,Fundamentus!A:U,12,FALSE)&lt;6,"Barata",IF(VLOOKUP(BR21,Fundamentus!A:U,12,FALSE)&lt;8,"Atrativa",IF(VLOOKUP(BR21,Fundamentus!A:U,12,FALSE)&gt;8,"Supervalorizada","n/a")))))</f>
        <v>Muita barata</v>
      </c>
      <c r="ET21" s="17" t="str">
        <f>IF(VLOOKUP(BR21,Fundamentus!A:U,17,FALSE)&lt;0.1,"Fraco retorno",IF(VLOOKUP(BR21,Fundamentus!A:U,17,FALSE)&gt;0.1,"Bom retorno","n/a"))</f>
        <v>Bom retorno</v>
      </c>
      <c r="EU21" s="17" t="str">
        <f>IF(VLOOKUP(BR21,Fundamentus!A:U,16,FALSE)&lt;0.1,"Ineficiente",IF(VLOOKUP(BR21,Fundamentus!A:U,16,FALSE)&gt;0.1,"Eficiente","n/a"))</f>
        <v>Eficiente</v>
      </c>
      <c r="EV21" s="33" t="str">
        <f>IF(VLOOKUP(BR21,Fundamentus!A:U,16,FALSE)&lt;0.1,"Oper. Ineficiente",IF(VLOOKUP(BR21,Fundamentus!A:U,16,FALSE)&gt;0.1,"Oper.Eficiente","n/a"))</f>
        <v>Oper.Eficiente</v>
      </c>
      <c r="EW21" s="34">
        <f>VLOOKUP(BR21,Fundamentus!A:U,14,FALSE)</f>
        <v>0.104</v>
      </c>
      <c r="EX21" s="17" t="str">
        <f>IF(VLOOKUP(BR21,Fundamentus!A:U,21,FALSE)&lt;0,"Negativo",IF(VLOOKUP(BR21,Fundamentus!A:U,21,FALSE)&lt;0.05,"Fraco",IF(VLOOKUP(BR21,Fundamentus!A:U,21,FALSE)&lt;0.1,"Bom",IF(VLOOKUP(BR21,Fundamentus!A:U,21,FALSE)&gt;0.1,"Muito bom","n/a"))))</f>
        <v>Muito bom</v>
      </c>
      <c r="EZ21" s="29" t="str">
        <f>IF(VLOOKUP(BR21,Fundamentus!A:U,15,FALSE)&gt;1,"Bom",IF(VLOOKUP(BR21,Fundamentus!A:U,15,FALSE)&lt;1,"Ruim","n/a"))</f>
        <v>Bom</v>
      </c>
      <c r="FA21" s="17" t="str">
        <f>IF(VLOOKUP(BR21,Fundamentus!A:U,20,FALSE)&lt;0.5,"Baixa",IF(VLOOKUP(BR21,Fundamentus!A:U,20,FALSE)&lt;1,"Moderada",IF(VLOOKUP(BR21,Fundamentus!A:U,20,FALSE)&lt;2,"Alerta",IF(VLOOKUP(BR21,Fundamentus!A:U,20,FALSE)&gt;2,"Alta","n/a"))))</f>
        <v>Alerta</v>
      </c>
    </row>
    <row r="22" spans="1:158" s="5" customFormat="1" ht="11.25"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5">
        <v>11.86</v>
      </c>
      <c r="BC22" s="52">
        <v>12.42</v>
      </c>
      <c r="BD22" s="52">
        <v>12.4</v>
      </c>
      <c r="BE22" s="52">
        <v>12.67</v>
      </c>
      <c r="BF22" s="52">
        <v>12.48</v>
      </c>
      <c r="BG22" s="67">
        <v>12.39</v>
      </c>
      <c r="BH22" s="52">
        <v>12.41</v>
      </c>
      <c r="BI22" s="52">
        <v>12.24</v>
      </c>
      <c r="BJ22" s="52">
        <v>12.34</v>
      </c>
      <c r="BK22" s="52">
        <v>11.95</v>
      </c>
      <c r="BL22" s="52">
        <v>11.88</v>
      </c>
      <c r="BM22" s="52">
        <v>11.67</v>
      </c>
      <c r="BN22" s="52">
        <v>11.93</v>
      </c>
      <c r="BO22" s="52">
        <v>12.31</v>
      </c>
      <c r="BP22" s="52">
        <v>12.06</v>
      </c>
      <c r="BQ22" s="52" cm="1">
        <f t="array" aca="1" ref="BQ22" ca="1">_FV(EE22,"Preço")</f>
        <v>12.06</v>
      </c>
      <c r="BR22" s="69" t="s">
        <v>19</v>
      </c>
      <c r="BS22" s="36" cm="1">
        <f t="array" aca="1" ref="BS22" ca="1">_FV(EE22,"Média de volume",TRUE)</f>
        <v>15887970</v>
      </c>
      <c r="BT22" s="36">
        <v>14493400</v>
      </c>
      <c r="BU22" s="36" cm="1">
        <f t="array" aca="1" ref="BU22" ca="1">_FV(EE22,"Volume")</f>
        <v>14493400</v>
      </c>
      <c r="BV22" s="24" cm="1">
        <f t="array" aca="1" ref="BV22" ca="1">_FV(EE22,"Beta")</f>
        <v>0.84260000000000002</v>
      </c>
      <c r="BW22" s="71" cm="1">
        <f t="array" aca="1" ref="BW22" ca="1">_FV(EE22,"Variação (%)",TRUE)</f>
        <v>-4.9499999999999995E-3</v>
      </c>
      <c r="BY22" s="17" cm="1">
        <f t="array" aca="1" ref="BY22" ca="1">_FV(EE22,"Baixo")</f>
        <v>11.99</v>
      </c>
      <c r="BZ22" s="17" cm="1">
        <f t="array" aca="1" ref="BZ22" ca="1">_FV(EE22,"Alto")</f>
        <v>12.2</v>
      </c>
      <c r="CA22" s="24"/>
      <c r="CB22" s="63">
        <f ca="1">SQRT(22.5*(BQ22/VLOOKUP(BR22,Fundamentus!A:U,3,FALSE))*(BQ22/VLOOKUP(BR22,Fundamentus!A:U,4,FALSE)))</f>
        <v>14.189217280850604</v>
      </c>
      <c r="CD22" s="62">
        <f t="shared" ca="1" si="24"/>
        <v>0</v>
      </c>
      <c r="CE22" s="8"/>
      <c r="CF22" s="61">
        <f t="shared" si="25"/>
        <v>8.76</v>
      </c>
      <c r="CG22" s="61">
        <f t="shared" si="26"/>
        <v>12.67</v>
      </c>
      <c r="CH22" s="61">
        <f t="shared" si="27"/>
        <v>10.411176470588231</v>
      </c>
      <c r="CI22" s="14"/>
      <c r="CJ22" s="35">
        <f t="shared" si="1"/>
        <v>11.966933419410262</v>
      </c>
      <c r="CK22" s="15">
        <f t="shared" si="28"/>
        <v>12.379999999999882</v>
      </c>
      <c r="CL22" s="35">
        <f t="shared" si="2"/>
        <v>12.793066580589501</v>
      </c>
      <c r="CN22" s="14"/>
      <c r="CO22" s="17">
        <f t="shared" si="3"/>
        <v>5.7466666666666679</v>
      </c>
      <c r="CP22" s="17">
        <f t="shared" si="4"/>
        <v>7.2533333333333339</v>
      </c>
      <c r="CQ22" s="17">
        <f t="shared" si="5"/>
        <v>9.6566666666666681</v>
      </c>
      <c r="CR22" s="38">
        <f t="shared" si="29"/>
        <v>11.163333333333334</v>
      </c>
      <c r="CS22" s="17">
        <f t="shared" si="6"/>
        <v>13.566666666666668</v>
      </c>
      <c r="CT22" s="17">
        <f t="shared" si="7"/>
        <v>15.073333333333334</v>
      </c>
      <c r="CU22" s="17">
        <f t="shared" si="8"/>
        <v>17.476666666666667</v>
      </c>
      <c r="CV22" s="2" cm="1">
        <f t="array" aca="1" ref="CV22" ca="1">MAX(_xlfn._xlws.FILTER(CO22:CU22,CO22:CU22&lt;BQ22))</f>
        <v>11.163333333333334</v>
      </c>
      <c r="CW22" s="2" cm="1">
        <f t="array" aca="1" ref="CW22" ca="1">MIN(_xlfn._xlws.FILTER($CO22:$CU22,$CO22:$CU22&gt;BQ22))</f>
        <v>13.566666666666668</v>
      </c>
      <c r="CX22" s="16">
        <f t="shared" ca="1" si="63"/>
        <v>0.21528814571513899</v>
      </c>
      <c r="CY22" s="20">
        <f t="shared" ca="1" si="64"/>
        <v>-0.10764407285756949</v>
      </c>
      <c r="CZ22" s="20">
        <f t="shared" ca="1" si="65"/>
        <v>-7.1762715238379668E-2</v>
      </c>
      <c r="DA22" s="20">
        <f t="shared" ca="1" si="66"/>
        <v>-4.3057629143027798E-2</v>
      </c>
      <c r="DB22" s="20">
        <f t="shared" ca="1" si="67"/>
        <v>-2.3920905079459889E-2</v>
      </c>
      <c r="DC22" s="20">
        <f t="shared" ca="1" si="68"/>
        <v>-1.2664008571478765E-2</v>
      </c>
      <c r="DD22" s="20">
        <f t="shared" ca="1" si="69"/>
        <v>-6.5238832034890601E-3</v>
      </c>
      <c r="DE22" s="20">
        <f t="shared" ca="1" si="70"/>
        <v>-3.3121253186944458E-3</v>
      </c>
      <c r="DF22" s="21">
        <f t="shared" ca="1" si="71"/>
        <v>3.3121253186944458E-3</v>
      </c>
      <c r="DG22" s="21">
        <f t="shared" ca="1" si="72"/>
        <v>6.5238832034890601E-3</v>
      </c>
      <c r="DH22" s="21">
        <f t="shared" ca="1" si="73"/>
        <v>1.2664008571478765E-2</v>
      </c>
      <c r="DI22" s="21">
        <f t="shared" ca="1" si="74"/>
        <v>2.3920905079459889E-2</v>
      </c>
      <c r="DJ22" s="21">
        <f t="shared" ca="1" si="75"/>
        <v>4.3057629143027798E-2</v>
      </c>
      <c r="DK22" s="21">
        <f t="shared" ca="1" si="76"/>
        <v>7.1762715238379668E-2</v>
      </c>
      <c r="DL22" s="21">
        <f t="shared" ca="1" si="77"/>
        <v>0.10764407285756949</v>
      </c>
      <c r="DN22" s="16" cm="1">
        <f t="array" aca="1" ref="DN22" ca="1">MAX(_xlfn._xlws.FILTER(CY22:DL22,CY22:DL22&lt;BW22))</f>
        <v>-6.5238832034890601E-3</v>
      </c>
      <c r="DO22" s="16" cm="1">
        <f t="array" aca="1" ref="DO22" ca="1">MIN(_xlfn._xlws.FILTER(CY22:DL22,CY22:DL22&gt;BW22))</f>
        <v>-3.3121253186944458E-3</v>
      </c>
      <c r="DP22" s="2" cm="1">
        <f t="array" aca="1" ref="DP22" ca="1">_FV(EE22,"Fechamento anterior",TRUE)</f>
        <v>12.12</v>
      </c>
      <c r="DQ22" s="28">
        <f t="shared" ca="1" si="15"/>
        <v>0.4898837989728631</v>
      </c>
      <c r="DR22" s="15">
        <f t="shared" ca="1" si="78"/>
        <v>12.040930535573711</v>
      </c>
      <c r="DS22" s="15">
        <f t="shared" ca="1" si="79"/>
        <v>12.079857041137423</v>
      </c>
      <c r="DT22" s="9"/>
      <c r="DU22" s="9"/>
      <c r="DV22" s="9"/>
      <c r="DW22" s="89">
        <v>6.3059550489377222E-3</v>
      </c>
      <c r="DX22" s="89">
        <f t="shared" ca="1" si="18"/>
        <v>3.2117578847946143E-3</v>
      </c>
      <c r="DY22" s="72">
        <f t="shared" ca="1" si="19"/>
        <v>-0.77469351198324188</v>
      </c>
      <c r="DZ22" s="37"/>
      <c r="EA22" s="35">
        <f t="shared" si="39"/>
        <v>0.20653329029480952</v>
      </c>
      <c r="EB22" s="56"/>
      <c r="EC22" s="56"/>
      <c r="EE22" s="5" t="e" vm="22">
        <v>#VALUE!</v>
      </c>
      <c r="EG22" s="10" cm="1">
        <f t="array" aca="1" ref="EG22" ca="1">_FV(EE22,"Ações em circulação",TRUE)</f>
        <v>2982811000</v>
      </c>
      <c r="EH22" s="18">
        <f>VLOOKUP(BR22,Fundamentus!A:U,5,FALSE)</f>
        <v>1.532</v>
      </c>
      <c r="EI22" s="2">
        <f t="shared" ca="1" si="20"/>
        <v>23480875104.438641</v>
      </c>
      <c r="EJ22" s="17">
        <v>2975026875.7323761</v>
      </c>
      <c r="EK22" s="17">
        <f t="shared" ca="1" si="21"/>
        <v>2975026875.7323761</v>
      </c>
      <c r="EL22" s="2"/>
      <c r="EM22" s="16">
        <f t="shared" ca="1" si="22"/>
        <v>0</v>
      </c>
      <c r="EN22" s="32" t="str">
        <f>IF(VLOOKUP(BR22,Fundamentus!A:U,3,FALSE)&lt;15,"Bom",IF(VLOOKUP(BR22,Fundamentus!A:U,3,FALSE)&gt;15,"Ruim","n/a"))</f>
        <v>Bom</v>
      </c>
      <c r="EO22" s="28" t="str">
        <f>IF(VLOOKUP(BR22,Fundamentus!A:U,4,FALSE)&lt;1,"Baixo",IF(VLOOKUP(BR22,Fundamentus!A:U,4,FALSE)&lt;1.5,"Moderado",IF(VLOOKUP(BR22,Fundamentus!A:U,4,FALSE)&gt;1.5,"Alto","n/a")))</f>
        <v>Moderado</v>
      </c>
      <c r="EP22" s="17" t="str">
        <f>IF(VLOOKUP(BR22,Fundamentus!A:U,8,FALSE)&lt;0,"Risco elevado",IF(VLOOKUP(BR22,Fundamentus!A:U,8,FALSE)&lt;1,"Saudável",IF(VLOOKUP(BR22,Fundamentus!A:U,8,FALSE)&lt;3,"Estável",IF(VLOOKUP(BR22,Fundamentus!A:U,8,FALSE)&gt;3,"Alerta","n/a"))))</f>
        <v>Alerta</v>
      </c>
      <c r="EQ22" s="28" t="str">
        <f t="shared" si="23"/>
        <v>Bom</v>
      </c>
      <c r="ER22" s="17" t="str">
        <f>IF(VLOOKUP(BR22,Fundamentus!A:U,12,FALSE)&lt;2,"Subvalorizada",IF(VLOOKUP(BR22,Fundamentus!A:U,12,FALSE)&lt;6,"Muita barata",IF(VLOOKUP(BR22,Fundamentus!A:U,12,FALSE)&lt;6,"Barata",IF(VLOOKUP(BR22,Fundamentus!A:U,12,FALSE)&lt;8,"Atrativa",IF(VLOOKUP(BR22,Fundamentus!A:U,12,FALSE)&gt;8,"Supervalorizada","n/a")))))</f>
        <v>Supervalorizada</v>
      </c>
      <c r="ES22" s="2"/>
      <c r="ET22" s="17" t="str">
        <f>IF(VLOOKUP(BR22,Fundamentus!A:U,17,FALSE)&lt;0.1,"Fraco retorno",IF(VLOOKUP(BR22,Fundamentus!A:U,17,FALSE)&gt;0.1,"Bom retorno","n/a"))</f>
        <v>Bom retorno</v>
      </c>
      <c r="EU22" s="17" t="str">
        <f>IF(VLOOKUP(BR22,Fundamentus!A:U,16,FALSE)&lt;0.1,"Ineficiente",IF(VLOOKUP(BR22,Fundamentus!A:U,16,FALSE)&gt;0.1,"Eficiente","n/a"))</f>
        <v>Ineficiente</v>
      </c>
      <c r="EV22" s="33" t="str">
        <f>IF(VLOOKUP(BR22,Fundamentus!A:U,16,FALSE)&lt;0.1,"Oper. Ineficiente",IF(VLOOKUP(BR22,Fundamentus!A:U,16,FALSE)&gt;0.1,"Oper.Eficiente","n/a"))</f>
        <v>Oper. Ineficiente</v>
      </c>
      <c r="EW22" s="34">
        <f>VLOOKUP(BR22,Fundamentus!A:U,14,FALSE)</f>
        <v>0.12670000000000001</v>
      </c>
      <c r="EX22" s="17" t="str">
        <f>IF(VLOOKUP(BR22,Fundamentus!A:U,21,FALSE)&lt;0,"Negativo",IF(VLOOKUP(BR22,Fundamentus!A:U,21,FALSE)&lt;0.05,"Fraco",IF(VLOOKUP(BR22,Fundamentus!A:U,21,FALSE)&lt;0.1,"Bom",IF(VLOOKUP(BR22,Fundamentus!A:U,21,FALSE)&gt;0.1,"Muito bom","n/a"))))</f>
        <v>Fraco</v>
      </c>
      <c r="EZ22" s="29" t="str">
        <f>IF(VLOOKUP(BR22,Fundamentus!A:U,15,FALSE)&gt;1,"Bom",IF(VLOOKUP(BR22,Fundamentus!A:U,15,FALSE)&lt;1,"Ruim","n/a"))</f>
        <v>Bom</v>
      </c>
      <c r="FA22" s="17" t="str">
        <f>IF(VLOOKUP(BR22,Fundamentus!A:U,20,FALSE)&lt;0.5,"Baixa",IF(VLOOKUP(BR22,Fundamentus!A:U,20,FALSE)&lt;1,"Moderada",IF(VLOOKUP(BR22,Fundamentus!A:U,20,FALSE)&lt;2,"Alerta",IF(VLOOKUP(BR22,Fundamentus!A:U,20,FALSE)&gt;2,"Alta","n/a"))))</f>
        <v>Moderada</v>
      </c>
    </row>
    <row r="23" spans="1:158" s="2" customFormat="1" ht="11.25"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5">
        <v>20.12</v>
      </c>
      <c r="BC23" s="52">
        <v>20.7</v>
      </c>
      <c r="BD23" s="52">
        <v>20.95</v>
      </c>
      <c r="BE23" s="52">
        <v>20.95</v>
      </c>
      <c r="BF23" s="52">
        <v>21</v>
      </c>
      <c r="BG23" s="67">
        <v>21.1</v>
      </c>
      <c r="BH23" s="52">
        <v>20.72</v>
      </c>
      <c r="BI23" s="52">
        <v>21</v>
      </c>
      <c r="BJ23" s="52">
        <v>21.6</v>
      </c>
      <c r="BK23" s="52">
        <v>21.73</v>
      </c>
      <c r="BL23" s="52">
        <v>21.15</v>
      </c>
      <c r="BM23" s="52">
        <v>21.15</v>
      </c>
      <c r="BN23" s="52">
        <v>20.9</v>
      </c>
      <c r="BO23" s="52">
        <v>20.75</v>
      </c>
      <c r="BP23" s="52">
        <v>24</v>
      </c>
      <c r="BQ23" s="52" cm="1">
        <f t="array" aca="1" ref="BQ23" ca="1">_FV(EE23,"Preço")</f>
        <v>24</v>
      </c>
      <c r="BR23" s="69" t="s">
        <v>20</v>
      </c>
      <c r="BS23" s="36" cm="1">
        <f t="array" aca="1" ref="BS23" ca="1">_FV(EE23,"Média de volume",TRUE)</f>
        <v>6620</v>
      </c>
      <c r="BT23" s="36">
        <v>13500</v>
      </c>
      <c r="BU23" s="36" cm="1">
        <f t="array" aca="1" ref="BU23" ca="1">_FV(EE23,"Volume")</f>
        <v>13500</v>
      </c>
      <c r="BV23" s="24" cm="1">
        <f t="array" aca="1" ref="BV23" ca="1">_FV(EE23,"Beta")</f>
        <v>0.64690000000000003</v>
      </c>
      <c r="BW23" s="71" cm="1">
        <f t="array" aca="1" ref="BW23" ca="1">_FV(EE23,"Variação (%)",TRUE)</f>
        <v>2.2147E-2</v>
      </c>
      <c r="BY23" s="17" cm="1">
        <f t="array" aca="1" ref="BY23" ca="1">_FV(EE23,"Baixo")</f>
        <v>23.48</v>
      </c>
      <c r="BZ23" s="17" cm="1">
        <f t="array" aca="1" ref="BZ23" ca="1">_FV(EE23,"Alto")</f>
        <v>24</v>
      </c>
      <c r="CA23" s="24"/>
      <c r="CB23" s="63">
        <f ca="1">SQRT(22.5*(BQ23/VLOOKUP(BR23,Fundamentus!A:U,3,FALSE))*(BQ23/VLOOKUP(BR23,Fundamentus!A:U,4,FALSE)))</f>
        <v>33.927557187198836</v>
      </c>
      <c r="CD23" s="62">
        <f t="shared" ca="1" si="24"/>
        <v>0</v>
      </c>
      <c r="CE23" s="8"/>
      <c r="CF23" s="61">
        <f t="shared" si="25"/>
        <v>16.8</v>
      </c>
      <c r="CG23" s="61">
        <f t="shared" si="26"/>
        <v>24</v>
      </c>
      <c r="CH23" s="61">
        <f t="shared" si="27"/>
        <v>19.254338235294114</v>
      </c>
      <c r="CI23" s="14"/>
      <c r="CJ23" s="35">
        <f t="shared" si="1"/>
        <v>23.131916172924566</v>
      </c>
      <c r="CK23" s="15">
        <f t="shared" si="28"/>
        <v>23.800000000000182</v>
      </c>
      <c r="CL23" s="35">
        <f t="shared" si="2"/>
        <v>24.468083827075798</v>
      </c>
      <c r="CN23" s="14"/>
      <c r="CO23" s="17">
        <f t="shared" si="3"/>
        <v>11.999999999999996</v>
      </c>
      <c r="CP23" s="17">
        <f t="shared" si="4"/>
        <v>14.399999999999999</v>
      </c>
      <c r="CQ23" s="17">
        <f t="shared" si="5"/>
        <v>19.199999999999996</v>
      </c>
      <c r="CR23" s="38">
        <f t="shared" si="29"/>
        <v>21.599999999999998</v>
      </c>
      <c r="CS23" s="17">
        <f t="shared" si="6"/>
        <v>26.399999999999995</v>
      </c>
      <c r="CT23" s="17">
        <f t="shared" si="7"/>
        <v>28.799999999999997</v>
      </c>
      <c r="CU23" s="17">
        <f t="shared" si="8"/>
        <v>33.599999999999994</v>
      </c>
      <c r="CV23" s="2" cm="1">
        <f t="array" aca="1" ref="CV23" ca="1">MAX(_xlfn._xlws.FILTER(CO23:CU23,CO23:CU23&lt;BQ23))</f>
        <v>21.599999999999998</v>
      </c>
      <c r="CW23" s="2" cm="1">
        <f t="array" aca="1" ref="CW23" ca="1">MIN(_xlfn._xlws.FILTER($CO23:$CU23,$CO23:$CU23&gt;BQ23))</f>
        <v>26.399999999999995</v>
      </c>
      <c r="CX23" s="16">
        <f t="shared" ca="1" si="63"/>
        <v>0.2222222222222221</v>
      </c>
      <c r="CY23" s="20">
        <f t="shared" ca="1" si="64"/>
        <v>-0.11111111111111105</v>
      </c>
      <c r="CZ23" s="20">
        <f t="shared" ca="1" si="65"/>
        <v>-7.4074074074074028E-2</v>
      </c>
      <c r="DA23" s="20">
        <f t="shared" ca="1" si="66"/>
        <v>-4.4444444444444418E-2</v>
      </c>
      <c r="DB23" s="20">
        <f t="shared" ca="1" si="67"/>
        <v>-2.4691358024691343E-2</v>
      </c>
      <c r="DC23" s="20">
        <f t="shared" ca="1" si="68"/>
        <v>-1.3071895424836595E-2</v>
      </c>
      <c r="DD23" s="20">
        <f t="shared" ca="1" si="69"/>
        <v>-6.7340067340067302E-3</v>
      </c>
      <c r="DE23" s="20">
        <f t="shared" ca="1" si="70"/>
        <v>-3.4188034188034171E-3</v>
      </c>
      <c r="DF23" s="21">
        <f t="shared" ca="1" si="71"/>
        <v>3.4188034188034171E-3</v>
      </c>
      <c r="DG23" s="21">
        <f t="shared" ca="1" si="72"/>
        <v>6.7340067340067302E-3</v>
      </c>
      <c r="DH23" s="21">
        <f t="shared" ca="1" si="73"/>
        <v>1.3071895424836595E-2</v>
      </c>
      <c r="DI23" s="21">
        <f t="shared" ca="1" si="74"/>
        <v>2.4691358024691343E-2</v>
      </c>
      <c r="DJ23" s="21">
        <f t="shared" ca="1" si="75"/>
        <v>4.4444444444444418E-2</v>
      </c>
      <c r="DK23" s="21">
        <f t="shared" ca="1" si="76"/>
        <v>7.4074074074074028E-2</v>
      </c>
      <c r="DL23" s="21">
        <f t="shared" ca="1" si="77"/>
        <v>0.11111111111111105</v>
      </c>
      <c r="DN23" s="16" cm="1">
        <f t="array" aca="1" ref="DN23" ca="1">MAX(_xlfn._xlws.FILTER(CY23:DL23,CY23:DL23&lt;BW23))</f>
        <v>1.3071895424836595E-2</v>
      </c>
      <c r="DO23" s="16" cm="1">
        <f t="array" aca="1" ref="DO23" ca="1">MIN(_xlfn._xlws.FILTER(CY23:DL23,CY23:DL23&gt;BW23))</f>
        <v>2.4691358024691343E-2</v>
      </c>
      <c r="DP23" s="2" cm="1">
        <f t="array" aca="1" ref="DP23" ca="1">_FV(EE23,"Fechamento anterior",TRUE)</f>
        <v>23.48</v>
      </c>
      <c r="DQ23" s="28">
        <f t="shared" ca="1" si="15"/>
        <v>0.7809838160136261</v>
      </c>
      <c r="DR23" s="15">
        <f t="shared" ca="1" si="78"/>
        <v>23.786928104575164</v>
      </c>
      <c r="DS23" s="15">
        <f t="shared" ca="1" si="79"/>
        <v>24.059753086419754</v>
      </c>
      <c r="DT23" s="9"/>
      <c r="DU23" s="9"/>
      <c r="DV23" s="9"/>
      <c r="DW23" s="89">
        <v>2.4802327531856082E-3</v>
      </c>
      <c r="DX23" s="89">
        <f t="shared" ca="1" si="18"/>
        <v>1.1619462599854748E-2</v>
      </c>
      <c r="DY23" s="72">
        <f t="shared" ca="1" si="19"/>
        <v>0.29936363057203802</v>
      </c>
      <c r="DZ23" s="37"/>
      <c r="EA23" s="35">
        <f t="shared" si="39"/>
        <v>0.33404191353780771</v>
      </c>
      <c r="EB23" s="56"/>
      <c r="EC23" s="56"/>
      <c r="EE23" s="2" t="e" vm="23">
        <v>#VALUE!</v>
      </c>
      <c r="EG23" s="10" cm="1">
        <f t="array" aca="1" ref="EG23" ca="1">_FV(EE23,"Ações em circulação",TRUE)</f>
        <v>72081910</v>
      </c>
      <c r="EH23" s="18">
        <f>VLOOKUP(BR23,Fundamentus!A:U,5,FALSE)</f>
        <v>3.8490000000000002</v>
      </c>
      <c r="EI23" s="2">
        <f t="shared" ca="1" si="20"/>
        <v>449458519.095869</v>
      </c>
      <c r="EJ23" s="17">
        <v>270753811.90335149</v>
      </c>
      <c r="EK23" s="17">
        <f t="shared" ca="1" si="21"/>
        <v>270753811.90335149</v>
      </c>
      <c r="EM23" s="16">
        <f t="shared" ca="1" si="22"/>
        <v>0</v>
      </c>
      <c r="EN23" s="32" t="str">
        <f>IF(VLOOKUP(BR23,Fundamentus!A:U,3,FALSE)&lt;15,"Bom",IF(VLOOKUP(BR23,Fundamentus!A:U,3,FALSE)&gt;15,"Ruim","n/a"))</f>
        <v>Bom</v>
      </c>
      <c r="EO23" s="28" t="str">
        <f>IF(VLOOKUP(BR23,Fundamentus!A:U,4,FALSE)&lt;1,"Baixo",IF(VLOOKUP(BR23,Fundamentus!A:U,4,FALSE)&lt;1.5,"Moderado",IF(VLOOKUP(BR23,Fundamentus!A:U,4,FALSE)&gt;1.5,"Alto","n/a")))</f>
        <v>Moderado</v>
      </c>
      <c r="EP23" s="17" t="str">
        <f>IF(VLOOKUP(BR23,Fundamentus!A:U,8,FALSE)&lt;0,"Risco elevado",IF(VLOOKUP(BR23,Fundamentus!A:U,8,FALSE)&lt;1,"Saudável",IF(VLOOKUP(BR23,Fundamentus!A:U,8,FALSE)&lt;3,"Estável",IF(VLOOKUP(BR23,Fundamentus!A:U,8,FALSE)&gt;3,"Alerta","n/a"))))</f>
        <v>Estável</v>
      </c>
      <c r="EQ23" s="28" t="str">
        <f t="shared" si="23"/>
        <v>Bom</v>
      </c>
      <c r="ER23" s="17" t="str">
        <f>IF(VLOOKUP(BR23,Fundamentus!A:U,12,FALSE)&lt;2,"Subvalorizada",IF(VLOOKUP(BR23,Fundamentus!A:U,12,FALSE)&lt;6,"Muita barata",IF(VLOOKUP(BR23,Fundamentus!A:U,12,FALSE)&lt;6,"Barata",IF(VLOOKUP(BR23,Fundamentus!A:U,12,FALSE)&lt;8,"Atrativa",IF(VLOOKUP(BR23,Fundamentus!A:U,12,FALSE)&gt;8,"Supervalorizada","n/a")))))</f>
        <v>Muita barata</v>
      </c>
      <c r="ET23" s="17" t="str">
        <f>IF(VLOOKUP(BR23,Fundamentus!A:U,17,FALSE)&lt;0.1,"Fraco retorno",IF(VLOOKUP(BR23,Fundamentus!A:U,17,FALSE)&gt;0.1,"Bom retorno","n/a"))</f>
        <v>Bom retorno</v>
      </c>
      <c r="EU23" s="17" t="str">
        <f>IF(VLOOKUP(BR23,Fundamentus!A:U,16,FALSE)&lt;0.1,"Ineficiente",IF(VLOOKUP(BR23,Fundamentus!A:U,16,FALSE)&gt;0.1,"Eficiente","n/a"))</f>
        <v>Eficiente</v>
      </c>
      <c r="EV23" s="33" t="str">
        <f>IF(VLOOKUP(BR23,Fundamentus!A:U,16,FALSE)&lt;0.1,"Oper. Ineficiente",IF(VLOOKUP(BR23,Fundamentus!A:U,16,FALSE)&gt;0.1,"Oper.Eficiente","n/a"))</f>
        <v>Oper.Eficiente</v>
      </c>
      <c r="EW23" s="34">
        <f>VLOOKUP(BR23,Fundamentus!A:U,14,FALSE)</f>
        <v>0.60240000000000005</v>
      </c>
      <c r="EX23" s="17" t="str">
        <f>IF(VLOOKUP(BR23,Fundamentus!A:U,21,FALSE)&lt;0,"Negativo",IF(VLOOKUP(BR23,Fundamentus!A:U,21,FALSE)&lt;0.05,"Fraco",IF(VLOOKUP(BR23,Fundamentus!A:U,21,FALSE)&lt;0.1,"Bom",IF(VLOOKUP(BR23,Fundamentus!A:U,21,FALSE)&gt;0.1,"Muito bom","n/a"))))</f>
        <v>Fraco</v>
      </c>
      <c r="EZ23" s="29" t="str">
        <f>IF(VLOOKUP(BR23,Fundamentus!A:U,15,FALSE)&gt;1,"Bom",IF(VLOOKUP(BR23,Fundamentus!A:U,15,FALSE)&lt;1,"Ruim","n/a"))</f>
        <v>Bom</v>
      </c>
      <c r="FA23" s="17" t="str">
        <f>IF(VLOOKUP(BR23,Fundamentus!A:U,20,FALSE)&lt;0.5,"Baixa",IF(VLOOKUP(BR23,Fundamentus!A:U,20,FALSE)&lt;1,"Moderada",IF(VLOOKUP(BR23,Fundamentus!A:U,20,FALSE)&lt;2,"Alerta",IF(VLOOKUP(BR23,Fundamentus!A:U,20,FALSE)&gt;2,"Alta","n/a"))))</f>
        <v>Baixa</v>
      </c>
    </row>
    <row r="24" spans="1:158" s="2" customFormat="1" ht="11.25"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5">
        <v>16.34</v>
      </c>
      <c r="BC24" s="52">
        <v>16.93</v>
      </c>
      <c r="BD24" s="52">
        <v>16.46</v>
      </c>
      <c r="BE24" s="52">
        <v>16</v>
      </c>
      <c r="BF24" s="52">
        <v>15.89</v>
      </c>
      <c r="BG24" s="67">
        <v>15.11</v>
      </c>
      <c r="BH24" s="52">
        <v>15.01</v>
      </c>
      <c r="BI24" s="52">
        <v>14.62</v>
      </c>
      <c r="BJ24" s="52">
        <v>15.46</v>
      </c>
      <c r="BK24" s="52">
        <v>15.56</v>
      </c>
      <c r="BL24" s="52">
        <v>15.25</v>
      </c>
      <c r="BM24" s="52">
        <v>15</v>
      </c>
      <c r="BN24" s="52">
        <v>14.95</v>
      </c>
      <c r="BO24" s="52">
        <v>15.29</v>
      </c>
      <c r="BP24" s="52">
        <v>15.17</v>
      </c>
      <c r="BQ24" s="52" cm="1">
        <f t="array" aca="1" ref="BQ24" ca="1">_FV(EE24,"Preço")</f>
        <v>15.17</v>
      </c>
      <c r="BR24" s="69" t="s">
        <v>21</v>
      </c>
      <c r="BS24" s="36" cm="1">
        <f t="array" aca="1" ref="BS24" ca="1">_FV(EE24,"Média de volume",TRUE)</f>
        <v>284040</v>
      </c>
      <c r="BT24" s="36">
        <v>135400</v>
      </c>
      <c r="BU24" s="36" cm="1">
        <f t="array" aca="1" ref="BU24" ca="1">_FV(EE24,"Volume")</f>
        <v>135400</v>
      </c>
      <c r="BV24" s="24" cm="1">
        <f t="array" aca="1" ref="BV24" ca="1">_FV(EE24,"Beta")</f>
        <v>0.99890000000000001</v>
      </c>
      <c r="BW24" s="71" cm="1">
        <f t="array" aca="1" ref="BW24" ca="1">_FV(EE24,"Variação (%)",TRUE)</f>
        <v>1.1332999999999999E-2</v>
      </c>
      <c r="BY24" s="17" cm="1">
        <f t="array" aca="1" ref="BY24" ca="1">_FV(EE24,"Baixo")</f>
        <v>15</v>
      </c>
      <c r="BZ24" s="17" cm="1">
        <f t="array" aca="1" ref="BZ24" ca="1">_FV(EE24,"Alto")</f>
        <v>15.17</v>
      </c>
      <c r="CA24" s="24"/>
      <c r="CB24" s="63">
        <f ca="1">SQRT(22.5*(BQ24/VLOOKUP(BR24,Fundamentus!A:U,3,FALSE))*(BQ24/VLOOKUP(BR24,Fundamentus!A:U,4,FALSE)))</f>
        <v>6.132109053001952</v>
      </c>
      <c r="CD24" s="62">
        <f t="shared" ca="1" si="24"/>
        <v>0</v>
      </c>
      <c r="CE24" s="8"/>
      <c r="CF24" s="61">
        <f t="shared" si="25"/>
        <v>10.19</v>
      </c>
      <c r="CG24" s="61">
        <f t="shared" si="26"/>
        <v>17.649999999999999</v>
      </c>
      <c r="CH24" s="61">
        <f t="shared" si="27"/>
        <v>14.084926470588234</v>
      </c>
      <c r="CI24" s="14"/>
      <c r="CJ24" s="35">
        <f t="shared" si="1"/>
        <v>14.874818219368347</v>
      </c>
      <c r="CK24" s="15">
        <f t="shared" si="28"/>
        <v>15.314999999999941</v>
      </c>
      <c r="CL24" s="35">
        <f t="shared" si="2"/>
        <v>15.755181780631535</v>
      </c>
      <c r="CN24" s="14"/>
      <c r="CO24" s="17">
        <f t="shared" si="3"/>
        <v>3.5633333333333344</v>
      </c>
      <c r="CP24" s="17">
        <f t="shared" si="4"/>
        <v>6.8766666666666669</v>
      </c>
      <c r="CQ24" s="17">
        <f t="shared" si="5"/>
        <v>11.023333333333333</v>
      </c>
      <c r="CR24" s="38">
        <f t="shared" si="29"/>
        <v>14.336666666666666</v>
      </c>
      <c r="CS24" s="17">
        <f t="shared" si="6"/>
        <v>18.483333333333334</v>
      </c>
      <c r="CT24" s="17">
        <f t="shared" si="7"/>
        <v>21.796666666666667</v>
      </c>
      <c r="CU24" s="17">
        <f t="shared" si="8"/>
        <v>25.943333333333332</v>
      </c>
      <c r="CV24" s="2" cm="1">
        <f t="array" aca="1" ref="CV24" ca="1">MAX(_xlfn._xlws.FILTER(CO24:CU24,CO24:CU24&lt;BQ24))</f>
        <v>14.336666666666666</v>
      </c>
      <c r="CW24" s="2" cm="1">
        <f t="array" aca="1" ref="CW24" ca="1">MIN(_xlfn._xlws.FILTER($CO24:$CU24,$CO24:$CU24&gt;BQ24))</f>
        <v>18.483333333333334</v>
      </c>
      <c r="CX24" s="16">
        <f t="shared" ca="1" si="63"/>
        <v>0.28923506161357837</v>
      </c>
      <c r="CY24" s="20">
        <f t="shared" ca="1" si="64"/>
        <v>-0.14461753080678919</v>
      </c>
      <c r="CZ24" s="20">
        <f t="shared" ca="1" si="65"/>
        <v>-9.6411687204526128E-2</v>
      </c>
      <c r="DA24" s="20">
        <f t="shared" ca="1" si="66"/>
        <v>-5.7847012322715677E-2</v>
      </c>
      <c r="DB24" s="20">
        <f t="shared" ca="1" si="67"/>
        <v>-3.2137229068175371E-2</v>
      </c>
      <c r="DC24" s="20">
        <f t="shared" ca="1" si="68"/>
        <v>-1.7013827153739905E-2</v>
      </c>
      <c r="DD24" s="20">
        <f t="shared" ca="1" si="69"/>
        <v>-8.7646988367751019E-3</v>
      </c>
      <c r="DE24" s="20">
        <f t="shared" ca="1" si="70"/>
        <v>-4.4497701786704365E-3</v>
      </c>
      <c r="DF24" s="21">
        <f t="shared" ca="1" si="71"/>
        <v>4.4497701786704365E-3</v>
      </c>
      <c r="DG24" s="21">
        <f t="shared" ca="1" si="72"/>
        <v>8.7646988367751019E-3</v>
      </c>
      <c r="DH24" s="21">
        <f t="shared" ca="1" si="73"/>
        <v>1.7013827153739905E-2</v>
      </c>
      <c r="DI24" s="21">
        <f t="shared" ca="1" si="74"/>
        <v>3.2137229068175371E-2</v>
      </c>
      <c r="DJ24" s="21">
        <f t="shared" ca="1" si="75"/>
        <v>5.7847012322715677E-2</v>
      </c>
      <c r="DK24" s="21">
        <f t="shared" ca="1" si="76"/>
        <v>9.6411687204526128E-2</v>
      </c>
      <c r="DL24" s="21">
        <f t="shared" ca="1" si="77"/>
        <v>0.14461753080678919</v>
      </c>
      <c r="DN24" s="16" cm="1">
        <f t="array" aca="1" ref="DN24" ca="1">MAX(_xlfn._xlws.FILTER(CY24:DL24,CY24:DL24&lt;BW24))</f>
        <v>8.7646988367751019E-3</v>
      </c>
      <c r="DO24" s="16" cm="1">
        <f t="array" aca="1" ref="DO24" ca="1">MIN(_xlfn._xlws.FILTER(CY24:DL24,CY24:DL24&gt;BW24))</f>
        <v>1.7013827153739905E-2</v>
      </c>
      <c r="DP24" s="2" cm="1">
        <f t="array" aca="1" ref="DP24" ca="1">_FV(EE24,"Fechamento anterior",TRUE)</f>
        <v>15</v>
      </c>
      <c r="DQ24" s="28">
        <f t="shared" ca="1" si="15"/>
        <v>0.31138253617362788</v>
      </c>
      <c r="DR24" s="15">
        <f t="shared" ca="1" si="78"/>
        <v>15.131470482551627</v>
      </c>
      <c r="DS24" s="15">
        <f t="shared" ca="1" si="79"/>
        <v>15.255207407306099</v>
      </c>
      <c r="DT24" s="9"/>
      <c r="DU24" s="9"/>
      <c r="DV24" s="9"/>
      <c r="DW24" s="89">
        <v>8.3055290703849816E-3</v>
      </c>
      <c r="DX24" s="89">
        <f t="shared" ca="1" si="18"/>
        <v>8.249128316964803E-3</v>
      </c>
      <c r="DY24" s="72">
        <f t="shared" ca="1" si="19"/>
        <v>-0.32940936308605956</v>
      </c>
      <c r="DZ24" s="37"/>
      <c r="EA24" s="35">
        <f t="shared" si="39"/>
        <v>0.22009089031579684</v>
      </c>
      <c r="EB24" s="56"/>
      <c r="EC24" s="56"/>
      <c r="EE24" s="2" t="e" vm="24">
        <v>#VALUE!</v>
      </c>
      <c r="EG24" s="10" cm="1">
        <f t="array" aca="1" ref="EG24" ca="1">_FV(EE24,"Ações em circulação",TRUE)</f>
        <v>56720760</v>
      </c>
      <c r="EH24" s="18">
        <f>VLOOKUP(BR24,Fundamentus!A:U,5,FALSE)</f>
        <v>0.55900000000000005</v>
      </c>
      <c r="EI24" s="2">
        <f t="shared" ca="1" si="20"/>
        <v>1539273576.3864043</v>
      </c>
      <c r="EJ24" s="17">
        <v>35557219.614525937</v>
      </c>
      <c r="EK24" s="17">
        <f t="shared" ca="1" si="21"/>
        <v>35557219.614525937</v>
      </c>
      <c r="EM24" s="16">
        <f t="shared" ca="1" si="22"/>
        <v>0</v>
      </c>
      <c r="EN24" s="32" t="str">
        <f>IF(VLOOKUP(BR24,Fundamentus!A:U,3,FALSE)&lt;15,"Bom",IF(VLOOKUP(BR24,Fundamentus!A:U,3,FALSE)&gt;15,"Ruim","n/a"))</f>
        <v>Ruim</v>
      </c>
      <c r="EO24" s="28" t="str">
        <f>IF(VLOOKUP(BR24,Fundamentus!A:U,4,FALSE)&lt;1,"Baixo",IF(VLOOKUP(BR24,Fundamentus!A:U,4,FALSE)&lt;1.5,"Moderado",IF(VLOOKUP(BR24,Fundamentus!A:U,4,FALSE)&gt;1.5,"Alto","n/a")))</f>
        <v>Alto</v>
      </c>
      <c r="EP24" s="17" t="str">
        <f>IF(VLOOKUP(BR24,Fundamentus!A:U,8,FALSE)&lt;0,"Risco elevado",IF(VLOOKUP(BR24,Fundamentus!A:U,8,FALSE)&lt;1,"Saudável",IF(VLOOKUP(BR24,Fundamentus!A:U,8,FALSE)&lt;3,"Estável",IF(VLOOKUP(BR24,Fundamentus!A:U,8,FALSE)&gt;3,"Alerta","n/a"))))</f>
        <v>Estável</v>
      </c>
      <c r="EQ24" s="28" t="str">
        <f t="shared" si="23"/>
        <v>Ruim</v>
      </c>
      <c r="ER24" s="17" t="str">
        <f>IF(VLOOKUP(BR24,Fundamentus!A:U,12,FALSE)&lt;2,"Subvalorizada",IF(VLOOKUP(BR24,Fundamentus!A:U,12,FALSE)&lt;6,"Muita barata",IF(VLOOKUP(BR24,Fundamentus!A:U,12,FALSE)&lt;6,"Barata",IF(VLOOKUP(BR24,Fundamentus!A:U,12,FALSE)&lt;8,"Atrativa",IF(VLOOKUP(BR24,Fundamentus!A:U,12,FALSE)&gt;8,"Supervalorizada","n/a")))))</f>
        <v>Atrativa</v>
      </c>
      <c r="ET24" s="17" t="str">
        <f>IF(VLOOKUP(BR24,Fundamentus!A:U,17,FALSE)&lt;0.1,"Fraco retorno",IF(VLOOKUP(BR24,Fundamentus!A:U,17,FALSE)&gt;0.1,"Bom retorno","n/a"))</f>
        <v>Fraco retorno</v>
      </c>
      <c r="EU24" s="17" t="str">
        <f>IF(VLOOKUP(BR24,Fundamentus!A:U,16,FALSE)&lt;0.1,"Ineficiente",IF(VLOOKUP(BR24,Fundamentus!A:U,16,FALSE)&gt;0.1,"Eficiente","n/a"))</f>
        <v>Ineficiente</v>
      </c>
      <c r="EV24" s="33" t="str">
        <f>IF(VLOOKUP(BR24,Fundamentus!A:U,16,FALSE)&lt;0.1,"Oper. Ineficiente",IF(VLOOKUP(BR24,Fundamentus!A:U,16,FALSE)&gt;0.1,"Oper.Eficiente","n/a"))</f>
        <v>Oper. Ineficiente</v>
      </c>
      <c r="EW24" s="34">
        <f>VLOOKUP(BR24,Fundamentus!A:U,14,FALSE)</f>
        <v>2.3099999999999999E-2</v>
      </c>
      <c r="EX24" s="17" t="str">
        <f>IF(VLOOKUP(BR24,Fundamentus!A:U,21,FALSE)&lt;0,"Negativo",IF(VLOOKUP(BR24,Fundamentus!A:U,21,FALSE)&lt;0.05,"Fraco",IF(VLOOKUP(BR24,Fundamentus!A:U,21,FALSE)&lt;0.1,"Bom",IF(VLOOKUP(BR24,Fundamentus!A:U,21,FALSE)&gt;0.1,"Muito bom","n/a"))))</f>
        <v>Muito bom</v>
      </c>
      <c r="EZ24" s="29" t="str">
        <f>IF(VLOOKUP(BR24,Fundamentus!A:U,15,FALSE)&gt;1,"Bom",IF(VLOOKUP(BR24,Fundamentus!A:U,15,FALSE)&lt;1,"Ruim","n/a"))</f>
        <v>Bom</v>
      </c>
      <c r="FA24" s="17" t="str">
        <f>IF(VLOOKUP(BR24,Fundamentus!A:U,20,FALSE)&lt;0.5,"Baixa",IF(VLOOKUP(BR24,Fundamentus!A:U,20,FALSE)&lt;1,"Moderada",IF(VLOOKUP(BR24,Fundamentus!A:U,20,FALSE)&lt;2,"Alerta",IF(VLOOKUP(BR24,Fundamentus!A:U,20,FALSE)&gt;2,"Alta","n/a"))))</f>
        <v>Alerta</v>
      </c>
    </row>
    <row r="25" spans="1:158" s="2" customFormat="1" ht="11.25"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5">
        <v>10.41</v>
      </c>
      <c r="BC25" s="52">
        <v>10.53</v>
      </c>
      <c r="BD25" s="52">
        <v>10.7</v>
      </c>
      <c r="BE25" s="52">
        <v>10.84</v>
      </c>
      <c r="BF25" s="52">
        <v>10.48</v>
      </c>
      <c r="BG25" s="67">
        <v>10.57</v>
      </c>
      <c r="BH25" s="52">
        <v>10.75</v>
      </c>
      <c r="BI25" s="52">
        <v>10.48</v>
      </c>
      <c r="BJ25" s="52">
        <v>11.18</v>
      </c>
      <c r="BK25" s="52">
        <v>10.8</v>
      </c>
      <c r="BL25" s="52">
        <v>10.38</v>
      </c>
      <c r="BM25" s="52">
        <v>10.48</v>
      </c>
      <c r="BN25" s="52">
        <v>10.34</v>
      </c>
      <c r="BO25" s="52">
        <v>10.67</v>
      </c>
      <c r="BP25" s="52">
        <v>10.72</v>
      </c>
      <c r="BQ25" s="52" cm="1">
        <f t="array" aca="1" ref="BQ25" ca="1">_FV(EE25,"Preço")</f>
        <v>10.72</v>
      </c>
      <c r="BR25" s="69" t="s">
        <v>22</v>
      </c>
      <c r="BS25" s="36" cm="1">
        <f t="array" aca="1" ref="BS25" ca="1">_FV(EE25,"Média de volume",TRUE)</f>
        <v>10984690</v>
      </c>
      <c r="BT25" s="36">
        <v>17602100</v>
      </c>
      <c r="BU25" s="36" cm="1">
        <f t="array" aca="1" ref="BU25" ca="1">_FV(EE25,"Volume")</f>
        <v>17602100</v>
      </c>
      <c r="BV25" s="24" cm="1">
        <f t="array" aca="1" ref="BV25" ca="1">_FV(EE25,"Beta")</f>
        <v>0.80730000000000002</v>
      </c>
      <c r="BW25" s="71" cm="1">
        <f t="array" aca="1" ref="BW25" ca="1">_FV(EE25,"Variação (%)",TRUE)</f>
        <v>-9.2420000000000002E-3</v>
      </c>
      <c r="BY25" s="17" cm="1">
        <f t="array" aca="1" ref="BY25" ca="1">_FV(EE25,"Baixo")</f>
        <v>10.53</v>
      </c>
      <c r="BZ25" s="17" cm="1">
        <f t="array" aca="1" ref="BZ25" ca="1">_FV(EE25,"Alto")</f>
        <v>10.78</v>
      </c>
      <c r="CA25" s="24"/>
      <c r="CB25" s="63">
        <f ca="1">SQRT(22.5*(BQ25/VLOOKUP(BR25,Fundamentus!A:U,3,FALSE))*(BQ25/VLOOKUP(BR25,Fundamentus!A:U,4,FALSE)))</f>
        <v>23.541400359031268</v>
      </c>
      <c r="CD25" s="62">
        <f t="shared" ca="1" si="24"/>
        <v>0</v>
      </c>
      <c r="CE25" s="8"/>
      <c r="CF25" s="61">
        <f t="shared" si="25"/>
        <v>9.9</v>
      </c>
      <c r="CG25" s="61">
        <f t="shared" si="26"/>
        <v>12.09</v>
      </c>
      <c r="CH25" s="61">
        <f t="shared" si="27"/>
        <v>10.86639705882353</v>
      </c>
      <c r="CI25" s="14"/>
      <c r="CJ25" s="35">
        <f t="shared" si="1"/>
        <v>10.464548862179102</v>
      </c>
      <c r="CK25" s="15">
        <f t="shared" si="28"/>
        <v>10.815000000000055</v>
      </c>
      <c r="CL25" s="35">
        <f t="shared" si="2"/>
        <v>11.165451137821007</v>
      </c>
      <c r="CN25" s="14"/>
      <c r="CO25" s="17">
        <f t="shared" si="3"/>
        <v>7.5266666666666691</v>
      </c>
      <c r="CP25" s="17">
        <f t="shared" si="4"/>
        <v>8.7133333333333347</v>
      </c>
      <c r="CQ25" s="17">
        <f t="shared" si="5"/>
        <v>9.7166666666666686</v>
      </c>
      <c r="CR25" s="38">
        <f t="shared" si="29"/>
        <v>10.903333333333334</v>
      </c>
      <c r="CS25" s="17">
        <f t="shared" si="6"/>
        <v>11.906666666666668</v>
      </c>
      <c r="CT25" s="17">
        <f t="shared" si="7"/>
        <v>13.093333333333334</v>
      </c>
      <c r="CU25" s="17">
        <f t="shared" si="8"/>
        <v>14.096666666666668</v>
      </c>
      <c r="CV25" s="2" cm="1">
        <f t="array" aca="1" ref="CV25" ca="1">MAX(_xlfn._xlws.FILTER(CO25:CU25,CO25:CU25&lt;BQ25))</f>
        <v>9.7166666666666686</v>
      </c>
      <c r="CW25" s="2" cm="1">
        <f t="array" aca="1" ref="CW25" ca="1">MIN(_xlfn._xlws.FILTER($CO25:$CU25,$CO25:$CU25&gt;BQ25))</f>
        <v>10.903333333333334</v>
      </c>
      <c r="CX25" s="16">
        <f t="shared" ca="1" si="63"/>
        <v>0.12212692967409944</v>
      </c>
      <c r="CY25" s="20">
        <f t="shared" ca="1" si="64"/>
        <v>-6.1063464837049719E-2</v>
      </c>
      <c r="CZ25" s="20">
        <f t="shared" ca="1" si="65"/>
        <v>-4.0708976558033148E-2</v>
      </c>
      <c r="DA25" s="20">
        <f t="shared" ca="1" si="66"/>
        <v>-2.4425385934819889E-2</v>
      </c>
      <c r="DB25" s="20">
        <f t="shared" ca="1" si="67"/>
        <v>-1.3569658852677715E-2</v>
      </c>
      <c r="DC25" s="20">
        <f t="shared" ca="1" si="68"/>
        <v>-7.1839370396529082E-3</v>
      </c>
      <c r="DD25" s="20">
        <f t="shared" ca="1" si="69"/>
        <v>-3.7008160507302859E-3</v>
      </c>
      <c r="DE25" s="20">
        <f t="shared" ca="1" si="70"/>
        <v>-1.8788758411399913E-3</v>
      </c>
      <c r="DF25" s="21">
        <f t="shared" ca="1" si="71"/>
        <v>1.8788758411399913E-3</v>
      </c>
      <c r="DG25" s="21">
        <f t="shared" ca="1" si="72"/>
        <v>3.7008160507302859E-3</v>
      </c>
      <c r="DH25" s="21">
        <f t="shared" ca="1" si="73"/>
        <v>7.1839370396529082E-3</v>
      </c>
      <c r="DI25" s="21">
        <f t="shared" ca="1" si="74"/>
        <v>1.3569658852677715E-2</v>
      </c>
      <c r="DJ25" s="21">
        <f t="shared" ca="1" si="75"/>
        <v>2.4425385934819889E-2</v>
      </c>
      <c r="DK25" s="21">
        <f t="shared" ca="1" si="76"/>
        <v>4.0708976558033148E-2</v>
      </c>
      <c r="DL25" s="21">
        <f t="shared" ca="1" si="77"/>
        <v>6.1063464837049719E-2</v>
      </c>
      <c r="DN25" s="16" cm="1">
        <f t="array" aca="1" ref="DN25" ca="1">MAX(_xlfn._xlws.FILTER(CY25:DL25,CY25:DL25&lt;BW25))</f>
        <v>-1.3569658852677715E-2</v>
      </c>
      <c r="DO25" s="16" cm="1">
        <f t="array" aca="1" ref="DO25" ca="1">MIN(_xlfn._xlws.FILTER(CY25:DL25,CY25:DL25&gt;BW25))</f>
        <v>-7.1839370396529082E-3</v>
      </c>
      <c r="DP25" s="2" cm="1">
        <f t="array" aca="1" ref="DP25" ca="1">_FV(EE25,"Fechamento anterior",TRUE)</f>
        <v>10.82</v>
      </c>
      <c r="DQ25" s="28">
        <f t="shared" ca="1" si="15"/>
        <v>0.6776860630542777</v>
      </c>
      <c r="DR25" s="15">
        <f t="shared" ca="1" si="78"/>
        <v>10.673176291214027</v>
      </c>
      <c r="DS25" s="15">
        <f t="shared" ca="1" si="79"/>
        <v>10.742269801230956</v>
      </c>
      <c r="DT25" s="9"/>
      <c r="DU25" s="9"/>
      <c r="DV25" s="9"/>
      <c r="DW25" s="89">
        <v>6.4976994813989736E-3</v>
      </c>
      <c r="DX25" s="89">
        <f t="shared" ca="1" si="18"/>
        <v>6.3857218130248068E-3</v>
      </c>
      <c r="DY25" s="72">
        <f t="shared" ca="1" si="19"/>
        <v>-0.27107915982452874</v>
      </c>
      <c r="DZ25" s="37"/>
      <c r="EA25" s="35">
        <f t="shared" si="39"/>
        <v>0.17522556891047616</v>
      </c>
      <c r="EB25" s="56"/>
      <c r="EC25" s="56"/>
      <c r="EE25" s="2" t="e" vm="25">
        <v>#VALUE!</v>
      </c>
      <c r="EG25" s="10" cm="1">
        <f t="array" aca="1" ref="EG25" ca="1">_FV(EE25,"Ações em circulação",TRUE)</f>
        <v>2861782000</v>
      </c>
      <c r="EH25" s="18">
        <f>VLOOKUP(BR25,Fundamentus!A:U,5,FALSE)</f>
        <v>0.746</v>
      </c>
      <c r="EI25" s="2">
        <f t="shared" ca="1" si="20"/>
        <v>41123730616.621986</v>
      </c>
      <c r="EJ25" s="17">
        <v>7093843531.3672924</v>
      </c>
      <c r="EK25" s="17">
        <f t="shared" ca="1" si="21"/>
        <v>7093843531.3672924</v>
      </c>
      <c r="EM25" s="16">
        <f t="shared" ca="1" si="22"/>
        <v>0</v>
      </c>
      <c r="EN25" s="32" t="str">
        <f>IF(VLOOKUP(BR25,Fundamentus!A:U,3,FALSE)&lt;15,"Bom",IF(VLOOKUP(BR25,Fundamentus!A:U,3,FALSE)&gt;15,"Ruim","n/a"))</f>
        <v>Bom</v>
      </c>
      <c r="EO25" s="28" t="str">
        <f>IF(VLOOKUP(BR25,Fundamentus!A:U,4,FALSE)&lt;1,"Baixo",IF(VLOOKUP(BR25,Fundamentus!A:U,4,FALSE)&lt;1.5,"Moderado",IF(VLOOKUP(BR25,Fundamentus!A:U,4,FALSE)&gt;1.5,"Alto","n/a")))</f>
        <v>Moderado</v>
      </c>
      <c r="EP25" s="17" t="str">
        <f>IF(VLOOKUP(BR25,Fundamentus!A:U,8,FALSE)&lt;0,"Risco elevado",IF(VLOOKUP(BR25,Fundamentus!A:U,8,FALSE)&lt;1,"Saudável",IF(VLOOKUP(BR25,Fundamentus!A:U,8,FALSE)&lt;3,"Estável",IF(VLOOKUP(BR25,Fundamentus!A:U,8,FALSE)&gt;3,"Alerta","n/a"))))</f>
        <v>Alerta</v>
      </c>
      <c r="EQ25" s="28" t="str">
        <f t="shared" si="23"/>
        <v>Ruim</v>
      </c>
      <c r="ER25" s="17" t="str">
        <f>IF(VLOOKUP(BR25,Fundamentus!A:U,12,FALSE)&lt;2,"Subvalorizada",IF(VLOOKUP(BR25,Fundamentus!A:U,12,FALSE)&lt;6,"Muita barata",IF(VLOOKUP(BR25,Fundamentus!A:U,12,FALSE)&lt;6,"Barata",IF(VLOOKUP(BR25,Fundamentus!A:U,12,FALSE)&lt;8,"Atrativa",IF(VLOOKUP(BR25,Fundamentus!A:U,12,FALSE)&gt;8,"Supervalorizada","n/a")))))</f>
        <v>Muita barata</v>
      </c>
      <c r="ET25" s="17" t="str">
        <f>IF(VLOOKUP(BR25,Fundamentus!A:U,17,FALSE)&lt;0.1,"Fraco retorno",IF(VLOOKUP(BR25,Fundamentus!A:U,17,FALSE)&gt;0.1,"Bom retorno","n/a"))</f>
        <v>Bom retorno</v>
      </c>
      <c r="EU25" s="17" t="str">
        <f>IF(VLOOKUP(BR25,Fundamentus!A:U,16,FALSE)&lt;0.1,"Ineficiente",IF(VLOOKUP(BR25,Fundamentus!A:U,16,FALSE)&gt;0.1,"Eficiente","n/a"))</f>
        <v>Eficiente</v>
      </c>
      <c r="EV25" s="33" t="str">
        <f>IF(VLOOKUP(BR25,Fundamentus!A:U,16,FALSE)&lt;0.1,"Oper. Ineficiente",IF(VLOOKUP(BR25,Fundamentus!A:U,16,FALSE)&gt;0.1,"Oper.Eficiente","n/a"))</f>
        <v>Oper.Eficiente</v>
      </c>
      <c r="EW25" s="34">
        <f>VLOOKUP(BR25,Fundamentus!A:U,14,FALSE)</f>
        <v>0.17249999999999999</v>
      </c>
      <c r="EX25" s="17" t="str">
        <f>IF(VLOOKUP(BR25,Fundamentus!A:U,21,FALSE)&lt;0,"Negativo",IF(VLOOKUP(BR25,Fundamentus!A:U,21,FALSE)&lt;0.05,"Fraco",IF(VLOOKUP(BR25,Fundamentus!A:U,21,FALSE)&lt;0.1,"Bom",IF(VLOOKUP(BR25,Fundamentus!A:U,21,FALSE)&gt;0.1,"Muito bom","n/a"))))</f>
        <v>Bom</v>
      </c>
      <c r="EZ25" s="29" t="str">
        <f>IF(VLOOKUP(BR25,Fundamentus!A:U,15,FALSE)&gt;1,"Bom",IF(VLOOKUP(BR25,Fundamentus!A:U,15,FALSE)&lt;1,"Ruim","n/a"))</f>
        <v>Bom</v>
      </c>
      <c r="FA25" s="17" t="str">
        <f>IF(VLOOKUP(BR25,Fundamentus!A:U,20,FALSE)&lt;0.5,"Baixa",IF(VLOOKUP(BR25,Fundamentus!A:U,20,FALSE)&lt;1,"Moderada",IF(VLOOKUP(BR25,Fundamentus!A:U,20,FALSE)&lt;2,"Alerta",IF(VLOOKUP(BR25,Fundamentus!A:U,20,FALSE)&gt;2,"Alta","n/a"))))</f>
        <v>Moderada</v>
      </c>
    </row>
    <row r="26" spans="1:158" s="2" customFormat="1" ht="11.25"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5">
        <v>8.85</v>
      </c>
      <c r="BC26" s="52">
        <v>8.73</v>
      </c>
      <c r="BD26" s="52">
        <v>8.7899999999999991</v>
      </c>
      <c r="BE26" s="52">
        <v>8.73</v>
      </c>
      <c r="BF26" s="52">
        <v>8.68</v>
      </c>
      <c r="BG26" s="67">
        <v>8.65</v>
      </c>
      <c r="BH26" s="52">
        <v>8.65</v>
      </c>
      <c r="BI26" s="52">
        <v>8.4700000000000006</v>
      </c>
      <c r="BJ26" s="52">
        <v>8.59</v>
      </c>
      <c r="BK26" s="52">
        <v>8.52</v>
      </c>
      <c r="BL26" s="52">
        <v>8.42</v>
      </c>
      <c r="BM26" s="52">
        <v>8.39</v>
      </c>
      <c r="BN26" s="52">
        <v>8.48</v>
      </c>
      <c r="BO26" s="52">
        <v>8.5</v>
      </c>
      <c r="BP26" s="52">
        <v>8.5</v>
      </c>
      <c r="BQ26" s="52" cm="1">
        <f t="array" aca="1" ref="BQ26" ca="1">_FV(EE26,"Preço")</f>
        <v>8.5</v>
      </c>
      <c r="BR26" s="69" t="s">
        <v>23</v>
      </c>
      <c r="BS26" s="36" cm="1">
        <f t="array" aca="1" ref="BS26" ca="1">_FV(EE26,"Média de volume",TRUE)</f>
        <v>10500</v>
      </c>
      <c r="BT26" s="36">
        <v>5300</v>
      </c>
      <c r="BU26" s="36" cm="1">
        <f t="array" aca="1" ref="BU26" ca="1">_FV(EE26,"Volume")</f>
        <v>5300</v>
      </c>
      <c r="BV26" s="24" cm="1">
        <f t="array" aca="1" ref="BV26" ca="1">_FV(EE26,"Beta")</f>
        <v>0.43680000000000002</v>
      </c>
      <c r="BW26" s="71" cm="1">
        <f t="array" aca="1" ref="BW26" ca="1">_FV(EE26,"Variação (%)",TRUE)</f>
        <v>-2.3470000000000001E-3</v>
      </c>
      <c r="BY26" s="17" cm="1">
        <f t="array" aca="1" ref="BY26" ca="1">_FV(EE26,"Baixo")</f>
        <v>8.4600000000000009</v>
      </c>
      <c r="BZ26" s="17" cm="1">
        <f t="array" aca="1" ref="BZ26" ca="1">_FV(EE26,"Alto")</f>
        <v>8.6199999999999992</v>
      </c>
      <c r="CA26" s="24"/>
      <c r="CB26" s="63">
        <f ca="1">SQRT(22.5*(BQ26/VLOOKUP(BR26,Fundamentus!A:U,3,FALSE))*(BQ26/VLOOKUP(BR26,Fundamentus!A:U,4,FALSE)))</f>
        <v>14.169465849991093</v>
      </c>
      <c r="CD26" s="62">
        <f t="shared" ca="1" si="24"/>
        <v>0</v>
      </c>
      <c r="CE26" s="8"/>
      <c r="CF26" s="61">
        <f t="shared" si="25"/>
        <v>8.33</v>
      </c>
      <c r="CG26" s="61">
        <f t="shared" si="26"/>
        <v>9.86</v>
      </c>
      <c r="CH26" s="61">
        <f t="shared" si="27"/>
        <v>8.946691176470587</v>
      </c>
      <c r="CI26" s="14"/>
      <c r="CJ26" s="35">
        <f t="shared" si="1"/>
        <v>8.4566943541804509</v>
      </c>
      <c r="CK26" s="15">
        <f t="shared" si="28"/>
        <v>8.5550000000000068</v>
      </c>
      <c r="CL26" s="35">
        <f t="shared" si="2"/>
        <v>8.6533056458195627</v>
      </c>
      <c r="CN26" s="14"/>
      <c r="CO26" s="17">
        <f t="shared" si="3"/>
        <v>6.4033333333333342</v>
      </c>
      <c r="CP26" s="17">
        <f t="shared" si="4"/>
        <v>7.3666666666666671</v>
      </c>
      <c r="CQ26" s="17">
        <f t="shared" si="5"/>
        <v>7.9333333333333336</v>
      </c>
      <c r="CR26" s="38">
        <f t="shared" si="29"/>
        <v>8.8966666666666665</v>
      </c>
      <c r="CS26" s="17">
        <f t="shared" si="6"/>
        <v>9.4633333333333329</v>
      </c>
      <c r="CT26" s="17">
        <f t="shared" si="7"/>
        <v>10.426666666666666</v>
      </c>
      <c r="CU26" s="17">
        <f t="shared" si="8"/>
        <v>10.993333333333332</v>
      </c>
      <c r="CV26" s="2" cm="1">
        <f t="array" aca="1" ref="CV26" ca="1">MAX(_xlfn._xlws.FILTER(CO26:CU26,CO26:CU26&lt;BQ26))</f>
        <v>7.9333333333333336</v>
      </c>
      <c r="CW26" s="2" cm="1">
        <f t="array" aca="1" ref="CW26" ca="1">MIN(_xlfn._xlws.FILTER($CO26:$CU26,$CO26:$CU26&gt;BQ26))</f>
        <v>8.8966666666666665</v>
      </c>
      <c r="CX26" s="16">
        <f t="shared" ca="1" si="63"/>
        <v>0.12142857142857144</v>
      </c>
      <c r="CY26" s="20">
        <f t="shared" ca="1" si="64"/>
        <v>-6.0714285714285721E-2</v>
      </c>
      <c r="CZ26" s="20">
        <f t="shared" ca="1" si="65"/>
        <v>-4.0476190476190478E-2</v>
      </c>
      <c r="DA26" s="20">
        <f t="shared" ca="1" si="66"/>
        <v>-2.4285714285714289E-2</v>
      </c>
      <c r="DB26" s="20">
        <f t="shared" ca="1" si="67"/>
        <v>-1.3492063492063493E-2</v>
      </c>
      <c r="DC26" s="20">
        <f t="shared" ca="1" si="68"/>
        <v>-7.1428571428571435E-3</v>
      </c>
      <c r="DD26" s="20">
        <f t="shared" ca="1" si="69"/>
        <v>-3.6796536796536799E-3</v>
      </c>
      <c r="DE26" s="20">
        <f t="shared" ca="1" si="70"/>
        <v>-1.8681318681318683E-3</v>
      </c>
      <c r="DF26" s="21">
        <f t="shared" ca="1" si="71"/>
        <v>1.8681318681318683E-3</v>
      </c>
      <c r="DG26" s="21">
        <f t="shared" ca="1" si="72"/>
        <v>3.6796536796536799E-3</v>
      </c>
      <c r="DH26" s="21">
        <f t="shared" ca="1" si="73"/>
        <v>7.1428571428571435E-3</v>
      </c>
      <c r="DI26" s="21">
        <f t="shared" ca="1" si="74"/>
        <v>1.3492063492063493E-2</v>
      </c>
      <c r="DJ26" s="21">
        <f t="shared" ca="1" si="75"/>
        <v>2.4285714285714289E-2</v>
      </c>
      <c r="DK26" s="21">
        <f t="shared" ca="1" si="76"/>
        <v>4.0476190476190478E-2</v>
      </c>
      <c r="DL26" s="21">
        <f t="shared" ca="1" si="77"/>
        <v>6.0714285714285721E-2</v>
      </c>
      <c r="DN26" s="16" cm="1">
        <f t="array" aca="1" ref="DN26" ca="1">MAX(_xlfn._xlws.FILTER(CY26:DL26,CY26:DL26&lt;BW26))</f>
        <v>-3.6796536796536799E-3</v>
      </c>
      <c r="DO26" s="16" cm="1">
        <f t="array" aca="1" ref="DO26" ca="1">MIN(_xlfn._xlws.FILTER(CY26:DL26,CY26:DL26&gt;BW26))</f>
        <v>-1.8681318681318683E-3</v>
      </c>
      <c r="DP26" s="2" cm="1">
        <f t="array" aca="1" ref="DP26" ca="1">_FV(EE26,"Fechamento anterior",TRUE)</f>
        <v>8.52</v>
      </c>
      <c r="DQ26" s="28">
        <f t="shared" ca="1" si="15"/>
        <v>0.73542357083677468</v>
      </c>
      <c r="DR26" s="15">
        <f t="shared" ca="1" si="78"/>
        <v>8.4886493506493501</v>
      </c>
      <c r="DS26" s="15">
        <f t="shared" ca="1" si="79"/>
        <v>8.5040835164835169</v>
      </c>
      <c r="DT26" s="9"/>
      <c r="DU26" s="9"/>
      <c r="DV26" s="9"/>
      <c r="DW26" s="89">
        <v>6.3492063492063492E-3</v>
      </c>
      <c r="DX26" s="89">
        <f t="shared" ca="1" si="18"/>
        <v>1.8115218115218115E-3</v>
      </c>
      <c r="DY26" s="72">
        <f t="shared" ca="1" si="19"/>
        <v>-0.55947956540524235</v>
      </c>
      <c r="DZ26" s="37"/>
      <c r="EA26" s="35">
        <f t="shared" si="39"/>
        <v>4.9152822909777807E-2</v>
      </c>
      <c r="EB26" s="56"/>
      <c r="EC26" s="56"/>
      <c r="EE26" s="2" t="e" vm="26">
        <v>#VALUE!</v>
      </c>
      <c r="EG26" s="10" cm="1">
        <f t="array" aca="1" ref="EG26" ca="1">_FV(EE26,"Ações em circulação",TRUE)</f>
        <v>315912900</v>
      </c>
      <c r="EH26" s="18">
        <f>VLOOKUP(BR26,Fundamentus!A:U,5,FALSE)</f>
        <v>0</v>
      </c>
      <c r="EI26" s="2" t="e">
        <f t="shared" ca="1" si="20"/>
        <v>#DIV/0!</v>
      </c>
      <c r="EJ26" s="17" t="e">
        <v>#DIV/0!</v>
      </c>
      <c r="EK26" s="17" t="e">
        <f t="shared" ca="1" si="21"/>
        <v>#DIV/0!</v>
      </c>
      <c r="EM26" s="16" t="e">
        <f t="shared" ca="1" si="22"/>
        <v>#DIV/0!</v>
      </c>
      <c r="EN26" s="32" t="str">
        <f>IF(VLOOKUP(BR26,Fundamentus!A:U,3,FALSE)&lt;15,"Bom",IF(VLOOKUP(BR26,Fundamentus!A:U,3,FALSE)&gt;15,"Ruim","n/a"))</f>
        <v>Bom</v>
      </c>
      <c r="EO26" s="28" t="str">
        <f>IF(VLOOKUP(BR26,Fundamentus!A:U,4,FALSE)&lt;1,"Baixo",IF(VLOOKUP(BR26,Fundamentus!A:U,4,FALSE)&lt;1.5,"Moderado",IF(VLOOKUP(BR26,Fundamentus!A:U,4,FALSE)&gt;1.5,"Alto","n/a")))</f>
        <v>Moderado</v>
      </c>
      <c r="EP26" s="17" t="str">
        <f>IF(VLOOKUP(BR26,Fundamentus!A:U,8,FALSE)&lt;0,"Risco elevado",IF(VLOOKUP(BR26,Fundamentus!A:U,8,FALSE)&lt;1,"Saudável",IF(VLOOKUP(BR26,Fundamentus!A:U,8,FALSE)&lt;3,"Estável",IF(VLOOKUP(BR26,Fundamentus!A:U,8,FALSE)&gt;3,"Alerta","n/a"))))</f>
        <v>Saudável</v>
      </c>
      <c r="EQ26" s="28" t="str">
        <f t="shared" si="23"/>
        <v>Ruim</v>
      </c>
      <c r="ER26" s="17" t="str">
        <f>IF(VLOOKUP(BR26,Fundamentus!A:U,12,FALSE)&lt;2,"Subvalorizada",IF(VLOOKUP(BR26,Fundamentus!A:U,12,FALSE)&lt;6,"Muita barata",IF(VLOOKUP(BR26,Fundamentus!A:U,12,FALSE)&lt;6,"Barata",IF(VLOOKUP(BR26,Fundamentus!A:U,12,FALSE)&lt;8,"Atrativa",IF(VLOOKUP(BR26,Fundamentus!A:U,12,FALSE)&gt;8,"Supervalorizada","n/a")))))</f>
        <v>Subvalorizada</v>
      </c>
      <c r="ET26" s="17" t="str">
        <f>IF(VLOOKUP(BR26,Fundamentus!A:U,17,FALSE)&lt;0.1,"Fraco retorno",IF(VLOOKUP(BR26,Fundamentus!A:U,17,FALSE)&gt;0.1,"Bom retorno","n/a"))</f>
        <v>Bom retorno</v>
      </c>
      <c r="EU26" s="17" t="str">
        <f>IF(VLOOKUP(BR26,Fundamentus!A:U,16,FALSE)&lt;0.1,"Ineficiente",IF(VLOOKUP(BR26,Fundamentus!A:U,16,FALSE)&gt;0.1,"Eficiente","n/a"))</f>
        <v>Ineficiente</v>
      </c>
      <c r="EV26" s="33" t="str">
        <f>IF(VLOOKUP(BR26,Fundamentus!A:U,16,FALSE)&lt;0.1,"Oper. Ineficiente",IF(VLOOKUP(BR26,Fundamentus!A:U,16,FALSE)&gt;0.1,"Oper.Eficiente","n/a"))</f>
        <v>Oper. Ineficiente</v>
      </c>
      <c r="EW26" s="34">
        <f>VLOOKUP(BR26,Fundamentus!A:U,14,FALSE)</f>
        <v>0</v>
      </c>
      <c r="EX26" s="17" t="str">
        <f>IF(VLOOKUP(BR26,Fundamentus!A:U,21,FALSE)&lt;0,"Negativo",IF(VLOOKUP(BR26,Fundamentus!A:U,21,FALSE)&lt;0.05,"Fraco",IF(VLOOKUP(BR26,Fundamentus!A:U,21,FALSE)&lt;0.1,"Bom",IF(VLOOKUP(BR26,Fundamentus!A:U,21,FALSE)&gt;0.1,"Muito bom","n/a"))))</f>
        <v>Muito bom</v>
      </c>
      <c r="EZ26" s="29" t="str">
        <f>IF(VLOOKUP(BR26,Fundamentus!A:U,15,FALSE)&gt;1,"Bom",IF(VLOOKUP(BR26,Fundamentus!A:U,15,FALSE)&lt;1,"Ruim","n/a"))</f>
        <v>Ruim</v>
      </c>
      <c r="FA26" s="17" t="str">
        <f>IF(VLOOKUP(BR26,Fundamentus!A:U,20,FALSE)&lt;0.5,"Baixa",IF(VLOOKUP(BR26,Fundamentus!A:U,20,FALSE)&lt;1,"Moderada",IF(VLOOKUP(BR26,Fundamentus!A:U,20,FALSE)&lt;2,"Alerta",IF(VLOOKUP(BR26,Fundamentus!A:U,20,FALSE)&gt;2,"Alta","n/a"))))</f>
        <v>Baixa</v>
      </c>
    </row>
    <row r="27" spans="1:158" s="5" customFormat="1" ht="11.25"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5">
        <v>5.34</v>
      </c>
      <c r="BC27" s="52">
        <v>5.68</v>
      </c>
      <c r="BD27" s="52">
        <v>5.56</v>
      </c>
      <c r="BE27" s="52">
        <v>5.84</v>
      </c>
      <c r="BF27" s="52">
        <v>6.03</v>
      </c>
      <c r="BG27" s="67">
        <v>6.2</v>
      </c>
      <c r="BH27" s="52">
        <v>6.25</v>
      </c>
      <c r="BI27" s="52">
        <v>6.46</v>
      </c>
      <c r="BJ27" s="52">
        <v>6.53</v>
      </c>
      <c r="BK27" s="52">
        <v>6.44</v>
      </c>
      <c r="BL27" s="52">
        <v>6.44</v>
      </c>
      <c r="BM27" s="52">
        <v>6.71</v>
      </c>
      <c r="BN27" s="52">
        <v>7.01</v>
      </c>
      <c r="BO27" s="52">
        <v>7.08</v>
      </c>
      <c r="BP27" s="52">
        <v>7.1</v>
      </c>
      <c r="BQ27" s="52" cm="1">
        <f t="array" aca="1" ref="BQ27" ca="1">_FV(EE27,"Preço")</f>
        <v>7.1</v>
      </c>
      <c r="BR27" s="69" t="s">
        <v>24</v>
      </c>
      <c r="BS27" s="36" cm="1">
        <f t="array" aca="1" ref="BS27" ca="1">_FV(EE27,"Média de volume",TRUE)</f>
        <v>10709580</v>
      </c>
      <c r="BT27" s="36">
        <v>46400</v>
      </c>
      <c r="BU27" s="36" cm="1">
        <f t="array" aca="1" ref="BU27" ca="1">_FV(EE27,"Volume")</f>
        <v>46400</v>
      </c>
      <c r="BV27" s="24" cm="1">
        <f t="array" aca="1" ref="BV27" ca="1">_FV(EE27,"Beta")</f>
        <v>0.80320000000000003</v>
      </c>
      <c r="BW27" s="71" cm="1">
        <f t="array" aca="1" ref="BW27" ca="1">_FV(EE27,"Variação (%)",TRUE)</f>
        <v>2.8249999999999998E-3</v>
      </c>
      <c r="BY27" s="17" cm="1">
        <f t="array" aca="1" ref="BY27" ca="1">_FV(EE27,"Baixo")</f>
        <v>7.03</v>
      </c>
      <c r="BZ27" s="17" cm="1">
        <f t="array" aca="1" ref="BZ27" ca="1">_FV(EE27,"Alto")</f>
        <v>7.2</v>
      </c>
      <c r="CA27" s="24"/>
      <c r="CB27" s="63">
        <f ca="1">SQRT(22.5*(BQ27/VLOOKUP(BR27,Fundamentus!A:U,3,FALSE))*(BQ27/VLOOKUP(BR27,Fundamentus!A:U,4,FALSE)))</f>
        <v>9.4356105476487979</v>
      </c>
      <c r="CD27" s="62">
        <f t="shared" ca="1" si="24"/>
        <v>0</v>
      </c>
      <c r="CE27" s="8"/>
      <c r="CF27" s="61">
        <f t="shared" si="25"/>
        <v>4.68</v>
      </c>
      <c r="CG27" s="61">
        <f t="shared" si="26"/>
        <v>7.28</v>
      </c>
      <c r="CH27" s="61">
        <f t="shared" si="27"/>
        <v>5.8347058823529396</v>
      </c>
      <c r="CI27" s="14"/>
      <c r="CJ27" s="35">
        <f t="shared" si="1"/>
        <v>6.7414413555097905</v>
      </c>
      <c r="CK27" s="15">
        <f t="shared" si="28"/>
        <v>7.2849999999999682</v>
      </c>
      <c r="CL27" s="35">
        <f t="shared" si="2"/>
        <v>7.8285586444901458</v>
      </c>
      <c r="CN27" s="14"/>
      <c r="CO27" s="17">
        <f t="shared" si="3"/>
        <v>2.826666666666668</v>
      </c>
      <c r="CP27" s="17">
        <f t="shared" si="4"/>
        <v>3.7533333333333339</v>
      </c>
      <c r="CQ27" s="17">
        <f t="shared" si="5"/>
        <v>5.4266666666666685</v>
      </c>
      <c r="CR27" s="38">
        <f t="shared" si="29"/>
        <v>6.3533333333333344</v>
      </c>
      <c r="CS27" s="17">
        <f t="shared" si="6"/>
        <v>8.0266666666666691</v>
      </c>
      <c r="CT27" s="17">
        <f t="shared" si="7"/>
        <v>8.9533333333333349</v>
      </c>
      <c r="CU27" s="17">
        <f t="shared" si="8"/>
        <v>10.626666666666669</v>
      </c>
      <c r="CV27" s="2" cm="1">
        <f t="array" aca="1" ref="CV27" ca="1">MAX(_xlfn._xlws.FILTER(CO27:CU27,CO27:CU27&lt;BQ27))</f>
        <v>6.3533333333333344</v>
      </c>
      <c r="CW27" s="2" cm="1">
        <f t="array" aca="1" ref="CW27" ca="1">MIN(_xlfn._xlws.FILTER($CO27:$CU27,$CO27:$CU27&gt;BQ27))</f>
        <v>8.0266666666666691</v>
      </c>
      <c r="CX27" s="16">
        <f t="shared" ca="1" si="63"/>
        <v>0.26337880377754486</v>
      </c>
      <c r="CY27" s="20">
        <f t="shared" ca="1" si="64"/>
        <v>-0.13168940188877243</v>
      </c>
      <c r="CZ27" s="20">
        <f t="shared" ca="1" si="65"/>
        <v>-8.7792934592514957E-2</v>
      </c>
      <c r="DA27" s="20">
        <f t="shared" ca="1" si="66"/>
        <v>-5.267576075550897E-2</v>
      </c>
      <c r="DB27" s="20">
        <f t="shared" ca="1" si="67"/>
        <v>-2.9264311530838319E-2</v>
      </c>
      <c r="DC27" s="20">
        <f t="shared" ca="1" si="68"/>
        <v>-1.5492870810443815E-2</v>
      </c>
      <c r="DD27" s="20">
        <f t="shared" ca="1" si="69"/>
        <v>-7.9811758720468133E-3</v>
      </c>
      <c r="DE27" s="20">
        <f t="shared" ca="1" si="70"/>
        <v>-4.0519815965776133E-3</v>
      </c>
      <c r="DF27" s="21">
        <f t="shared" ca="1" si="71"/>
        <v>4.0519815965776133E-3</v>
      </c>
      <c r="DG27" s="21">
        <f t="shared" ca="1" si="72"/>
        <v>7.9811758720468133E-3</v>
      </c>
      <c r="DH27" s="21">
        <f t="shared" ca="1" si="73"/>
        <v>1.5492870810443815E-2</v>
      </c>
      <c r="DI27" s="21">
        <f t="shared" ca="1" si="74"/>
        <v>2.9264311530838319E-2</v>
      </c>
      <c r="DJ27" s="21">
        <f t="shared" ca="1" si="75"/>
        <v>5.267576075550897E-2</v>
      </c>
      <c r="DK27" s="21">
        <f t="shared" ca="1" si="76"/>
        <v>8.7792934592514957E-2</v>
      </c>
      <c r="DL27" s="21">
        <f t="shared" ca="1" si="77"/>
        <v>0.13168940188877243</v>
      </c>
      <c r="DN27" s="16" cm="1">
        <f t="array" aca="1" ref="DN27" ca="1">MAX(_xlfn._xlws.FILTER(CY27:DL27,CY27:DL27&lt;BW27))</f>
        <v>-4.0519815965776133E-3</v>
      </c>
      <c r="DO27" s="16" cm="1">
        <f t="array" aca="1" ref="DO27" ca="1">MIN(_xlfn._xlws.FILTER(CY27:DL27,CY27:DL27&gt;BW27))</f>
        <v>4.0519815965776133E-3</v>
      </c>
      <c r="DP27" s="2" cm="1">
        <f t="array" aca="1" ref="DP27" ca="1">_FV(EE27,"Fechamento anterior",TRUE)</f>
        <v>7.08</v>
      </c>
      <c r="DQ27" s="28">
        <f t="shared" ca="1" si="15"/>
        <v>0.84857744164583293</v>
      </c>
      <c r="DR27" s="15">
        <f t="shared" ca="1" si="78"/>
        <v>7.0513119702962301</v>
      </c>
      <c r="DS27" s="15">
        <f t="shared" ca="1" si="79"/>
        <v>7.10868802970377</v>
      </c>
      <c r="DT27" s="9"/>
      <c r="DU27" s="9"/>
      <c r="DV27" s="9"/>
      <c r="DW27" s="89">
        <v>1.3730982589114073E-2</v>
      </c>
      <c r="DX27" s="89">
        <f t="shared" ca="1" si="18"/>
        <v>8.1039631931552267E-3</v>
      </c>
      <c r="DY27" s="72">
        <f t="shared" ca="1" si="19"/>
        <v>-0.34034966029008035</v>
      </c>
      <c r="DZ27" s="37"/>
      <c r="EA27" s="35">
        <f t="shared" si="39"/>
        <v>0.27177932224508894</v>
      </c>
      <c r="EB27" s="56"/>
      <c r="EC27" s="56"/>
      <c r="EE27" s="5" t="e" vm="27">
        <v>#VALUE!</v>
      </c>
      <c r="EG27" s="10" cm="1">
        <f t="array" aca="1" ref="EG27" ca="1">_FV(EE27,"Ações em circulação",TRUE)</f>
        <v>1136271000</v>
      </c>
      <c r="EH27" s="18">
        <f>VLOOKUP(BR27,Fundamentus!A:U,5,FALSE)</f>
        <v>0.877</v>
      </c>
      <c r="EI27" s="2">
        <f t="shared" ca="1" si="20"/>
        <v>9199001254.2759399</v>
      </c>
      <c r="EJ27" s="17">
        <v>1226226867.1949828</v>
      </c>
      <c r="EK27" s="17">
        <f t="shared" ca="1" si="21"/>
        <v>1226226867.1949828</v>
      </c>
      <c r="EL27" s="2"/>
      <c r="EM27" s="16">
        <f t="shared" ca="1" si="22"/>
        <v>0</v>
      </c>
      <c r="EN27" s="32" t="str">
        <f>IF(VLOOKUP(BR27,Fundamentus!A:U,3,FALSE)&lt;15,"Bom",IF(VLOOKUP(BR27,Fundamentus!A:U,3,FALSE)&gt;15,"Ruim","n/a"))</f>
        <v>Bom</v>
      </c>
      <c r="EO27" s="28" t="str">
        <f>IF(VLOOKUP(BR27,Fundamentus!A:U,4,FALSE)&lt;1,"Baixo",IF(VLOOKUP(BR27,Fundamentus!A:U,4,FALSE)&lt;1.5,"Moderado",IF(VLOOKUP(BR27,Fundamentus!A:U,4,FALSE)&gt;1.5,"Alto","n/a")))</f>
        <v>Alto</v>
      </c>
      <c r="EP27" s="17" t="str">
        <f>IF(VLOOKUP(BR27,Fundamentus!A:U,8,FALSE)&lt;0,"Risco elevado",IF(VLOOKUP(BR27,Fundamentus!A:U,8,FALSE)&lt;1,"Saudável",IF(VLOOKUP(BR27,Fundamentus!A:U,8,FALSE)&lt;3,"Estável",IF(VLOOKUP(BR27,Fundamentus!A:U,8,FALSE)&gt;3,"Alerta","n/a"))))</f>
        <v>Alerta</v>
      </c>
      <c r="EQ27" s="28" t="str">
        <f t="shared" si="23"/>
        <v>Ruim</v>
      </c>
      <c r="ER27" s="17" t="str">
        <f>IF(VLOOKUP(BR27,Fundamentus!A:U,12,FALSE)&lt;2,"Subvalorizada",IF(VLOOKUP(BR27,Fundamentus!A:U,12,FALSE)&lt;6,"Muita barata",IF(VLOOKUP(BR27,Fundamentus!A:U,12,FALSE)&lt;6,"Barata",IF(VLOOKUP(BR27,Fundamentus!A:U,12,FALSE)&lt;8,"Atrativa",IF(VLOOKUP(BR27,Fundamentus!A:U,12,FALSE)&gt;8,"Supervalorizada","n/a")))))</f>
        <v>Muita barata</v>
      </c>
      <c r="ES27" s="2"/>
      <c r="ET27" s="17" t="str">
        <f>IF(VLOOKUP(BR27,Fundamentus!A:U,17,FALSE)&lt;0.1,"Fraco retorno",IF(VLOOKUP(BR27,Fundamentus!A:U,17,FALSE)&gt;0.1,"Bom retorno","n/a"))</f>
        <v>Bom retorno</v>
      </c>
      <c r="EU27" s="17" t="str">
        <f>IF(VLOOKUP(BR27,Fundamentus!A:U,16,FALSE)&lt;0.1,"Ineficiente",IF(VLOOKUP(BR27,Fundamentus!A:U,16,FALSE)&gt;0.1,"Eficiente","n/a"))</f>
        <v>Eficiente</v>
      </c>
      <c r="EV27" s="33" t="str">
        <f>IF(VLOOKUP(BR27,Fundamentus!A:U,16,FALSE)&lt;0.1,"Oper. Ineficiente",IF(VLOOKUP(BR27,Fundamentus!A:U,16,FALSE)&gt;0.1,"Oper.Eficiente","n/a"))</f>
        <v>Oper.Eficiente</v>
      </c>
      <c r="EW27" s="34">
        <f>VLOOKUP(BR27,Fundamentus!A:U,14,FALSE)</f>
        <v>0.1333</v>
      </c>
      <c r="EX27" s="17" t="str">
        <f>IF(VLOOKUP(BR27,Fundamentus!A:U,21,FALSE)&lt;0,"Negativo",IF(VLOOKUP(BR27,Fundamentus!A:U,21,FALSE)&lt;0.05,"Fraco",IF(VLOOKUP(BR27,Fundamentus!A:U,21,FALSE)&lt;0.1,"Bom",IF(VLOOKUP(BR27,Fundamentus!A:U,21,FALSE)&gt;0.1,"Muito bom","n/a"))))</f>
        <v>Muito bom</v>
      </c>
      <c r="EZ27" s="29" t="str">
        <f>IF(VLOOKUP(BR27,Fundamentus!A:U,15,FALSE)&gt;1,"Bom",IF(VLOOKUP(BR27,Fundamentus!A:U,15,FALSE)&lt;1,"Ruim","n/a"))</f>
        <v>Bom</v>
      </c>
      <c r="FA27" s="17" t="str">
        <f>IF(VLOOKUP(BR27,Fundamentus!A:U,20,FALSE)&lt;0.5,"Baixa",IF(VLOOKUP(BR27,Fundamentus!A:U,20,FALSE)&lt;1,"Moderada",IF(VLOOKUP(BR27,Fundamentus!A:U,20,FALSE)&lt;2,"Alerta",IF(VLOOKUP(BR27,Fundamentus!A:U,20,FALSE)&gt;2,"Alta","n/a"))))</f>
        <v>Moderada</v>
      </c>
    </row>
    <row r="28" spans="1:158" s="2" customFormat="1" ht="11.25"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5">
        <v>19.079999999999998</v>
      </c>
      <c r="BC28" s="52">
        <v>19.37</v>
      </c>
      <c r="BD28" s="52">
        <v>19.149999999999999</v>
      </c>
      <c r="BE28" s="52">
        <v>19.059999999999999</v>
      </c>
      <c r="BF28" s="52">
        <v>20.059999999999999</v>
      </c>
      <c r="BG28" s="67">
        <v>19.100000000000001</v>
      </c>
      <c r="BH28" s="52">
        <v>19.45</v>
      </c>
      <c r="BI28" s="52">
        <v>19.690000000000001</v>
      </c>
      <c r="BJ28" s="52">
        <v>22.08</v>
      </c>
      <c r="BK28" s="52">
        <v>21.89</v>
      </c>
      <c r="BL28" s="52">
        <v>21.6</v>
      </c>
      <c r="BM28" s="52">
        <v>20.36</v>
      </c>
      <c r="BN28" s="52">
        <v>20.23</v>
      </c>
      <c r="BO28" s="52">
        <v>20.399999999999999</v>
      </c>
      <c r="BP28" s="52">
        <v>21.45</v>
      </c>
      <c r="BQ28" s="52" cm="1">
        <f t="array" aca="1" ref="BQ28" ca="1">_FV(EE28,"Preço")</f>
        <v>21.45</v>
      </c>
      <c r="BR28" s="69" t="s">
        <v>25</v>
      </c>
      <c r="BS28" s="36" cm="1">
        <f t="array" aca="1" ref="BS28" ca="1">_FV(EE28,"Média de volume",TRUE)</f>
        <v>303910</v>
      </c>
      <c r="BT28" s="36">
        <v>952600</v>
      </c>
      <c r="BU28" s="36" cm="1">
        <f t="array" aca="1" ref="BU28" ca="1">_FV(EE28,"Volume")</f>
        <v>952600</v>
      </c>
      <c r="BV28" s="24" cm="1">
        <f t="array" aca="1" ref="BV28" ca="1">_FV(EE28,"Beta")</f>
        <v>1.2294</v>
      </c>
      <c r="BW28" s="71" cm="1">
        <f t="array" aca="1" ref="BW28" ca="1">_FV(EE28,"Variação (%)",TRUE)</f>
        <v>9.0493000000000004E-2</v>
      </c>
      <c r="BY28" s="17" cm="1">
        <f t="array" aca="1" ref="BY28" ca="1">_FV(EE28,"Baixo")</f>
        <v>19.82</v>
      </c>
      <c r="BZ28" s="17" cm="1">
        <f t="array" aca="1" ref="BZ28" ca="1">_FV(EE28,"Alto")</f>
        <v>21.8</v>
      </c>
      <c r="CA28" s="24"/>
      <c r="CB28" s="63">
        <f ca="1">SQRT(22.5*(BQ28/VLOOKUP(BR28,Fundamentus!A:U,3,FALSE))*(BQ28/VLOOKUP(BR28,Fundamentus!A:U,4,FALSE)))</f>
        <v>21.81067732009463</v>
      </c>
      <c r="CD28" s="62">
        <f t="shared" ca="1" si="24"/>
        <v>0</v>
      </c>
      <c r="CE28" s="8"/>
      <c r="CF28" s="61">
        <f t="shared" si="25"/>
        <v>11.86</v>
      </c>
      <c r="CG28" s="61">
        <f t="shared" si="26"/>
        <v>22.08</v>
      </c>
      <c r="CH28" s="61">
        <f t="shared" si="27"/>
        <v>15.817352941176473</v>
      </c>
      <c r="CI28" s="14"/>
      <c r="CJ28" s="35">
        <f t="shared" si="1"/>
        <v>20.066997505347704</v>
      </c>
      <c r="CK28" s="15">
        <f t="shared" si="28"/>
        <v>21.4699999999998</v>
      </c>
      <c r="CL28" s="35">
        <f t="shared" si="2"/>
        <v>22.873002494651896</v>
      </c>
      <c r="CN28" s="14"/>
      <c r="CO28" s="17">
        <f t="shared" si="3"/>
        <v>4.6266666666666723</v>
      </c>
      <c r="CP28" s="17">
        <f t="shared" si="4"/>
        <v>8.2433333333333358</v>
      </c>
      <c r="CQ28" s="17">
        <f t="shared" si="5"/>
        <v>14.846666666666671</v>
      </c>
      <c r="CR28" s="38">
        <f t="shared" si="29"/>
        <v>18.463333333333335</v>
      </c>
      <c r="CS28" s="17">
        <f t="shared" si="6"/>
        <v>25.06666666666667</v>
      </c>
      <c r="CT28" s="17">
        <f t="shared" si="7"/>
        <v>28.683333333333334</v>
      </c>
      <c r="CU28" s="17">
        <f t="shared" si="8"/>
        <v>35.286666666666669</v>
      </c>
      <c r="CV28" s="2" cm="1">
        <f t="array" aca="1" ref="CV28" ca="1">MAX(_xlfn._xlws.FILTER(CO28:CU28,CO28:CU28&lt;BQ28))</f>
        <v>18.463333333333335</v>
      </c>
      <c r="CW28" s="2" cm="1">
        <f t="array" aca="1" ref="CW28" ca="1">MIN(_xlfn._xlws.FILTER($CO28:$CU28,$CO28:$CU28&gt;BQ28))</f>
        <v>25.06666666666667</v>
      </c>
      <c r="CX28" s="16">
        <f t="shared" ca="1" si="63"/>
        <v>0.35764578443762418</v>
      </c>
      <c r="CY28" s="20">
        <f t="shared" ca="1" si="64"/>
        <v>-0.17882289221881209</v>
      </c>
      <c r="CZ28" s="20">
        <f t="shared" ca="1" si="65"/>
        <v>-0.11921526147920807</v>
      </c>
      <c r="DA28" s="20">
        <f t="shared" ca="1" si="66"/>
        <v>-7.1529156887524842E-2</v>
      </c>
      <c r="DB28" s="20">
        <f t="shared" ca="1" si="67"/>
        <v>-3.9738420493069353E-2</v>
      </c>
      <c r="DC28" s="20">
        <f t="shared" ca="1" si="68"/>
        <v>-2.1037987319860247E-2</v>
      </c>
      <c r="DD28" s="20">
        <f t="shared" ca="1" si="69"/>
        <v>-1.0837751043564369E-2</v>
      </c>
      <c r="DE28" s="20">
        <f t="shared" ca="1" si="70"/>
        <v>-5.5022428375019108E-3</v>
      </c>
      <c r="DF28" s="21">
        <f t="shared" ca="1" si="71"/>
        <v>5.5022428375019108E-3</v>
      </c>
      <c r="DG28" s="21">
        <f t="shared" ca="1" si="72"/>
        <v>1.0837751043564369E-2</v>
      </c>
      <c r="DH28" s="21">
        <f t="shared" ca="1" si="73"/>
        <v>2.1037987319860247E-2</v>
      </c>
      <c r="DI28" s="21">
        <f t="shared" ca="1" si="74"/>
        <v>3.9738420493069353E-2</v>
      </c>
      <c r="DJ28" s="21">
        <f t="shared" ca="1" si="75"/>
        <v>7.1529156887524842E-2</v>
      </c>
      <c r="DK28" s="21">
        <f t="shared" ca="1" si="76"/>
        <v>0.11921526147920807</v>
      </c>
      <c r="DL28" s="21">
        <f t="shared" ca="1" si="77"/>
        <v>0.17882289221881209</v>
      </c>
      <c r="DN28" s="16" cm="1">
        <f t="array" aca="1" ref="DN28" ca="1">MAX(_xlfn._xlws.FILTER(CY28:DL28,CY28:DL28&lt;BW28))</f>
        <v>7.1529156887524842E-2</v>
      </c>
      <c r="DO28" s="16" cm="1">
        <f t="array" aca="1" ref="DO28" ca="1">MIN(_xlfn._xlws.FILTER(CY28:DL28,CY28:DL28&gt;BW28))</f>
        <v>0.11921526147920807</v>
      </c>
      <c r="DP28" s="2" cm="1">
        <f t="array" aca="1" ref="DP28" ca="1">_FV(EE28,"Fechamento anterior",TRUE)</f>
        <v>19.670000000000002</v>
      </c>
      <c r="DQ28" s="28">
        <f t="shared" ca="1" si="15"/>
        <v>0.39768356067952892</v>
      </c>
      <c r="DR28" s="15">
        <f t="shared" ca="1" si="78"/>
        <v>21.076978515977615</v>
      </c>
      <c r="DS28" s="15">
        <f t="shared" ca="1" si="79"/>
        <v>22.014964193296024</v>
      </c>
      <c r="DT28" s="9"/>
      <c r="DU28" s="9"/>
      <c r="DV28" s="9"/>
      <c r="DW28" s="89">
        <v>5.1503397841270501E-3</v>
      </c>
      <c r="DX28" s="89">
        <f t="shared" ca="1" si="18"/>
        <v>4.7686104591683223E-2</v>
      </c>
      <c r="DY28" s="72">
        <f t="shared" ca="1" si="19"/>
        <v>-1.4255142151233339E-2</v>
      </c>
      <c r="DZ28" s="37"/>
      <c r="EA28" s="35">
        <f t="shared" si="39"/>
        <v>0.70150124732604779</v>
      </c>
      <c r="EB28" s="56"/>
      <c r="EC28" s="56"/>
      <c r="EE28" s="2" t="e" vm="28">
        <v>#VALUE!</v>
      </c>
      <c r="EG28" s="10" cm="1">
        <f t="array" aca="1" ref="EG28" ca="1">_FV(EE28,"Ações em circulação",TRUE)</f>
        <v>85608390</v>
      </c>
      <c r="EH28" s="18">
        <f>VLOOKUP(BR28,Fundamentus!A:U,5,FALSE)</f>
        <v>1.179</v>
      </c>
      <c r="EI28" s="2">
        <f t="shared" ca="1" si="20"/>
        <v>1557506332.0610685</v>
      </c>
      <c r="EJ28" s="17">
        <v>131609285.05916031</v>
      </c>
      <c r="EK28" s="17">
        <f t="shared" ca="1" si="21"/>
        <v>131609285.05916031</v>
      </c>
      <c r="EM28" s="16">
        <f t="shared" ca="1" si="22"/>
        <v>0</v>
      </c>
      <c r="EN28" s="32" t="str">
        <f>IF(VLOOKUP(BR28,Fundamentus!A:U,3,FALSE)&lt;15,"Bom",IF(VLOOKUP(BR28,Fundamentus!A:U,3,FALSE)&gt;15,"Ruim","n/a"))</f>
        <v>Bom</v>
      </c>
      <c r="EO28" s="28" t="str">
        <f>IF(VLOOKUP(BR28,Fundamentus!A:U,4,FALSE)&lt;1,"Baixo",IF(VLOOKUP(BR28,Fundamentus!A:U,4,FALSE)&lt;1.5,"Moderado",IF(VLOOKUP(BR28,Fundamentus!A:U,4,FALSE)&gt;1.5,"Alto","n/a")))</f>
        <v>Alto</v>
      </c>
      <c r="EP28" s="17" t="str">
        <f>IF(VLOOKUP(BR28,Fundamentus!A:U,8,FALSE)&lt;0,"Risco elevado",IF(VLOOKUP(BR28,Fundamentus!A:U,8,FALSE)&lt;1,"Saudável",IF(VLOOKUP(BR28,Fundamentus!A:U,8,FALSE)&lt;3,"Estável",IF(VLOOKUP(BR28,Fundamentus!A:U,8,FALSE)&gt;3,"Alerta","n/a"))))</f>
        <v>Estável</v>
      </c>
      <c r="EQ28" s="28" t="str">
        <f t="shared" si="23"/>
        <v>Bom</v>
      </c>
      <c r="ER28" s="17" t="str">
        <f>IF(VLOOKUP(BR28,Fundamentus!A:U,12,FALSE)&lt;2,"Subvalorizada",IF(VLOOKUP(BR28,Fundamentus!A:U,12,FALSE)&lt;6,"Muita barata",IF(VLOOKUP(BR28,Fundamentus!A:U,12,FALSE)&lt;6,"Barata",IF(VLOOKUP(BR28,Fundamentus!A:U,12,FALSE)&lt;8,"Atrativa",IF(VLOOKUP(BR28,Fundamentus!A:U,12,FALSE)&gt;8,"Supervalorizada","n/a")))))</f>
        <v>Atrativa</v>
      </c>
      <c r="ET28" s="17" t="str">
        <f>IF(VLOOKUP(BR28,Fundamentus!A:U,17,FALSE)&lt;0.1,"Fraco retorno",IF(VLOOKUP(BR28,Fundamentus!A:U,17,FALSE)&gt;0.1,"Bom retorno","n/a"))</f>
        <v>Bom retorno</v>
      </c>
      <c r="EU28" s="17" t="str">
        <f>IF(VLOOKUP(BR28,Fundamentus!A:U,16,FALSE)&lt;0.1,"Ineficiente",IF(VLOOKUP(BR28,Fundamentus!A:U,16,FALSE)&gt;0.1,"Eficiente","n/a"))</f>
        <v>Eficiente</v>
      </c>
      <c r="EV28" s="33" t="str">
        <f>IF(VLOOKUP(BR28,Fundamentus!A:U,16,FALSE)&lt;0.1,"Oper. Ineficiente",IF(VLOOKUP(BR28,Fundamentus!A:U,16,FALSE)&gt;0.1,"Oper.Eficiente","n/a"))</f>
        <v>Oper.Eficiente</v>
      </c>
      <c r="EW28" s="34">
        <f>VLOOKUP(BR28,Fundamentus!A:U,14,FALSE)</f>
        <v>8.4500000000000006E-2</v>
      </c>
      <c r="EX28" s="17" t="str">
        <f>IF(VLOOKUP(BR28,Fundamentus!A:U,21,FALSE)&lt;0,"Negativo",IF(VLOOKUP(BR28,Fundamentus!A:U,21,FALSE)&lt;0.05,"Fraco",IF(VLOOKUP(BR28,Fundamentus!A:U,21,FALSE)&lt;0.1,"Bom",IF(VLOOKUP(BR28,Fundamentus!A:U,21,FALSE)&gt;0.1,"Muito bom","n/a"))))</f>
        <v>Muito bom</v>
      </c>
      <c r="EZ28" s="29" t="str">
        <f>IF(VLOOKUP(BR28,Fundamentus!A:U,15,FALSE)&gt;1,"Bom",IF(VLOOKUP(BR28,Fundamentus!A:U,15,FALSE)&lt;1,"Ruim","n/a"))</f>
        <v>Bom</v>
      </c>
      <c r="FA28" s="17" t="str">
        <f>IF(VLOOKUP(BR28,Fundamentus!A:U,20,FALSE)&lt;0.5,"Baixa",IF(VLOOKUP(BR28,Fundamentus!A:U,20,FALSE)&lt;1,"Moderada",IF(VLOOKUP(BR28,Fundamentus!A:U,20,FALSE)&lt;2,"Alerta",IF(VLOOKUP(BR28,Fundamentus!A:U,20,FALSE)&gt;2,"Alta","n/a"))))</f>
        <v>Baixa</v>
      </c>
    </row>
    <row r="29" spans="1:158" s="2" customFormat="1" ht="11.25"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5">
        <v>41.32</v>
      </c>
      <c r="BC29" s="52">
        <v>42.19</v>
      </c>
      <c r="BD29" s="52">
        <v>41.6</v>
      </c>
      <c r="BE29" s="52">
        <v>43.96</v>
      </c>
      <c r="BF29" s="52">
        <v>40.89</v>
      </c>
      <c r="BG29" s="67">
        <v>42.15</v>
      </c>
      <c r="BH29" s="52">
        <v>43.2</v>
      </c>
      <c r="BI29" s="52">
        <v>42.23</v>
      </c>
      <c r="BJ29" s="52">
        <v>43.87</v>
      </c>
      <c r="BK29" s="52">
        <v>43.16</v>
      </c>
      <c r="BL29" s="52">
        <v>43.67</v>
      </c>
      <c r="BM29" s="52">
        <v>42.49</v>
      </c>
      <c r="BN29" s="52">
        <v>43.98</v>
      </c>
      <c r="BO29" s="52">
        <v>42.23</v>
      </c>
      <c r="BP29" s="52">
        <v>39.72</v>
      </c>
      <c r="BQ29" s="52" cm="1">
        <f t="array" aca="1" ref="BQ29" ca="1">_FV(EE29,"Preço")</f>
        <v>39.72</v>
      </c>
      <c r="BR29" s="69" t="s">
        <v>26</v>
      </c>
      <c r="BS29" s="36" cm="1">
        <f t="array" aca="1" ref="BS29" ca="1">_FV(EE29,"Média de volume",TRUE)</f>
        <v>29720</v>
      </c>
      <c r="BT29" s="36">
        <v>800</v>
      </c>
      <c r="BU29" s="36" cm="1">
        <f t="array" aca="1" ref="BU29" ca="1">_FV(EE29,"Volume")</f>
        <v>800</v>
      </c>
      <c r="BV29" s="24" cm="1">
        <f t="array" aca="1" ref="BV29" ca="1">_FV(EE29,"Beta")</f>
        <v>0.43790000000000001</v>
      </c>
      <c r="BW29" s="71" cm="1">
        <f t="array" aca="1" ref="BW29" ca="1">_FV(EE29,"Variação (%)",TRUE)</f>
        <v>-4.5110000000000003E-3</v>
      </c>
      <c r="BY29" s="17" cm="1">
        <f t="array" aca="1" ref="BY29" ca="1">_FV(EE29,"Baixo")</f>
        <v>39.71</v>
      </c>
      <c r="BZ29" s="17" cm="1">
        <f t="array" aca="1" ref="BZ29" ca="1">_FV(EE29,"Alto")</f>
        <v>40.21</v>
      </c>
      <c r="CA29" s="24"/>
      <c r="CB29" s="63">
        <f ca="1">SQRT(22.5*(BQ29/VLOOKUP(BR29,Fundamentus!A:U,3,FALSE))*(BQ29/VLOOKUP(BR29,Fundamentus!A:U,4,FALSE)))</f>
        <v>65.292219520867022</v>
      </c>
      <c r="CD29" s="62">
        <f t="shared" ca="1" si="24"/>
        <v>0</v>
      </c>
      <c r="CE29" s="8"/>
      <c r="CF29" s="61">
        <f t="shared" si="25"/>
        <v>33</v>
      </c>
      <c r="CG29" s="61">
        <f t="shared" si="26"/>
        <v>48.25</v>
      </c>
      <c r="CH29" s="61">
        <f t="shared" si="27"/>
        <v>41.119191176470579</v>
      </c>
      <c r="CI29" s="14"/>
      <c r="CJ29" s="35">
        <f t="shared" si="1"/>
        <v>38.253820371357349</v>
      </c>
      <c r="CK29" s="15">
        <f t="shared" si="28"/>
        <v>39.590000000000146</v>
      </c>
      <c r="CL29" s="35">
        <f t="shared" si="2"/>
        <v>40.926179628642942</v>
      </c>
      <c r="CN29" s="14"/>
      <c r="CO29" s="17">
        <f t="shared" si="3"/>
        <v>17.146666666666661</v>
      </c>
      <c r="CP29" s="17">
        <f t="shared" si="4"/>
        <v>25.073333333333331</v>
      </c>
      <c r="CQ29" s="17">
        <f t="shared" si="5"/>
        <v>32.396666666666661</v>
      </c>
      <c r="CR29" s="38">
        <f t="shared" si="29"/>
        <v>40.323333333333331</v>
      </c>
      <c r="CS29" s="17">
        <f t="shared" si="6"/>
        <v>47.646666666666661</v>
      </c>
      <c r="CT29" s="17">
        <f t="shared" si="7"/>
        <v>55.573333333333331</v>
      </c>
      <c r="CU29" s="17">
        <f t="shared" si="8"/>
        <v>62.896666666666661</v>
      </c>
      <c r="CV29" s="2" cm="1">
        <f t="array" aca="1" ref="CV29" ca="1">MAX(_xlfn._xlws.FILTER(CO29:CU29,CO29:CU29&lt;BQ29))</f>
        <v>32.396666666666661</v>
      </c>
      <c r="CW29" s="2" cm="1">
        <f t="array" aca="1" ref="CW29" ca="1">MIN(_xlfn._xlws.FILTER($CO29:$CU29,$CO29:$CU29&gt;BQ29))</f>
        <v>40.323333333333331</v>
      </c>
      <c r="CX29" s="16">
        <f t="shared" ca="1" si="63"/>
        <v>0.2446753781253217</v>
      </c>
      <c r="CY29" s="20">
        <f t="shared" ca="1" si="64"/>
        <v>-0.12233768906266085</v>
      </c>
      <c r="CZ29" s="20">
        <f t="shared" ca="1" si="65"/>
        <v>-8.1558459375107237E-2</v>
      </c>
      <c r="DA29" s="20">
        <f t="shared" ca="1" si="66"/>
        <v>-4.8935075625064342E-2</v>
      </c>
      <c r="DB29" s="20">
        <f t="shared" ca="1" si="67"/>
        <v>-2.7186153125035743E-2</v>
      </c>
      <c r="DC29" s="20">
        <f t="shared" ca="1" si="68"/>
        <v>-1.4392669301489511E-2</v>
      </c>
      <c r="DD29" s="20">
        <f t="shared" ca="1" si="69"/>
        <v>-7.4144053977370211E-3</v>
      </c>
      <c r="DE29" s="20">
        <f t="shared" ca="1" si="70"/>
        <v>-3.7642365865434109E-3</v>
      </c>
      <c r="DF29" s="21">
        <f t="shared" ca="1" si="71"/>
        <v>3.7642365865434109E-3</v>
      </c>
      <c r="DG29" s="21">
        <f t="shared" ca="1" si="72"/>
        <v>7.4144053977370211E-3</v>
      </c>
      <c r="DH29" s="21">
        <f t="shared" ca="1" si="73"/>
        <v>1.4392669301489511E-2</v>
      </c>
      <c r="DI29" s="21">
        <f t="shared" ca="1" si="74"/>
        <v>2.7186153125035743E-2</v>
      </c>
      <c r="DJ29" s="21">
        <f t="shared" ca="1" si="75"/>
        <v>4.8935075625064342E-2</v>
      </c>
      <c r="DK29" s="21">
        <f t="shared" ca="1" si="76"/>
        <v>8.1558459375107237E-2</v>
      </c>
      <c r="DL29" s="21">
        <f t="shared" ca="1" si="77"/>
        <v>0.12233768906266085</v>
      </c>
      <c r="DN29" s="16" cm="1">
        <f t="array" aca="1" ref="DN29" ca="1">MAX(_xlfn._xlws.FILTER(CY29:DL29,CY29:DL29&lt;BW29))</f>
        <v>-7.4144053977370211E-3</v>
      </c>
      <c r="DO29" s="16" cm="1">
        <f t="array" aca="1" ref="DO29" ca="1">MIN(_xlfn._xlws.FILTER(CY29:DL29,CY29:DL29&gt;BW29))</f>
        <v>-3.7642365865434109E-3</v>
      </c>
      <c r="DP29" s="2" cm="1">
        <f t="array" aca="1" ref="DP29" ca="1">_FV(EE29,"Fechamento anterior",TRUE)</f>
        <v>39.9</v>
      </c>
      <c r="DQ29" s="28">
        <f t="shared" ca="1" si="15"/>
        <v>0.79534053146956529</v>
      </c>
      <c r="DR29" s="15">
        <f t="shared" ca="1" si="78"/>
        <v>39.604165224630293</v>
      </c>
      <c r="DS29" s="15">
        <f t="shared" ca="1" si="79"/>
        <v>39.749806960196914</v>
      </c>
      <c r="DT29" s="9"/>
      <c r="DU29" s="9"/>
      <c r="DV29" s="9"/>
      <c r="DW29" s="89">
        <v>1.0366051182377715E-2</v>
      </c>
      <c r="DX29" s="89">
        <f t="shared" ca="1" si="18"/>
        <v>3.6501688111936102E-3</v>
      </c>
      <c r="DY29" s="72">
        <f t="shared" ca="1" si="19"/>
        <v>9.729230801991709E-2</v>
      </c>
      <c r="DZ29" s="37"/>
      <c r="EA29" s="35">
        <f t="shared" si="39"/>
        <v>0.6680898143213978</v>
      </c>
      <c r="EB29" s="56"/>
      <c r="EC29" s="56"/>
      <c r="EE29" s="2" t="e" vm="29">
        <v>#VALUE!</v>
      </c>
      <c r="EG29" s="10" cm="1">
        <f t="array" aca="1" ref="EG29" ca="1">_FV(EE29,"Ações em circulação",TRUE)</f>
        <v>9137260</v>
      </c>
      <c r="EH29" s="18">
        <f>VLOOKUP(BR29,Fundamentus!A:U,5,FALSE)</f>
        <v>0.72599999999999998</v>
      </c>
      <c r="EI29" s="2">
        <f t="shared" ca="1" si="20"/>
        <v>499906290.90909094</v>
      </c>
      <c r="EJ29" s="17">
        <v>35293384.138181821</v>
      </c>
      <c r="EK29" s="17">
        <f t="shared" ca="1" si="21"/>
        <v>35293384.138181821</v>
      </c>
      <c r="EM29" s="16">
        <f t="shared" ca="1" si="22"/>
        <v>0</v>
      </c>
      <c r="EN29" s="32" t="str">
        <f>IF(VLOOKUP(BR29,Fundamentus!A:U,3,FALSE)&lt;15,"Bom",IF(VLOOKUP(BR29,Fundamentus!A:U,3,FALSE)&gt;15,"Ruim","n/a"))</f>
        <v>Bom</v>
      </c>
      <c r="EO29" s="28" t="str">
        <f>IF(VLOOKUP(BR29,Fundamentus!A:U,4,FALSE)&lt;1,"Baixo",IF(VLOOKUP(BR29,Fundamentus!A:U,4,FALSE)&lt;1.5,"Moderado",IF(VLOOKUP(BR29,Fundamentus!A:U,4,FALSE)&gt;1.5,"Alto","n/a")))</f>
        <v>Baixo</v>
      </c>
      <c r="EP29" s="17" t="str">
        <f>IF(VLOOKUP(BR29,Fundamentus!A:U,8,FALSE)&lt;0,"Risco elevado",IF(VLOOKUP(BR29,Fundamentus!A:U,8,FALSE)&lt;1,"Saudável",IF(VLOOKUP(BR29,Fundamentus!A:U,8,FALSE)&lt;3,"Estável",IF(VLOOKUP(BR29,Fundamentus!A:U,8,FALSE)&gt;3,"Alerta","n/a"))))</f>
        <v>Estável</v>
      </c>
      <c r="EQ29" s="28" t="str">
        <f t="shared" si="23"/>
        <v>Ruim</v>
      </c>
      <c r="ER29" s="17" t="str">
        <f>IF(VLOOKUP(BR29,Fundamentus!A:U,12,FALSE)&lt;2,"Subvalorizada",IF(VLOOKUP(BR29,Fundamentus!A:U,12,FALSE)&lt;6,"Muita barata",IF(VLOOKUP(BR29,Fundamentus!A:U,12,FALSE)&lt;6,"Barata",IF(VLOOKUP(BR29,Fundamentus!A:U,12,FALSE)&lt;8,"Atrativa",IF(VLOOKUP(BR29,Fundamentus!A:U,12,FALSE)&gt;8,"Supervalorizada","n/a")))))</f>
        <v>Muita barata</v>
      </c>
      <c r="ET29" s="17" t="str">
        <f>IF(VLOOKUP(BR29,Fundamentus!A:U,17,FALSE)&lt;0.1,"Fraco retorno",IF(VLOOKUP(BR29,Fundamentus!A:U,17,FALSE)&gt;0.1,"Bom retorno","n/a"))</f>
        <v>Fraco retorno</v>
      </c>
      <c r="EU29" s="17" t="str">
        <f>IF(VLOOKUP(BR29,Fundamentus!A:U,16,FALSE)&lt;0.1,"Ineficiente",IF(VLOOKUP(BR29,Fundamentus!A:U,16,FALSE)&gt;0.1,"Eficiente","n/a"))</f>
        <v>Eficiente</v>
      </c>
      <c r="EV29" s="33" t="str">
        <f>IF(VLOOKUP(BR29,Fundamentus!A:U,16,FALSE)&lt;0.1,"Oper. Ineficiente",IF(VLOOKUP(BR29,Fundamentus!A:U,16,FALSE)&gt;0.1,"Oper.Eficiente","n/a"))</f>
        <v>Oper.Eficiente</v>
      </c>
      <c r="EW29" s="34">
        <f>VLOOKUP(BR29,Fundamentus!A:U,14,FALSE)</f>
        <v>7.0599999999999996E-2</v>
      </c>
      <c r="EX29" s="17" t="str">
        <f>IF(VLOOKUP(BR29,Fundamentus!A:U,21,FALSE)&lt;0,"Negativo",IF(VLOOKUP(BR29,Fundamentus!A:U,21,FALSE)&lt;0.05,"Fraco",IF(VLOOKUP(BR29,Fundamentus!A:U,21,FALSE)&lt;0.1,"Bom",IF(VLOOKUP(BR29,Fundamentus!A:U,21,FALSE)&gt;0.1,"Muito bom","n/a"))))</f>
        <v>Fraco</v>
      </c>
      <c r="EZ29" s="29" t="str">
        <f>IF(VLOOKUP(BR29,Fundamentus!A:U,15,FALSE)&gt;1,"Bom",IF(VLOOKUP(BR29,Fundamentus!A:U,15,FALSE)&lt;1,"Ruim","n/a"))</f>
        <v>Bom</v>
      </c>
      <c r="FA29" s="17" t="str">
        <f>IF(VLOOKUP(BR29,Fundamentus!A:U,20,FALSE)&lt;0.5,"Baixa",IF(VLOOKUP(BR29,Fundamentus!A:U,20,FALSE)&lt;1,"Moderada",IF(VLOOKUP(BR29,Fundamentus!A:U,20,FALSE)&lt;2,"Alerta",IF(VLOOKUP(BR29,Fundamentus!A:U,20,FALSE)&gt;2,"Alta","n/a"))))</f>
        <v>Baixa</v>
      </c>
    </row>
    <row r="30" spans="1:158" s="2" customFormat="1" ht="11.25"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5">
        <v>9.84</v>
      </c>
      <c r="BC30" s="52">
        <v>10.1</v>
      </c>
      <c r="BD30" s="52">
        <v>9.7100000000000009</v>
      </c>
      <c r="BE30" s="52">
        <v>9.75</v>
      </c>
      <c r="BF30" s="52">
        <v>9.6</v>
      </c>
      <c r="BG30" s="67">
        <v>9.7200000000000006</v>
      </c>
      <c r="BH30" s="52">
        <v>9.58</v>
      </c>
      <c r="BI30" s="52">
        <v>10.06</v>
      </c>
      <c r="BJ30" s="52">
        <v>10.17</v>
      </c>
      <c r="BK30" s="52">
        <v>9.91</v>
      </c>
      <c r="BL30" s="52">
        <v>9.5500000000000007</v>
      </c>
      <c r="BM30" s="52">
        <v>9.42</v>
      </c>
      <c r="BN30" s="52">
        <v>9.2799999999999994</v>
      </c>
      <c r="BO30" s="52">
        <v>9.39</v>
      </c>
      <c r="BP30" s="52">
        <v>9.25</v>
      </c>
      <c r="BQ30" s="52" cm="1">
        <f t="array" aca="1" ref="BQ30" ca="1">_FV(EE30,"Preço")</f>
        <v>9.25</v>
      </c>
      <c r="BR30" s="69" t="s">
        <v>27</v>
      </c>
      <c r="BS30" s="36" cm="1">
        <f t="array" aca="1" ref="BS30" ca="1">_FV(EE30,"Média de volume",TRUE)</f>
        <v>87500</v>
      </c>
      <c r="BT30" s="36">
        <v>30800</v>
      </c>
      <c r="BU30" s="36" cm="1">
        <f t="array" aca="1" ref="BU30" ca="1">_FV(EE30,"Volume")</f>
        <v>30800</v>
      </c>
      <c r="BV30" s="24" cm="1">
        <f t="array" aca="1" ref="BV30" ca="1">_FV(EE30,"Beta")</f>
        <v>0.14099999999999999</v>
      </c>
      <c r="BW30" s="71" cm="1">
        <f t="array" aca="1" ref="BW30" ca="1">_FV(EE30,"Variação (%)",TRUE)</f>
        <v>-1.5956999999999999E-2</v>
      </c>
      <c r="BY30" s="17" cm="1">
        <f t="array" aca="1" ref="BY30" ca="1">_FV(EE30,"Baixo")</f>
        <v>9.16</v>
      </c>
      <c r="BZ30" s="17" cm="1">
        <f t="array" aca="1" ref="BZ30" ca="1">_FV(EE30,"Alto")</f>
        <v>9.5</v>
      </c>
      <c r="CA30" s="24"/>
      <c r="CB30" s="63">
        <f ca="1">SQRT(22.5*(BQ30/VLOOKUP(BR30,Fundamentus!A:U,3,FALSE))*(BQ30/VLOOKUP(BR30,Fundamentus!A:U,4,FALSE)))</f>
        <v>16.311117366730084</v>
      </c>
      <c r="CD30" s="62">
        <f t="shared" ca="1" si="24"/>
        <v>0</v>
      </c>
      <c r="CE30" s="8"/>
      <c r="CF30" s="61">
        <f t="shared" si="25"/>
        <v>9.25</v>
      </c>
      <c r="CG30" s="61">
        <f t="shared" si="26"/>
        <v>12.68</v>
      </c>
      <c r="CH30" s="61">
        <f t="shared" si="27"/>
        <v>10.688235294117648</v>
      </c>
      <c r="CI30" s="14"/>
      <c r="CJ30" s="35">
        <f t="shared" si="1"/>
        <v>8.7995691788584125</v>
      </c>
      <c r="CK30" s="15">
        <f t="shared" si="28"/>
        <v>9.2349999999999568</v>
      </c>
      <c r="CL30" s="35">
        <f t="shared" si="2"/>
        <v>9.6704308211415011</v>
      </c>
      <c r="CN30" s="14"/>
      <c r="CO30" s="17">
        <f t="shared" si="3"/>
        <v>4.6766666666666659</v>
      </c>
      <c r="CP30" s="17">
        <f t="shared" si="4"/>
        <v>6.9633333333333329</v>
      </c>
      <c r="CQ30" s="17">
        <f t="shared" si="5"/>
        <v>8.1066666666666656</v>
      </c>
      <c r="CR30" s="38">
        <f t="shared" si="29"/>
        <v>10.393333333333333</v>
      </c>
      <c r="CS30" s="17">
        <f t="shared" si="6"/>
        <v>11.536666666666665</v>
      </c>
      <c r="CT30" s="17">
        <f t="shared" si="7"/>
        <v>13.823333333333332</v>
      </c>
      <c r="CU30" s="17">
        <f t="shared" si="8"/>
        <v>14.966666666666665</v>
      </c>
      <c r="CV30" s="2" cm="1">
        <f t="array" aca="1" ref="CV30" ca="1">MAX(_xlfn._xlws.FILTER(CO30:CU30,CO30:CU30&lt;BQ30))</f>
        <v>8.1066666666666656</v>
      </c>
      <c r="CW30" s="2" cm="1">
        <f t="array" aca="1" ref="CW30" ca="1">MIN(_xlfn._xlws.FILTER($CO30:$CU30,$CO30:$CU30&gt;BQ30))</f>
        <v>10.393333333333333</v>
      </c>
      <c r="CX30" s="16">
        <f t="shared" ca="1" si="63"/>
        <v>0.28207236842105265</v>
      </c>
      <c r="CY30" s="20">
        <f t="shared" ca="1" si="64"/>
        <v>-0.14103618421052633</v>
      </c>
      <c r="CZ30" s="20">
        <f t="shared" ca="1" si="65"/>
        <v>-9.4024122807017552E-2</v>
      </c>
      <c r="DA30" s="20">
        <f t="shared" ca="1" si="66"/>
        <v>-5.6414473684210528E-2</v>
      </c>
      <c r="DB30" s="20">
        <f t="shared" ca="1" si="67"/>
        <v>-3.1341374269005851E-2</v>
      </c>
      <c r="DC30" s="20">
        <f t="shared" ca="1" si="68"/>
        <v>-1.659249226006192E-2</v>
      </c>
      <c r="DD30" s="20">
        <f t="shared" ca="1" si="69"/>
        <v>-8.5476475279106859E-3</v>
      </c>
      <c r="DE30" s="20">
        <f t="shared" ca="1" si="70"/>
        <v>-4.3395748987854251E-3</v>
      </c>
      <c r="DF30" s="21">
        <f t="shared" ca="1" si="71"/>
        <v>4.3395748987854251E-3</v>
      </c>
      <c r="DG30" s="21">
        <f t="shared" ca="1" si="72"/>
        <v>8.5476475279106859E-3</v>
      </c>
      <c r="DH30" s="21">
        <f t="shared" ca="1" si="73"/>
        <v>1.659249226006192E-2</v>
      </c>
      <c r="DI30" s="21">
        <f t="shared" ca="1" si="74"/>
        <v>3.1341374269005851E-2</v>
      </c>
      <c r="DJ30" s="21">
        <f t="shared" ca="1" si="75"/>
        <v>5.6414473684210528E-2</v>
      </c>
      <c r="DK30" s="21">
        <f t="shared" ca="1" si="76"/>
        <v>9.4024122807017552E-2</v>
      </c>
      <c r="DL30" s="21">
        <f t="shared" ca="1" si="77"/>
        <v>0.14103618421052633</v>
      </c>
      <c r="DN30" s="16" cm="1">
        <f t="array" aca="1" ref="DN30" ca="1">MAX(_xlfn._xlws.FILTER(CY30:DL30,CY30:DL30&lt;BW30))</f>
        <v>-1.659249226006192E-2</v>
      </c>
      <c r="DO30" s="16" cm="1">
        <f t="array" aca="1" ref="DO30" ca="1">MIN(_xlfn._xlws.FILTER(CY30:DL30,CY30:DL30&gt;BW30))</f>
        <v>-8.5476475279106859E-3</v>
      </c>
      <c r="DP30" s="2" cm="1">
        <f t="array" aca="1" ref="DP30" ca="1">_FV(EE30,"Fechamento anterior",TRUE)</f>
        <v>9.4</v>
      </c>
      <c r="DQ30" s="28">
        <f t="shared" ca="1" si="15"/>
        <v>7.8938186216728129E-2</v>
      </c>
      <c r="DR30" s="15">
        <f t="shared" ca="1" si="78"/>
        <v>9.2440305727554186</v>
      </c>
      <c r="DS30" s="15">
        <f t="shared" ca="1" si="79"/>
        <v>9.3196521132376393</v>
      </c>
      <c r="DT30" s="9"/>
      <c r="DU30" s="9"/>
      <c r="DV30" s="9"/>
      <c r="DW30" s="89">
        <v>8.3473703911660074E-3</v>
      </c>
      <c r="DX30" s="89">
        <f t="shared" ca="1" si="18"/>
        <v>8.0448447321512344E-3</v>
      </c>
      <c r="DY30" s="72">
        <f t="shared" ca="1" si="19"/>
        <v>3.4448640913196153E-2</v>
      </c>
      <c r="DZ30" s="37"/>
      <c r="EA30" s="35">
        <f t="shared" si="39"/>
        <v>0.21771541057077259</v>
      </c>
      <c r="EB30" s="56"/>
      <c r="EC30" s="56"/>
      <c r="EE30" s="2" t="e" vm="30">
        <v>#VALUE!</v>
      </c>
      <c r="EG30" s="10" cm="1">
        <f t="array" aca="1" ref="EG30" ca="1">_FV(EE30,"Ações em circulação",TRUE)</f>
        <v>42275080</v>
      </c>
      <c r="EH30" s="18">
        <f>VLOOKUP(BR30,Fundamentus!A:U,5,FALSE)</f>
        <v>0.94299999999999995</v>
      </c>
      <c r="EI30" s="2">
        <f t="shared" ca="1" si="20"/>
        <v>414681325.55673385</v>
      </c>
      <c r="EJ30" s="17">
        <v>72942445.165429488</v>
      </c>
      <c r="EK30" s="17">
        <f t="shared" ca="1" si="21"/>
        <v>72942445.165429488</v>
      </c>
      <c r="EM30" s="16">
        <f t="shared" ca="1" si="22"/>
        <v>0</v>
      </c>
      <c r="EN30" s="32" t="str">
        <f>IF(VLOOKUP(BR30,Fundamentus!A:U,3,FALSE)&lt;15,"Bom",IF(VLOOKUP(BR30,Fundamentus!A:U,3,FALSE)&gt;15,"Ruim","n/a"))</f>
        <v>Bom</v>
      </c>
      <c r="EO30" s="28" t="str">
        <f>IF(VLOOKUP(BR30,Fundamentus!A:U,4,FALSE)&lt;1,"Baixo",IF(VLOOKUP(BR30,Fundamentus!A:U,4,FALSE)&lt;1.5,"Moderado",IF(VLOOKUP(BR30,Fundamentus!A:U,4,FALSE)&gt;1.5,"Alto","n/a")))</f>
        <v>Moderado</v>
      </c>
      <c r="EP30" s="17" t="str">
        <f>IF(VLOOKUP(BR30,Fundamentus!A:U,8,FALSE)&lt;0,"Risco elevado",IF(VLOOKUP(BR30,Fundamentus!A:U,8,FALSE)&lt;1,"Saudável",IF(VLOOKUP(BR30,Fundamentus!A:U,8,FALSE)&lt;3,"Estável",IF(VLOOKUP(BR30,Fundamentus!A:U,8,FALSE)&gt;3,"Alerta","n/a"))))</f>
        <v>Alerta</v>
      </c>
      <c r="EQ30" s="28" t="str">
        <f t="shared" si="23"/>
        <v>Ruim</v>
      </c>
      <c r="ER30" s="17" t="str">
        <f>IF(VLOOKUP(BR30,Fundamentus!A:U,12,FALSE)&lt;2,"Subvalorizada",IF(VLOOKUP(BR30,Fundamentus!A:U,12,FALSE)&lt;6,"Muita barata",IF(VLOOKUP(BR30,Fundamentus!A:U,12,FALSE)&lt;6,"Barata",IF(VLOOKUP(BR30,Fundamentus!A:U,12,FALSE)&lt;8,"Atrativa",IF(VLOOKUP(BR30,Fundamentus!A:U,12,FALSE)&gt;8,"Supervalorizada","n/a")))))</f>
        <v>Muita barata</v>
      </c>
      <c r="ET30" s="17" t="str">
        <f>IF(VLOOKUP(BR30,Fundamentus!A:U,17,FALSE)&lt;0.1,"Fraco retorno",IF(VLOOKUP(BR30,Fundamentus!A:U,17,FALSE)&gt;0.1,"Bom retorno","n/a"))</f>
        <v>Bom retorno</v>
      </c>
      <c r="EU30" s="17" t="str">
        <f>IF(VLOOKUP(BR30,Fundamentus!A:U,16,FALSE)&lt;0.1,"Ineficiente",IF(VLOOKUP(BR30,Fundamentus!A:U,16,FALSE)&gt;0.1,"Eficiente","n/a"))</f>
        <v>Eficiente</v>
      </c>
      <c r="EV30" s="33" t="str">
        <f>IF(VLOOKUP(BR30,Fundamentus!A:U,16,FALSE)&lt;0.1,"Oper. Ineficiente",IF(VLOOKUP(BR30,Fundamentus!A:U,16,FALSE)&gt;0.1,"Oper.Eficiente","n/a"))</f>
        <v>Oper.Eficiente</v>
      </c>
      <c r="EW30" s="34">
        <f>VLOOKUP(BR30,Fundamentus!A:U,14,FALSE)</f>
        <v>0.1759</v>
      </c>
      <c r="EX30" s="17" t="str">
        <f>IF(VLOOKUP(BR30,Fundamentus!A:U,21,FALSE)&lt;0,"Negativo",IF(VLOOKUP(BR30,Fundamentus!A:U,21,FALSE)&lt;0.05,"Fraco",IF(VLOOKUP(BR30,Fundamentus!A:U,21,FALSE)&lt;0.1,"Bom",IF(VLOOKUP(BR30,Fundamentus!A:U,21,FALSE)&gt;0.1,"Muito bom","n/a"))))</f>
        <v>Muito bom</v>
      </c>
      <c r="EZ30" s="29" t="str">
        <f>IF(VLOOKUP(BR30,Fundamentus!A:U,15,FALSE)&gt;1,"Bom",IF(VLOOKUP(BR30,Fundamentus!A:U,15,FALSE)&lt;1,"Ruim","n/a"))</f>
        <v>Bom</v>
      </c>
      <c r="FA30" s="17" t="str">
        <f>IF(VLOOKUP(BR30,Fundamentus!A:U,20,FALSE)&lt;0.5,"Baixa",IF(VLOOKUP(BR30,Fundamentus!A:U,20,FALSE)&lt;1,"Moderada",IF(VLOOKUP(BR30,Fundamentus!A:U,20,FALSE)&lt;2,"Alerta",IF(VLOOKUP(BR30,Fundamentus!A:U,20,FALSE)&gt;2,"Alta","n/a"))))</f>
        <v>Baixa</v>
      </c>
    </row>
    <row r="31" spans="1:158" s="2" customFormat="1" ht="11.25"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5">
        <v>15.28</v>
      </c>
      <c r="BC31" s="52">
        <v>15.81</v>
      </c>
      <c r="BD31" s="52">
        <v>15.14</v>
      </c>
      <c r="BE31" s="52">
        <v>14.69</v>
      </c>
      <c r="BF31" s="52">
        <v>14.74</v>
      </c>
      <c r="BG31" s="67">
        <v>14.5</v>
      </c>
      <c r="BH31" s="52">
        <v>14.49</v>
      </c>
      <c r="BI31" s="52">
        <v>14.59</v>
      </c>
      <c r="BJ31" s="52">
        <v>15.4</v>
      </c>
      <c r="BK31" s="52">
        <v>15.4</v>
      </c>
      <c r="BL31" s="52">
        <v>14.99</v>
      </c>
      <c r="BM31" s="52">
        <v>15.05</v>
      </c>
      <c r="BN31" s="52">
        <v>14.49</v>
      </c>
      <c r="BO31" s="52">
        <v>14.8</v>
      </c>
      <c r="BP31" s="52">
        <v>14.61</v>
      </c>
      <c r="BQ31" s="52" cm="1">
        <f t="array" aca="1" ref="BQ31" ca="1">_FV(EE31,"Preço")</f>
        <v>14.61</v>
      </c>
      <c r="BR31" s="69" t="s">
        <v>28</v>
      </c>
      <c r="BS31" s="36" cm="1">
        <f t="array" aca="1" ref="BS31" ca="1">_FV(EE31,"Média de volume",TRUE)</f>
        <v>3821570</v>
      </c>
      <c r="BT31" s="36">
        <v>32800</v>
      </c>
      <c r="BU31" s="36" cm="1">
        <f t="array" aca="1" ref="BU31" ca="1">_FV(EE31,"Volume")</f>
        <v>32800</v>
      </c>
      <c r="BV31" s="24" cm="1">
        <f t="array" aca="1" ref="BV31" ca="1">_FV(EE31,"Beta")</f>
        <v>0.92149999999999999</v>
      </c>
      <c r="BW31" s="71" cm="1">
        <f t="array" aca="1" ref="BW31" ca="1">_FV(EE31,"Variação (%)",TRUE)</f>
        <v>-1.8145000000000001E-2</v>
      </c>
      <c r="BY31" s="17" cm="1">
        <f t="array" aca="1" ref="BY31" ca="1">_FV(EE31,"Baixo")</f>
        <v>14.56</v>
      </c>
      <c r="BZ31" s="17" cm="1">
        <f t="array" aca="1" ref="BZ31" ca="1">_FV(EE31,"Alto")</f>
        <v>14.76</v>
      </c>
      <c r="CA31" s="24"/>
      <c r="CB31" s="63">
        <f ca="1">SQRT(22.5*(BQ31/VLOOKUP(BR31,Fundamentus!A:U,3,FALSE))*(BQ31/VLOOKUP(BR31,Fundamentus!A:U,4,FALSE)))</f>
        <v>36.358735946174384</v>
      </c>
      <c r="CD31" s="62">
        <f t="shared" ca="1" si="24"/>
        <v>0</v>
      </c>
      <c r="CE31" s="8"/>
      <c r="CF31" s="61">
        <f t="shared" si="25"/>
        <v>14.49</v>
      </c>
      <c r="CG31" s="61">
        <f t="shared" si="26"/>
        <v>19.52</v>
      </c>
      <c r="CH31" s="61">
        <f t="shared" si="27"/>
        <v>16.655808823529409</v>
      </c>
      <c r="CI31" s="14"/>
      <c r="CJ31" s="35">
        <f t="shared" si="1"/>
        <v>13.886254645111977</v>
      </c>
      <c r="CK31" s="15">
        <f t="shared" si="28"/>
        <v>14.485000000000014</v>
      </c>
      <c r="CL31" s="35">
        <f t="shared" si="2"/>
        <v>15.08374535488805</v>
      </c>
      <c r="CN31" s="14"/>
      <c r="CO31" s="17">
        <f t="shared" si="3"/>
        <v>7.8633333333333351</v>
      </c>
      <c r="CP31" s="17">
        <f t="shared" si="4"/>
        <v>11.176666666666668</v>
      </c>
      <c r="CQ31" s="17">
        <f t="shared" si="5"/>
        <v>12.893333333333334</v>
      </c>
      <c r="CR31" s="38">
        <f t="shared" si="29"/>
        <v>16.206666666666667</v>
      </c>
      <c r="CS31" s="17">
        <f t="shared" si="6"/>
        <v>17.923333333333332</v>
      </c>
      <c r="CT31" s="17">
        <f t="shared" si="7"/>
        <v>21.236666666666665</v>
      </c>
      <c r="CU31" s="17">
        <f t="shared" si="8"/>
        <v>22.953333333333333</v>
      </c>
      <c r="CV31" s="2" cm="1">
        <f t="array" aca="1" ref="CV31" ca="1">MAX(_xlfn._xlws.FILTER(CO31:CU31,CO31:CU31&lt;BQ31))</f>
        <v>12.893333333333334</v>
      </c>
      <c r="CW31" s="2" cm="1">
        <f t="array" aca="1" ref="CW31" ca="1">MIN(_xlfn._xlws.FILTER($CO31:$CU31,$CO31:$CU31&gt;BQ31))</f>
        <v>16.206666666666667</v>
      </c>
      <c r="CX31" s="16">
        <f t="shared" ca="1" si="63"/>
        <v>0.25698035160289545</v>
      </c>
      <c r="CY31" s="20">
        <f t="shared" ca="1" si="64"/>
        <v>-0.12849017580144773</v>
      </c>
      <c r="CZ31" s="20">
        <f t="shared" ca="1" si="65"/>
        <v>-8.5660117200965155E-2</v>
      </c>
      <c r="DA31" s="20">
        <f t="shared" ca="1" si="66"/>
        <v>-5.1396070320579093E-2</v>
      </c>
      <c r="DB31" s="20">
        <f t="shared" ca="1" si="67"/>
        <v>-2.8553372400321717E-2</v>
      </c>
      <c r="DC31" s="20">
        <f t="shared" ca="1" si="68"/>
        <v>-1.5116491270758555E-2</v>
      </c>
      <c r="DD31" s="20">
        <f t="shared" ca="1" si="69"/>
        <v>-7.7872833819059226E-3</v>
      </c>
      <c r="DE31" s="20">
        <f t="shared" ca="1" si="70"/>
        <v>-3.9535438708137765E-3</v>
      </c>
      <c r="DF31" s="21">
        <f t="shared" ca="1" si="71"/>
        <v>3.9535438708137765E-3</v>
      </c>
      <c r="DG31" s="21">
        <f t="shared" ca="1" si="72"/>
        <v>7.7872833819059226E-3</v>
      </c>
      <c r="DH31" s="21">
        <f t="shared" ca="1" si="73"/>
        <v>1.5116491270758555E-2</v>
      </c>
      <c r="DI31" s="21">
        <f t="shared" ca="1" si="74"/>
        <v>2.8553372400321717E-2</v>
      </c>
      <c r="DJ31" s="21">
        <f t="shared" ca="1" si="75"/>
        <v>5.1396070320579093E-2</v>
      </c>
      <c r="DK31" s="21">
        <f t="shared" ca="1" si="76"/>
        <v>8.5660117200965155E-2</v>
      </c>
      <c r="DL31" s="21">
        <f t="shared" ca="1" si="77"/>
        <v>0.12849017580144773</v>
      </c>
      <c r="DN31" s="16" cm="1">
        <f t="array" aca="1" ref="DN31" ca="1">MAX(_xlfn._xlws.FILTER(CY31:DL31,CY31:DL31&lt;BW31))</f>
        <v>-2.8553372400321717E-2</v>
      </c>
      <c r="DO31" s="16" cm="1">
        <f t="array" aca="1" ref="DO31" ca="1">MIN(_xlfn._xlws.FILTER(CY31:DL31,CY31:DL31&gt;BW31))</f>
        <v>-1.5116491270758555E-2</v>
      </c>
      <c r="DP31" s="2" cm="1">
        <f t="array" aca="1" ref="DP31" ca="1">_FV(EE31,"Fechamento anterior",TRUE)</f>
        <v>14.88</v>
      </c>
      <c r="DQ31" s="28">
        <f t="shared" ca="1" si="15"/>
        <v>0.77460022230154379</v>
      </c>
      <c r="DR31" s="15">
        <f t="shared" ca="1" si="78"/>
        <v>14.455125818683214</v>
      </c>
      <c r="DS31" s="15">
        <f t="shared" ca="1" si="79"/>
        <v>14.655066609891113</v>
      </c>
      <c r="DT31" s="9"/>
      <c r="DU31" s="9"/>
      <c r="DV31" s="9"/>
      <c r="DW31" s="89">
        <v>1.3051815708362195E-2</v>
      </c>
      <c r="DX31" s="89">
        <f t="shared" ca="1" si="18"/>
        <v>1.3436881129563162E-2</v>
      </c>
      <c r="DY31" s="72">
        <f t="shared" ca="1" si="19"/>
        <v>0.20876988686344033</v>
      </c>
      <c r="DZ31" s="37"/>
      <c r="EA31" s="35">
        <f t="shared" si="39"/>
        <v>0.29937267744401796</v>
      </c>
      <c r="EB31" s="56"/>
      <c r="EC31" s="56"/>
      <c r="EE31" s="2" t="e" vm="31">
        <v>#VALUE!</v>
      </c>
      <c r="EG31" s="10" cm="1">
        <f t="array" aca="1" ref="EG31" ca="1">_FV(EE31,"Ações em circulação",TRUE)</f>
        <v>393096600</v>
      </c>
      <c r="EH31" s="18">
        <f>VLOOKUP(BR31,Fundamentus!A:U,5,FALSE)</f>
        <v>0</v>
      </c>
      <c r="EI31" s="2" t="e">
        <f t="shared" ca="1" si="20"/>
        <v>#DIV/0!</v>
      </c>
      <c r="EJ31" s="17" t="e">
        <v>#DIV/0!</v>
      </c>
      <c r="EK31" s="17" t="e">
        <f t="shared" ca="1" si="21"/>
        <v>#DIV/0!</v>
      </c>
      <c r="EM31" s="16" t="e">
        <f t="shared" ca="1" si="22"/>
        <v>#DIV/0!</v>
      </c>
      <c r="EN31" s="32" t="str">
        <f>IF(VLOOKUP(BR31,Fundamentus!A:U,3,FALSE)&lt;15,"Bom",IF(VLOOKUP(BR31,Fundamentus!A:U,3,FALSE)&gt;15,"Ruim","n/a"))</f>
        <v>Bom</v>
      </c>
      <c r="EO31" s="28" t="str">
        <f>IF(VLOOKUP(BR31,Fundamentus!A:U,4,FALSE)&lt;1,"Baixo",IF(VLOOKUP(BR31,Fundamentus!A:U,4,FALSE)&lt;1.5,"Moderado",IF(VLOOKUP(BR31,Fundamentus!A:U,4,FALSE)&gt;1.5,"Alto","n/a")))</f>
        <v>Baixo</v>
      </c>
      <c r="EP31" s="17" t="str">
        <f>IF(VLOOKUP(BR31,Fundamentus!A:U,8,FALSE)&lt;0,"Risco elevado",IF(VLOOKUP(BR31,Fundamentus!A:U,8,FALSE)&lt;1,"Saudável",IF(VLOOKUP(BR31,Fundamentus!A:U,8,FALSE)&lt;3,"Estável",IF(VLOOKUP(BR31,Fundamentus!A:U,8,FALSE)&gt;3,"Alerta","n/a"))))</f>
        <v>Alerta</v>
      </c>
      <c r="EQ31" s="28" t="str">
        <f t="shared" si="23"/>
        <v>Ruim</v>
      </c>
      <c r="ER31" s="17" t="str">
        <f>IF(VLOOKUP(BR31,Fundamentus!A:U,12,FALSE)&lt;2,"Subvalorizada",IF(VLOOKUP(BR31,Fundamentus!A:U,12,FALSE)&lt;6,"Muita barata",IF(VLOOKUP(BR31,Fundamentus!A:U,12,FALSE)&lt;6,"Barata",IF(VLOOKUP(BR31,Fundamentus!A:U,12,FALSE)&lt;8,"Atrativa",IF(VLOOKUP(BR31,Fundamentus!A:U,12,FALSE)&gt;8,"Supervalorizada","n/a")))))</f>
        <v>Subvalorizada</v>
      </c>
      <c r="ET31" s="17" t="str">
        <f>IF(VLOOKUP(BR31,Fundamentus!A:U,17,FALSE)&lt;0.1,"Fraco retorno",IF(VLOOKUP(BR31,Fundamentus!A:U,17,FALSE)&gt;0.1,"Bom retorno","n/a"))</f>
        <v>Bom retorno</v>
      </c>
      <c r="EU31" s="17" t="str">
        <f>IF(VLOOKUP(BR31,Fundamentus!A:U,16,FALSE)&lt;0.1,"Ineficiente",IF(VLOOKUP(BR31,Fundamentus!A:U,16,FALSE)&gt;0.1,"Eficiente","n/a"))</f>
        <v>Ineficiente</v>
      </c>
      <c r="EV31" s="33" t="str">
        <f>IF(VLOOKUP(BR31,Fundamentus!A:U,16,FALSE)&lt;0.1,"Oper. Ineficiente",IF(VLOOKUP(BR31,Fundamentus!A:U,16,FALSE)&gt;0.1,"Oper.Eficiente","n/a"))</f>
        <v>Oper. Ineficiente</v>
      </c>
      <c r="EW31" s="34">
        <f>VLOOKUP(BR31,Fundamentus!A:U,14,FALSE)</f>
        <v>0</v>
      </c>
      <c r="EX31" s="17" t="str">
        <f>IF(VLOOKUP(BR31,Fundamentus!A:U,21,FALSE)&lt;0,"Negativo",IF(VLOOKUP(BR31,Fundamentus!A:U,21,FALSE)&lt;0.05,"Fraco",IF(VLOOKUP(BR31,Fundamentus!A:U,21,FALSE)&lt;0.1,"Bom",IF(VLOOKUP(BR31,Fundamentus!A:U,21,FALSE)&gt;0.1,"Muito bom","n/a"))))</f>
        <v>Fraco</v>
      </c>
      <c r="EZ31" s="29" t="str">
        <f>IF(VLOOKUP(BR31,Fundamentus!A:U,15,FALSE)&gt;1,"Bom",IF(VLOOKUP(BR31,Fundamentus!A:U,15,FALSE)&lt;1,"Ruim","n/a"))</f>
        <v>Bom</v>
      </c>
      <c r="FA31" s="17" t="str">
        <f>IF(VLOOKUP(BR31,Fundamentus!A:U,20,FALSE)&lt;0.5,"Baixa",IF(VLOOKUP(BR31,Fundamentus!A:U,20,FALSE)&lt;1,"Moderada",IF(VLOOKUP(BR31,Fundamentus!A:U,20,FALSE)&lt;2,"Alerta",IF(VLOOKUP(BR31,Fundamentus!A:U,20,FALSE)&gt;2,"Alta","n/a"))))</f>
        <v>Baixa</v>
      </c>
    </row>
    <row r="32" spans="1:158" s="2" customFormat="1" ht="11.25"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5">
        <v>1.23</v>
      </c>
      <c r="BC32" s="52">
        <v>1.24</v>
      </c>
      <c r="BD32" s="52">
        <v>1.23</v>
      </c>
      <c r="BE32" s="52">
        <v>1.24</v>
      </c>
      <c r="BF32" s="52">
        <v>1.22</v>
      </c>
      <c r="BG32" s="67">
        <v>1.23</v>
      </c>
      <c r="BH32" s="52">
        <v>1.23</v>
      </c>
      <c r="BI32" s="52">
        <v>1.21</v>
      </c>
      <c r="BJ32" s="52">
        <v>1.21</v>
      </c>
      <c r="BK32" s="52">
        <v>1.17</v>
      </c>
      <c r="BL32" s="52">
        <v>1.19</v>
      </c>
      <c r="BM32" s="52">
        <v>1.17</v>
      </c>
      <c r="BN32" s="52">
        <v>1.1599999999999999</v>
      </c>
      <c r="BO32" s="52">
        <v>1.17</v>
      </c>
      <c r="BP32" s="52">
        <v>1.17</v>
      </c>
      <c r="BQ32" s="52" cm="1">
        <f t="array" aca="1" ref="BQ32" ca="1">_FV(EE32,"Preço")</f>
        <v>1.17</v>
      </c>
      <c r="BR32" s="69" t="s">
        <v>29</v>
      </c>
      <c r="BS32" s="36" cm="1">
        <f t="array" aca="1" ref="BS32" ca="1">_FV(EE32,"Média de volume",TRUE)</f>
        <v>2860</v>
      </c>
      <c r="BT32" s="36">
        <v>500</v>
      </c>
      <c r="BU32" s="36" cm="1">
        <f t="array" aca="1" ref="BU32" ca="1">_FV(EE32,"Volume")</f>
        <v>500</v>
      </c>
      <c r="BV32" s="24" cm="1">
        <f t="array" aca="1" ref="BV32" ca="1">_FV(EE32,"Beta")</f>
        <v>1.0228999999999999</v>
      </c>
      <c r="BW32" s="71" cm="1">
        <f t="array" aca="1" ref="BW32" ca="1">_FV(EE32,"Variação (%)",TRUE)</f>
        <v>8.6210000000000002E-3</v>
      </c>
      <c r="BY32" s="17" cm="1">
        <f t="array" aca="1" ref="BY32" ca="1">_FV(EE32,"Baixo")</f>
        <v>1.1499999999999999</v>
      </c>
      <c r="BZ32" s="17" cm="1">
        <f t="array" aca="1" ref="BZ32" ca="1">_FV(EE32,"Alto")</f>
        <v>1.17</v>
      </c>
      <c r="CA32" s="24"/>
      <c r="CB32" s="63" t="e">
        <f ca="1">SQRT(22.5*(BQ32/VLOOKUP(BR32,Fundamentus!A:U,3,FALSE))*(BQ32/VLOOKUP(BR32,Fundamentus!A:U,4,FALSE)))</f>
        <v>#NUM!</v>
      </c>
      <c r="CD32" s="62">
        <f t="shared" ca="1" si="24"/>
        <v>0</v>
      </c>
      <c r="CE32" s="8"/>
      <c r="CF32" s="61">
        <f t="shared" si="25"/>
        <v>1.1399999999999999</v>
      </c>
      <c r="CG32" s="61">
        <f t="shared" si="26"/>
        <v>1.4</v>
      </c>
      <c r="CH32" s="61">
        <f t="shared" si="27"/>
        <v>1.210735294117647</v>
      </c>
      <c r="CI32" s="14"/>
      <c r="CJ32" s="35">
        <f t="shared" si="1"/>
        <v>1.1504040820577346</v>
      </c>
      <c r="CK32" s="15">
        <f t="shared" si="28"/>
        <v>1.17</v>
      </c>
      <c r="CL32" s="35">
        <f t="shared" si="2"/>
        <v>1.1895959179422653</v>
      </c>
      <c r="CN32" s="14"/>
      <c r="CO32" s="17">
        <f t="shared" si="3"/>
        <v>0.81333333333333324</v>
      </c>
      <c r="CP32" s="17">
        <f t="shared" si="4"/>
        <v>0.97666666666666657</v>
      </c>
      <c r="CQ32" s="17">
        <f t="shared" si="5"/>
        <v>1.0733333333333333</v>
      </c>
      <c r="CR32" s="38">
        <f t="shared" si="29"/>
        <v>1.2366666666666666</v>
      </c>
      <c r="CS32" s="17">
        <f t="shared" si="6"/>
        <v>1.3333333333333333</v>
      </c>
      <c r="CT32" s="17">
        <f t="shared" si="7"/>
        <v>1.4966666666666666</v>
      </c>
      <c r="CU32" s="17">
        <f t="shared" si="8"/>
        <v>1.5933333333333333</v>
      </c>
      <c r="CV32" s="2" cm="1">
        <f t="array" aca="1" ref="CV32" ca="1">MAX(_xlfn._xlws.FILTER(CO32:CU32,CO32:CU32&lt;BQ32))</f>
        <v>1.0733333333333333</v>
      </c>
      <c r="CW32" s="2" cm="1">
        <f t="array" aca="1" ref="CW32" ca="1">MIN(_xlfn._xlws.FILTER($CO32:$CU32,$CO32:$CU32&gt;BQ32))</f>
        <v>1.2366666666666666</v>
      </c>
      <c r="CX32" s="16">
        <f t="shared" ca="1" si="63"/>
        <v>0.15217391304347827</v>
      </c>
      <c r="CY32" s="20">
        <f t="shared" ca="1" si="64"/>
        <v>-7.6086956521739135E-2</v>
      </c>
      <c r="CZ32" s="20">
        <f t="shared" ca="1" si="65"/>
        <v>-5.0724637681159424E-2</v>
      </c>
      <c r="DA32" s="20">
        <f t="shared" ca="1" si="66"/>
        <v>-3.0434782608695653E-2</v>
      </c>
      <c r="DB32" s="20">
        <f t="shared" ca="1" si="67"/>
        <v>-1.6908212560386476E-2</v>
      </c>
      <c r="DC32" s="20">
        <f t="shared" ca="1" si="68"/>
        <v>-8.9514066496163697E-3</v>
      </c>
      <c r="DD32" s="20">
        <f t="shared" ca="1" si="69"/>
        <v>-4.61133069828722E-3</v>
      </c>
      <c r="DE32" s="20">
        <f t="shared" ca="1" si="70"/>
        <v>-2.3411371237458197E-3</v>
      </c>
      <c r="DF32" s="21">
        <f t="shared" ca="1" si="71"/>
        <v>2.3411371237458197E-3</v>
      </c>
      <c r="DG32" s="21">
        <f t="shared" ca="1" si="72"/>
        <v>4.61133069828722E-3</v>
      </c>
      <c r="DH32" s="21">
        <f t="shared" ca="1" si="73"/>
        <v>8.9514066496163697E-3</v>
      </c>
      <c r="DI32" s="21">
        <f t="shared" ca="1" si="74"/>
        <v>1.6908212560386476E-2</v>
      </c>
      <c r="DJ32" s="21">
        <f t="shared" ca="1" si="75"/>
        <v>3.0434782608695653E-2</v>
      </c>
      <c r="DK32" s="21">
        <f t="shared" ca="1" si="76"/>
        <v>5.0724637681159424E-2</v>
      </c>
      <c r="DL32" s="21">
        <f t="shared" ca="1" si="77"/>
        <v>7.6086956521739135E-2</v>
      </c>
      <c r="DN32" s="16" cm="1">
        <f t="array" aca="1" ref="DN32" ca="1">MAX(_xlfn._xlws.FILTER(CY32:DL32,CY32:DL32&lt;BW32))</f>
        <v>4.61133069828722E-3</v>
      </c>
      <c r="DO32" s="16" cm="1">
        <f t="array" aca="1" ref="DO32" ca="1">MIN(_xlfn._xlws.FILTER(CY32:DL32,CY32:DL32&gt;BW32))</f>
        <v>8.9514066496163697E-3</v>
      </c>
      <c r="DP32" s="2" cm="1">
        <f t="array" aca="1" ref="DP32" ca="1">_FV(EE32,"Fechamento anterior",TRUE)</f>
        <v>1.1599999999999999</v>
      </c>
      <c r="DQ32" s="28">
        <f t="shared" ca="1" si="15"/>
        <v>0.92379926108373223</v>
      </c>
      <c r="DR32" s="15">
        <f t="shared" ca="1" si="78"/>
        <v>1.1653491436100132</v>
      </c>
      <c r="DS32" s="15">
        <f t="shared" ca="1" si="79"/>
        <v>1.170383631713555</v>
      </c>
      <c r="DT32" s="9"/>
      <c r="DU32" s="9"/>
      <c r="DV32" s="9"/>
      <c r="DW32" s="89">
        <v>4.6822742474916393E-3</v>
      </c>
      <c r="DX32" s="89">
        <f t="shared" ca="1" si="18"/>
        <v>4.3400759513291497E-3</v>
      </c>
      <c r="DY32" s="72">
        <f t="shared" ca="1" si="19"/>
        <v>0</v>
      </c>
      <c r="DZ32" s="37"/>
      <c r="EA32" s="35">
        <f t="shared" si="39"/>
        <v>9.7979589711327201E-3</v>
      </c>
      <c r="EB32" s="56"/>
      <c r="EC32" s="56"/>
      <c r="EE32" s="2" t="e" vm="32">
        <v>#VALUE!</v>
      </c>
      <c r="EG32" s="10" cm="1">
        <f t="array" aca="1" ref="EG32" ca="1">_FV(EE32,"Ações em circulação",TRUE)</f>
        <v>11900000</v>
      </c>
      <c r="EH32" s="18">
        <f>VLOOKUP(BR32,Fundamentus!A:U,5,FALSE)</f>
        <v>0.45500000000000002</v>
      </c>
      <c r="EI32" s="2">
        <f t="shared" ca="1" si="20"/>
        <v>30600000</v>
      </c>
      <c r="EJ32" s="17">
        <v>1998180</v>
      </c>
      <c r="EK32" s="17">
        <f t="shared" ca="1" si="21"/>
        <v>1998180</v>
      </c>
      <c r="EM32" s="16">
        <f t="shared" ca="1" si="22"/>
        <v>0</v>
      </c>
      <c r="EN32" s="32" t="str">
        <f>IF(VLOOKUP(BR32,Fundamentus!A:U,3,FALSE)&lt;15,"Bom",IF(VLOOKUP(BR32,Fundamentus!A:U,3,FALSE)&gt;15,"Ruim","n/a"))</f>
        <v>Bom</v>
      </c>
      <c r="EO32" s="28" t="str">
        <f>IF(VLOOKUP(BR32,Fundamentus!A:U,4,FALSE)&lt;1,"Baixo",IF(VLOOKUP(BR32,Fundamentus!A:U,4,FALSE)&lt;1.5,"Moderado",IF(VLOOKUP(BR32,Fundamentus!A:U,4,FALSE)&gt;1.5,"Alto","n/a")))</f>
        <v>Baixo</v>
      </c>
      <c r="EP32" s="17" t="str">
        <f>IF(VLOOKUP(BR32,Fundamentus!A:U,8,FALSE)&lt;0,"Risco elevado",IF(VLOOKUP(BR32,Fundamentus!A:U,8,FALSE)&lt;1,"Saudável",IF(VLOOKUP(BR32,Fundamentus!A:U,8,FALSE)&lt;3,"Estável",IF(VLOOKUP(BR32,Fundamentus!A:U,8,FALSE)&gt;3,"Alerta","n/a"))))</f>
        <v>Saudável</v>
      </c>
      <c r="EQ32" s="28" t="str">
        <f t="shared" si="23"/>
        <v>Ruim</v>
      </c>
      <c r="ER32" s="17" t="str">
        <f>IF(VLOOKUP(BR32,Fundamentus!A:U,12,FALSE)&lt;2,"Subvalorizada",IF(VLOOKUP(BR32,Fundamentus!A:U,12,FALSE)&lt;6,"Muita barata",IF(VLOOKUP(BR32,Fundamentus!A:U,12,FALSE)&lt;6,"Barata",IF(VLOOKUP(BR32,Fundamentus!A:U,12,FALSE)&lt;8,"Atrativa",IF(VLOOKUP(BR32,Fundamentus!A:U,12,FALSE)&gt;8,"Supervalorizada","n/a")))))</f>
        <v>Supervalorizada</v>
      </c>
      <c r="ET32" s="17" t="str">
        <f>IF(VLOOKUP(BR32,Fundamentus!A:U,17,FALSE)&lt;0.1,"Fraco retorno",IF(VLOOKUP(BR32,Fundamentus!A:U,17,FALSE)&gt;0.1,"Bom retorno","n/a"))</f>
        <v>Fraco retorno</v>
      </c>
      <c r="EU32" s="17" t="str">
        <f>IF(VLOOKUP(BR32,Fundamentus!A:U,16,FALSE)&lt;0.1,"Ineficiente",IF(VLOOKUP(BR32,Fundamentus!A:U,16,FALSE)&gt;0.1,"Eficiente","n/a"))</f>
        <v>Ineficiente</v>
      </c>
      <c r="EV32" s="33" t="str">
        <f>IF(VLOOKUP(BR32,Fundamentus!A:U,16,FALSE)&lt;0.1,"Oper. Ineficiente",IF(VLOOKUP(BR32,Fundamentus!A:U,16,FALSE)&gt;0.1,"Oper.Eficiente","n/a"))</f>
        <v>Oper. Ineficiente</v>
      </c>
      <c r="EW32" s="34">
        <f>VLOOKUP(BR32,Fundamentus!A:U,14,FALSE)</f>
        <v>6.5299999999999997E-2</v>
      </c>
      <c r="EX32" s="17" t="str">
        <f>IF(VLOOKUP(BR32,Fundamentus!A:U,21,FALSE)&lt;0,"Negativo",IF(VLOOKUP(BR32,Fundamentus!A:U,21,FALSE)&lt;0.05,"Fraco",IF(VLOOKUP(BR32,Fundamentus!A:U,21,FALSE)&lt;0.1,"Bom",IF(VLOOKUP(BR32,Fundamentus!A:U,21,FALSE)&gt;0.1,"Muito bom","n/a"))))</f>
        <v>Negativo</v>
      </c>
      <c r="EZ32" s="29" t="str">
        <f>IF(VLOOKUP(BR32,Fundamentus!A:U,15,FALSE)&gt;1,"Bom",IF(VLOOKUP(BR32,Fundamentus!A:U,15,FALSE)&lt;1,"Ruim","n/a"))</f>
        <v>Bom</v>
      </c>
      <c r="FA32" s="17" t="str">
        <f>IF(VLOOKUP(BR32,Fundamentus!A:U,20,FALSE)&lt;0.5,"Baixa",IF(VLOOKUP(BR32,Fundamentus!A:U,20,FALSE)&lt;1,"Moderada",IF(VLOOKUP(BR32,Fundamentus!A:U,20,FALSE)&lt;2,"Alerta",IF(VLOOKUP(BR32,Fundamentus!A:U,20,FALSE)&gt;2,"Alta","n/a"))))</f>
        <v>Baixa</v>
      </c>
    </row>
    <row r="33" spans="1:157" s="2" customFormat="1" ht="11.25"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5">
        <v>14.2</v>
      </c>
      <c r="BC33" s="52">
        <v>14.47</v>
      </c>
      <c r="BD33" s="52">
        <v>14.22</v>
      </c>
      <c r="BE33" s="52">
        <v>14.07</v>
      </c>
      <c r="BF33" s="52">
        <v>13.55</v>
      </c>
      <c r="BG33" s="67">
        <v>14.13</v>
      </c>
      <c r="BH33" s="52">
        <v>13.99</v>
      </c>
      <c r="BI33" s="52">
        <v>13.79</v>
      </c>
      <c r="BJ33" s="52">
        <v>13.92</v>
      </c>
      <c r="BK33" s="52">
        <v>13.3</v>
      </c>
      <c r="BL33" s="52">
        <v>12.5</v>
      </c>
      <c r="BM33" s="52">
        <v>12.52</v>
      </c>
      <c r="BN33" s="52">
        <v>12.31</v>
      </c>
      <c r="BO33" s="52">
        <v>12.71</v>
      </c>
      <c r="BP33" s="52">
        <v>12.85</v>
      </c>
      <c r="BQ33" s="52" cm="1">
        <f t="array" aca="1" ref="BQ33" ca="1">_FV(EE33,"Preço")</f>
        <v>12.85</v>
      </c>
      <c r="BR33" s="69" t="s">
        <v>30</v>
      </c>
      <c r="BS33" s="36" cm="1">
        <f t="array" aca="1" ref="BS33" ca="1">_FV(EE33,"Média de volume",TRUE)</f>
        <v>50460</v>
      </c>
      <c r="BT33" s="36">
        <v>28600</v>
      </c>
      <c r="BU33" s="36" cm="1">
        <f t="array" aca="1" ref="BU33" ca="1">_FV(EE33,"Volume")</f>
        <v>28600</v>
      </c>
      <c r="BV33" s="24" cm="1">
        <f t="array" aca="1" ref="BV33" ca="1">_FV(EE33,"Beta")</f>
        <v>1.0993999999999999</v>
      </c>
      <c r="BW33" s="71" cm="1">
        <f t="array" aca="1" ref="BW33" ca="1">_FV(EE33,"Variação (%)",TRUE)</f>
        <v>5.4769999999999992E-3</v>
      </c>
      <c r="BY33" s="17" cm="1">
        <f t="array" aca="1" ref="BY33" ca="1">_FV(EE33,"Baixo")</f>
        <v>12.71</v>
      </c>
      <c r="BZ33" s="17" cm="1">
        <f t="array" aca="1" ref="BZ33" ca="1">_FV(EE33,"Alto")</f>
        <v>12.89</v>
      </c>
      <c r="CA33" s="24"/>
      <c r="CB33" s="63">
        <f ca="1">SQRT(22.5*(BQ33/VLOOKUP(BR33,Fundamentus!A:U,3,FALSE))*(BQ33/VLOOKUP(BR33,Fundamentus!A:U,4,FALSE)))</f>
        <v>22.744253453628836</v>
      </c>
      <c r="CD33" s="62">
        <f t="shared" ca="1" si="24"/>
        <v>0</v>
      </c>
      <c r="CE33" s="8"/>
      <c r="CF33" s="61">
        <f t="shared" si="25"/>
        <v>11.11</v>
      </c>
      <c r="CG33" s="61">
        <f t="shared" si="26"/>
        <v>14.94</v>
      </c>
      <c r="CH33" s="61">
        <f t="shared" si="27"/>
        <v>13.075514705882354</v>
      </c>
      <c r="CI33" s="14"/>
      <c r="CJ33" s="35">
        <f t="shared" si="1"/>
        <v>12.264129968349254</v>
      </c>
      <c r="CK33" s="15">
        <f t="shared" si="28"/>
        <v>12.944999999999936</v>
      </c>
      <c r="CL33" s="35">
        <f t="shared" si="2"/>
        <v>13.625870031650619</v>
      </c>
      <c r="CN33" s="14"/>
      <c r="CO33" s="17">
        <f t="shared" si="3"/>
        <v>7.163333333333334</v>
      </c>
      <c r="CP33" s="17">
        <f t="shared" si="4"/>
        <v>9.1366666666666667</v>
      </c>
      <c r="CQ33" s="17">
        <f t="shared" si="5"/>
        <v>10.993333333333334</v>
      </c>
      <c r="CR33" s="38">
        <f t="shared" si="29"/>
        <v>12.966666666666667</v>
      </c>
      <c r="CS33" s="17">
        <f t="shared" si="6"/>
        <v>14.823333333333334</v>
      </c>
      <c r="CT33" s="17">
        <f t="shared" si="7"/>
        <v>16.796666666666667</v>
      </c>
      <c r="CU33" s="17">
        <f t="shared" si="8"/>
        <v>18.653333333333336</v>
      </c>
      <c r="CV33" s="2" cm="1">
        <f t="array" aca="1" ref="CV33" ca="1">MAX(_xlfn._xlws.FILTER(CO33:CU33,CO33:CU33&lt;BQ33))</f>
        <v>10.993333333333334</v>
      </c>
      <c r="CW33" s="2" cm="1">
        <f t="array" aca="1" ref="CW33" ca="1">MIN(_xlfn._xlws.FILTER($CO33:$CU33,$CO33:$CU33&gt;BQ33))</f>
        <v>12.966666666666667</v>
      </c>
      <c r="CX33" s="16">
        <f t="shared" ca="1" si="63"/>
        <v>0.17950272892662222</v>
      </c>
      <c r="CY33" s="20">
        <f t="shared" ca="1" si="64"/>
        <v>-8.9751364463311112E-2</v>
      </c>
      <c r="CZ33" s="20">
        <f t="shared" ca="1" si="65"/>
        <v>-5.9834242975540741E-2</v>
      </c>
      <c r="DA33" s="20">
        <f t="shared" ca="1" si="66"/>
        <v>-3.5900545785324443E-2</v>
      </c>
      <c r="DB33" s="20">
        <f t="shared" ca="1" si="67"/>
        <v>-1.9944747658513579E-2</v>
      </c>
      <c r="DC33" s="20">
        <f t="shared" ca="1" si="68"/>
        <v>-1.0558984054507189E-2</v>
      </c>
      <c r="DD33" s="20">
        <f t="shared" ca="1" si="69"/>
        <v>-5.4394766341400672E-3</v>
      </c>
      <c r="DE33" s="20">
        <f t="shared" ca="1" si="70"/>
        <v>-2.7615804450249574E-3</v>
      </c>
      <c r="DF33" s="21">
        <f t="shared" ca="1" si="71"/>
        <v>2.7615804450249574E-3</v>
      </c>
      <c r="DG33" s="21">
        <f t="shared" ca="1" si="72"/>
        <v>5.4394766341400672E-3</v>
      </c>
      <c r="DH33" s="21">
        <f t="shared" ca="1" si="73"/>
        <v>1.0558984054507189E-2</v>
      </c>
      <c r="DI33" s="21">
        <f t="shared" ca="1" si="74"/>
        <v>1.9944747658513579E-2</v>
      </c>
      <c r="DJ33" s="21">
        <f t="shared" ca="1" si="75"/>
        <v>3.5900545785324443E-2</v>
      </c>
      <c r="DK33" s="21">
        <f t="shared" ca="1" si="76"/>
        <v>5.9834242975540741E-2</v>
      </c>
      <c r="DL33" s="21">
        <f t="shared" ca="1" si="77"/>
        <v>8.9751364463311112E-2</v>
      </c>
      <c r="DN33" s="16" cm="1">
        <f t="array" aca="1" ref="DN33" ca="1">MAX(_xlfn._xlws.FILTER(CY33:DL33,CY33:DL33&lt;BW33))</f>
        <v>5.4394766341400672E-3</v>
      </c>
      <c r="DO33" s="16" cm="1">
        <f t="array" aca="1" ref="DO33" ca="1">MIN(_xlfn._xlws.FILTER(CY33:DL33,CY33:DL33&gt;BW33))</f>
        <v>1.0558984054507189E-2</v>
      </c>
      <c r="DP33" s="2" cm="1">
        <f t="array" aca="1" ref="DP33" ca="1">_FV(EE33,"Fechamento anterior",TRUE)</f>
        <v>12.78</v>
      </c>
      <c r="DQ33" s="28">
        <f t="shared" ca="1" si="15"/>
        <v>7.3897070486143353E-3</v>
      </c>
      <c r="DR33" s="15">
        <f t="shared" ca="1" si="78"/>
        <v>12.849516511384309</v>
      </c>
      <c r="DS33" s="15">
        <f t="shared" ca="1" si="79"/>
        <v>12.914943816216601</v>
      </c>
      <c r="DT33" s="9"/>
      <c r="DU33" s="9"/>
      <c r="DV33" s="9"/>
      <c r="DW33" s="89">
        <v>5.7021877205363433E-3</v>
      </c>
      <c r="DX33" s="89">
        <f t="shared" ca="1" si="18"/>
        <v>5.1195074203671219E-3</v>
      </c>
      <c r="DY33" s="72">
        <f t="shared" ca="1" si="19"/>
        <v>-0.13952736290892595</v>
      </c>
      <c r="DZ33" s="37"/>
      <c r="EA33" s="35">
        <f t="shared" si="39"/>
        <v>0.34043501582534097</v>
      </c>
      <c r="EB33" s="56"/>
      <c r="EC33" s="56"/>
      <c r="EE33" s="2" t="e" vm="33">
        <v>#VALUE!</v>
      </c>
      <c r="EG33" s="10" cm="1">
        <f t="array" aca="1" ref="EG33" ca="1">_FV(EE33,"Ações em circulação",TRUE)</f>
        <v>3749266000</v>
      </c>
      <c r="EH33" s="18">
        <f>VLOOKUP(BR33,Fundamentus!A:U,5,FALSE)</f>
        <v>0</v>
      </c>
      <c r="EI33" s="2" t="e">
        <f t="shared" ca="1" si="20"/>
        <v>#DIV/0!</v>
      </c>
      <c r="EJ33" s="17" t="e">
        <v>#DIV/0!</v>
      </c>
      <c r="EK33" s="17" t="e">
        <f t="shared" ca="1" si="21"/>
        <v>#DIV/0!</v>
      </c>
      <c r="EM33" s="16" t="e">
        <f t="shared" ca="1" si="22"/>
        <v>#DIV/0!</v>
      </c>
      <c r="EN33" s="32" t="str">
        <f>IF(VLOOKUP(BR33,Fundamentus!A:U,3,FALSE)&lt;15,"Bom",IF(VLOOKUP(BR33,Fundamentus!A:U,3,FALSE)&gt;15,"Ruim","n/a"))</f>
        <v>Bom</v>
      </c>
      <c r="EO33" s="28" t="str">
        <f>IF(VLOOKUP(BR33,Fundamentus!A:U,4,FALSE)&lt;1,"Baixo",IF(VLOOKUP(BR33,Fundamentus!A:U,4,FALSE)&lt;1.5,"Moderado",IF(VLOOKUP(BR33,Fundamentus!A:U,4,FALSE)&gt;1.5,"Alto","n/a")))</f>
        <v>Moderado</v>
      </c>
      <c r="EP33" s="17" t="str">
        <f>IF(VLOOKUP(BR33,Fundamentus!A:U,8,FALSE)&lt;0,"Risco elevado",IF(VLOOKUP(BR33,Fundamentus!A:U,8,FALSE)&lt;1,"Saudável",IF(VLOOKUP(BR33,Fundamentus!A:U,8,FALSE)&lt;3,"Estável",IF(VLOOKUP(BR33,Fundamentus!A:U,8,FALSE)&gt;3,"Alerta","n/a"))))</f>
        <v>Saudável</v>
      </c>
      <c r="EQ33" s="28" t="str">
        <f t="shared" si="23"/>
        <v>Ruim</v>
      </c>
      <c r="ER33" s="17" t="str">
        <f>IF(VLOOKUP(BR33,Fundamentus!A:U,12,FALSE)&lt;2,"Subvalorizada",IF(VLOOKUP(BR33,Fundamentus!A:U,12,FALSE)&lt;6,"Muita barata",IF(VLOOKUP(BR33,Fundamentus!A:U,12,FALSE)&lt;6,"Barata",IF(VLOOKUP(BR33,Fundamentus!A:U,12,FALSE)&lt;8,"Atrativa",IF(VLOOKUP(BR33,Fundamentus!A:U,12,FALSE)&gt;8,"Supervalorizada","n/a")))))</f>
        <v>Subvalorizada</v>
      </c>
      <c r="ET33" s="17" t="str">
        <f>IF(VLOOKUP(BR33,Fundamentus!A:U,17,FALSE)&lt;0.1,"Fraco retorno",IF(VLOOKUP(BR33,Fundamentus!A:U,17,FALSE)&gt;0.1,"Bom retorno","n/a"))</f>
        <v>Bom retorno</v>
      </c>
      <c r="EU33" s="17" t="str">
        <f>IF(VLOOKUP(BR33,Fundamentus!A:U,16,FALSE)&lt;0.1,"Ineficiente",IF(VLOOKUP(BR33,Fundamentus!A:U,16,FALSE)&gt;0.1,"Eficiente","n/a"))</f>
        <v>Ineficiente</v>
      </c>
      <c r="EV33" s="33" t="str">
        <f>IF(VLOOKUP(BR33,Fundamentus!A:U,16,FALSE)&lt;0.1,"Oper. Ineficiente",IF(VLOOKUP(BR33,Fundamentus!A:U,16,FALSE)&gt;0.1,"Oper.Eficiente","n/a"))</f>
        <v>Oper. Ineficiente</v>
      </c>
      <c r="EW33" s="34">
        <f>VLOOKUP(BR33,Fundamentus!A:U,14,FALSE)</f>
        <v>0</v>
      </c>
      <c r="EX33" s="17" t="str">
        <f>IF(VLOOKUP(BR33,Fundamentus!A:U,21,FALSE)&lt;0,"Negativo",IF(VLOOKUP(BR33,Fundamentus!A:U,21,FALSE)&lt;0.05,"Fraco",IF(VLOOKUP(BR33,Fundamentus!A:U,21,FALSE)&lt;0.1,"Bom",IF(VLOOKUP(BR33,Fundamentus!A:U,21,FALSE)&gt;0.1,"Muito bom","n/a"))))</f>
        <v>Negativo</v>
      </c>
      <c r="EZ33" s="29" t="str">
        <f>IF(VLOOKUP(BR33,Fundamentus!A:U,15,FALSE)&gt;1,"Bom",IF(VLOOKUP(BR33,Fundamentus!A:U,15,FALSE)&lt;1,"Ruim","n/a"))</f>
        <v>Ruim</v>
      </c>
      <c r="FA33" s="17" t="str">
        <f>IF(VLOOKUP(BR33,Fundamentus!A:U,20,FALSE)&lt;0.5,"Baixa",IF(VLOOKUP(BR33,Fundamentus!A:U,20,FALSE)&lt;1,"Moderada",IF(VLOOKUP(BR33,Fundamentus!A:U,20,FALSE)&lt;2,"Alerta",IF(VLOOKUP(BR33,Fundamentus!A:U,20,FALSE)&gt;2,"Alta","n/a"))))</f>
        <v>Baixa</v>
      </c>
    </row>
    <row r="34" spans="1:157" s="5" customFormat="1" ht="11.25"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5">
        <v>17.329999999999998</v>
      </c>
      <c r="BC34" s="52">
        <v>18.02</v>
      </c>
      <c r="BD34" s="52">
        <v>17.97</v>
      </c>
      <c r="BE34" s="52">
        <v>18.100000000000001</v>
      </c>
      <c r="BF34" s="52">
        <v>18.190000000000001</v>
      </c>
      <c r="BG34" s="67">
        <v>17.850000000000001</v>
      </c>
      <c r="BH34" s="52">
        <v>18.239999999999998</v>
      </c>
      <c r="BI34" s="52">
        <v>18.34</v>
      </c>
      <c r="BJ34" s="52">
        <v>18.579999999999998</v>
      </c>
      <c r="BK34" s="52">
        <v>18.39</v>
      </c>
      <c r="BL34" s="52">
        <v>17.5</v>
      </c>
      <c r="BM34" s="52">
        <v>17.399999999999999</v>
      </c>
      <c r="BN34" s="52">
        <v>18.100000000000001</v>
      </c>
      <c r="BO34" s="52">
        <v>17.25</v>
      </c>
      <c r="BP34" s="52">
        <v>17.38</v>
      </c>
      <c r="BQ34" s="52" cm="1">
        <f t="array" aca="1" ref="BQ34" ca="1">_FV(EE34,"Preço")</f>
        <v>17.38</v>
      </c>
      <c r="BR34" s="69" t="s">
        <v>31</v>
      </c>
      <c r="BS34" s="36" cm="1">
        <f t="array" aca="1" ref="BS34" ca="1">_FV(EE34,"Média de volume",TRUE)</f>
        <v>40250</v>
      </c>
      <c r="BT34" s="36">
        <v>13700</v>
      </c>
      <c r="BU34" s="36" cm="1">
        <f t="array" aca="1" ref="BU34" ca="1">_FV(EE34,"Volume")</f>
        <v>13700</v>
      </c>
      <c r="BV34" s="24" cm="1">
        <f t="array" aca="1" ref="BV34" ca="1">_FV(EE34,"Beta")</f>
        <v>0.97019999999999995</v>
      </c>
      <c r="BW34" s="71" cm="1">
        <f t="array" aca="1" ref="BW34" ca="1">_FV(EE34,"Variação (%)",TRUE)</f>
        <v>-3.4399999999999999E-3</v>
      </c>
      <c r="BY34" s="17" cm="1">
        <f t="array" aca="1" ref="BY34" ca="1">_FV(EE34,"Baixo")</f>
        <v>17.260000000000002</v>
      </c>
      <c r="BZ34" s="17" cm="1">
        <f t="array" aca="1" ref="BZ34" ca="1">_FV(EE34,"Alto")</f>
        <v>17.53</v>
      </c>
      <c r="CA34" s="24"/>
      <c r="CB34" s="63">
        <f ca="1">SQRT(22.5*(BQ34/VLOOKUP(BR34,Fundamentus!A:U,3,FALSE))*(BQ34/VLOOKUP(BR34,Fundamentus!A:U,4,FALSE)))</f>
        <v>24.100487635232067</v>
      </c>
      <c r="CD34" s="62">
        <f t="shared" ca="1" si="24"/>
        <v>0</v>
      </c>
      <c r="CE34" s="8"/>
      <c r="CF34" s="61">
        <f t="shared" si="25"/>
        <v>14.4</v>
      </c>
      <c r="CG34" s="61">
        <f t="shared" si="26"/>
        <v>20.18</v>
      </c>
      <c r="CH34" s="61">
        <f t="shared" si="27"/>
        <v>17.434632352941179</v>
      </c>
      <c r="CI34" s="14"/>
      <c r="CJ34" s="35">
        <f t="shared" si="1"/>
        <v>16.426510387084804</v>
      </c>
      <c r="CK34" s="15">
        <f t="shared" si="28"/>
        <v>17.305000000000064</v>
      </c>
      <c r="CL34" s="35">
        <f t="shared" si="2"/>
        <v>18.183489612915324</v>
      </c>
      <c r="CN34" s="14"/>
      <c r="CO34" s="17">
        <f t="shared" si="3"/>
        <v>8.6799999999999944</v>
      </c>
      <c r="CP34" s="17">
        <f t="shared" si="4"/>
        <v>11.539999999999997</v>
      </c>
      <c r="CQ34" s="17">
        <f t="shared" si="5"/>
        <v>14.459999999999994</v>
      </c>
      <c r="CR34" s="38">
        <f t="shared" si="29"/>
        <v>17.319999999999997</v>
      </c>
      <c r="CS34" s="17">
        <f t="shared" si="6"/>
        <v>20.239999999999995</v>
      </c>
      <c r="CT34" s="17">
        <f t="shared" si="7"/>
        <v>23.099999999999994</v>
      </c>
      <c r="CU34" s="17">
        <f t="shared" si="8"/>
        <v>26.019999999999992</v>
      </c>
      <c r="CV34" s="2" cm="1">
        <f t="array" aca="1" ref="CV34" ca="1">MAX(_xlfn._xlws.FILTER(CO34:CU34,CO34:CU34&lt;BQ34))</f>
        <v>17.319999999999997</v>
      </c>
      <c r="CW34" s="2" cm="1">
        <f t="array" aca="1" ref="CW34" ca="1">MIN(_xlfn._xlws.FILTER($CO34:$CU34,$CO34:$CU34&gt;BQ34))</f>
        <v>20.239999999999995</v>
      </c>
      <c r="CX34" s="16">
        <f t="shared" ca="1" si="63"/>
        <v>0.1685912240184757</v>
      </c>
      <c r="CY34" s="20">
        <f t="shared" ca="1" si="64"/>
        <v>-8.4295612009237852E-2</v>
      </c>
      <c r="CZ34" s="20">
        <f t="shared" ca="1" si="65"/>
        <v>-5.6197074672825233E-2</v>
      </c>
      <c r="DA34" s="20">
        <f t="shared" ca="1" si="66"/>
        <v>-3.371824480369514E-2</v>
      </c>
      <c r="DB34" s="20">
        <f t="shared" ca="1" si="67"/>
        <v>-1.8732358224275079E-2</v>
      </c>
      <c r="DC34" s="20">
        <f t="shared" ca="1" si="68"/>
        <v>-9.9171308246162188E-3</v>
      </c>
      <c r="DD34" s="20">
        <f t="shared" ca="1" si="69"/>
        <v>-5.1088249702568398E-3</v>
      </c>
      <c r="DE34" s="20">
        <f t="shared" ca="1" si="70"/>
        <v>-2.5937111387457799E-3</v>
      </c>
      <c r="DF34" s="21">
        <f t="shared" ca="1" si="71"/>
        <v>2.5937111387457799E-3</v>
      </c>
      <c r="DG34" s="21">
        <f t="shared" ca="1" si="72"/>
        <v>5.1088249702568398E-3</v>
      </c>
      <c r="DH34" s="21">
        <f t="shared" ca="1" si="73"/>
        <v>9.9171308246162188E-3</v>
      </c>
      <c r="DI34" s="21">
        <f t="shared" ca="1" si="74"/>
        <v>1.8732358224275079E-2</v>
      </c>
      <c r="DJ34" s="21">
        <f t="shared" ca="1" si="75"/>
        <v>3.371824480369514E-2</v>
      </c>
      <c r="DK34" s="21">
        <f t="shared" ca="1" si="76"/>
        <v>5.6197074672825233E-2</v>
      </c>
      <c r="DL34" s="21">
        <f t="shared" ca="1" si="77"/>
        <v>8.4295612009237852E-2</v>
      </c>
      <c r="DN34" s="16" cm="1">
        <f t="array" aca="1" ref="DN34" ca="1">MAX(_xlfn._xlws.FILTER(CY34:DL34,CY34:DL34&lt;BW34))</f>
        <v>-5.1088249702568398E-3</v>
      </c>
      <c r="DO34" s="16" cm="1">
        <f t="array" aca="1" ref="DO34" ca="1">MIN(_xlfn._xlws.FILTER(CY34:DL34,CY34:DL34&gt;BW34))</f>
        <v>-2.5937111387457799E-3</v>
      </c>
      <c r="DP34" s="2" cm="1">
        <f t="array" aca="1" ref="DP34" ca="1">_FV(EE34,"Fechamento anterior",TRUE)</f>
        <v>17.440000000000001</v>
      </c>
      <c r="DQ34" s="28">
        <f t="shared" ca="1" si="15"/>
        <v>0.6633727574776439</v>
      </c>
      <c r="DR34" s="15">
        <f t="shared" ca="1" si="78"/>
        <v>17.350902092518723</v>
      </c>
      <c r="DS34" s="15">
        <f t="shared" ca="1" si="79"/>
        <v>17.394765677740274</v>
      </c>
      <c r="DT34" s="9"/>
      <c r="DU34" s="9"/>
      <c r="DV34" s="9"/>
      <c r="DW34" s="89">
        <v>6.2152133580704993E-3</v>
      </c>
      <c r="DX34" s="89">
        <f t="shared" ca="1" si="18"/>
        <v>2.5151138315110599E-3</v>
      </c>
      <c r="DY34" s="72">
        <f t="shared" ca="1" si="19"/>
        <v>8.5373803966843173E-2</v>
      </c>
      <c r="DZ34" s="37"/>
      <c r="EA34" s="35">
        <f t="shared" si="39"/>
        <v>0.4392448064576297</v>
      </c>
      <c r="EB34" s="56"/>
      <c r="EC34" s="56"/>
      <c r="EE34" s="5" t="e" vm="34">
        <v>#VALUE!</v>
      </c>
      <c r="EG34" s="10" cm="1">
        <f t="array" aca="1" ref="EG34" ca="1">_FV(EE34,"Ações em circulação",TRUE)</f>
        <v>41800000</v>
      </c>
      <c r="EH34" s="18">
        <f>VLOOKUP(BR34,Fundamentus!A:U,5,FALSE)</f>
        <v>1.256</v>
      </c>
      <c r="EI34" s="2">
        <f t="shared" ca="1" si="20"/>
        <v>578410828.02547765</v>
      </c>
      <c r="EJ34" s="17">
        <v>91273228.662420377</v>
      </c>
      <c r="EK34" s="17">
        <f t="shared" ca="1" si="21"/>
        <v>91273228.662420377</v>
      </c>
      <c r="EL34" s="2"/>
      <c r="EM34" s="16">
        <f t="shared" ca="1" si="22"/>
        <v>0</v>
      </c>
      <c r="EN34" s="32" t="str">
        <f>IF(VLOOKUP(BR34,Fundamentus!A:U,3,FALSE)&lt;15,"Bom",IF(VLOOKUP(BR34,Fundamentus!A:U,3,FALSE)&gt;15,"Ruim","n/a"))</f>
        <v>Bom</v>
      </c>
      <c r="EO34" s="28" t="str">
        <f>IF(VLOOKUP(BR34,Fundamentus!A:U,4,FALSE)&lt;1,"Baixo",IF(VLOOKUP(BR34,Fundamentus!A:U,4,FALSE)&lt;1.5,"Moderado",IF(VLOOKUP(BR34,Fundamentus!A:U,4,FALSE)&gt;1.5,"Alto","n/a")))</f>
        <v>Moderado</v>
      </c>
      <c r="EP34" s="17" t="str">
        <f>IF(VLOOKUP(BR34,Fundamentus!A:U,8,FALSE)&lt;0,"Risco elevado",IF(VLOOKUP(BR34,Fundamentus!A:U,8,FALSE)&lt;1,"Saudável",IF(VLOOKUP(BR34,Fundamentus!A:U,8,FALSE)&lt;3,"Estável",IF(VLOOKUP(BR34,Fundamentus!A:U,8,FALSE)&gt;3,"Alerta","n/a"))))</f>
        <v>Alerta</v>
      </c>
      <c r="EQ34" s="28" t="str">
        <f t="shared" si="23"/>
        <v>Bom</v>
      </c>
      <c r="ER34" s="17" t="str">
        <f>IF(VLOOKUP(BR34,Fundamentus!A:U,12,FALSE)&lt;2,"Subvalorizada",IF(VLOOKUP(BR34,Fundamentus!A:U,12,FALSE)&lt;6,"Muita barata",IF(VLOOKUP(BR34,Fundamentus!A:U,12,FALSE)&lt;6,"Barata",IF(VLOOKUP(BR34,Fundamentus!A:U,12,FALSE)&lt;8,"Atrativa",IF(VLOOKUP(BR34,Fundamentus!A:U,12,FALSE)&gt;8,"Supervalorizada","n/a")))))</f>
        <v>Muita barata</v>
      </c>
      <c r="ES34" s="2"/>
      <c r="ET34" s="17" t="str">
        <f>IF(VLOOKUP(BR34,Fundamentus!A:U,17,FALSE)&lt;0.1,"Fraco retorno",IF(VLOOKUP(BR34,Fundamentus!A:U,17,FALSE)&gt;0.1,"Bom retorno","n/a"))</f>
        <v>Bom retorno</v>
      </c>
      <c r="EU34" s="17" t="str">
        <f>IF(VLOOKUP(BR34,Fundamentus!A:U,16,FALSE)&lt;0.1,"Ineficiente",IF(VLOOKUP(BR34,Fundamentus!A:U,16,FALSE)&gt;0.1,"Eficiente","n/a"))</f>
        <v>Eficiente</v>
      </c>
      <c r="EV34" s="33" t="str">
        <f>IF(VLOOKUP(BR34,Fundamentus!A:U,16,FALSE)&lt;0.1,"Oper. Ineficiente",IF(VLOOKUP(BR34,Fundamentus!A:U,16,FALSE)&gt;0.1,"Oper.Eficiente","n/a"))</f>
        <v>Oper.Eficiente</v>
      </c>
      <c r="EW34" s="34">
        <f>VLOOKUP(BR34,Fundamentus!A:U,14,FALSE)</f>
        <v>0.1578</v>
      </c>
      <c r="EX34" s="17" t="str">
        <f>IF(VLOOKUP(BR34,Fundamentus!A:U,21,FALSE)&lt;0,"Negativo",IF(VLOOKUP(BR34,Fundamentus!A:U,21,FALSE)&lt;0.05,"Fraco",IF(VLOOKUP(BR34,Fundamentus!A:U,21,FALSE)&lt;0.1,"Bom",IF(VLOOKUP(BR34,Fundamentus!A:U,21,FALSE)&gt;0.1,"Muito bom","n/a"))))</f>
        <v>Fraco</v>
      </c>
      <c r="EZ34" s="29" t="str">
        <f>IF(VLOOKUP(BR34,Fundamentus!A:U,15,FALSE)&gt;1,"Bom",IF(VLOOKUP(BR34,Fundamentus!A:U,15,FALSE)&lt;1,"Ruim","n/a"))</f>
        <v>Bom</v>
      </c>
      <c r="FA34" s="17" t="str">
        <f>IF(VLOOKUP(BR34,Fundamentus!A:U,20,FALSE)&lt;0.5,"Baixa",IF(VLOOKUP(BR34,Fundamentus!A:U,20,FALSE)&lt;1,"Moderada",IF(VLOOKUP(BR34,Fundamentus!A:U,20,FALSE)&lt;2,"Alerta",IF(VLOOKUP(BR34,Fundamentus!A:U,20,FALSE)&gt;2,"Alta","n/a"))))</f>
        <v>Baixa</v>
      </c>
    </row>
    <row r="35" spans="1:157" s="2" customFormat="1" ht="11.25"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5">
        <v>12.92</v>
      </c>
      <c r="BC35" s="52">
        <v>13.9</v>
      </c>
      <c r="BD35" s="52">
        <v>14.33</v>
      </c>
      <c r="BE35" s="52">
        <v>14</v>
      </c>
      <c r="BF35" s="52">
        <v>13.9</v>
      </c>
      <c r="BG35" s="67">
        <v>13.7</v>
      </c>
      <c r="BH35" s="52">
        <v>13.67</v>
      </c>
      <c r="BI35" s="52">
        <v>13.43</v>
      </c>
      <c r="BJ35" s="52">
        <v>12.84</v>
      </c>
      <c r="BK35" s="52">
        <v>13.01</v>
      </c>
      <c r="BL35" s="52">
        <v>12.18</v>
      </c>
      <c r="BM35" s="52">
        <v>12.24</v>
      </c>
      <c r="BN35" s="52">
        <v>12.3</v>
      </c>
      <c r="BO35" s="52">
        <v>12.4</v>
      </c>
      <c r="BP35" s="52">
        <v>12.12</v>
      </c>
      <c r="BQ35" s="52" cm="1">
        <f t="array" aca="1" ref="BQ35" ca="1">_FV(EE35,"Preço")</f>
        <v>12.12</v>
      </c>
      <c r="BR35" s="69" t="s">
        <v>187</v>
      </c>
      <c r="BS35" s="36" cm="1">
        <f t="array" aca="1" ref="BS35" ca="1">_FV(EE35,"Média de volume",TRUE)</f>
        <v>302950</v>
      </c>
      <c r="BT35" s="36">
        <v>194000</v>
      </c>
      <c r="BU35" s="36" cm="1">
        <f t="array" aca="1" ref="BU35" ca="1">_FV(EE35,"Volume")</f>
        <v>194000</v>
      </c>
      <c r="BV35" s="24" cm="1">
        <f t="array" aca="1" ref="BV35" ca="1">_FV(EE35,"Beta")</f>
        <v>1.0164</v>
      </c>
      <c r="BW35" s="71" cm="1">
        <f t="array" aca="1" ref="BW35" ca="1">_FV(EE35,"Variação (%)",TRUE)</f>
        <v>1.653E-3</v>
      </c>
      <c r="BY35" s="17" cm="1">
        <f t="array" aca="1" ref="BY35" ca="1">_FV(EE35,"Baixo")</f>
        <v>12.12</v>
      </c>
      <c r="BZ35" s="17" cm="1">
        <f t="array" aca="1" ref="BZ35" ca="1">_FV(EE35,"Alto")</f>
        <v>12.32</v>
      </c>
      <c r="CA35" s="24"/>
      <c r="CB35" s="63">
        <f ca="1">SQRT(22.5*(BQ35/VLOOKUP(BR35,Fundamentus!A:U,3,FALSE))*(BQ35/VLOOKUP(BR35,Fundamentus!A:U,4,FALSE)))</f>
        <v>19.844158176108444</v>
      </c>
      <c r="CD35" s="62">
        <f t="shared" ca="1" si="24"/>
        <v>0</v>
      </c>
      <c r="CE35" s="8"/>
      <c r="CF35" s="61">
        <f t="shared" si="25"/>
        <v>9.64</v>
      </c>
      <c r="CG35" s="61">
        <f t="shared" si="26"/>
        <v>15.23</v>
      </c>
      <c r="CH35" s="61">
        <f t="shared" si="27"/>
        <v>12.680147058823529</v>
      </c>
      <c r="CI35" s="14"/>
      <c r="CJ35" s="35">
        <f t="shared" si="1"/>
        <v>11.598189398564621</v>
      </c>
      <c r="CK35" s="15">
        <f t="shared" si="28"/>
        <v>12.199999999999989</v>
      </c>
      <c r="CL35" s="35">
        <f t="shared" si="2"/>
        <v>12.801810601435356</v>
      </c>
      <c r="CN35" s="14"/>
      <c r="CO35" s="17">
        <f t="shared" si="3"/>
        <v>3.84</v>
      </c>
      <c r="CP35" s="17">
        <f t="shared" si="4"/>
        <v>6.74</v>
      </c>
      <c r="CQ35" s="17">
        <f t="shared" si="5"/>
        <v>9.43</v>
      </c>
      <c r="CR35" s="38">
        <f t="shared" si="29"/>
        <v>12.33</v>
      </c>
      <c r="CS35" s="17">
        <f t="shared" si="6"/>
        <v>15.02</v>
      </c>
      <c r="CT35" s="17">
        <f t="shared" si="7"/>
        <v>17.920000000000002</v>
      </c>
      <c r="CU35" s="17">
        <f t="shared" si="8"/>
        <v>20.61</v>
      </c>
      <c r="CV35" s="2" cm="1">
        <f t="array" aca="1" ref="CV35" ca="1">MAX(_xlfn._xlws.FILTER(CO35:CU35,CO35:CU35&lt;BQ35))</f>
        <v>9.43</v>
      </c>
      <c r="CW35" s="2" cm="1">
        <f t="array" aca="1" ref="CW35" ca="1">MIN(_xlfn._xlws.FILTER($CO35:$CU35,$CO35:$CU35&gt;BQ35))</f>
        <v>12.33</v>
      </c>
      <c r="CX35" s="16">
        <f t="shared" ca="1" si="63"/>
        <v>0.30752916224814419</v>
      </c>
      <c r="CY35" s="20">
        <f t="shared" ca="1" si="64"/>
        <v>-0.1537645811240721</v>
      </c>
      <c r="CZ35" s="20">
        <f t="shared" ca="1" si="65"/>
        <v>-0.1025097207493814</v>
      </c>
      <c r="DA35" s="20">
        <f t="shared" ca="1" si="66"/>
        <v>-6.1505832449628837E-2</v>
      </c>
      <c r="DB35" s="20">
        <f t="shared" ca="1" si="67"/>
        <v>-3.4169906916460463E-2</v>
      </c>
      <c r="DC35" s="20">
        <f t="shared" ca="1" si="68"/>
        <v>-1.8089950720479069E-2</v>
      </c>
      <c r="DD35" s="20">
        <f t="shared" ca="1" si="69"/>
        <v>-9.3190655226710363E-3</v>
      </c>
      <c r="DE35" s="20">
        <f t="shared" ca="1" si="70"/>
        <v>-4.7312178807406803E-3</v>
      </c>
      <c r="DF35" s="21">
        <f t="shared" ca="1" si="71"/>
        <v>4.7312178807406803E-3</v>
      </c>
      <c r="DG35" s="21">
        <f t="shared" ca="1" si="72"/>
        <v>9.3190655226710363E-3</v>
      </c>
      <c r="DH35" s="21">
        <f t="shared" ca="1" si="73"/>
        <v>1.8089950720479069E-2</v>
      </c>
      <c r="DI35" s="21">
        <f t="shared" ca="1" si="74"/>
        <v>3.4169906916460463E-2</v>
      </c>
      <c r="DJ35" s="21">
        <f t="shared" ca="1" si="75"/>
        <v>6.1505832449628837E-2</v>
      </c>
      <c r="DK35" s="21">
        <f t="shared" ca="1" si="76"/>
        <v>0.1025097207493814</v>
      </c>
      <c r="DL35" s="21">
        <f t="shared" ca="1" si="77"/>
        <v>0.1537645811240721</v>
      </c>
      <c r="DN35" s="16" cm="1">
        <f t="array" aca="1" ref="DN35" ca="1">MAX(_xlfn._xlws.FILTER(CY35:DL35,CY35:DL35&lt;BW35))</f>
        <v>-4.7312178807406803E-3</v>
      </c>
      <c r="DO35" s="16" cm="1">
        <f t="array" aca="1" ref="DO35" ca="1">MIN(_xlfn._xlws.FILTER(CY35:DL35,CY35:DL35&gt;BW35))</f>
        <v>4.7312178807406803E-3</v>
      </c>
      <c r="DP35" s="2" cm="1">
        <f t="array" aca="1" ref="DP35" ca="1">_FV(EE35,"Fechamento anterior",TRUE)</f>
        <v>12.1</v>
      </c>
      <c r="DQ35" s="28">
        <f t="shared" ca="1" si="15"/>
        <v>0.67467939583926906</v>
      </c>
      <c r="DR35" s="15">
        <f t="shared" ca="1" si="78"/>
        <v>12.042752263643038</v>
      </c>
      <c r="DS35" s="15">
        <f t="shared" ca="1" si="79"/>
        <v>12.157247736356961</v>
      </c>
      <c r="DT35" s="9"/>
      <c r="DU35" s="9"/>
      <c r="DV35" s="9"/>
      <c r="DW35" s="89">
        <v>8.9801359818690862E-3</v>
      </c>
      <c r="DX35" s="89">
        <f t="shared" ca="1" si="18"/>
        <v>9.4624357614813605E-3</v>
      </c>
      <c r="DY35" s="72">
        <f t="shared" ca="1" si="19"/>
        <v>-0.13293218798270229</v>
      </c>
      <c r="DZ35" s="37"/>
      <c r="EA35" s="35">
        <f t="shared" si="39"/>
        <v>0.30090530071768418</v>
      </c>
      <c r="EB35" s="56"/>
      <c r="EC35" s="56"/>
      <c r="EE35" s="2" t="e" vm="35">
        <v>#VALUE!</v>
      </c>
      <c r="EG35" s="10" cm="1">
        <f t="array" aca="1" ref="EG35" ca="1">_FV(EE35,"Ações em circulação",TRUE)</f>
        <v>179393900</v>
      </c>
      <c r="EH35" s="18">
        <f>VLOOKUP(BR35,Fundamentus!A:U,5,FALSE)</f>
        <v>1.2589999999999999</v>
      </c>
      <c r="EI35" s="2">
        <f t="shared" ca="1" si="20"/>
        <v>1726969077.0452743</v>
      </c>
      <c r="EJ35" s="17">
        <v>258527270.83367756</v>
      </c>
      <c r="EK35" s="17">
        <f t="shared" ca="1" si="21"/>
        <v>258527270.83367756</v>
      </c>
      <c r="EM35" s="16">
        <f t="shared" ca="1" si="22"/>
        <v>0</v>
      </c>
      <c r="EN35" s="32" t="str">
        <f>IF(VLOOKUP(BR35,Fundamentus!A:U,3,FALSE)&lt;15,"Bom",IF(VLOOKUP(BR35,Fundamentus!A:U,3,FALSE)&gt;15,"Ruim","n/a"))</f>
        <v>Bom</v>
      </c>
      <c r="EO35" s="28" t="str">
        <f>IF(VLOOKUP(BR35,Fundamentus!A:U,4,FALSE)&lt;1,"Baixo",IF(VLOOKUP(BR35,Fundamentus!A:U,4,FALSE)&lt;1.5,"Moderado",IF(VLOOKUP(BR35,Fundamentus!A:U,4,FALSE)&gt;1.5,"Alto","n/a")))</f>
        <v>Moderado</v>
      </c>
      <c r="EP35" s="17" t="str">
        <f>IF(VLOOKUP(BR35,Fundamentus!A:U,8,FALSE)&lt;0,"Risco elevado",IF(VLOOKUP(BR35,Fundamentus!A:U,8,FALSE)&lt;1,"Saudável",IF(VLOOKUP(BR35,Fundamentus!A:U,8,FALSE)&lt;3,"Estável",IF(VLOOKUP(BR35,Fundamentus!A:U,8,FALSE)&gt;3,"Alerta","n/a"))))</f>
        <v>Estável</v>
      </c>
      <c r="EQ35" s="28" t="str">
        <f t="shared" si="23"/>
        <v>Bom</v>
      </c>
      <c r="ER35" s="17" t="str">
        <f>IF(VLOOKUP(BR35,Fundamentus!A:U,12,FALSE)&lt;2,"Subvalorizada",IF(VLOOKUP(BR35,Fundamentus!A:U,12,FALSE)&lt;6,"Muita barata",IF(VLOOKUP(BR35,Fundamentus!A:U,12,FALSE)&lt;6,"Barata",IF(VLOOKUP(BR35,Fundamentus!A:U,12,FALSE)&lt;8,"Atrativa",IF(VLOOKUP(BR35,Fundamentus!A:U,12,FALSE)&gt;8,"Supervalorizada","n/a")))))</f>
        <v>Muita barata</v>
      </c>
      <c r="ET35" s="17" t="str">
        <f>IF(VLOOKUP(BR35,Fundamentus!A:U,17,FALSE)&lt;0.1,"Fraco retorno",IF(VLOOKUP(BR35,Fundamentus!A:U,17,FALSE)&gt;0.1,"Bom retorno","n/a"))</f>
        <v>Bom retorno</v>
      </c>
      <c r="EU35" s="17" t="str">
        <f>IF(VLOOKUP(BR35,Fundamentus!A:U,16,FALSE)&lt;0.1,"Ineficiente",IF(VLOOKUP(BR35,Fundamentus!A:U,16,FALSE)&gt;0.1,"Eficiente","n/a"))</f>
        <v>Eficiente</v>
      </c>
      <c r="EV35" s="33" t="str">
        <f>IF(VLOOKUP(BR35,Fundamentus!A:U,16,FALSE)&lt;0.1,"Oper. Ineficiente",IF(VLOOKUP(BR35,Fundamentus!A:U,16,FALSE)&gt;0.1,"Oper.Eficiente","n/a"))</f>
        <v>Oper.Eficiente</v>
      </c>
      <c r="EW35" s="34">
        <f>VLOOKUP(BR35,Fundamentus!A:U,14,FALSE)</f>
        <v>0.1497</v>
      </c>
      <c r="EX35" s="17" t="str">
        <f>IF(VLOOKUP(BR35,Fundamentus!A:U,21,FALSE)&lt;0,"Negativo",IF(VLOOKUP(BR35,Fundamentus!A:U,21,FALSE)&lt;0.05,"Fraco",IF(VLOOKUP(BR35,Fundamentus!A:U,21,FALSE)&lt;0.1,"Bom",IF(VLOOKUP(BR35,Fundamentus!A:U,21,FALSE)&gt;0.1,"Muito bom","n/a"))))</f>
        <v>Bom</v>
      </c>
      <c r="EZ35" s="29" t="str">
        <f>IF(VLOOKUP(BR35,Fundamentus!A:U,15,FALSE)&gt;1,"Bom",IF(VLOOKUP(BR35,Fundamentus!A:U,15,FALSE)&lt;1,"Ruim","n/a"))</f>
        <v>Bom</v>
      </c>
      <c r="FA35" s="17" t="str">
        <f>IF(VLOOKUP(BR35,Fundamentus!A:U,20,FALSE)&lt;0.5,"Baixa",IF(VLOOKUP(BR35,Fundamentus!A:U,20,FALSE)&lt;1,"Moderada",IF(VLOOKUP(BR35,Fundamentus!A:U,20,FALSE)&lt;2,"Alerta",IF(VLOOKUP(BR35,Fundamentus!A:U,20,FALSE)&gt;2,"Alta","n/a"))))</f>
        <v>Baixa</v>
      </c>
    </row>
    <row r="36" spans="1:157" s="2" customFormat="1" ht="11.25"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5">
        <v>14.5</v>
      </c>
      <c r="BC36" s="52">
        <v>15.2</v>
      </c>
      <c r="BD36" s="52">
        <v>14.96</v>
      </c>
      <c r="BE36" s="52">
        <v>14.54</v>
      </c>
      <c r="BF36" s="52">
        <v>15.01</v>
      </c>
      <c r="BG36" s="67">
        <v>14.96</v>
      </c>
      <c r="BH36" s="52">
        <v>14.27</v>
      </c>
      <c r="BI36" s="52">
        <v>14.55</v>
      </c>
      <c r="BJ36" s="52">
        <v>15.16</v>
      </c>
      <c r="BK36" s="52">
        <v>14.94</v>
      </c>
      <c r="BL36" s="52">
        <v>14.65</v>
      </c>
      <c r="BM36" s="52">
        <v>15.04</v>
      </c>
      <c r="BN36" s="52">
        <v>14.37</v>
      </c>
      <c r="BO36" s="52">
        <v>14.84</v>
      </c>
      <c r="BP36" s="52">
        <v>14.5</v>
      </c>
      <c r="BQ36" s="52" cm="1">
        <f t="array" aca="1" ref="BQ36" ca="1">_FV(EE36,"Preço")</f>
        <v>14.5</v>
      </c>
      <c r="BR36" s="69" t="s">
        <v>33</v>
      </c>
      <c r="BS36" s="36" cm="1">
        <f t="array" aca="1" ref="BS36" ca="1">_FV(EE36,"Média de volume",TRUE)</f>
        <v>9238500</v>
      </c>
      <c r="BT36" s="36">
        <v>9700</v>
      </c>
      <c r="BU36" s="36" cm="1">
        <f t="array" aca="1" ref="BU36" ca="1">_FV(EE36,"Volume")</f>
        <v>9700</v>
      </c>
      <c r="BV36" s="24" cm="1">
        <f t="array" aca="1" ref="BV36" ca="1">_FV(EE36,"Beta")</f>
        <v>0.64129999999999998</v>
      </c>
      <c r="BW36" s="71" cm="1">
        <f t="array" aca="1" ref="BW36" ca="1">_FV(EE36,"Variação (%)",TRUE)</f>
        <v>-1.4276E-2</v>
      </c>
      <c r="BY36" s="17" cm="1">
        <f t="array" aca="1" ref="BY36" ca="1">_FV(EE36,"Baixo")</f>
        <v>14.47</v>
      </c>
      <c r="BZ36" s="17" cm="1">
        <f t="array" aca="1" ref="BZ36" ca="1">_FV(EE36,"Alto")</f>
        <v>14.8</v>
      </c>
      <c r="CA36" s="24"/>
      <c r="CB36" s="63">
        <f ca="1">SQRT(22.5*(BQ36/VLOOKUP(BR36,Fundamentus!A:U,3,FALSE))*(BQ36/VLOOKUP(BR36,Fundamentus!A:U,4,FALSE)))</f>
        <v>30.121302517694772</v>
      </c>
      <c r="CD36" s="62">
        <f t="shared" ca="1" si="24"/>
        <v>0</v>
      </c>
      <c r="CE36" s="8"/>
      <c r="CF36" s="61">
        <f t="shared" si="25"/>
        <v>14.27</v>
      </c>
      <c r="CG36" s="61">
        <f t="shared" si="26"/>
        <v>19.600000000000001</v>
      </c>
      <c r="CH36" s="61">
        <f t="shared" si="27"/>
        <v>16.093308823529412</v>
      </c>
      <c r="CI36" s="14"/>
      <c r="CJ36" s="35">
        <f t="shared" si="1"/>
        <v>13.925801729231418</v>
      </c>
      <c r="CK36" s="15">
        <f t="shared" si="28"/>
        <v>14.400000000000091</v>
      </c>
      <c r="CL36" s="35">
        <f t="shared" si="2"/>
        <v>14.874198270768764</v>
      </c>
      <c r="CN36" s="14"/>
      <c r="CO36" s="17">
        <f t="shared" si="3"/>
        <v>7.3166666666666664</v>
      </c>
      <c r="CP36" s="17">
        <f t="shared" si="4"/>
        <v>10.793333333333333</v>
      </c>
      <c r="CQ36" s="17">
        <f t="shared" si="5"/>
        <v>12.646666666666668</v>
      </c>
      <c r="CR36" s="38">
        <f t="shared" si="29"/>
        <v>16.123333333333335</v>
      </c>
      <c r="CS36" s="17">
        <f t="shared" si="6"/>
        <v>17.97666666666667</v>
      </c>
      <c r="CT36" s="17">
        <f t="shared" si="7"/>
        <v>21.453333333333337</v>
      </c>
      <c r="CU36" s="17">
        <f t="shared" si="8"/>
        <v>23.306666666666672</v>
      </c>
      <c r="CV36" s="2" cm="1">
        <f t="array" aca="1" ref="CV36" ca="1">MAX(_xlfn._xlws.FILTER(CO36:CU36,CO36:CU36&lt;BQ36))</f>
        <v>12.646666666666668</v>
      </c>
      <c r="CW36" s="2" cm="1">
        <f t="array" aca="1" ref="CW36" ca="1">MIN(_xlfn._xlws.FILTER($CO36:$CU36,$CO36:$CU36&gt;BQ36))</f>
        <v>16.123333333333335</v>
      </c>
      <c r="CX36" s="16">
        <f t="shared" ca="1" si="63"/>
        <v>0.27490774907749072</v>
      </c>
      <c r="CY36" s="20">
        <f t="shared" ca="1" si="64"/>
        <v>-0.13745387453874536</v>
      </c>
      <c r="CZ36" s="20">
        <f t="shared" ca="1" si="65"/>
        <v>-9.1635916359163572E-2</v>
      </c>
      <c r="DA36" s="20">
        <f t="shared" ca="1" si="66"/>
        <v>-5.4981549815498146E-2</v>
      </c>
      <c r="DB36" s="20">
        <f t="shared" ca="1" si="67"/>
        <v>-3.0545305453054523E-2</v>
      </c>
      <c r="DC36" s="20">
        <f t="shared" ca="1" si="68"/>
        <v>-1.6171044063381806E-2</v>
      </c>
      <c r="DD36" s="20">
        <f t="shared" ca="1" si="69"/>
        <v>-8.3305378508330523E-3</v>
      </c>
      <c r="DE36" s="20">
        <f t="shared" ca="1" si="70"/>
        <v>-4.2293499858075496E-3</v>
      </c>
      <c r="DF36" s="21">
        <f t="shared" ca="1" si="71"/>
        <v>4.2293499858075496E-3</v>
      </c>
      <c r="DG36" s="21">
        <f t="shared" ca="1" si="72"/>
        <v>8.3305378508330523E-3</v>
      </c>
      <c r="DH36" s="21">
        <f t="shared" ca="1" si="73"/>
        <v>1.6171044063381806E-2</v>
      </c>
      <c r="DI36" s="21">
        <f t="shared" ca="1" si="74"/>
        <v>3.0545305453054523E-2</v>
      </c>
      <c r="DJ36" s="21">
        <f t="shared" ca="1" si="75"/>
        <v>5.4981549815498146E-2</v>
      </c>
      <c r="DK36" s="21">
        <f t="shared" ca="1" si="76"/>
        <v>9.1635916359163572E-2</v>
      </c>
      <c r="DL36" s="21">
        <f t="shared" ca="1" si="77"/>
        <v>0.13745387453874536</v>
      </c>
      <c r="DN36" s="16" cm="1">
        <f t="array" aca="1" ref="DN36" ca="1">MAX(_xlfn._xlws.FILTER(CY36:DL36,CY36:DL36&lt;BW36))</f>
        <v>-1.6171044063381806E-2</v>
      </c>
      <c r="DO36" s="16" cm="1">
        <f t="array" aca="1" ref="DO36" ca="1">MIN(_xlfn._xlws.FILTER(CY36:DL36,CY36:DL36&gt;BW36))</f>
        <v>-8.3305378508330523E-3</v>
      </c>
      <c r="DP36" s="2" cm="1">
        <f t="array" aca="1" ref="DP36" ca="1">_FV(EE36,"Fechamento anterior",TRUE)</f>
        <v>14.71</v>
      </c>
      <c r="DQ36" s="28">
        <f t="shared" ca="1" si="15"/>
        <v>0.24169885116730697</v>
      </c>
      <c r="DR36" s="15">
        <f t="shared" ca="1" si="78"/>
        <v>14.472123941827654</v>
      </c>
      <c r="DS36" s="15">
        <f t="shared" ca="1" si="79"/>
        <v>14.587457788214246</v>
      </c>
      <c r="DT36" s="9"/>
      <c r="DU36" s="9"/>
      <c r="DV36" s="9"/>
      <c r="DW36" s="89">
        <v>1.3660841515960779E-2</v>
      </c>
      <c r="DX36" s="89">
        <f t="shared" ca="1" si="18"/>
        <v>7.8405062125487535E-3</v>
      </c>
      <c r="DY36" s="72">
        <f t="shared" ca="1" si="19"/>
        <v>0.21088225361473717</v>
      </c>
      <c r="DZ36" s="37"/>
      <c r="EA36" s="35">
        <f t="shared" si="39"/>
        <v>0.23709913538433661</v>
      </c>
      <c r="EB36" s="56"/>
      <c r="EC36" s="56"/>
      <c r="EE36" s="2" t="e" vm="36">
        <v>#VALUE!</v>
      </c>
      <c r="EG36" s="10" cm="1">
        <f t="array" aca="1" ref="EG36" ca="1">_FV(EE36,"Ações em circulação",TRUE)</f>
        <v>2013814000</v>
      </c>
      <c r="EH36" s="18">
        <f>VLOOKUP(BR36,Fundamentus!A:U,5,FALSE)</f>
        <v>0.45500000000000002</v>
      </c>
      <c r="EI36" s="2">
        <f t="shared" ca="1" si="20"/>
        <v>64176490109.890106</v>
      </c>
      <c r="EJ36" s="17">
        <v>3112559770.3296704</v>
      </c>
      <c r="EK36" s="17">
        <f t="shared" ca="1" si="21"/>
        <v>3112559770.3296704</v>
      </c>
      <c r="EM36" s="16">
        <f t="shared" ca="1" si="22"/>
        <v>0</v>
      </c>
      <c r="EN36" s="32" t="str">
        <f>IF(VLOOKUP(BR36,Fundamentus!A:U,3,FALSE)&lt;15,"Bom",IF(VLOOKUP(BR36,Fundamentus!A:U,3,FALSE)&gt;15,"Ruim","n/a"))</f>
        <v>Bom</v>
      </c>
      <c r="EO36" s="28" t="str">
        <f>IF(VLOOKUP(BR36,Fundamentus!A:U,4,FALSE)&lt;1,"Baixo",IF(VLOOKUP(BR36,Fundamentus!A:U,4,FALSE)&lt;1.5,"Moderado",IF(VLOOKUP(BR36,Fundamentus!A:U,4,FALSE)&gt;1.5,"Alto","n/a")))</f>
        <v>Baixo</v>
      </c>
      <c r="EP36" s="17" t="str">
        <f>IF(VLOOKUP(BR36,Fundamentus!A:U,8,FALSE)&lt;0,"Risco elevado",IF(VLOOKUP(BR36,Fundamentus!A:U,8,FALSE)&lt;1,"Saudável",IF(VLOOKUP(BR36,Fundamentus!A:U,8,FALSE)&lt;3,"Estável",IF(VLOOKUP(BR36,Fundamentus!A:U,8,FALSE)&gt;3,"Alerta","n/a"))))</f>
        <v>Estável</v>
      </c>
      <c r="EQ36" s="28" t="str">
        <f t="shared" si="23"/>
        <v>Ruim</v>
      </c>
      <c r="ER36" s="17" t="str">
        <f>IF(VLOOKUP(BR36,Fundamentus!A:U,12,FALSE)&lt;2,"Subvalorizada",IF(VLOOKUP(BR36,Fundamentus!A:U,12,FALSE)&lt;6,"Muita barata",IF(VLOOKUP(BR36,Fundamentus!A:U,12,FALSE)&lt;6,"Barata",IF(VLOOKUP(BR36,Fundamentus!A:U,12,FALSE)&lt;8,"Atrativa",IF(VLOOKUP(BR36,Fundamentus!A:U,12,FALSE)&gt;8,"Supervalorizada","n/a")))))</f>
        <v>Muita barata</v>
      </c>
      <c r="ET36" s="17" t="str">
        <f>IF(VLOOKUP(BR36,Fundamentus!A:U,17,FALSE)&lt;0.1,"Fraco retorno",IF(VLOOKUP(BR36,Fundamentus!A:U,17,FALSE)&gt;0.1,"Bom retorno","n/a"))</f>
        <v>Fraco retorno</v>
      </c>
      <c r="EU36" s="17" t="str">
        <f>IF(VLOOKUP(BR36,Fundamentus!A:U,16,FALSE)&lt;0.1,"Ineficiente",IF(VLOOKUP(BR36,Fundamentus!A:U,16,FALSE)&gt;0.1,"Eficiente","n/a"))</f>
        <v>Ineficiente</v>
      </c>
      <c r="EV36" s="33" t="str">
        <f>IF(VLOOKUP(BR36,Fundamentus!A:U,16,FALSE)&lt;0.1,"Oper. Ineficiente",IF(VLOOKUP(BR36,Fundamentus!A:U,16,FALSE)&gt;0.1,"Oper.Eficiente","n/a"))</f>
        <v>Oper. Ineficiente</v>
      </c>
      <c r="EW36" s="34">
        <f>VLOOKUP(BR36,Fundamentus!A:U,14,FALSE)</f>
        <v>4.8500000000000001E-2</v>
      </c>
      <c r="EX36" s="17" t="str">
        <f>IF(VLOOKUP(BR36,Fundamentus!A:U,21,FALSE)&lt;0,"Negativo",IF(VLOOKUP(BR36,Fundamentus!A:U,21,FALSE)&lt;0.05,"Fraco",IF(VLOOKUP(BR36,Fundamentus!A:U,21,FALSE)&lt;0.1,"Bom",IF(VLOOKUP(BR36,Fundamentus!A:U,21,FALSE)&gt;0.1,"Muito bom","n/a"))))</f>
        <v>Fraco</v>
      </c>
      <c r="EZ36" s="29" t="str">
        <f>IF(VLOOKUP(BR36,Fundamentus!A:U,15,FALSE)&gt;1,"Bom",IF(VLOOKUP(BR36,Fundamentus!A:U,15,FALSE)&lt;1,"Ruim","n/a"))</f>
        <v>Bom</v>
      </c>
      <c r="FA36" s="17" t="str">
        <f>IF(VLOOKUP(BR36,Fundamentus!A:U,20,FALSE)&lt;0.5,"Baixa",IF(VLOOKUP(BR36,Fundamentus!A:U,20,FALSE)&lt;1,"Moderada",IF(VLOOKUP(BR36,Fundamentus!A:U,20,FALSE)&lt;2,"Alerta",IF(VLOOKUP(BR36,Fundamentus!A:U,20,FALSE)&gt;2,"Alta","n/a"))))</f>
        <v>Baixa</v>
      </c>
    </row>
    <row r="37" spans="1:157" s="5" customFormat="1" ht="11.25"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5">
        <v>8.4700000000000006</v>
      </c>
      <c r="BC37" s="52">
        <v>8.48</v>
      </c>
      <c r="BD37" s="52">
        <v>8.4499999999999993</v>
      </c>
      <c r="BE37" s="52">
        <v>8.48</v>
      </c>
      <c r="BF37" s="52">
        <v>8.48</v>
      </c>
      <c r="BG37" s="67">
        <v>8.48</v>
      </c>
      <c r="BH37" s="52">
        <v>8.48</v>
      </c>
      <c r="BI37" s="52">
        <v>8.48</v>
      </c>
      <c r="BJ37" s="52">
        <v>8.48</v>
      </c>
      <c r="BK37" s="52">
        <v>8.48</v>
      </c>
      <c r="BL37" s="52">
        <v>8.48</v>
      </c>
      <c r="BM37" s="52">
        <v>8.48</v>
      </c>
      <c r="BN37" s="52">
        <v>8.48</v>
      </c>
      <c r="BO37" s="52">
        <v>8.48</v>
      </c>
      <c r="BP37" s="52">
        <v>8.48</v>
      </c>
      <c r="BQ37" s="52" cm="1">
        <f t="array" aca="1" ref="BQ37" ca="1">_FV(EE37,"Preço")</f>
        <v>8.48</v>
      </c>
      <c r="BR37" s="69" t="s">
        <v>34</v>
      </c>
      <c r="BS37" s="36" cm="1">
        <f t="array" aca="1" ref="BS37" ca="1">_FV(EE37,"Média de volume",TRUE)</f>
        <v>3276280</v>
      </c>
      <c r="BT37" s="36">
        <v>14418400</v>
      </c>
      <c r="BU37" s="36" cm="1">
        <f t="array" aca="1" ref="BU37" ca="1">_FV(EE37,"Volume")</f>
        <v>14418400</v>
      </c>
      <c r="BV37" s="24" cm="1">
        <f t="array" aca="1" ref="BV37" ca="1">_FV(EE37,"Beta")</f>
        <v>1.3414999999999999</v>
      </c>
      <c r="BW37" s="71" cm="1">
        <f t="array" aca="1" ref="BW37" ca="1">_FV(EE37,"Variação (%)",TRUE)</f>
        <v>0</v>
      </c>
      <c r="BY37" s="17" cm="1">
        <f t="array" aca="1" ref="BY37" ca="1">_FV(EE37,"Baixo")</f>
        <v>8.44</v>
      </c>
      <c r="BZ37" s="17" cm="1">
        <f t="array" aca="1" ref="BZ37" ca="1">_FV(EE37,"Alto")</f>
        <v>8.5399999999999991</v>
      </c>
      <c r="CA37" s="24"/>
      <c r="CB37" s="63">
        <f ca="1">SQRT(22.5*(BQ37/VLOOKUP(BR37,Fundamentus!A:U,3,FALSE))*(BQ37/VLOOKUP(BR37,Fundamentus!A:U,4,FALSE)))</f>
        <v>14.694846067956021</v>
      </c>
      <c r="CD37" s="62">
        <f t="shared" ca="1" si="24"/>
        <v>0</v>
      </c>
      <c r="CE37" s="8"/>
      <c r="CF37" s="61">
        <f t="shared" si="25"/>
        <v>5.31</v>
      </c>
      <c r="CG37" s="61">
        <f t="shared" si="26"/>
        <v>11.53</v>
      </c>
      <c r="CH37" s="61">
        <f t="shared" si="27"/>
        <v>8.180661764705885</v>
      </c>
      <c r="CI37" s="14"/>
      <c r="CJ37" s="35">
        <f t="shared" si="1"/>
        <v>8.48</v>
      </c>
      <c r="CK37" s="15">
        <f t="shared" si="28"/>
        <v>8.48</v>
      </c>
      <c r="CL37" s="35">
        <f t="shared" si="2"/>
        <v>8.48</v>
      </c>
      <c r="CN37" s="14"/>
      <c r="CO37" s="17">
        <f t="shared" si="3"/>
        <v>-0.87000000000000011</v>
      </c>
      <c r="CP37" s="17">
        <f t="shared" si="4"/>
        <v>2.2199999999999998</v>
      </c>
      <c r="CQ37" s="17">
        <f t="shared" si="5"/>
        <v>5.35</v>
      </c>
      <c r="CR37" s="38">
        <f t="shared" si="29"/>
        <v>8.44</v>
      </c>
      <c r="CS37" s="17">
        <f t="shared" si="6"/>
        <v>11.57</v>
      </c>
      <c r="CT37" s="17">
        <f t="shared" si="7"/>
        <v>14.66</v>
      </c>
      <c r="CU37" s="17">
        <f t="shared" si="8"/>
        <v>17.79</v>
      </c>
      <c r="CV37" s="2" cm="1">
        <f t="array" aca="1" ref="CV37" ca="1">MAX(_xlfn._xlws.FILTER(CO37:CU37,CO37:CU37&lt;BQ37))</f>
        <v>8.44</v>
      </c>
      <c r="CW37" s="2" cm="1">
        <f t="array" aca="1" ref="CW37" ca="1">MIN(_xlfn._xlws.FILTER($CO37:$CU37,$CO37:$CU37&gt;BQ37))</f>
        <v>11.57</v>
      </c>
      <c r="CX37" s="16">
        <f t="shared" ca="1" si="63"/>
        <v>0.37085308056872046</v>
      </c>
      <c r="CY37" s="20">
        <f t="shared" ca="1" si="64"/>
        <v>-0.18542654028436023</v>
      </c>
      <c r="CZ37" s="20">
        <f t="shared" ca="1" si="65"/>
        <v>-0.12361769352290682</v>
      </c>
      <c r="DA37" s="20">
        <f t="shared" ca="1" si="66"/>
        <v>-7.4170616113744092E-2</v>
      </c>
      <c r="DB37" s="20">
        <f t="shared" ca="1" si="67"/>
        <v>-4.1205897840968939E-2</v>
      </c>
      <c r="DC37" s="20">
        <f t="shared" ca="1" si="68"/>
        <v>-2.1814887092277673E-2</v>
      </c>
      <c r="DD37" s="20">
        <f t="shared" ca="1" si="69"/>
        <v>-1.1237972138446075E-2</v>
      </c>
      <c r="DE37" s="20">
        <f t="shared" ca="1" si="70"/>
        <v>-5.7054320087495452E-3</v>
      </c>
      <c r="DF37" s="21">
        <f t="shared" ca="1" si="71"/>
        <v>5.7054320087495452E-3</v>
      </c>
      <c r="DG37" s="21">
        <f t="shared" ca="1" si="72"/>
        <v>1.1237972138446075E-2</v>
      </c>
      <c r="DH37" s="21">
        <f t="shared" ca="1" si="73"/>
        <v>2.1814887092277673E-2</v>
      </c>
      <c r="DI37" s="21">
        <f t="shared" ca="1" si="74"/>
        <v>4.1205897840968939E-2</v>
      </c>
      <c r="DJ37" s="21">
        <f t="shared" ca="1" si="75"/>
        <v>7.4170616113744092E-2</v>
      </c>
      <c r="DK37" s="21">
        <f t="shared" ca="1" si="76"/>
        <v>0.12361769352290682</v>
      </c>
      <c r="DL37" s="21">
        <f t="shared" ca="1" si="77"/>
        <v>0.18542654028436023</v>
      </c>
      <c r="DN37" s="16" cm="1">
        <f t="array" aca="1" ref="DN37" ca="1">MAX(_xlfn._xlws.FILTER(CY37:DL37,CY37:DL37&lt;BW37))</f>
        <v>-5.7054320087495452E-3</v>
      </c>
      <c r="DO37" s="16" cm="1">
        <f t="array" aca="1" ref="DO37" ca="1">MIN(_xlfn._xlws.FILTER(CY37:DL37,CY37:DL37&gt;BW37))</f>
        <v>5.7054320087495452E-3</v>
      </c>
      <c r="DP37" s="2" cm="1">
        <f t="array" aca="1" ref="DP37" ca="1">_FV(EE37,"Fechamento anterior",TRUE)</f>
        <v>8.4499999999999993</v>
      </c>
      <c r="DQ37" s="28">
        <f t="shared" ca="1" si="15"/>
        <v>0.81113295650038564</v>
      </c>
      <c r="DR37" s="15">
        <f t="shared" ca="1" si="78"/>
        <v>8.4017890995260665</v>
      </c>
      <c r="DS37" s="15">
        <f t="shared" ca="1" si="79"/>
        <v>8.4982109004739321</v>
      </c>
      <c r="DT37" s="9"/>
      <c r="DU37" s="9"/>
      <c r="DV37" s="9"/>
      <c r="DW37" s="89">
        <v>1.141086401749909E-2</v>
      </c>
      <c r="DX37" s="89">
        <f t="shared" ca="1" si="18"/>
        <v>1.141086401749909E-2</v>
      </c>
      <c r="DY37" s="72" t="e">
        <f t="shared" ca="1" si="19"/>
        <v>#DIV/0!</v>
      </c>
      <c r="DZ37" s="37"/>
      <c r="EA37" s="35">
        <f t="shared" si="39"/>
        <v>0</v>
      </c>
      <c r="EB37" s="56"/>
      <c r="EC37" s="56"/>
      <c r="EE37" s="5" t="e" vm="37">
        <v>#VALUE!</v>
      </c>
      <c r="EG37" s="10" cm="1">
        <f t="array" aca="1" ref="EG37" ca="1">_FV(EE37,"Ações em circulação",TRUE)</f>
        <v>2109057000</v>
      </c>
      <c r="EH37" s="18">
        <f>VLOOKUP(BR37,Fundamentus!A:U,5,FALSE)</f>
        <v>0.15</v>
      </c>
      <c r="EI37" s="2">
        <f t="shared" ca="1" si="20"/>
        <v>119232022400</v>
      </c>
      <c r="EJ37" s="17">
        <v>2217715616.6399999</v>
      </c>
      <c r="EK37" s="17">
        <f t="shared" ca="1" si="21"/>
        <v>2217715616.6399999</v>
      </c>
      <c r="EL37" s="2"/>
      <c r="EM37" s="16">
        <f t="shared" ca="1" si="22"/>
        <v>0</v>
      </c>
      <c r="EN37" s="32" t="str">
        <f>IF(VLOOKUP(BR37,Fundamentus!A:U,3,FALSE)&lt;15,"Bom",IF(VLOOKUP(BR37,Fundamentus!A:U,3,FALSE)&gt;15,"Ruim","n/a"))</f>
        <v>Bom</v>
      </c>
      <c r="EO37" s="28" t="str">
        <f>IF(VLOOKUP(BR37,Fundamentus!A:U,4,FALSE)&lt;1,"Baixo",IF(VLOOKUP(BR37,Fundamentus!A:U,4,FALSE)&lt;1.5,"Moderado",IF(VLOOKUP(BR37,Fundamentus!A:U,4,FALSE)&gt;1.5,"Alto","n/a")))</f>
        <v>Baixo</v>
      </c>
      <c r="EP37" s="17" t="str">
        <f>IF(VLOOKUP(BR37,Fundamentus!A:U,8,FALSE)&lt;0,"Risco elevado",IF(VLOOKUP(BR37,Fundamentus!A:U,8,FALSE)&lt;1,"Saudável",IF(VLOOKUP(BR37,Fundamentus!A:U,8,FALSE)&lt;3,"Estável",IF(VLOOKUP(BR37,Fundamentus!A:U,8,FALSE)&gt;3,"Alerta","n/a"))))</f>
        <v>Risco elevado</v>
      </c>
      <c r="EQ37" s="28" t="str">
        <f t="shared" si="23"/>
        <v>Ruim</v>
      </c>
      <c r="ER37" s="17" t="str">
        <f>IF(VLOOKUP(BR37,Fundamentus!A:U,12,FALSE)&lt;2,"Subvalorizada",IF(VLOOKUP(BR37,Fundamentus!A:U,12,FALSE)&lt;6,"Muita barata",IF(VLOOKUP(BR37,Fundamentus!A:U,12,FALSE)&lt;6,"Barata",IF(VLOOKUP(BR37,Fundamentus!A:U,12,FALSE)&lt;8,"Atrativa",IF(VLOOKUP(BR37,Fundamentus!A:U,12,FALSE)&gt;8,"Supervalorizada","n/a")))))</f>
        <v>Muita barata</v>
      </c>
      <c r="ES37" s="2"/>
      <c r="ET37" s="17" t="str">
        <f>IF(VLOOKUP(BR37,Fundamentus!A:U,17,FALSE)&lt;0.1,"Fraco retorno",IF(VLOOKUP(BR37,Fundamentus!A:U,17,FALSE)&gt;0.1,"Bom retorno","n/a"))</f>
        <v>Fraco retorno</v>
      </c>
      <c r="EU37" s="17" t="str">
        <f>IF(VLOOKUP(BR37,Fundamentus!A:U,16,FALSE)&lt;0.1,"Ineficiente",IF(VLOOKUP(BR37,Fundamentus!A:U,16,FALSE)&gt;0.1,"Eficiente","n/a"))</f>
        <v>Ineficiente</v>
      </c>
      <c r="EV37" s="33" t="str">
        <f>IF(VLOOKUP(BR37,Fundamentus!A:U,16,FALSE)&lt;0.1,"Oper. Ineficiente",IF(VLOOKUP(BR37,Fundamentus!A:U,16,FALSE)&gt;0.1,"Oper.Eficiente","n/a"))</f>
        <v>Oper. Ineficiente</v>
      </c>
      <c r="EW37" s="34">
        <f>VLOOKUP(BR37,Fundamentus!A:U,14,FALSE)</f>
        <v>1.8599999999999998E-2</v>
      </c>
      <c r="EX37" s="17" t="str">
        <f>IF(VLOOKUP(BR37,Fundamentus!A:U,21,FALSE)&lt;0,"Negativo",IF(VLOOKUP(BR37,Fundamentus!A:U,21,FALSE)&lt;0.05,"Fraco",IF(VLOOKUP(BR37,Fundamentus!A:U,21,FALSE)&lt;0.1,"Bom",IF(VLOOKUP(BR37,Fundamentus!A:U,21,FALSE)&gt;0.1,"Muito bom","n/a"))))</f>
        <v>Muito bom</v>
      </c>
      <c r="EZ37" s="29" t="str">
        <f>IF(VLOOKUP(BR37,Fundamentus!A:U,15,FALSE)&gt;1,"Bom",IF(VLOOKUP(BR37,Fundamentus!A:U,15,FALSE)&lt;1,"Ruim","n/a"))</f>
        <v>Ruim</v>
      </c>
      <c r="FA37" s="17" t="str">
        <f>IF(VLOOKUP(BR37,Fundamentus!A:U,20,FALSE)&lt;0.5,"Baixa",IF(VLOOKUP(BR37,Fundamentus!A:U,20,FALSE)&lt;1,"Moderada",IF(VLOOKUP(BR37,Fundamentus!A:U,20,FALSE)&lt;2,"Alerta",IF(VLOOKUP(BR37,Fundamentus!A:U,20,FALSE)&gt;2,"Alta","n/a"))))</f>
        <v>Alerta</v>
      </c>
    </row>
    <row r="38" spans="1:157" s="2" customFormat="1" ht="11.25"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5">
        <v>6.3</v>
      </c>
      <c r="BC38" s="52">
        <v>6.08</v>
      </c>
      <c r="BD38" s="52">
        <v>6.35</v>
      </c>
      <c r="BE38" s="52">
        <v>6.55</v>
      </c>
      <c r="BF38" s="52">
        <v>6.69</v>
      </c>
      <c r="BG38" s="67">
        <v>7.19</v>
      </c>
      <c r="BH38" s="52" t="s">
        <v>503</v>
      </c>
      <c r="BI38" s="52">
        <v>7.7</v>
      </c>
      <c r="BJ38" s="52">
        <v>7.97</v>
      </c>
      <c r="BK38" s="52">
        <v>7.89</v>
      </c>
      <c r="BL38" s="52">
        <v>7.83</v>
      </c>
      <c r="BM38" s="52">
        <v>7.62</v>
      </c>
      <c r="BN38" s="52">
        <v>7.54</v>
      </c>
      <c r="BO38" s="52">
        <v>7.59</v>
      </c>
      <c r="BP38" s="52">
        <v>7.88</v>
      </c>
      <c r="BQ38" s="52" cm="1">
        <f t="array" aca="1" ref="BQ38" ca="1">_FV(EE38,"Preço")</f>
        <v>7.88</v>
      </c>
      <c r="BR38" s="69" t="s">
        <v>35</v>
      </c>
      <c r="BS38" s="36" cm="1">
        <f t="array" aca="1" ref="BS38" ca="1">_FV(EE38,"Média de volume",TRUE)</f>
        <v>1307550</v>
      </c>
      <c r="BT38" s="36">
        <v>113200</v>
      </c>
      <c r="BU38" s="36" cm="1">
        <f t="array" aca="1" ref="BU38" ca="1">_FV(EE38,"Volume")</f>
        <v>113200</v>
      </c>
      <c r="BV38" s="24" cm="1">
        <f t="array" aca="1" ref="BV38" ca="1">_FV(EE38,"Beta")</f>
        <v>0.60909999999999997</v>
      </c>
      <c r="BW38" s="71" cm="1">
        <f t="array" aca="1" ref="BW38" ca="1">_FV(EE38,"Variação (%)",TRUE)</f>
        <v>-1.3767E-2</v>
      </c>
      <c r="BY38" s="17" cm="1">
        <f t="array" aca="1" ref="BY38" ca="1">_FV(EE38,"Baixo")</f>
        <v>7.84</v>
      </c>
      <c r="BZ38" s="17" cm="1">
        <f t="array" aca="1" ref="BZ38" ca="1">_FV(EE38,"Alto")</f>
        <v>7.96</v>
      </c>
      <c r="CA38" s="24"/>
      <c r="CB38" s="63">
        <f ca="1">SQRT(22.5*(BQ38/VLOOKUP(BR38,Fundamentus!A:U,3,FALSE))*(BQ38/VLOOKUP(BR38,Fundamentus!A:U,4,FALSE)))</f>
        <v>17.144845245541966</v>
      </c>
      <c r="CD38" s="62">
        <f t="shared" ca="1" si="24"/>
        <v>0</v>
      </c>
      <c r="CE38" s="8"/>
      <c r="CF38" s="61">
        <f t="shared" si="25"/>
        <v>4.97</v>
      </c>
      <c r="CG38" s="61">
        <f t="shared" si="26"/>
        <v>7.97</v>
      </c>
      <c r="CH38" s="61">
        <f t="shared" si="27"/>
        <v>5.7970895522388064</v>
      </c>
      <c r="CI38" s="14"/>
      <c r="CJ38" s="35">
        <f t="shared" si="1"/>
        <v>7.5865471314566957</v>
      </c>
      <c r="CK38" s="15">
        <f t="shared" si="28"/>
        <v>7.8650000000000091</v>
      </c>
      <c r="CL38" s="35">
        <f t="shared" si="2"/>
        <v>8.1434528685433225</v>
      </c>
      <c r="CN38" s="14"/>
      <c r="CO38" s="17">
        <f t="shared" si="3"/>
        <v>2.910000000000001</v>
      </c>
      <c r="CP38" s="17">
        <f t="shared" si="4"/>
        <v>3.9400000000000004</v>
      </c>
      <c r="CQ38" s="17">
        <f t="shared" si="5"/>
        <v>5.910000000000001</v>
      </c>
      <c r="CR38" s="38">
        <f t="shared" si="29"/>
        <v>6.94</v>
      </c>
      <c r="CS38" s="17">
        <f t="shared" si="6"/>
        <v>8.91</v>
      </c>
      <c r="CT38" s="17">
        <f t="shared" si="7"/>
        <v>9.9400000000000013</v>
      </c>
      <c r="CU38" s="17">
        <f t="shared" si="8"/>
        <v>11.91</v>
      </c>
      <c r="CV38" s="2" cm="1">
        <f t="array" aca="1" ref="CV38" ca="1">MAX(_xlfn._xlws.FILTER(CO38:CU38,CO38:CU38&lt;BQ38))</f>
        <v>6.94</v>
      </c>
      <c r="CW38" s="2" cm="1">
        <f t="array" aca="1" ref="CW38" ca="1">MIN(_xlfn._xlws.FILTER($CO38:$CU38,$CO38:$CU38&gt;BQ38))</f>
        <v>8.91</v>
      </c>
      <c r="CX38" s="16">
        <f t="shared" ca="1" si="63"/>
        <v>0.28386167146974062</v>
      </c>
      <c r="CY38" s="20">
        <f t="shared" ca="1" si="64"/>
        <v>-0.14193083573487031</v>
      </c>
      <c r="CZ38" s="20">
        <f t="shared" ca="1" si="65"/>
        <v>-9.4620557156580201E-2</v>
      </c>
      <c r="DA38" s="20">
        <f t="shared" ca="1" si="66"/>
        <v>-5.6772334293948123E-2</v>
      </c>
      <c r="DB38" s="20">
        <f t="shared" ca="1" si="67"/>
        <v>-3.1540185718860067E-2</v>
      </c>
      <c r="DC38" s="20">
        <f t="shared" ca="1" si="68"/>
        <v>-1.6697745380572976E-2</v>
      </c>
      <c r="DD38" s="20">
        <f t="shared" ca="1" si="69"/>
        <v>-8.6018688324163827E-3</v>
      </c>
      <c r="DE38" s="20">
        <f t="shared" ca="1" si="70"/>
        <v>-4.3671026379960096E-3</v>
      </c>
      <c r="DF38" s="21">
        <f t="shared" ca="1" si="71"/>
        <v>4.3671026379960096E-3</v>
      </c>
      <c r="DG38" s="21">
        <f t="shared" ca="1" si="72"/>
        <v>8.6018688324163827E-3</v>
      </c>
      <c r="DH38" s="21">
        <f t="shared" ca="1" si="73"/>
        <v>1.6697745380572976E-2</v>
      </c>
      <c r="DI38" s="21">
        <f t="shared" ca="1" si="74"/>
        <v>3.1540185718860067E-2</v>
      </c>
      <c r="DJ38" s="21">
        <f t="shared" ca="1" si="75"/>
        <v>5.6772334293948123E-2</v>
      </c>
      <c r="DK38" s="21">
        <f t="shared" ca="1" si="76"/>
        <v>9.4620557156580201E-2</v>
      </c>
      <c r="DL38" s="21">
        <f t="shared" ca="1" si="77"/>
        <v>0.14193083573487031</v>
      </c>
      <c r="DN38" s="16" cm="1">
        <f t="array" aca="1" ref="DN38" ca="1">MAX(_xlfn._xlws.FILTER(CY38:DL38,CY38:DL38&lt;BW38))</f>
        <v>-1.6697745380572976E-2</v>
      </c>
      <c r="DO38" s="16" cm="1">
        <f t="array" aca="1" ref="DO38" ca="1">MIN(_xlfn._xlws.FILTER(CY38:DL38,CY38:DL38&gt;BW38))</f>
        <v>-8.6018688324163827E-3</v>
      </c>
      <c r="DP38" s="2" cm="1">
        <f t="array" aca="1" ref="DP38" ca="1">_FV(EE38,"Fechamento anterior",TRUE)</f>
        <v>7.99</v>
      </c>
      <c r="DQ38" s="28">
        <f t="shared" ca="1" si="15"/>
        <v>0.3619788854087872</v>
      </c>
      <c r="DR38" s="15">
        <f t="shared" ca="1" si="78"/>
        <v>7.8565850144092222</v>
      </c>
      <c r="DS38" s="15">
        <f t="shared" ca="1" si="79"/>
        <v>7.9212710680289931</v>
      </c>
      <c r="DT38" s="9"/>
      <c r="DU38" s="9"/>
      <c r="DV38" s="9"/>
      <c r="DW38" s="89">
        <v>4.0838525008033075E-3</v>
      </c>
      <c r="DX38" s="89">
        <f t="shared" ca="1" si="18"/>
        <v>8.0958765481565931E-3</v>
      </c>
      <c r="DY38" s="72">
        <f t="shared" ca="1" si="19"/>
        <v>5.3869080532232133E-2</v>
      </c>
      <c r="DZ38" s="37"/>
      <c r="EA38" s="35">
        <f t="shared" si="39"/>
        <v>0.13922643427165682</v>
      </c>
      <c r="EB38" s="56"/>
      <c r="EC38" s="56"/>
      <c r="EE38" s="2" t="e" vm="38">
        <v>#VALUE!</v>
      </c>
      <c r="EG38" s="10" cm="1">
        <f t="array" aca="1" ref="EG38" ca="1">_FV(EE38,"Ações em circulação",TRUE)</f>
        <v>1511206000</v>
      </c>
      <c r="EH38" s="18">
        <f>VLOOKUP(BR38,Fundamentus!A:U,5,FALSE)</f>
        <v>1.671</v>
      </c>
      <c r="EI38" s="2">
        <f t="shared" ca="1" si="20"/>
        <v>7126453189.7067623</v>
      </c>
      <c r="EJ38" s="17">
        <v>2432258473.6469178</v>
      </c>
      <c r="EK38" s="17">
        <f t="shared" ca="1" si="21"/>
        <v>2432258473.6469178</v>
      </c>
      <c r="EM38" s="16">
        <f t="shared" ca="1" si="22"/>
        <v>0</v>
      </c>
      <c r="EN38" s="32" t="str">
        <f>IF(VLOOKUP(BR38,Fundamentus!A:U,3,FALSE)&lt;15,"Bom",IF(VLOOKUP(BR38,Fundamentus!A:U,3,FALSE)&gt;15,"Ruim","n/a"))</f>
        <v>Bom</v>
      </c>
      <c r="EO38" s="28" t="str">
        <f>IF(VLOOKUP(BR38,Fundamentus!A:U,4,FALSE)&lt;1,"Baixo",IF(VLOOKUP(BR38,Fundamentus!A:U,4,FALSE)&lt;1.5,"Moderado",IF(VLOOKUP(BR38,Fundamentus!A:U,4,FALSE)&gt;1.5,"Alto","n/a")))</f>
        <v>Baixo</v>
      </c>
      <c r="EP38" s="17" t="str">
        <f>IF(VLOOKUP(BR38,Fundamentus!A:U,8,FALSE)&lt;0,"Risco elevado",IF(VLOOKUP(BR38,Fundamentus!A:U,8,FALSE)&lt;1,"Saudável",IF(VLOOKUP(BR38,Fundamentus!A:U,8,FALSE)&lt;3,"Estável",IF(VLOOKUP(BR38,Fundamentus!A:U,8,FALSE)&gt;3,"Alerta","n/a"))))</f>
        <v>Alerta</v>
      </c>
      <c r="EQ38" s="28" t="str">
        <f t="shared" si="23"/>
        <v>Bom</v>
      </c>
      <c r="ER38" s="17" t="str">
        <f>IF(VLOOKUP(BR38,Fundamentus!A:U,12,FALSE)&lt;2,"Subvalorizada",IF(VLOOKUP(BR38,Fundamentus!A:U,12,FALSE)&lt;6,"Muita barata",IF(VLOOKUP(BR38,Fundamentus!A:U,12,FALSE)&lt;6,"Barata",IF(VLOOKUP(BR38,Fundamentus!A:U,12,FALSE)&lt;8,"Atrativa",IF(VLOOKUP(BR38,Fundamentus!A:U,12,FALSE)&gt;8,"Supervalorizada","n/a")))))</f>
        <v>Atrativa</v>
      </c>
      <c r="ET38" s="17" t="str">
        <f>IF(VLOOKUP(BR38,Fundamentus!A:U,17,FALSE)&lt;0.1,"Fraco retorno",IF(VLOOKUP(BR38,Fundamentus!A:U,17,FALSE)&gt;0.1,"Bom retorno","n/a"))</f>
        <v>Bom retorno</v>
      </c>
      <c r="EU38" s="17" t="str">
        <f>IF(VLOOKUP(BR38,Fundamentus!A:U,16,FALSE)&lt;0.1,"Ineficiente",IF(VLOOKUP(BR38,Fundamentus!A:U,16,FALSE)&gt;0.1,"Eficiente","n/a"))</f>
        <v>Ineficiente</v>
      </c>
      <c r="EV38" s="33" t="str">
        <f>IF(VLOOKUP(BR38,Fundamentus!A:U,16,FALSE)&lt;0.1,"Oper. Ineficiente",IF(VLOOKUP(BR38,Fundamentus!A:U,16,FALSE)&gt;0.1,"Oper.Eficiente","n/a"))</f>
        <v>Oper. Ineficiente</v>
      </c>
      <c r="EW38" s="34">
        <f>VLOOKUP(BR38,Fundamentus!A:U,14,FALSE)</f>
        <v>0.34129999999999999</v>
      </c>
      <c r="EX38" s="17" t="str">
        <f>IF(VLOOKUP(BR38,Fundamentus!A:U,21,FALSE)&lt;0,"Negativo",IF(VLOOKUP(BR38,Fundamentus!A:U,21,FALSE)&lt;0.05,"Fraco",IF(VLOOKUP(BR38,Fundamentus!A:U,21,FALSE)&lt;0.1,"Bom",IF(VLOOKUP(BR38,Fundamentus!A:U,21,FALSE)&gt;0.1,"Muito bom","n/a"))))</f>
        <v>Bom</v>
      </c>
      <c r="EZ38" s="29" t="str">
        <f>IF(VLOOKUP(BR38,Fundamentus!A:U,15,FALSE)&gt;1,"Bom",IF(VLOOKUP(BR38,Fundamentus!A:U,15,FALSE)&lt;1,"Ruim","n/a"))</f>
        <v>Bom</v>
      </c>
      <c r="FA38" s="17" t="str">
        <f>IF(VLOOKUP(BR38,Fundamentus!A:U,20,FALSE)&lt;0.5,"Baixa",IF(VLOOKUP(BR38,Fundamentus!A:U,20,FALSE)&lt;1,"Moderada",IF(VLOOKUP(BR38,Fundamentus!A:U,20,FALSE)&lt;2,"Alerta",IF(VLOOKUP(BR38,Fundamentus!A:U,20,FALSE)&gt;2,"Alta","n/a"))))</f>
        <v>Moderada</v>
      </c>
    </row>
    <row r="39" spans="1:157" s="2" customFormat="1" ht="11.25"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5">
        <v>21.49</v>
      </c>
      <c r="BC39" s="52">
        <v>21.68</v>
      </c>
      <c r="BD39" s="52">
        <v>21.41</v>
      </c>
      <c r="BE39" s="52">
        <v>20.95</v>
      </c>
      <c r="BF39" s="52">
        <v>21.44</v>
      </c>
      <c r="BG39" s="67">
        <v>21.06</v>
      </c>
      <c r="BH39" s="52">
        <v>21.36</v>
      </c>
      <c r="BI39" s="52">
        <v>22.2</v>
      </c>
      <c r="BJ39" s="52">
        <v>21.64</v>
      </c>
      <c r="BK39" s="52">
        <v>20.98</v>
      </c>
      <c r="BL39" s="52">
        <v>20.8</v>
      </c>
      <c r="BM39" s="52">
        <v>20.6</v>
      </c>
      <c r="BN39" s="52">
        <v>21.24</v>
      </c>
      <c r="BO39" s="52">
        <v>21.45</v>
      </c>
      <c r="BP39" s="52">
        <v>21.93</v>
      </c>
      <c r="BQ39" s="52" cm="1">
        <f t="array" aca="1" ref="BQ39" ca="1">_FV(EE39,"Preço")</f>
        <v>21.93</v>
      </c>
      <c r="BR39" s="69" t="s">
        <v>36</v>
      </c>
      <c r="BS39" s="36" cm="1">
        <f t="array" aca="1" ref="BS39" ca="1">_FV(EE39,"Média de volume",TRUE)</f>
        <v>368160</v>
      </c>
      <c r="BT39" s="36">
        <v>325400</v>
      </c>
      <c r="BU39" s="36" cm="1">
        <f t="array" aca="1" ref="BU39" ca="1">_FV(EE39,"Volume")</f>
        <v>325400</v>
      </c>
      <c r="BV39" s="24" cm="1">
        <f t="array" aca="1" ref="BV39" ca="1">_FV(EE39,"Beta")</f>
        <v>0.90339999999999998</v>
      </c>
      <c r="BW39" s="71" cm="1">
        <f t="array" aca="1" ref="BW39" ca="1">_FV(EE39,"Variação (%)",TRUE)</f>
        <v>2.1425E-2</v>
      </c>
      <c r="BY39" s="17" cm="1">
        <f t="array" aca="1" ref="BY39" ca="1">_FV(EE39,"Baixo")</f>
        <v>21.42</v>
      </c>
      <c r="BZ39" s="17" cm="1">
        <f t="array" aca="1" ref="BZ39" ca="1">_FV(EE39,"Alto")</f>
        <v>21.93</v>
      </c>
      <c r="CA39" s="24"/>
      <c r="CB39" s="63">
        <f ca="1">SQRT(22.5*(BQ39/VLOOKUP(BR39,Fundamentus!A:U,3,FALSE))*(BQ39/VLOOKUP(BR39,Fundamentus!A:U,4,FALSE)))</f>
        <v>51.22489697245372</v>
      </c>
      <c r="CD39" s="62">
        <f t="shared" ca="1" si="24"/>
        <v>0</v>
      </c>
      <c r="CE39" s="8"/>
      <c r="CF39" s="61">
        <f t="shared" si="25"/>
        <v>18.989999999999998</v>
      </c>
      <c r="CG39" s="61">
        <f t="shared" si="26"/>
        <v>23.55</v>
      </c>
      <c r="CH39" s="61">
        <f t="shared" si="27"/>
        <v>21.25823529411765</v>
      </c>
      <c r="CI39" s="14"/>
      <c r="CJ39" s="35">
        <f t="shared" si="1"/>
        <v>21.748686549712136</v>
      </c>
      <c r="CK39" s="15">
        <f t="shared" si="28"/>
        <v>22.355000000000018</v>
      </c>
      <c r="CL39" s="35">
        <f t="shared" si="2"/>
        <v>22.9613134502879</v>
      </c>
      <c r="CN39" s="14"/>
      <c r="CO39" s="17">
        <f t="shared" si="3"/>
        <v>14.869999999999994</v>
      </c>
      <c r="CP39" s="17">
        <f t="shared" si="4"/>
        <v>16.929999999999996</v>
      </c>
      <c r="CQ39" s="17">
        <f t="shared" si="5"/>
        <v>19.429999999999996</v>
      </c>
      <c r="CR39" s="38">
        <f t="shared" si="29"/>
        <v>21.49</v>
      </c>
      <c r="CS39" s="17">
        <f t="shared" si="6"/>
        <v>23.99</v>
      </c>
      <c r="CT39" s="17">
        <f t="shared" si="7"/>
        <v>26.05</v>
      </c>
      <c r="CU39" s="17">
        <f t="shared" si="8"/>
        <v>28.55</v>
      </c>
      <c r="CV39" s="2" cm="1">
        <f t="array" aca="1" ref="CV39" ca="1">MAX(_xlfn._xlws.FILTER(CO39:CU39,CO39:CU39&lt;BQ39))</f>
        <v>21.49</v>
      </c>
      <c r="CW39" s="2" cm="1">
        <f t="array" aca="1" ref="CW39" ca="1">MIN(_xlfn._xlws.FILTER($CO39:$CU39,$CO39:$CU39&gt;BQ39))</f>
        <v>23.99</v>
      </c>
      <c r="CX39" s="16">
        <f t="shared" ca="1" si="63"/>
        <v>0.11633317822242906</v>
      </c>
      <c r="CY39" s="20">
        <f t="shared" ca="1" si="64"/>
        <v>-5.8166589111214528E-2</v>
      </c>
      <c r="CZ39" s="20">
        <f t="shared" ca="1" si="65"/>
        <v>-3.8777726074143017E-2</v>
      </c>
      <c r="DA39" s="20">
        <f t="shared" ca="1" si="66"/>
        <v>-2.3266635644485813E-2</v>
      </c>
      <c r="DB39" s="20">
        <f t="shared" ca="1" si="67"/>
        <v>-1.2925908691381006E-2</v>
      </c>
      <c r="DC39" s="20">
        <f t="shared" ca="1" si="68"/>
        <v>-6.8431281307311208E-3</v>
      </c>
      <c r="DD39" s="20">
        <f t="shared" ca="1" si="69"/>
        <v>-3.5252478249220925E-3</v>
      </c>
      <c r="DE39" s="20">
        <f t="shared" ca="1" si="70"/>
        <v>-1.7897412034219855E-3</v>
      </c>
      <c r="DF39" s="21">
        <f t="shared" ca="1" si="71"/>
        <v>1.7897412034219855E-3</v>
      </c>
      <c r="DG39" s="21">
        <f t="shared" ca="1" si="72"/>
        <v>3.5252478249220925E-3</v>
      </c>
      <c r="DH39" s="21">
        <f t="shared" ca="1" si="73"/>
        <v>6.8431281307311208E-3</v>
      </c>
      <c r="DI39" s="21">
        <f t="shared" ca="1" si="74"/>
        <v>1.2925908691381006E-2</v>
      </c>
      <c r="DJ39" s="21">
        <f t="shared" ca="1" si="75"/>
        <v>2.3266635644485813E-2</v>
      </c>
      <c r="DK39" s="21">
        <f t="shared" ca="1" si="76"/>
        <v>3.8777726074143017E-2</v>
      </c>
      <c r="DL39" s="21">
        <f t="shared" ca="1" si="77"/>
        <v>5.8166589111214528E-2</v>
      </c>
      <c r="DN39" s="16" cm="1">
        <f t="array" aca="1" ref="DN39" ca="1">MAX(_xlfn._xlws.FILTER(CY39:DL39,CY39:DL39&lt;BW39))</f>
        <v>1.2925908691381006E-2</v>
      </c>
      <c r="DO39" s="16" cm="1">
        <f t="array" aca="1" ref="DO39" ca="1">MIN(_xlfn._xlws.FILTER(CY39:DL39,CY39:DL39&gt;BW39))</f>
        <v>2.3266635644485813E-2</v>
      </c>
      <c r="DP39" s="2" cm="1">
        <f t="array" aca="1" ref="DP39" ca="1">_FV(EE39,"Fechamento anterior",TRUE)</f>
        <v>21.47</v>
      </c>
      <c r="DQ39" s="28">
        <f t="shared" ca="1" si="15"/>
        <v>0.82192827200745266</v>
      </c>
      <c r="DR39" s="15">
        <f t="shared" ca="1" si="78"/>
        <v>21.747519259603948</v>
      </c>
      <c r="DS39" s="15">
        <f t="shared" ca="1" si="79"/>
        <v>21.96953466728711</v>
      </c>
      <c r="DT39" s="9"/>
      <c r="DU39" s="9"/>
      <c r="DV39" s="9"/>
      <c r="DW39" s="89">
        <v>3.1288311258527192E-3</v>
      </c>
      <c r="DX39" s="89">
        <f t="shared" ca="1" si="18"/>
        <v>1.0340726953104807E-2</v>
      </c>
      <c r="DY39" s="72">
        <f t="shared" ca="1" si="19"/>
        <v>-0.7009575654279574</v>
      </c>
      <c r="DZ39" s="37"/>
      <c r="EA39" s="35">
        <f t="shared" si="39"/>
        <v>0.30315672514394171</v>
      </c>
      <c r="EB39" s="56"/>
      <c r="EC39" s="56"/>
      <c r="EE39" s="2" t="e" vm="39">
        <v>#VALUE!</v>
      </c>
      <c r="EG39" s="10" cm="1">
        <f t="array" aca="1" ref="EG39" ca="1">_FV(EE39,"Ações em circulação",TRUE)</f>
        <v>121695200</v>
      </c>
      <c r="EH39" s="18">
        <f>VLOOKUP(BR39,Fundamentus!A:U,5,FALSE)</f>
        <v>0</v>
      </c>
      <c r="EI39" s="2" t="e">
        <f t="shared" ca="1" si="20"/>
        <v>#DIV/0!</v>
      </c>
      <c r="EJ39" s="17" t="e">
        <v>#DIV/0!</v>
      </c>
      <c r="EK39" s="17" t="e">
        <f t="shared" ca="1" si="21"/>
        <v>#DIV/0!</v>
      </c>
      <c r="EM39" s="16" t="e">
        <f t="shared" ca="1" si="22"/>
        <v>#DIV/0!</v>
      </c>
      <c r="EN39" s="32" t="str">
        <f>IF(VLOOKUP(BR39,Fundamentus!A:U,3,FALSE)&lt;15,"Bom",IF(VLOOKUP(BR39,Fundamentus!A:U,3,FALSE)&gt;15,"Ruim","n/a"))</f>
        <v>Bom</v>
      </c>
      <c r="EO39" s="28" t="str">
        <f>IF(VLOOKUP(BR39,Fundamentus!A:U,4,FALSE)&lt;1,"Baixo",IF(VLOOKUP(BR39,Fundamentus!A:U,4,FALSE)&lt;1.5,"Moderado",IF(VLOOKUP(BR39,Fundamentus!A:U,4,FALSE)&gt;1.5,"Alto","n/a")))</f>
        <v>Baixo</v>
      </c>
      <c r="EP39" s="17" t="str">
        <f>IF(VLOOKUP(BR39,Fundamentus!A:U,8,FALSE)&lt;0,"Risco elevado",IF(VLOOKUP(BR39,Fundamentus!A:U,8,FALSE)&lt;1,"Saudável",IF(VLOOKUP(BR39,Fundamentus!A:U,8,FALSE)&lt;3,"Estável",IF(VLOOKUP(BR39,Fundamentus!A:U,8,FALSE)&gt;3,"Alerta","n/a"))))</f>
        <v>Saudável</v>
      </c>
      <c r="EQ39" s="28" t="str">
        <f t="shared" si="23"/>
        <v>Ruim</v>
      </c>
      <c r="ER39" s="17" t="str">
        <f>IF(VLOOKUP(BR39,Fundamentus!A:U,12,FALSE)&lt;2,"Subvalorizada",IF(VLOOKUP(BR39,Fundamentus!A:U,12,FALSE)&lt;6,"Muita barata",IF(VLOOKUP(BR39,Fundamentus!A:U,12,FALSE)&lt;6,"Barata",IF(VLOOKUP(BR39,Fundamentus!A:U,12,FALSE)&lt;8,"Atrativa",IF(VLOOKUP(BR39,Fundamentus!A:U,12,FALSE)&gt;8,"Supervalorizada","n/a")))))</f>
        <v>Subvalorizada</v>
      </c>
      <c r="ET39" s="17" t="str">
        <f>IF(VLOOKUP(BR39,Fundamentus!A:U,17,FALSE)&lt;0.1,"Fraco retorno",IF(VLOOKUP(BR39,Fundamentus!A:U,17,FALSE)&gt;0.1,"Bom retorno","n/a"))</f>
        <v>Bom retorno</v>
      </c>
      <c r="EU39" s="17" t="str">
        <f>IF(VLOOKUP(BR39,Fundamentus!A:U,16,FALSE)&lt;0.1,"Ineficiente",IF(VLOOKUP(BR39,Fundamentus!A:U,16,FALSE)&gt;0.1,"Eficiente","n/a"))</f>
        <v>Ineficiente</v>
      </c>
      <c r="EV39" s="33" t="str">
        <f>IF(VLOOKUP(BR39,Fundamentus!A:U,16,FALSE)&lt;0.1,"Oper. Ineficiente",IF(VLOOKUP(BR39,Fundamentus!A:U,16,FALSE)&gt;0.1,"Oper.Eficiente","n/a"))</f>
        <v>Oper. Ineficiente</v>
      </c>
      <c r="EW39" s="34">
        <f>VLOOKUP(BR39,Fundamentus!A:U,14,FALSE)</f>
        <v>0</v>
      </c>
      <c r="EX39" s="17" t="str">
        <f>IF(VLOOKUP(BR39,Fundamentus!A:U,21,FALSE)&lt;0,"Negativo",IF(VLOOKUP(BR39,Fundamentus!A:U,21,FALSE)&lt;0.05,"Fraco",IF(VLOOKUP(BR39,Fundamentus!A:U,21,FALSE)&lt;0.1,"Bom",IF(VLOOKUP(BR39,Fundamentus!A:U,21,FALSE)&gt;0.1,"Muito bom","n/a"))))</f>
        <v>Muito bom</v>
      </c>
      <c r="EZ39" s="29" t="str">
        <f>IF(VLOOKUP(BR39,Fundamentus!A:U,15,FALSE)&gt;1,"Bom",IF(VLOOKUP(BR39,Fundamentus!A:U,15,FALSE)&lt;1,"Ruim","n/a"))</f>
        <v>Ruim</v>
      </c>
      <c r="FA39" s="17" t="str">
        <f>IF(VLOOKUP(BR39,Fundamentus!A:U,20,FALSE)&lt;0.5,"Baixa",IF(VLOOKUP(BR39,Fundamentus!A:U,20,FALSE)&lt;1,"Moderada",IF(VLOOKUP(BR39,Fundamentus!A:U,20,FALSE)&lt;2,"Alerta",IF(VLOOKUP(BR39,Fundamentus!A:U,20,FALSE)&gt;2,"Alta","n/a"))))</f>
        <v>Baixa</v>
      </c>
    </row>
    <row r="40" spans="1:157" s="2" customFormat="1" ht="11.25"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5">
        <v>11.76</v>
      </c>
      <c r="BC40" s="52">
        <v>13</v>
      </c>
      <c r="BD40" s="52">
        <v>12.22</v>
      </c>
      <c r="BE40" s="52">
        <v>12.01</v>
      </c>
      <c r="BF40" s="52">
        <v>11.76</v>
      </c>
      <c r="BG40" s="67">
        <v>11.44</v>
      </c>
      <c r="BH40" s="52">
        <v>11.63</v>
      </c>
      <c r="BI40" s="52">
        <v>11.4</v>
      </c>
      <c r="BJ40" s="52">
        <v>11.67</v>
      </c>
      <c r="BK40" s="52">
        <v>11.18</v>
      </c>
      <c r="BL40" s="52">
        <v>10.61</v>
      </c>
      <c r="BM40" s="52">
        <v>10.97</v>
      </c>
      <c r="BN40" s="52">
        <v>10.78</v>
      </c>
      <c r="BO40" s="52">
        <v>10.84</v>
      </c>
      <c r="BP40" s="52">
        <v>11.82</v>
      </c>
      <c r="BQ40" s="52" cm="1">
        <f t="array" aca="1" ref="BQ40" ca="1">_FV(EE40,"Preço")</f>
        <v>11.82</v>
      </c>
      <c r="BR40" s="69" t="s">
        <v>37</v>
      </c>
      <c r="BS40" s="36" cm="1">
        <f t="array" aca="1" ref="BS40" ca="1">_FV(EE40,"Média de volume",TRUE)</f>
        <v>846410</v>
      </c>
      <c r="BT40" s="36">
        <v>2921200</v>
      </c>
      <c r="BU40" s="36" cm="1">
        <f t="array" aca="1" ref="BU40" ca="1">_FV(EE40,"Volume")</f>
        <v>2921200</v>
      </c>
      <c r="BV40" s="24" cm="1">
        <f t="array" aca="1" ref="BV40" ca="1">_FV(EE40,"Beta")</f>
        <v>1.0846</v>
      </c>
      <c r="BW40" s="71" cm="1">
        <f t="array" aca="1" ref="BW40" ca="1">_FV(EE40,"Variação (%)",TRUE)</f>
        <v>7.9451999999999995E-2</v>
      </c>
      <c r="BY40" s="17" cm="1">
        <f t="array" aca="1" ref="BY40" ca="1">_FV(EE40,"Baixo")</f>
        <v>11.42</v>
      </c>
      <c r="BZ40" s="17" cm="1">
        <f t="array" aca="1" ref="BZ40" ca="1">_FV(EE40,"Alto")</f>
        <v>11.98</v>
      </c>
      <c r="CA40" s="24"/>
      <c r="CB40" s="63">
        <f ca="1">SQRT(22.5*(BQ40/VLOOKUP(BR40,Fundamentus!A:U,3,FALSE))*(BQ40/VLOOKUP(BR40,Fundamentus!A:U,4,FALSE)))</f>
        <v>39.908753655445743</v>
      </c>
      <c r="CD40" s="62">
        <f t="shared" ca="1" si="24"/>
        <v>0</v>
      </c>
      <c r="CE40" s="8"/>
      <c r="CF40" s="61">
        <f t="shared" si="25"/>
        <v>9.57</v>
      </c>
      <c r="CG40" s="61">
        <f t="shared" si="26"/>
        <v>13</v>
      </c>
      <c r="CH40" s="61">
        <f t="shared" si="27"/>
        <v>11.168161764705884</v>
      </c>
      <c r="CI40" s="14"/>
      <c r="CJ40" s="35">
        <f t="shared" si="1"/>
        <v>11.372879600125932</v>
      </c>
      <c r="CK40" s="15">
        <f t="shared" si="28"/>
        <v>11.755000000000109</v>
      </c>
      <c r="CL40" s="35">
        <f t="shared" si="2"/>
        <v>12.137120399874286</v>
      </c>
      <c r="CN40" s="14"/>
      <c r="CO40" s="17">
        <f t="shared" si="3"/>
        <v>6.4966666666666661</v>
      </c>
      <c r="CP40" s="17">
        <f t="shared" si="4"/>
        <v>8.0333333333333332</v>
      </c>
      <c r="CQ40" s="17">
        <f t="shared" si="5"/>
        <v>9.9266666666666659</v>
      </c>
      <c r="CR40" s="38">
        <f t="shared" si="29"/>
        <v>11.463333333333333</v>
      </c>
      <c r="CS40" s="17">
        <f t="shared" si="6"/>
        <v>13.356666666666666</v>
      </c>
      <c r="CT40" s="17">
        <f t="shared" si="7"/>
        <v>14.893333333333333</v>
      </c>
      <c r="CU40" s="17">
        <f t="shared" si="8"/>
        <v>16.786666666666665</v>
      </c>
      <c r="CV40" s="2" cm="1">
        <f t="array" aca="1" ref="CV40" ca="1">MAX(_xlfn._xlws.FILTER(CO40:CU40,CO40:CU40&lt;BQ40))</f>
        <v>11.463333333333333</v>
      </c>
      <c r="CW40" s="2" cm="1">
        <f t="array" aca="1" ref="CW40" ca="1">MIN(_xlfn._xlws.FILTER($CO40:$CU40,$CO40:$CU40&gt;BQ40))</f>
        <v>13.356666666666666</v>
      </c>
      <c r="CX40" s="16">
        <f t="shared" ca="1" si="63"/>
        <v>0.16516429194533289</v>
      </c>
      <c r="CY40" s="20">
        <f t="shared" ca="1" si="64"/>
        <v>-8.2582145972666443E-2</v>
      </c>
      <c r="CZ40" s="20">
        <f t="shared" ca="1" si="65"/>
        <v>-5.5054763981777631E-2</v>
      </c>
      <c r="DA40" s="20">
        <f t="shared" ca="1" si="66"/>
        <v>-3.3032858389066576E-2</v>
      </c>
      <c r="DB40" s="20">
        <f t="shared" ca="1" si="67"/>
        <v>-1.8351587993925875E-2</v>
      </c>
      <c r="DC40" s="20">
        <f t="shared" ca="1" si="68"/>
        <v>-9.7155465850195816E-3</v>
      </c>
      <c r="DD40" s="20">
        <f t="shared" ca="1" si="69"/>
        <v>-5.0049785437979661E-3</v>
      </c>
      <c r="DE40" s="20">
        <f t="shared" ca="1" si="70"/>
        <v>-2.5409891068512752E-3</v>
      </c>
      <c r="DF40" s="21">
        <f t="shared" ca="1" si="71"/>
        <v>2.5409891068512752E-3</v>
      </c>
      <c r="DG40" s="21">
        <f t="shared" ca="1" si="72"/>
        <v>5.0049785437979661E-3</v>
      </c>
      <c r="DH40" s="21">
        <f t="shared" ca="1" si="73"/>
        <v>9.7155465850195816E-3</v>
      </c>
      <c r="DI40" s="21">
        <f t="shared" ca="1" si="74"/>
        <v>1.8351587993925875E-2</v>
      </c>
      <c r="DJ40" s="21">
        <f t="shared" ca="1" si="75"/>
        <v>3.3032858389066576E-2</v>
      </c>
      <c r="DK40" s="21">
        <f t="shared" ca="1" si="76"/>
        <v>5.5054763981777631E-2</v>
      </c>
      <c r="DL40" s="21">
        <f t="shared" ca="1" si="77"/>
        <v>8.2582145972666443E-2</v>
      </c>
      <c r="DN40" s="16" cm="1">
        <f t="array" aca="1" ref="DN40" ca="1">MAX(_xlfn._xlws.FILTER(CY40:DL40,CY40:DL40&lt;BW40))</f>
        <v>5.5054763981777631E-2</v>
      </c>
      <c r="DO40" s="16" cm="1">
        <f t="array" aca="1" ref="DO40" ca="1">MIN(_xlfn._xlws.FILTER(CY40:DL40,CY40:DL40&gt;BW40))</f>
        <v>8.2582145972666443E-2</v>
      </c>
      <c r="DP40" s="2" cm="1">
        <f t="array" aca="1" ref="DP40" ca="1">_FV(EE40,"Fechamento anterior",TRUE)</f>
        <v>10.95</v>
      </c>
      <c r="DQ40" s="28">
        <f t="shared" ca="1" si="15"/>
        <v>0.88629172294038638</v>
      </c>
      <c r="DR40" s="15">
        <f t="shared" ca="1" si="78"/>
        <v>11.552849665600464</v>
      </c>
      <c r="DS40" s="15">
        <f t="shared" ca="1" si="79"/>
        <v>11.854274498400697</v>
      </c>
      <c r="DT40" s="9"/>
      <c r="DU40" s="9"/>
      <c r="DV40" s="9"/>
      <c r="DW40" s="89">
        <v>6.182602444284693E-3</v>
      </c>
      <c r="DX40" s="89">
        <f t="shared" ca="1" si="18"/>
        <v>2.7527381990888812E-2</v>
      </c>
      <c r="DY40" s="72">
        <f t="shared" ca="1" si="19"/>
        <v>0.17010345435965757</v>
      </c>
      <c r="DZ40" s="37"/>
      <c r="EA40" s="35">
        <f t="shared" si="39"/>
        <v>0.19106019993708809</v>
      </c>
      <c r="EB40" s="56"/>
      <c r="EC40" s="56"/>
      <c r="EE40" s="2" t="e" vm="40">
        <v>#VALUE!</v>
      </c>
      <c r="EG40" s="10" cm="1">
        <f t="array" aca="1" ref="EG40" ca="1">_FV(EE40,"Ações em circulação",TRUE)</f>
        <v>408974500</v>
      </c>
      <c r="EH40" s="18">
        <f>VLOOKUP(BR40,Fundamentus!A:U,5,FALSE)</f>
        <v>0</v>
      </c>
      <c r="EI40" s="2" t="e">
        <f t="shared" ca="1" si="20"/>
        <v>#DIV/0!</v>
      </c>
      <c r="EJ40" s="17" t="e">
        <v>#DIV/0!</v>
      </c>
      <c r="EK40" s="17" t="e">
        <f t="shared" ca="1" si="21"/>
        <v>#DIV/0!</v>
      </c>
      <c r="EM40" s="16" t="e">
        <f t="shared" ca="1" si="22"/>
        <v>#DIV/0!</v>
      </c>
      <c r="EN40" s="32" t="str">
        <f>IF(VLOOKUP(BR40,Fundamentus!A:U,3,FALSE)&lt;15,"Bom",IF(VLOOKUP(BR40,Fundamentus!A:U,3,FALSE)&gt;15,"Ruim","n/a"))</f>
        <v>Bom</v>
      </c>
      <c r="EO40" s="28" t="str">
        <f>IF(VLOOKUP(BR40,Fundamentus!A:U,4,FALSE)&lt;1,"Baixo",IF(VLOOKUP(BR40,Fundamentus!A:U,4,FALSE)&lt;1.5,"Moderado",IF(VLOOKUP(BR40,Fundamentus!A:U,4,FALSE)&gt;1.5,"Alto","n/a")))</f>
        <v>Baixo</v>
      </c>
      <c r="EP40" s="17" t="str">
        <f>IF(VLOOKUP(BR40,Fundamentus!A:U,8,FALSE)&lt;0,"Risco elevado",IF(VLOOKUP(BR40,Fundamentus!A:U,8,FALSE)&lt;1,"Saudável",IF(VLOOKUP(BR40,Fundamentus!A:U,8,FALSE)&lt;3,"Estável",IF(VLOOKUP(BR40,Fundamentus!A:U,8,FALSE)&gt;3,"Alerta","n/a"))))</f>
        <v>Saudável</v>
      </c>
      <c r="EQ40" s="28" t="str">
        <f t="shared" si="23"/>
        <v>Ruim</v>
      </c>
      <c r="ER40" s="17" t="str">
        <f>IF(VLOOKUP(BR40,Fundamentus!A:U,12,FALSE)&lt;2,"Subvalorizada",IF(VLOOKUP(BR40,Fundamentus!A:U,12,FALSE)&lt;6,"Muita barata",IF(VLOOKUP(BR40,Fundamentus!A:U,12,FALSE)&lt;6,"Barata",IF(VLOOKUP(BR40,Fundamentus!A:U,12,FALSE)&lt;8,"Atrativa",IF(VLOOKUP(BR40,Fundamentus!A:U,12,FALSE)&gt;8,"Supervalorizada","n/a")))))</f>
        <v>Subvalorizada</v>
      </c>
      <c r="ET40" s="17" t="str">
        <f>IF(VLOOKUP(BR40,Fundamentus!A:U,17,FALSE)&lt;0.1,"Fraco retorno",IF(VLOOKUP(BR40,Fundamentus!A:U,17,FALSE)&gt;0.1,"Bom retorno","n/a"))</f>
        <v>Fraco retorno</v>
      </c>
      <c r="EU40" s="17" t="str">
        <f>IF(VLOOKUP(BR40,Fundamentus!A:U,16,FALSE)&lt;0.1,"Ineficiente",IF(VLOOKUP(BR40,Fundamentus!A:U,16,FALSE)&gt;0.1,"Eficiente","n/a"))</f>
        <v>Ineficiente</v>
      </c>
      <c r="EV40" s="33" t="str">
        <f>IF(VLOOKUP(BR40,Fundamentus!A:U,16,FALSE)&lt;0.1,"Oper. Ineficiente",IF(VLOOKUP(BR40,Fundamentus!A:U,16,FALSE)&gt;0.1,"Oper.Eficiente","n/a"))</f>
        <v>Oper. Ineficiente</v>
      </c>
      <c r="EW40" s="34">
        <f>VLOOKUP(BR40,Fundamentus!A:U,14,FALSE)</f>
        <v>0</v>
      </c>
      <c r="EX40" s="17" t="str">
        <f>IF(VLOOKUP(BR40,Fundamentus!A:U,21,FALSE)&lt;0,"Negativo",IF(VLOOKUP(BR40,Fundamentus!A:U,21,FALSE)&lt;0.05,"Fraco",IF(VLOOKUP(BR40,Fundamentus!A:U,21,FALSE)&lt;0.1,"Bom",IF(VLOOKUP(BR40,Fundamentus!A:U,21,FALSE)&gt;0.1,"Muito bom","n/a"))))</f>
        <v>Fraco</v>
      </c>
      <c r="EZ40" s="29" t="str">
        <f>IF(VLOOKUP(BR40,Fundamentus!A:U,15,FALSE)&gt;1,"Bom",IF(VLOOKUP(BR40,Fundamentus!A:U,15,FALSE)&lt;1,"Ruim","n/a"))</f>
        <v>Ruim</v>
      </c>
      <c r="FA40" s="17" t="str">
        <f>IF(VLOOKUP(BR40,Fundamentus!A:U,20,FALSE)&lt;0.5,"Baixa",IF(VLOOKUP(BR40,Fundamentus!A:U,20,FALSE)&lt;1,"Moderada",IF(VLOOKUP(BR40,Fundamentus!A:U,20,FALSE)&lt;2,"Alerta",IF(VLOOKUP(BR40,Fundamentus!A:U,20,FALSE)&gt;2,"Alta","n/a"))))</f>
        <v>Baixa</v>
      </c>
    </row>
    <row r="41" spans="1:157" s="2" customFormat="1" ht="11.25"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5">
        <v>17.440000000000001</v>
      </c>
      <c r="BC41" s="52">
        <v>17.309999999999999</v>
      </c>
      <c r="BD41" s="52">
        <v>17.489999999999998</v>
      </c>
      <c r="BE41" s="52">
        <v>17.37</v>
      </c>
      <c r="BF41" s="52">
        <v>17.37</v>
      </c>
      <c r="BG41" s="67">
        <v>17.440000000000001</v>
      </c>
      <c r="BH41" s="52">
        <v>17.5</v>
      </c>
      <c r="BI41" s="52">
        <v>17.45</v>
      </c>
      <c r="BJ41" s="52">
        <v>17.5</v>
      </c>
      <c r="BK41" s="52">
        <v>17.5</v>
      </c>
      <c r="BL41" s="52">
        <v>17.53</v>
      </c>
      <c r="BM41" s="52">
        <v>17.559999999999999</v>
      </c>
      <c r="BN41" s="52">
        <v>17.71</v>
      </c>
      <c r="BO41" s="52">
        <v>17.7</v>
      </c>
      <c r="BP41" s="52">
        <v>17.809999999999999</v>
      </c>
      <c r="BQ41" s="52" cm="1">
        <f t="array" aca="1" ref="BQ41" ca="1">_FV(EE41,"Preço")</f>
        <v>17.809999999999999</v>
      </c>
      <c r="BR41" s="69" t="s">
        <v>38</v>
      </c>
      <c r="BS41" s="36" cm="1">
        <f t="array" aca="1" ref="BS41" ca="1">_FV(EE41,"Média de volume",TRUE)</f>
        <v>1194200</v>
      </c>
      <c r="BT41" s="36">
        <v>425100</v>
      </c>
      <c r="BU41" s="36" cm="1">
        <f t="array" aca="1" ref="BU41" ca="1">_FV(EE41,"Volume")</f>
        <v>425100</v>
      </c>
      <c r="BV41" s="24" cm="1">
        <f t="array" aca="1" ref="BV41" ca="1">_FV(EE41,"Beta")</f>
        <v>1.0528999999999999</v>
      </c>
      <c r="BW41" s="71" cm="1">
        <f t="array" aca="1" ref="BW41" ca="1">_FV(EE41,"Variação (%)",TRUE)</f>
        <v>1.124E-3</v>
      </c>
      <c r="BY41" s="17" cm="1">
        <f t="array" aca="1" ref="BY41" ca="1">_FV(EE41,"Baixo")</f>
        <v>17.79</v>
      </c>
      <c r="BZ41" s="17" cm="1">
        <f t="array" aca="1" ref="BZ41" ca="1">_FV(EE41,"Alto")</f>
        <v>17.87</v>
      </c>
      <c r="CA41" s="24"/>
      <c r="CB41" s="63">
        <f ca="1">SQRT(22.5*(BQ41/VLOOKUP(BR41,Fundamentus!A:U,3,FALSE))*(BQ41/VLOOKUP(BR41,Fundamentus!A:U,4,FALSE)))</f>
        <v>13.578383815925479</v>
      </c>
      <c r="CD41" s="62">
        <f t="shared" ca="1" si="24"/>
        <v>0</v>
      </c>
      <c r="CE41" s="8"/>
      <c r="CF41" s="61">
        <f t="shared" si="25"/>
        <v>14.55</v>
      </c>
      <c r="CG41" s="61">
        <f t="shared" si="26"/>
        <v>17.809999999999999</v>
      </c>
      <c r="CH41" s="61">
        <f t="shared" si="27"/>
        <v>16.637941176470591</v>
      </c>
      <c r="CI41" s="14"/>
      <c r="CJ41" s="35">
        <f t="shared" si="1"/>
        <v>17.704272938908087</v>
      </c>
      <c r="CK41" s="15">
        <f t="shared" si="28"/>
        <v>17.879999999999995</v>
      </c>
      <c r="CL41" s="35">
        <f t="shared" si="2"/>
        <v>18.055727061091904</v>
      </c>
      <c r="CN41" s="14"/>
      <c r="CO41" s="17">
        <f t="shared" si="3"/>
        <v>12.376666666666669</v>
      </c>
      <c r="CP41" s="17">
        <f t="shared" si="4"/>
        <v>13.463333333333335</v>
      </c>
      <c r="CQ41" s="17">
        <f t="shared" si="5"/>
        <v>15.636666666666667</v>
      </c>
      <c r="CR41" s="38">
        <f t="shared" si="29"/>
        <v>16.723333333333333</v>
      </c>
      <c r="CS41" s="17">
        <f t="shared" si="6"/>
        <v>18.896666666666665</v>
      </c>
      <c r="CT41" s="17">
        <f t="shared" si="7"/>
        <v>19.983333333333331</v>
      </c>
      <c r="CU41" s="17">
        <f t="shared" si="8"/>
        <v>22.156666666666663</v>
      </c>
      <c r="CV41" s="2" cm="1">
        <f t="array" aca="1" ref="CV41" ca="1">MAX(_xlfn._xlws.FILTER(CO41:CU41,CO41:CU41&lt;BQ41))</f>
        <v>16.723333333333333</v>
      </c>
      <c r="CW41" s="2" cm="1">
        <f t="array" aca="1" ref="CW41" ca="1">MIN(_xlfn._xlws.FILTER($CO41:$CU41,$CO41:$CU41&gt;BQ41))</f>
        <v>18.896666666666665</v>
      </c>
      <c r="CX41" s="16">
        <f t="shared" ca="1" si="63"/>
        <v>0.12995814231612512</v>
      </c>
      <c r="CY41" s="20">
        <f t="shared" ca="1" si="64"/>
        <v>-6.4979071158062562E-2</v>
      </c>
      <c r="CZ41" s="20">
        <f t="shared" ca="1" si="65"/>
        <v>-4.3319380772041706E-2</v>
      </c>
      <c r="DA41" s="20">
        <f t="shared" ca="1" si="66"/>
        <v>-2.5991628463225024E-2</v>
      </c>
      <c r="DB41" s="20">
        <f t="shared" ca="1" si="67"/>
        <v>-1.443979359068057E-2</v>
      </c>
      <c r="DC41" s="20">
        <f t="shared" ca="1" si="68"/>
        <v>-7.6445966068308894E-3</v>
      </c>
      <c r="DD41" s="20">
        <f t="shared" ca="1" si="69"/>
        <v>-3.9381255247310648E-3</v>
      </c>
      <c r="DE41" s="20">
        <f t="shared" ca="1" si="70"/>
        <v>-1.9993560356326942E-3</v>
      </c>
      <c r="DF41" s="21">
        <f t="shared" ca="1" si="71"/>
        <v>1.9993560356326942E-3</v>
      </c>
      <c r="DG41" s="21">
        <f t="shared" ca="1" si="72"/>
        <v>3.9381255247310648E-3</v>
      </c>
      <c r="DH41" s="21">
        <f t="shared" ca="1" si="73"/>
        <v>7.6445966068308894E-3</v>
      </c>
      <c r="DI41" s="21">
        <f t="shared" ca="1" si="74"/>
        <v>1.443979359068057E-2</v>
      </c>
      <c r="DJ41" s="21">
        <f t="shared" ca="1" si="75"/>
        <v>2.5991628463225024E-2</v>
      </c>
      <c r="DK41" s="21">
        <f t="shared" ca="1" si="76"/>
        <v>4.3319380772041706E-2</v>
      </c>
      <c r="DL41" s="21">
        <f t="shared" ca="1" si="77"/>
        <v>6.4979071158062562E-2</v>
      </c>
      <c r="DN41" s="16" cm="1">
        <f t="array" aca="1" ref="DN41" ca="1">MAX(_xlfn._xlws.FILTER(CY41:DL41,CY41:DL41&lt;BW41))</f>
        <v>-1.9993560356326942E-3</v>
      </c>
      <c r="DO41" s="16" cm="1">
        <f t="array" aca="1" ref="DO41" ca="1">MIN(_xlfn._xlws.FILTER(CY41:DL41,CY41:DL41&gt;BW41))</f>
        <v>1.9993560356326942E-3</v>
      </c>
      <c r="DP41" s="2" cm="1">
        <f t="array" aca="1" ref="DP41" ca="1">_FV(EE41,"Fechamento anterior",TRUE)</f>
        <v>17.79</v>
      </c>
      <c r="DQ41" s="28">
        <f t="shared" ca="1" si="15"/>
        <v>0.78114729788912396</v>
      </c>
      <c r="DR41" s="15">
        <f t="shared" ca="1" si="78"/>
        <v>17.754431456126092</v>
      </c>
      <c r="DS41" s="15">
        <f t="shared" ca="1" si="79"/>
        <v>17.825568543873906</v>
      </c>
      <c r="DT41" s="9"/>
      <c r="DU41" s="9"/>
      <c r="DV41" s="9"/>
      <c r="DW41" s="89">
        <v>1.884211331769378E-3</v>
      </c>
      <c r="DX41" s="89">
        <f t="shared" ca="1" si="18"/>
        <v>3.9987120712653883E-3</v>
      </c>
      <c r="DY41" s="72">
        <f t="shared" ca="1" si="19"/>
        <v>-0.39834502190522264</v>
      </c>
      <c r="DZ41" s="37"/>
      <c r="EA41" s="35">
        <f t="shared" si="39"/>
        <v>8.7863530545955179E-2</v>
      </c>
      <c r="EB41" s="56"/>
      <c r="EC41" s="56"/>
      <c r="EE41" s="2" t="e" vm="41">
        <v>#VALUE!</v>
      </c>
      <c r="EG41" s="10" cm="1">
        <f t="array" aca="1" ref="EG41" ca="1">_FV(EE41,"Ações em circulação",TRUE)</f>
        <v>442931900</v>
      </c>
      <c r="EH41" s="18">
        <f>VLOOKUP(BR41,Fundamentus!A:U,5,FALSE)</f>
        <v>2.5529999999999999</v>
      </c>
      <c r="EI41" s="2">
        <f t="shared" ca="1" si="20"/>
        <v>3089940124.9510379</v>
      </c>
      <c r="EJ41" s="17">
        <v>585234659.66572666</v>
      </c>
      <c r="EK41" s="17">
        <f t="shared" ca="1" si="21"/>
        <v>585234659.66572666</v>
      </c>
      <c r="EM41" s="16">
        <f t="shared" ca="1" si="22"/>
        <v>0</v>
      </c>
      <c r="EN41" s="32" t="str">
        <f>IF(VLOOKUP(BR41,Fundamentus!A:U,3,FALSE)&lt;15,"Bom",IF(VLOOKUP(BR41,Fundamentus!A:U,3,FALSE)&gt;15,"Ruim","n/a"))</f>
        <v>Bom</v>
      </c>
      <c r="EO41" s="28" t="str">
        <f>IF(VLOOKUP(BR41,Fundamentus!A:U,4,FALSE)&lt;1,"Baixo",IF(VLOOKUP(BR41,Fundamentus!A:U,4,FALSE)&lt;1.5,"Moderado",IF(VLOOKUP(BR41,Fundamentus!A:U,4,FALSE)&gt;1.5,"Alto","n/a")))</f>
        <v>Alto</v>
      </c>
      <c r="EP41" s="17" t="str">
        <f>IF(VLOOKUP(BR41,Fundamentus!A:U,8,FALSE)&lt;0,"Risco elevado",IF(VLOOKUP(BR41,Fundamentus!A:U,8,FALSE)&lt;1,"Saudável",IF(VLOOKUP(BR41,Fundamentus!A:U,8,FALSE)&lt;3,"Estável",IF(VLOOKUP(BR41,Fundamentus!A:U,8,FALSE)&gt;3,"Alerta","n/a"))))</f>
        <v>Alerta</v>
      </c>
      <c r="EQ41" s="28" t="str">
        <f t="shared" si="23"/>
        <v>Bom</v>
      </c>
      <c r="ER41" s="17" t="str">
        <f>IF(VLOOKUP(BR41,Fundamentus!A:U,12,FALSE)&lt;2,"Subvalorizada",IF(VLOOKUP(BR41,Fundamentus!A:U,12,FALSE)&lt;6,"Muita barata",IF(VLOOKUP(BR41,Fundamentus!A:U,12,FALSE)&lt;6,"Barata",IF(VLOOKUP(BR41,Fundamentus!A:U,12,FALSE)&lt;8,"Atrativa",IF(VLOOKUP(BR41,Fundamentus!A:U,12,FALSE)&gt;8,"Supervalorizada","n/a")))))</f>
        <v>Atrativa</v>
      </c>
      <c r="ET41" s="17" t="str">
        <f>IF(VLOOKUP(BR41,Fundamentus!A:U,17,FALSE)&lt;0.1,"Fraco retorno",IF(VLOOKUP(BR41,Fundamentus!A:U,17,FALSE)&gt;0.1,"Bom retorno","n/a"))</f>
        <v>Bom retorno</v>
      </c>
      <c r="EU41" s="17" t="str">
        <f>IF(VLOOKUP(BR41,Fundamentus!A:U,16,FALSE)&lt;0.1,"Ineficiente",IF(VLOOKUP(BR41,Fundamentus!A:U,16,FALSE)&gt;0.1,"Eficiente","n/a"))</f>
        <v>Eficiente</v>
      </c>
      <c r="EV41" s="33" t="str">
        <f>IF(VLOOKUP(BR41,Fundamentus!A:U,16,FALSE)&lt;0.1,"Oper. Ineficiente",IF(VLOOKUP(BR41,Fundamentus!A:U,16,FALSE)&gt;0.1,"Oper.Eficiente","n/a"))</f>
        <v>Oper.Eficiente</v>
      </c>
      <c r="EW41" s="34">
        <f>VLOOKUP(BR41,Fundamentus!A:U,14,FALSE)</f>
        <v>0.18940000000000001</v>
      </c>
      <c r="EX41" s="17" t="str">
        <f>IF(VLOOKUP(BR41,Fundamentus!A:U,21,FALSE)&lt;0,"Negativo",IF(VLOOKUP(BR41,Fundamentus!A:U,21,FALSE)&lt;0.05,"Fraco",IF(VLOOKUP(BR41,Fundamentus!A:U,21,FALSE)&lt;0.1,"Bom",IF(VLOOKUP(BR41,Fundamentus!A:U,21,FALSE)&gt;0.1,"Muito bom","n/a"))))</f>
        <v>Fraco</v>
      </c>
      <c r="EZ41" s="29" t="str">
        <f>IF(VLOOKUP(BR41,Fundamentus!A:U,15,FALSE)&gt;1,"Bom",IF(VLOOKUP(BR41,Fundamentus!A:U,15,FALSE)&lt;1,"Ruim","n/a"))</f>
        <v>Bom</v>
      </c>
      <c r="FA41" s="17" t="str">
        <f>IF(VLOOKUP(BR41,Fundamentus!A:U,20,FALSE)&lt;0.5,"Baixa",IF(VLOOKUP(BR41,Fundamentus!A:U,20,FALSE)&lt;1,"Moderada",IF(VLOOKUP(BR41,Fundamentus!A:U,20,FALSE)&lt;2,"Alerta",IF(VLOOKUP(BR41,Fundamentus!A:U,20,FALSE)&gt;2,"Alta","n/a"))))</f>
        <v>Moderada</v>
      </c>
    </row>
    <row r="42" spans="1:157" s="2" customFormat="1" ht="11.25"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5">
        <v>4.95</v>
      </c>
      <c r="BC42" s="52">
        <v>5.3</v>
      </c>
      <c r="BD42" s="52">
        <v>5.3</v>
      </c>
      <c r="BE42" s="52">
        <v>5.3</v>
      </c>
      <c r="BF42" s="52">
        <v>5.18</v>
      </c>
      <c r="BG42" s="67">
        <v>5.68</v>
      </c>
      <c r="BH42" s="52">
        <v>6</v>
      </c>
      <c r="BI42" s="52">
        <v>5.86</v>
      </c>
      <c r="BJ42" s="52">
        <v>5.9</v>
      </c>
      <c r="BK42" s="52">
        <v>6.07</v>
      </c>
      <c r="BL42" s="52">
        <v>5.74</v>
      </c>
      <c r="BM42" s="52">
        <v>5.96</v>
      </c>
      <c r="BN42" s="52">
        <v>5.87</v>
      </c>
      <c r="BO42" s="52">
        <v>5.8</v>
      </c>
      <c r="BP42" s="52">
        <v>6.12</v>
      </c>
      <c r="BQ42" s="52" cm="1">
        <f t="array" aca="1" ref="BQ42" ca="1">_FV(EE42,"Preço")</f>
        <v>6.12</v>
      </c>
      <c r="BR42" s="69" t="s">
        <v>39</v>
      </c>
      <c r="BS42" s="36" cm="1">
        <f t="array" aca="1" ref="BS42" ca="1">_FV(EE42,"Média de volume",TRUE)</f>
        <v>249230</v>
      </c>
      <c r="BT42" s="36">
        <v>248700</v>
      </c>
      <c r="BU42" s="36" cm="1">
        <f t="array" aca="1" ref="BU42" ca="1">_FV(EE42,"Volume")</f>
        <v>248700</v>
      </c>
      <c r="BV42" s="24" cm="1">
        <f t="array" aca="1" ref="BV42" ca="1">_FV(EE42,"Beta")</f>
        <v>1.2252000000000001</v>
      </c>
      <c r="BW42" s="71" cm="1">
        <f t="array" aca="1" ref="BW42" ca="1">_FV(EE42,"Variação (%)",TRUE)</f>
        <v>-6.4939999999999998E-3</v>
      </c>
      <c r="BY42" s="17" cm="1">
        <f t="array" aca="1" ref="BY42" ca="1">_FV(EE42,"Baixo")</f>
        <v>6.05</v>
      </c>
      <c r="BZ42" s="17" cm="1">
        <f t="array" aca="1" ref="BZ42" ca="1">_FV(EE42,"Alto")</f>
        <v>6.24</v>
      </c>
      <c r="CA42" s="24"/>
      <c r="CB42" s="63">
        <f ca="1">SQRT(22.5*(BQ42/VLOOKUP(BR42,Fundamentus!A:U,3,FALSE))*(BQ42/VLOOKUP(BR42,Fundamentus!A:U,4,FALSE)))</f>
        <v>12.011550681276551</v>
      </c>
      <c r="CD42" s="62">
        <f t="shared" ca="1" si="24"/>
        <v>0</v>
      </c>
      <c r="CE42" s="8"/>
      <c r="CF42" s="61">
        <f t="shared" si="25"/>
        <v>4.05</v>
      </c>
      <c r="CG42" s="61">
        <f t="shared" si="26"/>
        <v>6.12</v>
      </c>
      <c r="CH42" s="61">
        <f t="shared" si="27"/>
        <v>4.7344117647058832</v>
      </c>
      <c r="CI42" s="14"/>
      <c r="CJ42" s="35">
        <f t="shared" si="1"/>
        <v>5.8062822214720988</v>
      </c>
      <c r="CK42" s="15">
        <f t="shared" si="28"/>
        <v>6.0399999999999636</v>
      </c>
      <c r="CL42" s="35">
        <f t="shared" si="2"/>
        <v>6.2737177785278284</v>
      </c>
      <c r="CN42" s="14"/>
      <c r="CO42" s="17">
        <f t="shared" si="3"/>
        <v>2.669999999999999</v>
      </c>
      <c r="CP42" s="17">
        <f t="shared" si="4"/>
        <v>3.3599999999999994</v>
      </c>
      <c r="CQ42" s="17">
        <f t="shared" si="5"/>
        <v>4.7399999999999993</v>
      </c>
      <c r="CR42" s="38">
        <f t="shared" si="29"/>
        <v>5.43</v>
      </c>
      <c r="CS42" s="17">
        <f t="shared" si="6"/>
        <v>6.81</v>
      </c>
      <c r="CT42" s="17">
        <f t="shared" si="7"/>
        <v>7.5</v>
      </c>
      <c r="CU42" s="17">
        <f t="shared" si="8"/>
        <v>8.879999999999999</v>
      </c>
      <c r="CV42" s="2" cm="1">
        <f t="array" aca="1" ref="CV42" ca="1">MAX(_xlfn._xlws.FILTER(CO42:CU42,CO42:CU42&lt;BQ42))</f>
        <v>5.43</v>
      </c>
      <c r="CW42" s="2" cm="1">
        <f t="array" aca="1" ref="CW42" ca="1">MIN(_xlfn._xlws.FILTER($CO42:$CU42,$CO42:$CU42&gt;BQ42))</f>
        <v>6.81</v>
      </c>
      <c r="CX42" s="16">
        <f t="shared" ca="1" si="63"/>
        <v>0.2541436464088398</v>
      </c>
      <c r="CY42" s="20">
        <f t="shared" ca="1" si="64"/>
        <v>-0.1270718232044199</v>
      </c>
      <c r="CZ42" s="20">
        <f t="shared" ca="1" si="65"/>
        <v>-8.4714548802946599E-2</v>
      </c>
      <c r="DA42" s="20">
        <f t="shared" ca="1" si="66"/>
        <v>-5.0828729281767959E-2</v>
      </c>
      <c r="DB42" s="20">
        <f t="shared" ca="1" si="67"/>
        <v>-2.8238182934315532E-2</v>
      </c>
      <c r="DC42" s="20">
        <f t="shared" ca="1" si="68"/>
        <v>-1.4949626259343518E-2</v>
      </c>
      <c r="DD42" s="20">
        <f t="shared" ca="1" si="69"/>
        <v>-7.7013226184496908E-3</v>
      </c>
      <c r="DE42" s="20">
        <f t="shared" ca="1" si="70"/>
        <v>-3.909902252443689E-3</v>
      </c>
      <c r="DF42" s="21">
        <f t="shared" ca="1" si="71"/>
        <v>3.909902252443689E-3</v>
      </c>
      <c r="DG42" s="21">
        <f t="shared" ca="1" si="72"/>
        <v>7.7013226184496908E-3</v>
      </c>
      <c r="DH42" s="21">
        <f t="shared" ca="1" si="73"/>
        <v>1.4949626259343518E-2</v>
      </c>
      <c r="DI42" s="21">
        <f t="shared" ca="1" si="74"/>
        <v>2.8238182934315532E-2</v>
      </c>
      <c r="DJ42" s="21">
        <f t="shared" ca="1" si="75"/>
        <v>5.0828729281767959E-2</v>
      </c>
      <c r="DK42" s="21">
        <f t="shared" ca="1" si="76"/>
        <v>8.4714548802946599E-2</v>
      </c>
      <c r="DL42" s="21">
        <f t="shared" ca="1" si="77"/>
        <v>0.1270718232044199</v>
      </c>
      <c r="DN42" s="16" cm="1">
        <f t="array" aca="1" ref="DN42" ca="1">MAX(_xlfn._xlws.FILTER(CY42:DL42,CY42:DL42&lt;BW42))</f>
        <v>-7.7013226184496908E-3</v>
      </c>
      <c r="DO42" s="16" cm="1">
        <f t="array" aca="1" ref="DO42" ca="1">MIN(_xlfn._xlws.FILTER(CY42:DL42,CY42:DL42&gt;BW42))</f>
        <v>-3.909902252443689E-3</v>
      </c>
      <c r="DP42" s="2" cm="1">
        <f t="array" aca="1" ref="DP42" ca="1">_FV(EE42,"Fechamento anterior",TRUE)</f>
        <v>6.16</v>
      </c>
      <c r="DQ42" s="28">
        <f t="shared" ca="1" si="15"/>
        <v>0.31856560559004898</v>
      </c>
      <c r="DR42" s="15">
        <f t="shared" ca="1" si="78"/>
        <v>6.1125598526703504</v>
      </c>
      <c r="DS42" s="15">
        <f t="shared" ca="1" si="79"/>
        <v>6.1359150021249471</v>
      </c>
      <c r="DT42" s="9"/>
      <c r="DU42" s="9"/>
      <c r="DV42" s="9"/>
      <c r="DW42" s="89">
        <v>2.104969290898941E-2</v>
      </c>
      <c r="DX42" s="89">
        <f t="shared" ca="1" si="18"/>
        <v>3.7914203660060018E-3</v>
      </c>
      <c r="DY42" s="72">
        <f t="shared" ca="1" si="19"/>
        <v>0.34229317300523016</v>
      </c>
      <c r="DZ42" s="37"/>
      <c r="EA42" s="35">
        <f t="shared" si="39"/>
        <v>0.11685888926393238</v>
      </c>
      <c r="EB42" s="56"/>
      <c r="EC42" s="56"/>
      <c r="EE42" s="2" t="e" vm="42">
        <v>#VALUE!</v>
      </c>
      <c r="EG42" s="10" cm="1">
        <f t="array" aca="1" ref="EG42" ca="1">_FV(EE42,"Ações em circulação",TRUE)</f>
        <v>226739600</v>
      </c>
      <c r="EH42" s="18">
        <f>VLOOKUP(BR42,Fundamentus!A:U,5,FALSE)</f>
        <v>0</v>
      </c>
      <c r="EI42" s="2" t="e">
        <f t="shared" ca="1" si="20"/>
        <v>#DIV/0!</v>
      </c>
      <c r="EJ42" s="17" t="e">
        <v>#DIV/0!</v>
      </c>
      <c r="EK42" s="17" t="e">
        <f t="shared" ca="1" si="21"/>
        <v>#DIV/0!</v>
      </c>
      <c r="EM42" s="16" t="e">
        <f t="shared" ca="1" si="22"/>
        <v>#DIV/0!</v>
      </c>
      <c r="EN42" s="32" t="str">
        <f>IF(VLOOKUP(BR42,Fundamentus!A:U,3,FALSE)&lt;15,"Bom",IF(VLOOKUP(BR42,Fundamentus!A:U,3,FALSE)&gt;15,"Ruim","n/a"))</f>
        <v>Bom</v>
      </c>
      <c r="EO42" s="28" t="str">
        <f>IF(VLOOKUP(BR42,Fundamentus!A:U,4,FALSE)&lt;1,"Baixo",IF(VLOOKUP(BR42,Fundamentus!A:U,4,FALSE)&lt;1.5,"Moderado",IF(VLOOKUP(BR42,Fundamentus!A:U,4,FALSE)&gt;1.5,"Alto","n/a")))</f>
        <v>Moderado</v>
      </c>
      <c r="EP42" s="17" t="str">
        <f>IF(VLOOKUP(BR42,Fundamentus!A:U,8,FALSE)&lt;0,"Risco elevado",IF(VLOOKUP(BR42,Fundamentus!A:U,8,FALSE)&lt;1,"Saudável",IF(VLOOKUP(BR42,Fundamentus!A:U,8,FALSE)&lt;3,"Estável",IF(VLOOKUP(BR42,Fundamentus!A:U,8,FALSE)&gt;3,"Alerta","n/a"))))</f>
        <v>Saudável</v>
      </c>
      <c r="EQ42" s="28" t="str">
        <f t="shared" si="23"/>
        <v>Ruim</v>
      </c>
      <c r="ER42" s="17" t="str">
        <f>IF(VLOOKUP(BR42,Fundamentus!A:U,12,FALSE)&lt;2,"Subvalorizada",IF(VLOOKUP(BR42,Fundamentus!A:U,12,FALSE)&lt;6,"Muita barata",IF(VLOOKUP(BR42,Fundamentus!A:U,12,FALSE)&lt;6,"Barata",IF(VLOOKUP(BR42,Fundamentus!A:U,12,FALSE)&lt;8,"Atrativa",IF(VLOOKUP(BR42,Fundamentus!A:U,12,FALSE)&gt;8,"Supervalorizada","n/a")))))</f>
        <v>Subvalorizada</v>
      </c>
      <c r="ET42" s="17" t="str">
        <f>IF(VLOOKUP(BR42,Fundamentus!A:U,17,FALSE)&lt;0.1,"Fraco retorno",IF(VLOOKUP(BR42,Fundamentus!A:U,17,FALSE)&gt;0.1,"Bom retorno","n/a"))</f>
        <v>Bom retorno</v>
      </c>
      <c r="EU42" s="17" t="str">
        <f>IF(VLOOKUP(BR42,Fundamentus!A:U,16,FALSE)&lt;0.1,"Ineficiente",IF(VLOOKUP(BR42,Fundamentus!A:U,16,FALSE)&gt;0.1,"Eficiente","n/a"))</f>
        <v>Ineficiente</v>
      </c>
      <c r="EV42" s="33" t="str">
        <f>IF(VLOOKUP(BR42,Fundamentus!A:U,16,FALSE)&lt;0.1,"Oper. Ineficiente",IF(VLOOKUP(BR42,Fundamentus!A:U,16,FALSE)&gt;0.1,"Oper.Eficiente","n/a"))</f>
        <v>Oper. Ineficiente</v>
      </c>
      <c r="EW42" s="34">
        <f>VLOOKUP(BR42,Fundamentus!A:U,14,FALSE)</f>
        <v>0</v>
      </c>
      <c r="EX42" s="17" t="str">
        <f>IF(VLOOKUP(BR42,Fundamentus!A:U,21,FALSE)&lt;0,"Negativo",IF(VLOOKUP(BR42,Fundamentus!A:U,21,FALSE)&lt;0.05,"Fraco",IF(VLOOKUP(BR42,Fundamentus!A:U,21,FALSE)&lt;0.1,"Bom",IF(VLOOKUP(BR42,Fundamentus!A:U,21,FALSE)&gt;0.1,"Muito bom","n/a"))))</f>
        <v>Muito bom</v>
      </c>
      <c r="EZ42" s="29" t="str">
        <f>IF(VLOOKUP(BR42,Fundamentus!A:U,15,FALSE)&gt;1,"Bom",IF(VLOOKUP(BR42,Fundamentus!A:U,15,FALSE)&lt;1,"Ruim","n/a"))</f>
        <v>Ruim</v>
      </c>
      <c r="FA42" s="17" t="str">
        <f>IF(VLOOKUP(BR42,Fundamentus!A:U,20,FALSE)&lt;0.5,"Baixa",IF(VLOOKUP(BR42,Fundamentus!A:U,20,FALSE)&lt;1,"Moderada",IF(VLOOKUP(BR42,Fundamentus!A:U,20,FALSE)&lt;2,"Alerta",IF(VLOOKUP(BR42,Fundamentus!A:U,20,FALSE)&gt;2,"Alta","n/a"))))</f>
        <v>Baixa</v>
      </c>
    </row>
    <row r="43" spans="1:157" s="2" customFormat="1" ht="11.25"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5">
        <v>10.61</v>
      </c>
      <c r="BC43" s="52">
        <v>11.12</v>
      </c>
      <c r="BD43" s="52">
        <v>11.08</v>
      </c>
      <c r="BE43" s="52">
        <v>11.07</v>
      </c>
      <c r="BF43" s="52">
        <v>10.87</v>
      </c>
      <c r="BG43" s="67">
        <v>10.73</v>
      </c>
      <c r="BH43" s="52">
        <v>10.87</v>
      </c>
      <c r="BI43" s="52">
        <v>10.8</v>
      </c>
      <c r="BJ43" s="52">
        <v>11.14</v>
      </c>
      <c r="BK43" s="52">
        <v>10.5</v>
      </c>
      <c r="BL43" s="52">
        <v>10.41</v>
      </c>
      <c r="BM43" s="52">
        <v>10.41</v>
      </c>
      <c r="BN43" s="52">
        <v>10.34</v>
      </c>
      <c r="BO43" s="52">
        <v>10.89</v>
      </c>
      <c r="BP43" s="52">
        <v>10.97</v>
      </c>
      <c r="BQ43" s="52" cm="1">
        <f t="array" aca="1" ref="BQ43" ca="1">_FV(EE43,"Preço")</f>
        <v>10.97</v>
      </c>
      <c r="BR43" s="69" t="s">
        <v>40</v>
      </c>
      <c r="BS43" s="36" cm="1">
        <f t="array" aca="1" ref="BS43" ca="1">_FV(EE43,"Média de volume",TRUE)</f>
        <v>18287870</v>
      </c>
      <c r="BT43" s="36">
        <v>96000</v>
      </c>
      <c r="BU43" s="36" cm="1">
        <f t="array" aca="1" ref="BU43" ca="1">_FV(EE43,"Volume")</f>
        <v>96000</v>
      </c>
      <c r="BV43" s="24" cm="1">
        <f t="array" aca="1" ref="BV43" ca="1">_FV(EE43,"Beta")</f>
        <v>1.1745000000000001</v>
      </c>
      <c r="BW43" s="71" cm="1">
        <f t="array" aca="1" ref="BW43" ca="1">_FV(EE43,"Variação (%)",TRUE)</f>
        <v>-9.1069999999999996E-4</v>
      </c>
      <c r="BY43" s="17" cm="1">
        <f t="array" aca="1" ref="BY43" ca="1">_FV(EE43,"Baixo")</f>
        <v>10.94</v>
      </c>
      <c r="BZ43" s="17" cm="1">
        <f t="array" aca="1" ref="BZ43" ca="1">_FV(EE43,"Alto")</f>
        <v>11.08</v>
      </c>
      <c r="CA43" s="24"/>
      <c r="CB43" s="63">
        <f ca="1">SQRT(22.5*(BQ43/VLOOKUP(BR43,Fundamentus!A:U,3,FALSE))*(BQ43/VLOOKUP(BR43,Fundamentus!A:U,4,FALSE)))</f>
        <v>16.234490897467534</v>
      </c>
      <c r="CD43" s="62">
        <f t="shared" ca="1" si="24"/>
        <v>0</v>
      </c>
      <c r="CE43" s="8"/>
      <c r="CF43" s="61">
        <f t="shared" si="25"/>
        <v>8.74</v>
      </c>
      <c r="CG43" s="61">
        <f t="shared" si="26"/>
        <v>11.18</v>
      </c>
      <c r="CH43" s="61">
        <f t="shared" si="27"/>
        <v>10.184558823529413</v>
      </c>
      <c r="CI43" s="14"/>
      <c r="CJ43" s="35">
        <f t="shared" si="1"/>
        <v>10.816655367393972</v>
      </c>
      <c r="CK43" s="15">
        <f t="shared" si="28"/>
        <v>11.210000000000036</v>
      </c>
      <c r="CL43" s="35">
        <f t="shared" si="2"/>
        <v>11.603344632606101</v>
      </c>
      <c r="CN43" s="14"/>
      <c r="CO43" s="17">
        <f t="shared" si="3"/>
        <v>6.9733333333333345</v>
      </c>
      <c r="CP43" s="17">
        <f t="shared" si="4"/>
        <v>7.8566666666666674</v>
      </c>
      <c r="CQ43" s="17">
        <f t="shared" si="5"/>
        <v>9.413333333333334</v>
      </c>
      <c r="CR43" s="38">
        <f t="shared" si="29"/>
        <v>10.296666666666667</v>
      </c>
      <c r="CS43" s="17">
        <f t="shared" si="6"/>
        <v>11.853333333333333</v>
      </c>
      <c r="CT43" s="17">
        <f t="shared" si="7"/>
        <v>12.736666666666666</v>
      </c>
      <c r="CU43" s="17">
        <f t="shared" si="8"/>
        <v>14.293333333333333</v>
      </c>
      <c r="CV43" s="2" cm="1">
        <f t="array" aca="1" ref="CV43" ca="1">MAX(_xlfn._xlws.FILTER(CO43:CU43,CO43:CU43&lt;BQ43))</f>
        <v>10.296666666666667</v>
      </c>
      <c r="CW43" s="2" cm="1">
        <f t="array" aca="1" ref="CW43" ca="1">MIN(_xlfn._xlws.FILTER($CO43:$CU43,$CO43:$CU43&gt;BQ43))</f>
        <v>11.853333333333333</v>
      </c>
      <c r="CX43" s="16">
        <f t="shared" ca="1" si="63"/>
        <v>0.15118161217222403</v>
      </c>
      <c r="CY43" s="20">
        <f t="shared" ca="1" si="64"/>
        <v>-7.5590806086112017E-2</v>
      </c>
      <c r="CZ43" s="20">
        <f t="shared" ca="1" si="65"/>
        <v>-5.0393870724074676E-2</v>
      </c>
      <c r="DA43" s="20">
        <f t="shared" ca="1" si="66"/>
        <v>-3.0236322434444806E-2</v>
      </c>
      <c r="DB43" s="20">
        <f t="shared" ca="1" si="67"/>
        <v>-1.6797956908024894E-2</v>
      </c>
      <c r="DC43" s="20">
        <f t="shared" ca="1" si="68"/>
        <v>-8.893036010130825E-3</v>
      </c>
      <c r="DD43" s="20">
        <f t="shared" ca="1" si="69"/>
        <v>-4.58126097491588E-3</v>
      </c>
      <c r="DE43" s="20">
        <f t="shared" ca="1" si="70"/>
        <v>-2.3258709564957544E-3</v>
      </c>
      <c r="DF43" s="21">
        <f t="shared" ca="1" si="71"/>
        <v>2.3258709564957544E-3</v>
      </c>
      <c r="DG43" s="21">
        <f t="shared" ca="1" si="72"/>
        <v>4.58126097491588E-3</v>
      </c>
      <c r="DH43" s="21">
        <f t="shared" ca="1" si="73"/>
        <v>8.893036010130825E-3</v>
      </c>
      <c r="DI43" s="21">
        <f t="shared" ca="1" si="74"/>
        <v>1.6797956908024894E-2</v>
      </c>
      <c r="DJ43" s="21">
        <f t="shared" ca="1" si="75"/>
        <v>3.0236322434444806E-2</v>
      </c>
      <c r="DK43" s="21">
        <f t="shared" ca="1" si="76"/>
        <v>5.0393870724074676E-2</v>
      </c>
      <c r="DL43" s="21">
        <f t="shared" ca="1" si="77"/>
        <v>7.5590806086112017E-2</v>
      </c>
      <c r="DN43" s="16" cm="1">
        <f t="array" aca="1" ref="DN43" ca="1">MAX(_xlfn._xlws.FILTER(CY43:DL43,CY43:DL43&lt;BW43))</f>
        <v>-2.3258709564957544E-3</v>
      </c>
      <c r="DO43" s="16" cm="1">
        <f t="array" aca="1" ref="DO43" ca="1">MIN(_xlfn._xlws.FILTER(CY43:DL43,CY43:DL43&gt;BW43))</f>
        <v>2.3258709564957544E-3</v>
      </c>
      <c r="DP43" s="2" cm="1">
        <f t="array" aca="1" ref="DP43" ca="1">_FV(EE43,"Fechamento anterior",TRUE)</f>
        <v>10.98</v>
      </c>
      <c r="DQ43" s="28">
        <f t="shared" ca="1" si="15"/>
        <v>0.30421381292831201</v>
      </c>
      <c r="DR43" s="15">
        <f t="shared" ca="1" si="78"/>
        <v>10.954461936897678</v>
      </c>
      <c r="DS43" s="15">
        <f t="shared" ca="1" si="79"/>
        <v>11.005538063102323</v>
      </c>
      <c r="DT43" s="9"/>
      <c r="DU43" s="9"/>
      <c r="DV43" s="9"/>
      <c r="DW43" s="89">
        <v>4.2489156413207099E-3</v>
      </c>
      <c r="DX43" s="89">
        <f t="shared" ca="1" si="18"/>
        <v>4.6517419129915088E-3</v>
      </c>
      <c r="DY43" s="72">
        <f t="shared" ca="1" si="19"/>
        <v>-0.61015196371167058</v>
      </c>
      <c r="DZ43" s="37"/>
      <c r="EA43" s="35">
        <f t="shared" si="39"/>
        <v>0.19667231630303256</v>
      </c>
      <c r="EB43" s="56"/>
      <c r="EC43" s="56"/>
      <c r="EE43" s="2" t="e" vm="43">
        <v>#VALUE!</v>
      </c>
      <c r="EG43" s="10" cm="1">
        <f t="array" aca="1" ref="EG43" ca="1">_FV(EE43,"Ações em circulação",TRUE)</f>
        <v>10993810000</v>
      </c>
      <c r="EH43" s="18">
        <f>VLOOKUP(BR43,Fundamentus!A:U,5,FALSE)</f>
        <v>14.114000000000001</v>
      </c>
      <c r="EI43" s="2">
        <f t="shared" ca="1" si="20"/>
        <v>8544855866.5155163</v>
      </c>
      <c r="EJ43" s="17">
        <v>16030149605.583107</v>
      </c>
      <c r="EK43" s="17">
        <f t="shared" ca="1" si="21"/>
        <v>16030149605.583107</v>
      </c>
      <c r="EM43" s="16">
        <f t="shared" ca="1" si="22"/>
        <v>0</v>
      </c>
      <c r="EN43" s="32" t="str">
        <f>IF(VLOOKUP(BR43,Fundamentus!A:U,3,FALSE)&lt;15,"Bom",IF(VLOOKUP(BR43,Fundamentus!A:U,3,FALSE)&gt;15,"Ruim","n/a"))</f>
        <v>Bom</v>
      </c>
      <c r="EO43" s="28" t="str">
        <f>IF(VLOOKUP(BR43,Fundamentus!A:U,4,FALSE)&lt;1,"Baixo",IF(VLOOKUP(BR43,Fundamentus!A:U,4,FALSE)&lt;1.5,"Moderado",IF(VLOOKUP(BR43,Fundamentus!A:U,4,FALSE)&gt;1.5,"Alto","n/a")))</f>
        <v>Moderado</v>
      </c>
      <c r="EP43" s="17" t="str">
        <f>IF(VLOOKUP(BR43,Fundamentus!A:U,8,FALSE)&lt;0,"Risco elevado",IF(VLOOKUP(BR43,Fundamentus!A:U,8,FALSE)&lt;1,"Saudável",IF(VLOOKUP(BR43,Fundamentus!A:U,8,FALSE)&lt;3,"Estável",IF(VLOOKUP(BR43,Fundamentus!A:U,8,FALSE)&gt;3,"Alerta","n/a"))))</f>
        <v>Alerta</v>
      </c>
      <c r="EQ43" s="28" t="str">
        <f t="shared" si="23"/>
        <v>Bom</v>
      </c>
      <c r="ER43" s="17" t="str">
        <f>IF(VLOOKUP(BR43,Fundamentus!A:U,12,FALSE)&lt;2,"Subvalorizada",IF(VLOOKUP(BR43,Fundamentus!A:U,12,FALSE)&lt;6,"Muita barata",IF(VLOOKUP(BR43,Fundamentus!A:U,12,FALSE)&lt;6,"Barata",IF(VLOOKUP(BR43,Fundamentus!A:U,12,FALSE)&lt;8,"Atrativa",IF(VLOOKUP(BR43,Fundamentus!A:U,12,FALSE)&gt;8,"Supervalorizada","n/a")))))</f>
        <v>Supervalorizada</v>
      </c>
      <c r="ET43" s="17" t="str">
        <f>IF(VLOOKUP(BR43,Fundamentus!A:U,17,FALSE)&lt;0.1,"Fraco retorno",IF(VLOOKUP(BR43,Fundamentus!A:U,17,FALSE)&gt;0.1,"Bom retorno","n/a"))</f>
        <v>Bom retorno</v>
      </c>
      <c r="EU43" s="17" t="str">
        <f>IF(VLOOKUP(BR43,Fundamentus!A:U,16,FALSE)&lt;0.1,"Ineficiente",IF(VLOOKUP(BR43,Fundamentus!A:U,16,FALSE)&gt;0.1,"Eficiente","n/a"))</f>
        <v>Ineficiente</v>
      </c>
      <c r="EV43" s="33" t="str">
        <f>IF(VLOOKUP(BR43,Fundamentus!A:U,16,FALSE)&lt;0.1,"Oper. Ineficiente",IF(VLOOKUP(BR43,Fundamentus!A:U,16,FALSE)&gt;0.1,"Oper.Eficiente","n/a"))</f>
        <v>Oper. Ineficiente</v>
      </c>
      <c r="EW43" s="34">
        <f>VLOOKUP(BR43,Fundamentus!A:U,14,FALSE)</f>
        <v>1.8759999999999999</v>
      </c>
      <c r="EX43" s="17" t="str">
        <f>IF(VLOOKUP(BR43,Fundamentus!A:U,21,FALSE)&lt;0,"Negativo",IF(VLOOKUP(BR43,Fundamentus!A:U,21,FALSE)&lt;0.05,"Fraco",IF(VLOOKUP(BR43,Fundamentus!A:U,21,FALSE)&lt;0.1,"Bom",IF(VLOOKUP(BR43,Fundamentus!A:U,21,FALSE)&gt;0.1,"Muito bom","n/a"))))</f>
        <v>Fraco</v>
      </c>
      <c r="EZ43" s="29" t="str">
        <f>IF(VLOOKUP(BR43,Fundamentus!A:U,15,FALSE)&gt;1,"Bom",IF(VLOOKUP(BR43,Fundamentus!A:U,15,FALSE)&lt;1,"Ruim","n/a"))</f>
        <v>Bom</v>
      </c>
      <c r="FA43" s="17" t="str">
        <f>IF(VLOOKUP(BR43,Fundamentus!A:U,20,FALSE)&lt;0.5,"Baixa",IF(VLOOKUP(BR43,Fundamentus!A:U,20,FALSE)&lt;1,"Moderada",IF(VLOOKUP(BR43,Fundamentus!A:U,20,FALSE)&lt;2,"Alerta",IF(VLOOKUP(BR43,Fundamentus!A:U,20,FALSE)&gt;2,"Alta","n/a"))))</f>
        <v>Baixa</v>
      </c>
    </row>
    <row r="44" spans="1:157" s="2" customFormat="1" ht="11.25"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5">
        <v>1.44</v>
      </c>
      <c r="BC44" s="52">
        <v>1.36</v>
      </c>
      <c r="BD44" s="52">
        <v>1.2</v>
      </c>
      <c r="BE44" s="52">
        <v>1.19</v>
      </c>
      <c r="BF44" s="52">
        <v>1.1399999999999999</v>
      </c>
      <c r="BG44" s="67">
        <v>1.1299999999999999</v>
      </c>
      <c r="BH44" s="52">
        <v>1.1499999999999999</v>
      </c>
      <c r="BI44" s="52">
        <v>1.19</v>
      </c>
      <c r="BJ44" s="52">
        <v>1.23</v>
      </c>
      <c r="BK44" s="52">
        <v>1.21</v>
      </c>
      <c r="BL44" s="52">
        <v>1.35</v>
      </c>
      <c r="BM44" s="52">
        <v>1.34</v>
      </c>
      <c r="BN44" s="52">
        <v>1.34</v>
      </c>
      <c r="BO44" s="52">
        <v>1.37</v>
      </c>
      <c r="BP44" s="52">
        <v>1.29</v>
      </c>
      <c r="BQ44" s="52" cm="1">
        <f t="array" aca="1" ref="BQ44" ca="1">_FV(EE44,"Preço")</f>
        <v>1.29</v>
      </c>
      <c r="BR44" s="69" t="s">
        <v>41</v>
      </c>
      <c r="BS44" s="36" cm="1">
        <f t="array" aca="1" ref="BS44" ca="1">_FV(EE44,"Média de volume",TRUE)</f>
        <v>239370</v>
      </c>
      <c r="BT44" s="36">
        <v>308400</v>
      </c>
      <c r="BU44" s="36" cm="1">
        <f t="array" aca="1" ref="BU44" ca="1">_FV(EE44,"Volume")</f>
        <v>308400</v>
      </c>
      <c r="BV44" s="24" cm="1">
        <f t="array" aca="1" ref="BV44" ca="1">_FV(EE44,"Beta")</f>
        <v>2.0592000000000001</v>
      </c>
      <c r="BW44" s="71" cm="1">
        <f t="array" aca="1" ref="BW44" ca="1">_FV(EE44,"Variação (%)",TRUE)</f>
        <v>-7.6920000000000001E-3</v>
      </c>
      <c r="BY44" s="17" cm="1">
        <f t="array" aca="1" ref="BY44" ca="1">_FV(EE44,"Baixo")</f>
        <v>1.25</v>
      </c>
      <c r="BZ44" s="17" cm="1">
        <f t="array" aca="1" ref="BZ44" ca="1">_FV(EE44,"Alto")</f>
        <v>1.31</v>
      </c>
      <c r="CA44" s="24"/>
      <c r="CB44" s="63" t="e">
        <f ca="1">SQRT(22.5*(BQ44/VLOOKUP(BR44,Fundamentus!A:U,3,FALSE))*(BQ44/VLOOKUP(BR44,Fundamentus!A:U,4,FALSE)))</f>
        <v>#NUM!</v>
      </c>
      <c r="CD44" s="62">
        <f t="shared" ca="1" si="24"/>
        <v>0</v>
      </c>
      <c r="CE44" s="8"/>
      <c r="CF44" s="61">
        <f t="shared" si="25"/>
        <v>0.91</v>
      </c>
      <c r="CG44" s="61">
        <f t="shared" si="26"/>
        <v>1.74</v>
      </c>
      <c r="CH44" s="61">
        <f t="shared" si="27"/>
        <v>1.2711764705882354</v>
      </c>
      <c r="CI44" s="14"/>
      <c r="CJ44" s="35">
        <f t="shared" si="1"/>
        <v>1.1908772590584957</v>
      </c>
      <c r="CK44" s="15">
        <f t="shared" si="28"/>
        <v>1.3049999999999926</v>
      </c>
      <c r="CL44" s="35">
        <f t="shared" si="2"/>
        <v>1.4191227409414895</v>
      </c>
      <c r="CN44" s="14"/>
      <c r="CO44" s="17">
        <f t="shared" si="3"/>
        <v>5.6666666666666532E-2</v>
      </c>
      <c r="CP44" s="17">
        <f t="shared" si="4"/>
        <v>0.48333333333333328</v>
      </c>
      <c r="CQ44" s="17">
        <f t="shared" si="5"/>
        <v>0.88666666666666649</v>
      </c>
      <c r="CR44" s="38">
        <f t="shared" si="29"/>
        <v>1.3133333333333332</v>
      </c>
      <c r="CS44" s="17">
        <f t="shared" si="6"/>
        <v>1.7166666666666663</v>
      </c>
      <c r="CT44" s="17">
        <f t="shared" si="7"/>
        <v>2.1433333333333331</v>
      </c>
      <c r="CU44" s="17">
        <f t="shared" si="8"/>
        <v>2.5466666666666664</v>
      </c>
      <c r="CV44" s="2" cm="1">
        <f t="array" aca="1" ref="CV44" ca="1">MAX(_xlfn._xlws.FILTER(CO44:CU44,CO44:CU44&lt;BQ44))</f>
        <v>0.88666666666666649</v>
      </c>
      <c r="CW44" s="2" cm="1">
        <f t="array" aca="1" ref="CW44" ca="1">MIN(_xlfn._xlws.FILTER($CO44:$CU44,$CO44:$CU44&gt;BQ44))</f>
        <v>1.3133333333333332</v>
      </c>
      <c r="CX44" s="16">
        <f t="shared" ca="1" si="63"/>
        <v>0.48120300751879719</v>
      </c>
      <c r="CY44" s="20">
        <f t="shared" ca="1" si="64"/>
        <v>-0.24060150375939859</v>
      </c>
      <c r="CZ44" s="20">
        <f t="shared" ca="1" si="65"/>
        <v>-0.16040100250626574</v>
      </c>
      <c r="DA44" s="20">
        <f t="shared" ca="1" si="66"/>
        <v>-9.6240601503759432E-2</v>
      </c>
      <c r="DB44" s="20">
        <f t="shared" ca="1" si="67"/>
        <v>-5.3467000835421913E-2</v>
      </c>
      <c r="DC44" s="20">
        <f t="shared" ca="1" si="68"/>
        <v>-2.83060592658116E-2</v>
      </c>
      <c r="DD44" s="20">
        <f t="shared" ca="1" si="69"/>
        <v>-1.458190931875143E-2</v>
      </c>
      <c r="DE44" s="20">
        <f t="shared" ca="1" si="70"/>
        <v>-7.4031231925968796E-3</v>
      </c>
      <c r="DF44" s="21">
        <f t="shared" ca="1" si="71"/>
        <v>7.4031231925968796E-3</v>
      </c>
      <c r="DG44" s="21">
        <f t="shared" ca="1" si="72"/>
        <v>1.458190931875143E-2</v>
      </c>
      <c r="DH44" s="21">
        <f t="shared" ca="1" si="73"/>
        <v>2.83060592658116E-2</v>
      </c>
      <c r="DI44" s="21">
        <f t="shared" ca="1" si="74"/>
        <v>5.3467000835421913E-2</v>
      </c>
      <c r="DJ44" s="21">
        <f t="shared" ca="1" si="75"/>
        <v>9.6240601503759432E-2</v>
      </c>
      <c r="DK44" s="21">
        <f t="shared" ca="1" si="76"/>
        <v>0.16040100250626574</v>
      </c>
      <c r="DL44" s="21">
        <f t="shared" ca="1" si="77"/>
        <v>0.24060150375939859</v>
      </c>
      <c r="DN44" s="16" cm="1">
        <f t="array" aca="1" ref="DN44" ca="1">MAX(_xlfn._xlws.FILTER(CY44:DL44,CY44:DL44&lt;BW44))</f>
        <v>-1.458190931875143E-2</v>
      </c>
      <c r="DO44" s="16" cm="1">
        <f t="array" aca="1" ref="DO44" ca="1">MIN(_xlfn._xlws.FILTER(CY44:DL44,CY44:DL44&gt;BW44))</f>
        <v>-7.4031231925968796E-3</v>
      </c>
      <c r="DP44" s="2" cm="1">
        <f t="array" aca="1" ref="DP44" ca="1">_FV(EE44,"Fechamento anterior",TRUE)</f>
        <v>1.3</v>
      </c>
      <c r="DQ44" s="28">
        <f t="shared" ca="1" si="15"/>
        <v>0.95971679687499167</v>
      </c>
      <c r="DR44" s="15">
        <f t="shared" ca="1" si="78"/>
        <v>1.2810435178856232</v>
      </c>
      <c r="DS44" s="15">
        <f t="shared" ca="1" si="79"/>
        <v>1.2903759398496242</v>
      </c>
      <c r="DT44" s="9"/>
      <c r="DU44" s="9"/>
      <c r="DV44" s="9"/>
      <c r="DW44" s="89">
        <v>9.1521004602655165E-3</v>
      </c>
      <c r="DX44" s="89">
        <f t="shared" ca="1" si="18"/>
        <v>7.1787861261545507E-3</v>
      </c>
      <c r="DY44" s="72">
        <f t="shared" ca="1" si="19"/>
        <v>-0.13143743198108143</v>
      </c>
      <c r="DZ44" s="37"/>
      <c r="EA44" s="35">
        <f t="shared" si="39"/>
        <v>5.7061370470748475E-2</v>
      </c>
      <c r="EB44" s="56"/>
      <c r="EC44" s="56"/>
      <c r="EE44" s="2" t="e" vm="44">
        <v>#VALUE!</v>
      </c>
      <c r="EG44" s="10" cm="1">
        <f t="array" aca="1" ref="EG44" ca="1">_FV(EE44,"Ações em circulação",TRUE)</f>
        <v>286676500</v>
      </c>
      <c r="EH44" s="18">
        <f>VLOOKUP(BR44,Fundamentus!A:U,5,FALSE)</f>
        <v>0.17499999999999999</v>
      </c>
      <c r="EI44" s="2">
        <f t="shared" ca="1" si="20"/>
        <v>2113215342.8571429</v>
      </c>
      <c r="EJ44" s="17">
        <v>-82838041.439999998</v>
      </c>
      <c r="EK44" s="17">
        <f t="shared" ca="1" si="21"/>
        <v>-82838041.439999998</v>
      </c>
      <c r="EM44" s="16">
        <f t="shared" ca="1" si="22"/>
        <v>0</v>
      </c>
      <c r="EN44" s="32" t="str">
        <f>IF(VLOOKUP(BR44,Fundamentus!A:U,3,FALSE)&lt;15,"Bom",IF(VLOOKUP(BR44,Fundamentus!A:U,3,FALSE)&gt;15,"Ruim","n/a"))</f>
        <v>Bom</v>
      </c>
      <c r="EO44" s="28" t="str">
        <f>IF(VLOOKUP(BR44,Fundamentus!A:U,4,FALSE)&lt;1,"Baixo",IF(VLOOKUP(BR44,Fundamentus!A:U,4,FALSE)&lt;1.5,"Moderado",IF(VLOOKUP(BR44,Fundamentus!A:U,4,FALSE)&gt;1.5,"Alto","n/a")))</f>
        <v>Baixo</v>
      </c>
      <c r="EP44" s="17" t="str">
        <f>IF(VLOOKUP(BR44,Fundamentus!A:U,8,FALSE)&lt;0,"Risco elevado",IF(VLOOKUP(BR44,Fundamentus!A:U,8,FALSE)&lt;1,"Saudável",IF(VLOOKUP(BR44,Fundamentus!A:U,8,FALSE)&lt;3,"Estável",IF(VLOOKUP(BR44,Fundamentus!A:U,8,FALSE)&gt;3,"Alerta","n/a"))))</f>
        <v>Risco elevado</v>
      </c>
      <c r="EQ44" s="28" t="str">
        <f t="shared" si="23"/>
        <v>Ruim</v>
      </c>
      <c r="ER44" s="17" t="str">
        <f>IF(VLOOKUP(BR44,Fundamentus!A:U,12,FALSE)&lt;2,"Subvalorizada",IF(VLOOKUP(BR44,Fundamentus!A:U,12,FALSE)&lt;6,"Muita barata",IF(VLOOKUP(BR44,Fundamentus!A:U,12,FALSE)&lt;6,"Barata",IF(VLOOKUP(BR44,Fundamentus!A:U,12,FALSE)&lt;8,"Atrativa",IF(VLOOKUP(BR44,Fundamentus!A:U,12,FALSE)&gt;8,"Supervalorizada","n/a")))))</f>
        <v>Muita barata</v>
      </c>
      <c r="ET44" s="17" t="str">
        <f>IF(VLOOKUP(BR44,Fundamentus!A:U,17,FALSE)&lt;0.1,"Fraco retorno",IF(VLOOKUP(BR44,Fundamentus!A:U,17,FALSE)&gt;0.1,"Bom retorno","n/a"))</f>
        <v>Fraco retorno</v>
      </c>
      <c r="EU44" s="17" t="str">
        <f>IF(VLOOKUP(BR44,Fundamentus!A:U,16,FALSE)&lt;0.1,"Ineficiente",IF(VLOOKUP(BR44,Fundamentus!A:U,16,FALSE)&gt;0.1,"Eficiente","n/a"))</f>
        <v>Ineficiente</v>
      </c>
      <c r="EV44" s="33" t="str">
        <f>IF(VLOOKUP(BR44,Fundamentus!A:U,16,FALSE)&lt;0.1,"Oper. Ineficiente",IF(VLOOKUP(BR44,Fundamentus!A:U,16,FALSE)&gt;0.1,"Oper.Eficiente","n/a"))</f>
        <v>Oper. Ineficiente</v>
      </c>
      <c r="EW44" s="34">
        <f>VLOOKUP(BR44,Fundamentus!A:U,14,FALSE)</f>
        <v>-3.9199999999999999E-2</v>
      </c>
      <c r="EX44" s="17" t="str">
        <f>IF(VLOOKUP(BR44,Fundamentus!A:U,21,FALSE)&lt;0,"Negativo",IF(VLOOKUP(BR44,Fundamentus!A:U,21,FALSE)&lt;0.05,"Fraco",IF(VLOOKUP(BR44,Fundamentus!A:U,21,FALSE)&lt;0.1,"Bom",IF(VLOOKUP(BR44,Fundamentus!A:U,21,FALSE)&gt;0.1,"Muito bom","n/a"))))</f>
        <v>Muito bom</v>
      </c>
      <c r="EZ44" s="29" t="str">
        <f>IF(VLOOKUP(BR44,Fundamentus!A:U,15,FALSE)&gt;1,"Bom",IF(VLOOKUP(BR44,Fundamentus!A:U,15,FALSE)&lt;1,"Ruim","n/a"))</f>
        <v>Ruim</v>
      </c>
      <c r="FA44" s="17" t="str">
        <f>IF(VLOOKUP(BR44,Fundamentus!A:U,20,FALSE)&lt;0.5,"Baixa",IF(VLOOKUP(BR44,Fundamentus!A:U,20,FALSE)&lt;1,"Moderada",IF(VLOOKUP(BR44,Fundamentus!A:U,20,FALSE)&lt;2,"Alerta",IF(VLOOKUP(BR44,Fundamentus!A:U,20,FALSE)&gt;2,"Alta","n/a"))))</f>
        <v>Moderada</v>
      </c>
    </row>
    <row r="45" spans="1:157" s="2" customFormat="1" ht="11.25"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5">
        <v>38.19</v>
      </c>
      <c r="BC45" s="52">
        <v>38.51</v>
      </c>
      <c r="BD45" s="52">
        <v>38.1</v>
      </c>
      <c r="BE45" s="52">
        <v>37.51</v>
      </c>
      <c r="BF45" s="52">
        <v>36.44</v>
      </c>
      <c r="BG45" s="67">
        <v>35.51</v>
      </c>
      <c r="BH45" s="52">
        <v>35.19</v>
      </c>
      <c r="BI45" s="52">
        <v>35.229999999999997</v>
      </c>
      <c r="BJ45" s="52">
        <v>36.51</v>
      </c>
      <c r="BK45" s="52">
        <v>35.22</v>
      </c>
      <c r="BL45" s="52">
        <v>34.32</v>
      </c>
      <c r="BM45" s="52">
        <v>33.53</v>
      </c>
      <c r="BN45" s="52">
        <v>33.44</v>
      </c>
      <c r="BO45" s="52">
        <v>34.5</v>
      </c>
      <c r="BP45" s="52">
        <v>32.79</v>
      </c>
      <c r="BQ45" s="52" cm="1">
        <f t="array" aca="1" ref="BQ45" ca="1">_FV(EE45,"Preço")</f>
        <v>32.79</v>
      </c>
      <c r="BR45" s="69" t="s">
        <v>42</v>
      </c>
      <c r="BS45" s="36" cm="1">
        <f t="array" aca="1" ref="BS45" ca="1">_FV(EE45,"Média de volume",TRUE)</f>
        <v>8079210</v>
      </c>
      <c r="BT45" s="36">
        <v>9398300</v>
      </c>
      <c r="BU45" s="36" cm="1">
        <f t="array" aca="1" ref="BU45" ca="1">_FV(EE45,"Volume")</f>
        <v>9398300</v>
      </c>
      <c r="BV45" s="24" cm="1">
        <f t="array" aca="1" ref="BV45" ca="1">_FV(EE45,"Beta")</f>
        <v>0.55579999999999996</v>
      </c>
      <c r="BW45" s="71" cm="1">
        <f t="array" aca="1" ref="BW45" ca="1">_FV(EE45,"Variação (%)",TRUE)</f>
        <v>-1.7675E-2</v>
      </c>
      <c r="BY45" s="17" cm="1">
        <f t="array" aca="1" ref="BY45" ca="1">_FV(EE45,"Baixo")</f>
        <v>32.729999999999997</v>
      </c>
      <c r="BZ45" s="17" cm="1">
        <f t="array" aca="1" ref="BZ45" ca="1">_FV(EE45,"Alto")</f>
        <v>33.130000000000003</v>
      </c>
      <c r="CA45" s="24"/>
      <c r="CB45" s="63">
        <f ca="1">SQRT(22.5*(BQ45/VLOOKUP(BR45,Fundamentus!A:U,3,FALSE))*(BQ45/VLOOKUP(BR45,Fundamentus!A:U,4,FALSE)))</f>
        <v>23.114793467253349</v>
      </c>
      <c r="CD45" s="62">
        <f t="shared" ca="1" si="24"/>
        <v>0</v>
      </c>
      <c r="CE45" s="8"/>
      <c r="CF45" s="61">
        <f t="shared" si="25"/>
        <v>32.200000000000003</v>
      </c>
      <c r="CG45" s="61">
        <f t="shared" si="26"/>
        <v>42.77</v>
      </c>
      <c r="CH45" s="61">
        <f t="shared" si="27"/>
        <v>36.001911764705895</v>
      </c>
      <c r="CI45" s="14"/>
      <c r="CJ45" s="35">
        <f t="shared" si="1"/>
        <v>31.957037936813141</v>
      </c>
      <c r="CK45" s="15">
        <f t="shared" si="28"/>
        <v>33.275000000000091</v>
      </c>
      <c r="CL45" s="35">
        <f t="shared" si="2"/>
        <v>34.592962063187038</v>
      </c>
      <c r="CN45" s="14"/>
      <c r="CO45" s="17">
        <f t="shared" si="3"/>
        <v>18.499999999999986</v>
      </c>
      <c r="CP45" s="17">
        <f t="shared" si="4"/>
        <v>25.349999999999994</v>
      </c>
      <c r="CQ45" s="17">
        <f t="shared" si="5"/>
        <v>29.069999999999986</v>
      </c>
      <c r="CR45" s="38">
        <f t="shared" si="29"/>
        <v>35.919999999999995</v>
      </c>
      <c r="CS45" s="17">
        <f t="shared" si="6"/>
        <v>39.639999999999986</v>
      </c>
      <c r="CT45" s="17">
        <f t="shared" si="7"/>
        <v>46.489999999999995</v>
      </c>
      <c r="CU45" s="17">
        <f t="shared" si="8"/>
        <v>50.209999999999987</v>
      </c>
      <c r="CV45" s="2" cm="1">
        <f t="array" aca="1" ref="CV45" ca="1">MAX(_xlfn._xlws.FILTER(CO45:CU45,CO45:CU45&lt;BQ45))</f>
        <v>29.069999999999986</v>
      </c>
      <c r="CW45" s="2" cm="1">
        <f t="array" aca="1" ref="CW45" ca="1">MIN(_xlfn._xlws.FILTER($CO45:$CU45,$CO45:$CU45&gt;BQ45))</f>
        <v>35.919999999999995</v>
      </c>
      <c r="CX45" s="16">
        <f t="shared" ca="1" si="63"/>
        <v>0.23563811489508124</v>
      </c>
      <c r="CY45" s="20">
        <f t="shared" ca="1" si="64"/>
        <v>-0.11781905744754062</v>
      </c>
      <c r="CZ45" s="20">
        <f t="shared" ca="1" si="65"/>
        <v>-7.8546038298360418E-2</v>
      </c>
      <c r="DA45" s="20">
        <f t="shared" ca="1" si="66"/>
        <v>-4.7127622979016251E-2</v>
      </c>
      <c r="DB45" s="20">
        <f t="shared" ca="1" si="67"/>
        <v>-2.6182012766120137E-2</v>
      </c>
      <c r="DC45" s="20">
        <f t="shared" ca="1" si="68"/>
        <v>-1.3861065582063603E-2</v>
      </c>
      <c r="DD45" s="20">
        <f t="shared" ca="1" si="69"/>
        <v>-7.1405489362145833E-3</v>
      </c>
      <c r="DE45" s="20">
        <f t="shared" ca="1" si="70"/>
        <v>-3.6252017676166345E-3</v>
      </c>
      <c r="DF45" s="21">
        <f t="shared" ca="1" si="71"/>
        <v>3.6252017676166345E-3</v>
      </c>
      <c r="DG45" s="21">
        <f t="shared" ca="1" si="72"/>
        <v>7.1405489362145833E-3</v>
      </c>
      <c r="DH45" s="21">
        <f t="shared" ca="1" si="73"/>
        <v>1.3861065582063603E-2</v>
      </c>
      <c r="DI45" s="21">
        <f t="shared" ca="1" si="74"/>
        <v>2.6182012766120137E-2</v>
      </c>
      <c r="DJ45" s="21">
        <f t="shared" ca="1" si="75"/>
        <v>4.7127622979016251E-2</v>
      </c>
      <c r="DK45" s="21">
        <f t="shared" ca="1" si="76"/>
        <v>7.8546038298360418E-2</v>
      </c>
      <c r="DL45" s="21">
        <f t="shared" ca="1" si="77"/>
        <v>0.11781905744754062</v>
      </c>
      <c r="DN45" s="16" cm="1">
        <f t="array" aca="1" ref="DN45" ca="1">MAX(_xlfn._xlws.FILTER(CY45:DL45,CY45:DL45&lt;BW45))</f>
        <v>-2.6182012766120137E-2</v>
      </c>
      <c r="DO45" s="16" cm="1">
        <f t="array" aca="1" ref="DO45" ca="1">MIN(_xlfn._xlws.FILTER(CY45:DL45,CY45:DL45&gt;BW45))</f>
        <v>-1.3861065582063603E-2</v>
      </c>
      <c r="DP45" s="2" cm="1">
        <f t="array" aca="1" ref="DP45" ca="1">_FV(EE45,"Fechamento anterior",TRUE)</f>
        <v>33.380000000000003</v>
      </c>
      <c r="DQ45" s="28">
        <f t="shared" ca="1" si="15"/>
        <v>0.69043053229128415</v>
      </c>
      <c r="DR45" s="15">
        <f t="shared" ca="1" si="78"/>
        <v>32.50604441386691</v>
      </c>
      <c r="DS45" s="15">
        <f t="shared" ca="1" si="79"/>
        <v>32.91731763087072</v>
      </c>
      <c r="DT45" s="9"/>
      <c r="DU45" s="9"/>
      <c r="DV45" s="9"/>
      <c r="DW45" s="89">
        <v>6.3962518778804813E-3</v>
      </c>
      <c r="DX45" s="89">
        <f t="shared" ca="1" si="18"/>
        <v>1.2320947184056534E-2</v>
      </c>
      <c r="DY45" s="72">
        <f t="shared" ca="1" si="19"/>
        <v>-0.36799238274531082</v>
      </c>
      <c r="DZ45" s="37"/>
      <c r="EA45" s="35">
        <f t="shared" si="39"/>
        <v>0.65898103159347454</v>
      </c>
      <c r="EB45" s="56"/>
      <c r="EC45" s="56"/>
      <c r="EE45" s="2" t="e" vm="45">
        <v>#VALUE!</v>
      </c>
      <c r="EG45" s="10" cm="1">
        <f t="array" aca="1" ref="EG45" ca="1">_FV(EE45,"Ações em circulação",TRUE)</f>
        <v>2000000000</v>
      </c>
      <c r="EH45" s="18">
        <f>VLOOKUP(BR45,Fundamentus!A:U,5,FALSE)</f>
        <v>0</v>
      </c>
      <c r="EI45" s="2" t="e">
        <f t="shared" ca="1" si="20"/>
        <v>#DIV/0!</v>
      </c>
      <c r="EJ45" s="17" t="e">
        <v>#DIV/0!</v>
      </c>
      <c r="EK45" s="17" t="e">
        <f t="shared" ca="1" si="21"/>
        <v>#DIV/0!</v>
      </c>
      <c r="EM45" s="16" t="e">
        <f t="shared" ca="1" si="22"/>
        <v>#DIV/0!</v>
      </c>
      <c r="EN45" s="32" t="str">
        <f>IF(VLOOKUP(BR45,Fundamentus!A:U,3,FALSE)&lt;15,"Bom",IF(VLOOKUP(BR45,Fundamentus!A:U,3,FALSE)&gt;15,"Ruim","n/a"))</f>
        <v>Bom</v>
      </c>
      <c r="EO45" s="28" t="str">
        <f>IF(VLOOKUP(BR45,Fundamentus!A:U,4,FALSE)&lt;1,"Baixo",IF(VLOOKUP(BR45,Fundamentus!A:U,4,FALSE)&lt;1.5,"Moderado",IF(VLOOKUP(BR45,Fundamentus!A:U,4,FALSE)&gt;1.5,"Alto","n/a")))</f>
        <v>Alto</v>
      </c>
      <c r="EP45" s="17" t="str">
        <f>IF(VLOOKUP(BR45,Fundamentus!A:U,8,FALSE)&lt;0,"Risco elevado",IF(VLOOKUP(BR45,Fundamentus!A:U,8,FALSE)&lt;1,"Saudável",IF(VLOOKUP(BR45,Fundamentus!A:U,8,FALSE)&lt;3,"Estável",IF(VLOOKUP(BR45,Fundamentus!A:U,8,FALSE)&gt;3,"Alerta","n/a"))))</f>
        <v>Saudável</v>
      </c>
      <c r="EQ45" s="28" t="str">
        <f t="shared" si="23"/>
        <v>Ruim</v>
      </c>
      <c r="ER45" s="17" t="str">
        <f>IF(VLOOKUP(BR45,Fundamentus!A:U,12,FALSE)&lt;2,"Subvalorizada",IF(VLOOKUP(BR45,Fundamentus!A:U,12,FALSE)&lt;6,"Muita barata",IF(VLOOKUP(BR45,Fundamentus!A:U,12,FALSE)&lt;6,"Barata",IF(VLOOKUP(BR45,Fundamentus!A:U,12,FALSE)&lt;8,"Atrativa",IF(VLOOKUP(BR45,Fundamentus!A:U,12,FALSE)&gt;8,"Supervalorizada","n/a")))))</f>
        <v>Subvalorizada</v>
      </c>
      <c r="ET45" s="17" t="str">
        <f>IF(VLOOKUP(BR45,Fundamentus!A:U,17,FALSE)&lt;0.1,"Fraco retorno",IF(VLOOKUP(BR45,Fundamentus!A:U,17,FALSE)&gt;0.1,"Bom retorno","n/a"))</f>
        <v>Bom retorno</v>
      </c>
      <c r="EU45" s="17" t="str">
        <f>IF(VLOOKUP(BR45,Fundamentus!A:U,16,FALSE)&lt;0.1,"Ineficiente",IF(VLOOKUP(BR45,Fundamentus!A:U,16,FALSE)&gt;0.1,"Eficiente","n/a"))</f>
        <v>Ineficiente</v>
      </c>
      <c r="EV45" s="33" t="str">
        <f>IF(VLOOKUP(BR45,Fundamentus!A:U,16,FALSE)&lt;0.1,"Oper. Ineficiente",IF(VLOOKUP(BR45,Fundamentus!A:U,16,FALSE)&gt;0.1,"Oper.Eficiente","n/a"))</f>
        <v>Oper. Ineficiente</v>
      </c>
      <c r="EW45" s="34">
        <f>VLOOKUP(BR45,Fundamentus!A:U,14,FALSE)</f>
        <v>0</v>
      </c>
      <c r="EX45" s="17" t="str">
        <f>IF(VLOOKUP(BR45,Fundamentus!A:U,21,FALSE)&lt;0,"Negativo",IF(VLOOKUP(BR45,Fundamentus!A:U,21,FALSE)&lt;0.05,"Fraco",IF(VLOOKUP(BR45,Fundamentus!A:U,21,FALSE)&lt;0.1,"Bom",IF(VLOOKUP(BR45,Fundamentus!A:U,21,FALSE)&gt;0.1,"Muito bom","n/a"))))</f>
        <v>Fraco</v>
      </c>
      <c r="EZ45" s="29" t="str">
        <f>IF(VLOOKUP(BR45,Fundamentus!A:U,15,FALSE)&gt;1,"Bom",IF(VLOOKUP(BR45,Fundamentus!A:U,15,FALSE)&lt;1,"Ruim","n/a"))</f>
        <v>Ruim</v>
      </c>
      <c r="FA45" s="17" t="str">
        <f>IF(VLOOKUP(BR45,Fundamentus!A:U,20,FALSE)&lt;0.5,"Baixa",IF(VLOOKUP(BR45,Fundamentus!A:U,20,FALSE)&lt;1,"Moderada",IF(VLOOKUP(BR45,Fundamentus!A:U,20,FALSE)&lt;2,"Alerta",IF(VLOOKUP(BR45,Fundamentus!A:U,20,FALSE)&gt;2,"Alta","n/a"))))</f>
        <v>Baixa</v>
      </c>
    </row>
    <row r="46" spans="1:157" s="2" customFormat="1" ht="11.25"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5">
        <v>8.6</v>
      </c>
      <c r="BC46" s="52">
        <v>8.81</v>
      </c>
      <c r="BD46" s="52">
        <v>8.7200000000000006</v>
      </c>
      <c r="BE46" s="52">
        <v>8.57</v>
      </c>
      <c r="BF46" s="52">
        <v>9.25</v>
      </c>
      <c r="BG46" s="67">
        <v>9.2200000000000006</v>
      </c>
      <c r="BH46" s="52">
        <v>9.2799999999999994</v>
      </c>
      <c r="BI46" s="52">
        <v>8.86</v>
      </c>
      <c r="BJ46" s="52">
        <v>9.39</v>
      </c>
      <c r="BK46" s="52">
        <v>9.31</v>
      </c>
      <c r="BL46" s="52">
        <v>9</v>
      </c>
      <c r="BM46" s="52">
        <v>9.52</v>
      </c>
      <c r="BN46" s="52">
        <v>9.09</v>
      </c>
      <c r="BO46" s="52">
        <v>9.15</v>
      </c>
      <c r="BP46" s="52">
        <v>9.01</v>
      </c>
      <c r="BQ46" s="52" cm="1">
        <f t="array" aca="1" ref="BQ46" ca="1">_FV(EE46,"Preço")</f>
        <v>9.01</v>
      </c>
      <c r="BR46" s="69" t="s">
        <v>43</v>
      </c>
      <c r="BS46" s="36" cm="1">
        <f t="array" aca="1" ref="BS46" ca="1">_FV(EE46,"Média de volume",TRUE)</f>
        <v>7424690</v>
      </c>
      <c r="BT46" s="36">
        <v>66400</v>
      </c>
      <c r="BU46" s="36" cm="1">
        <f t="array" aca="1" ref="BU46" ca="1">_FV(EE46,"Volume")</f>
        <v>66400</v>
      </c>
      <c r="BV46" s="24" cm="1">
        <f t="array" aca="1" ref="BV46" ca="1">_FV(EE46,"Beta")</f>
        <v>0.68530000000000002</v>
      </c>
      <c r="BW46" s="71" cm="1">
        <f t="array" aca="1" ref="BW46" ca="1">_FV(EE46,"Variação (%)",TRUE)</f>
        <v>-1.3143E-2</v>
      </c>
      <c r="BY46" s="17" cm="1">
        <f t="array" aca="1" ref="BY46" ca="1">_FV(EE46,"Baixo")</f>
        <v>8.89</v>
      </c>
      <c r="BZ46" s="17" cm="1">
        <f t="array" aca="1" ref="BZ46" ca="1">_FV(EE46,"Alto")</f>
        <v>9.16</v>
      </c>
      <c r="CA46" s="24"/>
      <c r="CB46" s="63">
        <f ca="1">SQRT(22.5*(BQ46/VLOOKUP(BR46,Fundamentus!A:U,3,FALSE))*(BQ46/VLOOKUP(BR46,Fundamentus!A:U,4,FALSE)))</f>
        <v>20.819427569206717</v>
      </c>
      <c r="CD46" s="62">
        <f t="shared" ca="1" si="24"/>
        <v>0</v>
      </c>
      <c r="CE46" s="8"/>
      <c r="CF46" s="61">
        <f t="shared" si="25"/>
        <v>8.5</v>
      </c>
      <c r="CG46" s="61">
        <f t="shared" si="26"/>
        <v>11.46</v>
      </c>
      <c r="CH46" s="61">
        <f t="shared" si="27"/>
        <v>9.9790441176470566</v>
      </c>
      <c r="CI46" s="14"/>
      <c r="CJ46" s="35">
        <f t="shared" si="1"/>
        <v>8.4582630370415792</v>
      </c>
      <c r="CK46" s="15">
        <f t="shared" si="28"/>
        <v>8.8250000000000455</v>
      </c>
      <c r="CL46" s="35">
        <f t="shared" si="2"/>
        <v>9.1917369629585117</v>
      </c>
      <c r="CN46" s="14"/>
      <c r="CO46" s="17">
        <f t="shared" si="3"/>
        <v>4.8933333333333309</v>
      </c>
      <c r="CP46" s="17">
        <f t="shared" si="4"/>
        <v>6.6966666666666654</v>
      </c>
      <c r="CQ46" s="17">
        <f t="shared" si="5"/>
        <v>7.8533333333333317</v>
      </c>
      <c r="CR46" s="38">
        <f t="shared" si="29"/>
        <v>9.6566666666666663</v>
      </c>
      <c r="CS46" s="17">
        <f t="shared" si="6"/>
        <v>10.813333333333333</v>
      </c>
      <c r="CT46" s="17">
        <f t="shared" si="7"/>
        <v>12.616666666666667</v>
      </c>
      <c r="CU46" s="17">
        <f t="shared" si="8"/>
        <v>13.773333333333333</v>
      </c>
      <c r="CV46" s="2" cm="1">
        <f t="array" aca="1" ref="CV46" ca="1">MAX(_xlfn._xlws.FILTER(CO46:CU46,CO46:CU46&lt;BQ46))</f>
        <v>7.8533333333333317</v>
      </c>
      <c r="CW46" s="2" cm="1">
        <f t="array" aca="1" ref="CW46" ca="1">MIN(_xlfn._xlws.FILTER($CO46:$CU46,$CO46:$CU46&gt;BQ46))</f>
        <v>9.6566666666666663</v>
      </c>
      <c r="CX46" s="16">
        <f t="shared" ca="1" si="63"/>
        <v>0.22962648556876086</v>
      </c>
      <c r="CY46" s="20">
        <f t="shared" ca="1" si="64"/>
        <v>-0.11481324278438043</v>
      </c>
      <c r="CZ46" s="20">
        <f t="shared" ca="1" si="65"/>
        <v>-7.6542161856253621E-2</v>
      </c>
      <c r="DA46" s="20">
        <f t="shared" ca="1" si="66"/>
        <v>-4.5925297113752171E-2</v>
      </c>
      <c r="DB46" s="20">
        <f t="shared" ca="1" si="67"/>
        <v>-2.5514053952084541E-2</v>
      </c>
      <c r="DC46" s="20">
        <f t="shared" ca="1" si="68"/>
        <v>-1.3507440327574168E-2</v>
      </c>
      <c r="DD46" s="20">
        <f t="shared" ca="1" si="69"/>
        <v>-6.9583783505685112E-3</v>
      </c>
      <c r="DE46" s="20">
        <f t="shared" ca="1" si="70"/>
        <v>-3.532715162596321E-3</v>
      </c>
      <c r="DF46" s="21">
        <f t="shared" ca="1" si="71"/>
        <v>3.532715162596321E-3</v>
      </c>
      <c r="DG46" s="21">
        <f t="shared" ca="1" si="72"/>
        <v>6.9583783505685112E-3</v>
      </c>
      <c r="DH46" s="21">
        <f t="shared" ca="1" si="73"/>
        <v>1.3507440327574168E-2</v>
      </c>
      <c r="DI46" s="21">
        <f t="shared" ca="1" si="74"/>
        <v>2.5514053952084541E-2</v>
      </c>
      <c r="DJ46" s="21">
        <f t="shared" ca="1" si="75"/>
        <v>4.5925297113752171E-2</v>
      </c>
      <c r="DK46" s="21">
        <f t="shared" ca="1" si="76"/>
        <v>7.6542161856253621E-2</v>
      </c>
      <c r="DL46" s="21">
        <f t="shared" ca="1" si="77"/>
        <v>0.11481324278438043</v>
      </c>
      <c r="DN46" s="16" cm="1">
        <f t="array" aca="1" ref="DN46" ca="1">MAX(_xlfn._xlws.FILTER(CY46:DL46,CY46:DL46&lt;BW46))</f>
        <v>-1.3507440327574168E-2</v>
      </c>
      <c r="DO46" s="16" cm="1">
        <f t="array" aca="1" ref="DO46" ca="1">MIN(_xlfn._xlws.FILTER(CY46:DL46,CY46:DL46&gt;BW46))</f>
        <v>-6.9583783505685112E-3</v>
      </c>
      <c r="DP46" s="2" cm="1">
        <f t="array" aca="1" ref="DP46" ca="1">_FV(EE46,"Fechamento anterior",TRUE)</f>
        <v>9.1300000000000008</v>
      </c>
      <c r="DQ46" s="28">
        <f t="shared" ca="1" si="15"/>
        <v>5.5573959423642343E-2</v>
      </c>
      <c r="DR46" s="15">
        <f t="shared" ca="1" si="78"/>
        <v>9.006677069809248</v>
      </c>
      <c r="DS46" s="15">
        <f t="shared" ca="1" si="79"/>
        <v>9.0664700056593102</v>
      </c>
      <c r="DT46" s="9"/>
      <c r="DU46" s="9"/>
      <c r="DV46" s="9"/>
      <c r="DW46" s="89">
        <v>1.155853840417599E-2</v>
      </c>
      <c r="DX46" s="89">
        <f t="shared" ca="1" si="18"/>
        <v>6.5490619770056571E-3</v>
      </c>
      <c r="DY46" s="72">
        <f t="shared" ca="1" si="19"/>
        <v>0.50444874306521958</v>
      </c>
      <c r="DZ46" s="37"/>
      <c r="EA46" s="35">
        <f t="shared" si="39"/>
        <v>0.1833684814792334</v>
      </c>
      <c r="EB46" s="56"/>
      <c r="EC46" s="56"/>
      <c r="EE46" s="2" t="e" vm="46">
        <v>#VALUE!</v>
      </c>
      <c r="EG46" s="10" cm="1">
        <f t="array" aca="1" ref="EG46" ca="1">_FV(EE46,"Ações em circulação",TRUE)</f>
        <v>993705800</v>
      </c>
      <c r="EH46" s="18">
        <f>VLOOKUP(BR46,Fundamentus!A:U,5,FALSE)</f>
        <v>0.14099999999999999</v>
      </c>
      <c r="EI46" s="2">
        <f t="shared" ca="1" si="20"/>
        <v>63498505375.886528</v>
      </c>
      <c r="EJ46" s="17">
        <v>3086027361.268085</v>
      </c>
      <c r="EK46" s="17">
        <f t="shared" ca="1" si="21"/>
        <v>3086027361.268085</v>
      </c>
      <c r="EM46" s="16">
        <f t="shared" ca="1" si="22"/>
        <v>0</v>
      </c>
      <c r="EN46" s="32" t="str">
        <f>IF(VLOOKUP(BR46,Fundamentus!A:U,3,FALSE)&lt;15,"Bom",IF(VLOOKUP(BR46,Fundamentus!A:U,3,FALSE)&gt;15,"Ruim","n/a"))</f>
        <v>Bom</v>
      </c>
      <c r="EO46" s="28" t="str">
        <f>IF(VLOOKUP(BR46,Fundamentus!A:U,4,FALSE)&lt;1,"Baixo",IF(VLOOKUP(BR46,Fundamentus!A:U,4,FALSE)&lt;1.5,"Moderado",IF(VLOOKUP(BR46,Fundamentus!A:U,4,FALSE)&gt;1.5,"Alto","n/a")))</f>
        <v>Baixo</v>
      </c>
      <c r="EP46" s="17" t="str">
        <f>IF(VLOOKUP(BR46,Fundamentus!A:U,8,FALSE)&lt;0,"Risco elevado",IF(VLOOKUP(BR46,Fundamentus!A:U,8,FALSE)&lt;1,"Saudável",IF(VLOOKUP(BR46,Fundamentus!A:U,8,FALSE)&lt;3,"Estável",IF(VLOOKUP(BR46,Fundamentus!A:U,8,FALSE)&gt;3,"Alerta","n/a"))))</f>
        <v>Saudável</v>
      </c>
      <c r="EQ46" s="28" t="str">
        <f t="shared" si="23"/>
        <v>Ruim</v>
      </c>
      <c r="ER46" s="17" t="str">
        <f>IF(VLOOKUP(BR46,Fundamentus!A:U,12,FALSE)&lt;2,"Subvalorizada",IF(VLOOKUP(BR46,Fundamentus!A:U,12,FALSE)&lt;6,"Muita barata",IF(VLOOKUP(BR46,Fundamentus!A:U,12,FALSE)&lt;6,"Barata",IF(VLOOKUP(BR46,Fundamentus!A:U,12,FALSE)&lt;8,"Atrativa",IF(VLOOKUP(BR46,Fundamentus!A:U,12,FALSE)&gt;8,"Supervalorizada","n/a")))))</f>
        <v>Subvalorizada</v>
      </c>
      <c r="ET46" s="17" t="str">
        <f>IF(VLOOKUP(BR46,Fundamentus!A:U,17,FALSE)&lt;0.1,"Fraco retorno",IF(VLOOKUP(BR46,Fundamentus!A:U,17,FALSE)&gt;0.1,"Bom retorno","n/a"))</f>
        <v>Fraco retorno</v>
      </c>
      <c r="EU46" s="17" t="str">
        <f>IF(VLOOKUP(BR46,Fundamentus!A:U,16,FALSE)&lt;0.1,"Ineficiente",IF(VLOOKUP(BR46,Fundamentus!A:U,16,FALSE)&gt;0.1,"Eficiente","n/a"))</f>
        <v>Ineficiente</v>
      </c>
      <c r="EV46" s="33" t="str">
        <f>IF(VLOOKUP(BR46,Fundamentus!A:U,16,FALSE)&lt;0.1,"Oper. Ineficiente",IF(VLOOKUP(BR46,Fundamentus!A:U,16,FALSE)&gt;0.1,"Oper.Eficiente","n/a"))</f>
        <v>Oper. Ineficiente</v>
      </c>
      <c r="EW46" s="34">
        <f>VLOOKUP(BR46,Fundamentus!A:U,14,FALSE)</f>
        <v>4.8599999999999997E-2</v>
      </c>
      <c r="EX46" s="17" t="str">
        <f>IF(VLOOKUP(BR46,Fundamentus!A:U,21,FALSE)&lt;0,"Negativo",IF(VLOOKUP(BR46,Fundamentus!A:U,21,FALSE)&lt;0.05,"Fraco",IF(VLOOKUP(BR46,Fundamentus!A:U,21,FALSE)&lt;0.1,"Bom",IF(VLOOKUP(BR46,Fundamentus!A:U,21,FALSE)&gt;0.1,"Muito bom","n/a"))))</f>
        <v>Fraco</v>
      </c>
      <c r="EZ46" s="29" t="str">
        <f>IF(VLOOKUP(BR46,Fundamentus!A:U,15,FALSE)&gt;1,"Bom",IF(VLOOKUP(BR46,Fundamentus!A:U,15,FALSE)&lt;1,"Ruim","n/a"))</f>
        <v>Bom</v>
      </c>
      <c r="FA46" s="17" t="str">
        <f>IF(VLOOKUP(BR46,Fundamentus!A:U,20,FALSE)&lt;0.5,"Baixa",IF(VLOOKUP(BR46,Fundamentus!A:U,20,FALSE)&lt;1,"Moderada",IF(VLOOKUP(BR46,Fundamentus!A:U,20,FALSE)&lt;2,"Alerta",IF(VLOOKUP(BR46,Fundamentus!A:U,20,FALSE)&gt;2,"Alta","n/a"))))</f>
        <v>Moderada</v>
      </c>
    </row>
    <row r="47" spans="1:157" s="5" customFormat="1" ht="11.25"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5">
        <v>35.32</v>
      </c>
      <c r="BC47" s="52">
        <v>37.68</v>
      </c>
      <c r="BD47" s="52">
        <v>37.72</v>
      </c>
      <c r="BE47" s="52">
        <v>37.43</v>
      </c>
      <c r="BF47" s="52">
        <v>36.58</v>
      </c>
      <c r="BG47" s="67">
        <v>36.17</v>
      </c>
      <c r="BH47" s="52">
        <v>36.64</v>
      </c>
      <c r="BI47" s="52">
        <v>36.270000000000003</v>
      </c>
      <c r="BJ47" s="52">
        <v>37.729999999999997</v>
      </c>
      <c r="BK47" s="52">
        <v>34.96</v>
      </c>
      <c r="BL47" s="52">
        <v>35.07</v>
      </c>
      <c r="BM47" s="52">
        <v>35.21</v>
      </c>
      <c r="BN47" s="52">
        <v>34.93</v>
      </c>
      <c r="BO47" s="52">
        <v>36.950000000000003</v>
      </c>
      <c r="BP47" s="52">
        <v>37.49</v>
      </c>
      <c r="BQ47" s="52" cm="1">
        <f t="array" aca="1" ref="BQ47" ca="1">_FV(EE47,"Preço")</f>
        <v>37.49</v>
      </c>
      <c r="BR47" s="69" t="s">
        <v>44</v>
      </c>
      <c r="BS47" s="36" cm="1">
        <f t="array" aca="1" ref="BS47" ca="1">_FV(EE47,"Média de volume",TRUE)</f>
        <v>26180200</v>
      </c>
      <c r="BT47" s="36">
        <v>16990400</v>
      </c>
      <c r="BU47" s="36" cm="1">
        <f t="array" aca="1" ref="BU47" ca="1">_FV(EE47,"Volume")</f>
        <v>16990400</v>
      </c>
      <c r="BV47" s="24" cm="1">
        <f t="array" aca="1" ref="BV47" ca="1">_FV(EE47,"Beta")</f>
        <v>1.2498</v>
      </c>
      <c r="BW47" s="71" cm="1">
        <f t="array" aca="1" ref="BW47" ca="1">_FV(EE47,"Variação (%)",TRUE)</f>
        <v>-3.4560000000000003E-3</v>
      </c>
      <c r="BY47" s="17" cm="1">
        <f t="array" aca="1" ref="BY47" ca="1">_FV(EE47,"Baixo")</f>
        <v>37.35</v>
      </c>
      <c r="BZ47" s="17" cm="1">
        <f t="array" aca="1" ref="BZ47" ca="1">_FV(EE47,"Alto")</f>
        <v>37.83</v>
      </c>
      <c r="CA47" s="24"/>
      <c r="CB47" s="63">
        <f ca="1">SQRT(22.5*(BQ47/VLOOKUP(BR47,Fundamentus!A:U,3,FALSE))*(BQ47/VLOOKUP(BR47,Fundamentus!A:U,4,FALSE)))</f>
        <v>40.701620241381164</v>
      </c>
      <c r="CD47" s="62">
        <f t="shared" ca="1" si="24"/>
        <v>0</v>
      </c>
      <c r="CE47" s="8"/>
      <c r="CF47" s="61">
        <f t="shared" si="25"/>
        <v>29.82</v>
      </c>
      <c r="CG47" s="61">
        <f t="shared" si="26"/>
        <v>37.729999999999997</v>
      </c>
      <c r="CH47" s="61">
        <f t="shared" si="27"/>
        <v>34.098676470588231</v>
      </c>
      <c r="CI47" s="14"/>
      <c r="CJ47" s="35">
        <f t="shared" si="1"/>
        <v>36.821398037177573</v>
      </c>
      <c r="CK47" s="15">
        <f t="shared" si="28"/>
        <v>38.359999999999673</v>
      </c>
      <c r="CL47" s="35">
        <f t="shared" si="2"/>
        <v>39.898601962821772</v>
      </c>
      <c r="CN47" s="14"/>
      <c r="CO47" s="17">
        <f t="shared" si="3"/>
        <v>24.386666666666663</v>
      </c>
      <c r="CP47" s="17">
        <f t="shared" si="4"/>
        <v>27.103333333333332</v>
      </c>
      <c r="CQ47" s="17">
        <f t="shared" si="5"/>
        <v>32.29666666666666</v>
      </c>
      <c r="CR47" s="38">
        <f t="shared" si="29"/>
        <v>35.013333333333328</v>
      </c>
      <c r="CS47" s="17">
        <f t="shared" si="6"/>
        <v>40.206666666666656</v>
      </c>
      <c r="CT47" s="17">
        <f t="shared" si="7"/>
        <v>42.923333333333325</v>
      </c>
      <c r="CU47" s="17">
        <f t="shared" si="8"/>
        <v>48.116666666666653</v>
      </c>
      <c r="CV47" s="2" cm="1">
        <f t="array" aca="1" ref="CV47" ca="1">MAX(_xlfn._xlws.FILTER(CO47:CU47,CO47:CU47&lt;BQ47))</f>
        <v>35.013333333333328</v>
      </c>
      <c r="CW47" s="2" cm="1">
        <f t="array" aca="1" ref="CW47" ca="1">MIN(_xlfn._xlws.FILTER($CO47:$CU47,$CO47:$CU47&gt;BQ47))</f>
        <v>40.206666666666656</v>
      </c>
      <c r="CX47" s="16">
        <f t="shared" ca="1" si="63"/>
        <v>0.14832444782939813</v>
      </c>
      <c r="CY47" s="20">
        <f t="shared" ca="1" si="64"/>
        <v>-7.4162223914699066E-2</v>
      </c>
      <c r="CZ47" s="20">
        <f t="shared" ca="1" si="65"/>
        <v>-4.944148260979938E-2</v>
      </c>
      <c r="DA47" s="20">
        <f t="shared" ca="1" si="66"/>
        <v>-2.9664889565879628E-2</v>
      </c>
      <c r="DB47" s="20">
        <f t="shared" ca="1" si="67"/>
        <v>-1.6480494203266458E-2</v>
      </c>
      <c r="DC47" s="20">
        <f t="shared" ca="1" si="68"/>
        <v>-8.7249675193763615E-3</v>
      </c>
      <c r="DD47" s="20">
        <f t="shared" ca="1" si="69"/>
        <v>-4.4946802372544887E-3</v>
      </c>
      <c r="DE47" s="20">
        <f t="shared" ca="1" si="70"/>
        <v>-2.2819145819907407E-3</v>
      </c>
      <c r="DF47" s="21">
        <f t="shared" ca="1" si="71"/>
        <v>2.2819145819907407E-3</v>
      </c>
      <c r="DG47" s="21">
        <f t="shared" ca="1" si="72"/>
        <v>4.4946802372544887E-3</v>
      </c>
      <c r="DH47" s="21">
        <f t="shared" ca="1" si="73"/>
        <v>8.7249675193763615E-3</v>
      </c>
      <c r="DI47" s="21">
        <f t="shared" ca="1" si="74"/>
        <v>1.6480494203266458E-2</v>
      </c>
      <c r="DJ47" s="21">
        <f t="shared" ca="1" si="75"/>
        <v>2.9664889565879628E-2</v>
      </c>
      <c r="DK47" s="21">
        <f t="shared" ca="1" si="76"/>
        <v>4.944148260979938E-2</v>
      </c>
      <c r="DL47" s="21">
        <f t="shared" ca="1" si="77"/>
        <v>7.4162223914699066E-2</v>
      </c>
      <c r="DN47" s="16" cm="1">
        <f t="array" aca="1" ref="DN47" ca="1">MAX(_xlfn._xlws.FILTER(CY47:DL47,CY47:DL47&lt;BW47))</f>
        <v>-4.4946802372544887E-3</v>
      </c>
      <c r="DO47" s="16" cm="1">
        <f t="array" aca="1" ref="DO47" ca="1">MIN(_xlfn._xlws.FILTER(CY47:DL47,CY47:DL47&gt;BW47))</f>
        <v>-2.2819145819907407E-3</v>
      </c>
      <c r="DP47" s="2" cm="1">
        <f t="array" aca="1" ref="DP47" ca="1">_FV(EE47,"Fechamento anterior",TRUE)</f>
        <v>37.619999999999997</v>
      </c>
      <c r="DQ47" s="28">
        <f t="shared" ca="1" si="15"/>
        <v>0.46958046190574609</v>
      </c>
      <c r="DR47" s="15">
        <f t="shared" ca="1" si="78"/>
        <v>37.450910129474487</v>
      </c>
      <c r="DS47" s="15">
        <f t="shared" ca="1" si="79"/>
        <v>37.534154373425508</v>
      </c>
      <c r="DT47" s="9"/>
      <c r="DU47" s="9"/>
      <c r="DV47" s="9"/>
      <c r="DW47" s="89">
        <v>4.1047684841661793E-3</v>
      </c>
      <c r="DX47" s="89">
        <f t="shared" ca="1" si="18"/>
        <v>2.212765655263748E-3</v>
      </c>
      <c r="DY47" s="72">
        <f t="shared" ca="1" si="19"/>
        <v>-0.56544838822636045</v>
      </c>
      <c r="DZ47" s="37"/>
      <c r="EA47" s="35">
        <f t="shared" si="39"/>
        <v>0.76930098141104786</v>
      </c>
      <c r="EB47" s="56"/>
      <c r="EC47" s="56"/>
      <c r="EE47" s="5" t="e" vm="47">
        <v>#VALUE!</v>
      </c>
      <c r="EG47" s="10" cm="1">
        <f t="array" aca="1" ref="EG47" ca="1">_FV(EE47,"Ações em circulação",TRUE)</f>
        <v>10784550000</v>
      </c>
      <c r="EH47" s="18">
        <f>VLOOKUP(BR47,Fundamentus!A:U,5,FALSE)</f>
        <v>0</v>
      </c>
      <c r="EI47" s="2" t="e">
        <f t="shared" ca="1" si="20"/>
        <v>#DIV/0!</v>
      </c>
      <c r="EJ47" s="17" t="e">
        <v>#DIV/0!</v>
      </c>
      <c r="EK47" s="17" t="e">
        <f t="shared" ca="1" si="21"/>
        <v>#DIV/0!</v>
      </c>
      <c r="EL47" s="2"/>
      <c r="EM47" s="16" t="e">
        <f t="shared" ca="1" si="22"/>
        <v>#DIV/0!</v>
      </c>
      <c r="EN47" s="32" t="str">
        <f>IF(VLOOKUP(BR47,Fundamentus!A:U,3,FALSE)&lt;15,"Bom",IF(VLOOKUP(BR47,Fundamentus!A:U,3,FALSE)&gt;15,"Ruim","n/a"))</f>
        <v>Bom</v>
      </c>
      <c r="EO47" s="28" t="str">
        <f>IF(VLOOKUP(BR47,Fundamentus!A:U,4,FALSE)&lt;1,"Baixo",IF(VLOOKUP(BR47,Fundamentus!A:U,4,FALSE)&lt;1.5,"Moderado",IF(VLOOKUP(BR47,Fundamentus!A:U,4,FALSE)&gt;1.5,"Alto","n/a")))</f>
        <v>Alto</v>
      </c>
      <c r="EP47" s="17" t="str">
        <f>IF(VLOOKUP(BR47,Fundamentus!A:U,8,FALSE)&lt;0,"Risco elevado",IF(VLOOKUP(BR47,Fundamentus!A:U,8,FALSE)&lt;1,"Saudável",IF(VLOOKUP(BR47,Fundamentus!A:U,8,FALSE)&lt;3,"Estável",IF(VLOOKUP(BR47,Fundamentus!A:U,8,FALSE)&gt;3,"Alerta","n/a"))))</f>
        <v>Saudável</v>
      </c>
      <c r="EQ47" s="28" t="str">
        <f t="shared" si="23"/>
        <v>Ruim</v>
      </c>
      <c r="ER47" s="17" t="str">
        <f>IF(VLOOKUP(BR47,Fundamentus!A:U,12,FALSE)&lt;2,"Subvalorizada",IF(VLOOKUP(BR47,Fundamentus!A:U,12,FALSE)&lt;6,"Muita barata",IF(VLOOKUP(BR47,Fundamentus!A:U,12,FALSE)&lt;6,"Barata",IF(VLOOKUP(BR47,Fundamentus!A:U,12,FALSE)&lt;8,"Atrativa",IF(VLOOKUP(BR47,Fundamentus!A:U,12,FALSE)&gt;8,"Supervalorizada","n/a")))))</f>
        <v>Subvalorizada</v>
      </c>
      <c r="ES47" s="2"/>
      <c r="ET47" s="17" t="str">
        <f>IF(VLOOKUP(BR47,Fundamentus!A:U,17,FALSE)&lt;0.1,"Fraco retorno",IF(VLOOKUP(BR47,Fundamentus!A:U,17,FALSE)&gt;0.1,"Bom retorno","n/a"))</f>
        <v>Bom retorno</v>
      </c>
      <c r="EU47" s="17" t="str">
        <f>IF(VLOOKUP(BR47,Fundamentus!A:U,16,FALSE)&lt;0.1,"Ineficiente",IF(VLOOKUP(BR47,Fundamentus!A:U,16,FALSE)&gt;0.1,"Eficiente","n/a"))</f>
        <v>Ineficiente</v>
      </c>
      <c r="EV47" s="33" t="str">
        <f>IF(VLOOKUP(BR47,Fundamentus!A:U,16,FALSE)&lt;0.1,"Oper. Ineficiente",IF(VLOOKUP(BR47,Fundamentus!A:U,16,FALSE)&gt;0.1,"Oper.Eficiente","n/a"))</f>
        <v>Oper. Ineficiente</v>
      </c>
      <c r="EW47" s="34">
        <f>VLOOKUP(BR47,Fundamentus!A:U,14,FALSE)</f>
        <v>0</v>
      </c>
      <c r="EX47" s="17" t="str">
        <f>IF(VLOOKUP(BR47,Fundamentus!A:U,21,FALSE)&lt;0,"Negativo",IF(VLOOKUP(BR47,Fundamentus!A:U,21,FALSE)&lt;0.05,"Fraco",IF(VLOOKUP(BR47,Fundamentus!A:U,21,FALSE)&lt;0.1,"Bom",IF(VLOOKUP(BR47,Fundamentus!A:U,21,FALSE)&gt;0.1,"Muito bom","n/a"))))</f>
        <v>Muito bom</v>
      </c>
      <c r="EZ47" s="29" t="str">
        <f>IF(VLOOKUP(BR47,Fundamentus!A:U,15,FALSE)&gt;1,"Bom",IF(VLOOKUP(BR47,Fundamentus!A:U,15,FALSE)&lt;1,"Ruim","n/a"))</f>
        <v>Ruim</v>
      </c>
      <c r="FA47" s="17" t="str">
        <f>IF(VLOOKUP(BR47,Fundamentus!A:U,20,FALSE)&lt;0.5,"Baixa",IF(VLOOKUP(BR47,Fundamentus!A:U,20,FALSE)&lt;1,"Moderada",IF(VLOOKUP(BR47,Fundamentus!A:U,20,FALSE)&lt;2,"Alerta",IF(VLOOKUP(BR47,Fundamentus!A:U,20,FALSE)&gt;2,"Alta","n/a"))))</f>
        <v>Baixa</v>
      </c>
    </row>
    <row r="48" spans="1:157" s="2" customFormat="1" ht="11.25"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5">
        <v>20.27</v>
      </c>
      <c r="BC48" s="52">
        <v>21.41</v>
      </c>
      <c r="BD48" s="52">
        <v>21.3</v>
      </c>
      <c r="BE48" s="52">
        <v>21.02</v>
      </c>
      <c r="BF48" s="52">
        <v>21.25</v>
      </c>
      <c r="BG48" s="67">
        <v>20.82</v>
      </c>
      <c r="BH48" s="52">
        <v>20.76</v>
      </c>
      <c r="BI48" s="52">
        <v>20.05</v>
      </c>
      <c r="BJ48" s="52">
        <v>20.68</v>
      </c>
      <c r="BK48" s="52">
        <v>20.8</v>
      </c>
      <c r="BL48" s="52">
        <v>20.49</v>
      </c>
      <c r="BM48" s="52">
        <v>20.32</v>
      </c>
      <c r="BN48" s="52">
        <v>20.48</v>
      </c>
      <c r="BO48" s="52">
        <v>20.34</v>
      </c>
      <c r="BP48" s="52">
        <v>20.21</v>
      </c>
      <c r="BQ48" s="52" cm="1">
        <f t="array" aca="1" ref="BQ48" ca="1">_FV(EE48,"Preço")</f>
        <v>20.21</v>
      </c>
      <c r="BR48" s="69" t="s">
        <v>45</v>
      </c>
      <c r="BS48" s="36" cm="1">
        <f t="array" aca="1" ref="BS48" ca="1">_FV(EE48,"Média de volume",TRUE)</f>
        <v>119310</v>
      </c>
      <c r="BT48" s="36">
        <v>85600</v>
      </c>
      <c r="BU48" s="36" cm="1">
        <f t="array" aca="1" ref="BU48" ca="1">_FV(EE48,"Volume")</f>
        <v>85600</v>
      </c>
      <c r="BV48" s="24" cm="1">
        <f t="array" aca="1" ref="BV48" ca="1">_FV(EE48,"Beta")</f>
        <v>0.6744</v>
      </c>
      <c r="BW48" s="71" cm="1">
        <f t="array" aca="1" ref="BW48" ca="1">_FV(EE48,"Variação (%)",TRUE)</f>
        <v>4.95E-4</v>
      </c>
      <c r="BY48" s="17" cm="1">
        <f t="array" aca="1" ref="BY48" ca="1">_FV(EE48,"Baixo")</f>
        <v>20.100000000000001</v>
      </c>
      <c r="BZ48" s="17" cm="1">
        <f t="array" aca="1" ref="BZ48" ca="1">_FV(EE48,"Alto")</f>
        <v>20.329999999999998</v>
      </c>
      <c r="CA48" s="24"/>
      <c r="CB48" s="63">
        <f ca="1">SQRT(22.5*(BQ48/VLOOKUP(BR48,Fundamentus!A:U,3,FALSE))*(BQ48/VLOOKUP(BR48,Fundamentus!A:U,4,FALSE)))</f>
        <v>37.381511556631217</v>
      </c>
      <c r="CD48" s="62">
        <f t="shared" ca="1" si="24"/>
        <v>0</v>
      </c>
      <c r="CE48" s="8"/>
      <c r="CF48" s="61">
        <f t="shared" si="25"/>
        <v>20.05</v>
      </c>
      <c r="CG48" s="61">
        <f t="shared" si="26"/>
        <v>27.87</v>
      </c>
      <c r="CH48" s="61">
        <f t="shared" si="27"/>
        <v>23.263970588235292</v>
      </c>
      <c r="CI48" s="14"/>
      <c r="CJ48" s="35">
        <f t="shared" si="1"/>
        <v>19.876465431142627</v>
      </c>
      <c r="CK48" s="15">
        <f t="shared" si="28"/>
        <v>20.21999999999997</v>
      </c>
      <c r="CL48" s="35">
        <f t="shared" si="2"/>
        <v>20.563534568857314</v>
      </c>
      <c r="CN48" s="14"/>
      <c r="CO48" s="17">
        <f t="shared" si="3"/>
        <v>9.7299999999999933</v>
      </c>
      <c r="CP48" s="17">
        <f t="shared" si="4"/>
        <v>14.889999999999997</v>
      </c>
      <c r="CQ48" s="17">
        <f t="shared" si="5"/>
        <v>17.549999999999994</v>
      </c>
      <c r="CR48" s="38">
        <f t="shared" si="29"/>
        <v>22.709999999999997</v>
      </c>
      <c r="CS48" s="17">
        <f t="shared" si="6"/>
        <v>25.369999999999994</v>
      </c>
      <c r="CT48" s="17">
        <f t="shared" si="7"/>
        <v>30.529999999999998</v>
      </c>
      <c r="CU48" s="17">
        <f t="shared" si="8"/>
        <v>33.19</v>
      </c>
      <c r="CV48" s="2" cm="1">
        <f t="array" aca="1" ref="CV48" ca="1">MAX(_xlfn._xlws.FILTER(CO48:CU48,CO48:CU48&lt;BQ48))</f>
        <v>17.549999999999994</v>
      </c>
      <c r="CW48" s="2" cm="1">
        <f t="array" aca="1" ref="CW48" ca="1">MIN(_xlfn._xlws.FILTER($CO48:$CU48,$CO48:$CU48&gt;BQ48))</f>
        <v>22.709999999999997</v>
      </c>
      <c r="CX48" s="16">
        <f t="shared" ca="1" si="63"/>
        <v>0.2940170940170943</v>
      </c>
      <c r="CY48" s="20">
        <f t="shared" ca="1" si="64"/>
        <v>-0.14700854700854715</v>
      </c>
      <c r="CZ48" s="20">
        <f t="shared" ca="1" si="65"/>
        <v>-9.8005698005698097E-2</v>
      </c>
      <c r="DA48" s="20">
        <f t="shared" ca="1" si="66"/>
        <v>-5.8803418803418862E-2</v>
      </c>
      <c r="DB48" s="20">
        <f t="shared" ca="1" si="67"/>
        <v>-3.2668566001899366E-2</v>
      </c>
      <c r="DC48" s="20">
        <f t="shared" ca="1" si="68"/>
        <v>-1.7295123177476137E-2</v>
      </c>
      <c r="DD48" s="20">
        <f t="shared" ca="1" si="69"/>
        <v>-8.9096089096089189E-3</v>
      </c>
      <c r="DE48" s="20">
        <f t="shared" ca="1" si="70"/>
        <v>-4.5233399079552972E-3</v>
      </c>
      <c r="DF48" s="21">
        <f t="shared" ca="1" si="71"/>
        <v>4.5233399079552972E-3</v>
      </c>
      <c r="DG48" s="21">
        <f t="shared" ca="1" si="72"/>
        <v>8.9096089096089189E-3</v>
      </c>
      <c r="DH48" s="21">
        <f t="shared" ca="1" si="73"/>
        <v>1.7295123177476137E-2</v>
      </c>
      <c r="DI48" s="21">
        <f t="shared" ca="1" si="74"/>
        <v>3.2668566001899366E-2</v>
      </c>
      <c r="DJ48" s="21">
        <f t="shared" ca="1" si="75"/>
        <v>5.8803418803418862E-2</v>
      </c>
      <c r="DK48" s="21">
        <f t="shared" ca="1" si="76"/>
        <v>9.8005698005698097E-2</v>
      </c>
      <c r="DL48" s="21">
        <f t="shared" ca="1" si="77"/>
        <v>0.14700854700854715</v>
      </c>
      <c r="DN48" s="16" cm="1">
        <f t="array" aca="1" ref="DN48" ca="1">MAX(_xlfn._xlws.FILTER(CY48:DL48,CY48:DL48&lt;BW48))</f>
        <v>-4.5233399079552972E-3</v>
      </c>
      <c r="DO48" s="16" cm="1">
        <f t="array" aca="1" ref="DO48" ca="1">MIN(_xlfn._xlws.FILTER(CY48:DL48,CY48:DL48&gt;BW48))</f>
        <v>4.5233399079552972E-3</v>
      </c>
      <c r="DP48" s="2" cm="1">
        <f t="array" aca="1" ref="DP48" ca="1">_FV(EE48,"Fechamento anterior",TRUE)</f>
        <v>20.2</v>
      </c>
      <c r="DQ48" s="28">
        <f t="shared" ca="1" si="15"/>
        <v>0.55472167856321408</v>
      </c>
      <c r="DR48" s="15">
        <f t="shared" ca="1" si="78"/>
        <v>20.108628533859303</v>
      </c>
      <c r="DS48" s="15">
        <f t="shared" ca="1" si="79"/>
        <v>20.291371466140696</v>
      </c>
      <c r="DT48" s="9"/>
      <c r="DU48" s="9"/>
      <c r="DV48" s="9"/>
      <c r="DW48" s="89">
        <v>8.274232873163357E-3</v>
      </c>
      <c r="DX48" s="89">
        <f t="shared" ca="1" si="18"/>
        <v>9.0466798159105945E-3</v>
      </c>
      <c r="DY48" s="72">
        <f t="shared" ca="1" si="19"/>
        <v>-2.9109152051950263E-2</v>
      </c>
      <c r="DZ48" s="37"/>
      <c r="EA48" s="35">
        <f t="shared" si="39"/>
        <v>0.17176728442867134</v>
      </c>
      <c r="EB48" s="56"/>
      <c r="EC48" s="56"/>
      <c r="EE48" s="2" t="e" vm="48">
        <v>#VALUE!</v>
      </c>
      <c r="EG48" s="10" cm="1">
        <f t="array" aca="1" ref="EG48" ca="1">_FV(EE48,"Ações em circulação",TRUE)</f>
        <v>102683400</v>
      </c>
      <c r="EH48" s="18">
        <f>VLOOKUP(BR48,Fundamentus!A:U,5,FALSE)</f>
        <v>1.548</v>
      </c>
      <c r="EI48" s="2">
        <f t="shared" ca="1" si="20"/>
        <v>1340588833.3333333</v>
      </c>
      <c r="EJ48" s="17">
        <v>306324548.41666669</v>
      </c>
      <c r="EK48" s="17">
        <f t="shared" ca="1" si="21"/>
        <v>306324548.41666669</v>
      </c>
      <c r="EM48" s="16">
        <f t="shared" ca="1" si="22"/>
        <v>0</v>
      </c>
      <c r="EN48" s="32" t="str">
        <f>IF(VLOOKUP(BR48,Fundamentus!A:U,3,FALSE)&lt;15,"Bom",IF(VLOOKUP(BR48,Fundamentus!A:U,3,FALSE)&gt;15,"Ruim","n/a"))</f>
        <v>Bom</v>
      </c>
      <c r="EO48" s="28" t="str">
        <f>IF(VLOOKUP(BR48,Fundamentus!A:U,4,FALSE)&lt;1,"Baixo",IF(VLOOKUP(BR48,Fundamentus!A:U,4,FALSE)&lt;1.5,"Moderado",IF(VLOOKUP(BR48,Fundamentus!A:U,4,FALSE)&gt;1.5,"Alto","n/a")))</f>
        <v>Baixo</v>
      </c>
      <c r="EP48" s="17" t="str">
        <f>IF(VLOOKUP(BR48,Fundamentus!A:U,8,FALSE)&lt;0,"Risco elevado",IF(VLOOKUP(BR48,Fundamentus!A:U,8,FALSE)&lt;1,"Saudável",IF(VLOOKUP(BR48,Fundamentus!A:U,8,FALSE)&lt;3,"Estável",IF(VLOOKUP(BR48,Fundamentus!A:U,8,FALSE)&gt;3,"Alerta","n/a"))))</f>
        <v>Alerta</v>
      </c>
      <c r="EQ48" s="28" t="str">
        <f t="shared" si="23"/>
        <v>Bom</v>
      </c>
      <c r="ER48" s="17" t="str">
        <f>IF(VLOOKUP(BR48,Fundamentus!A:U,12,FALSE)&lt;2,"Subvalorizada",IF(VLOOKUP(BR48,Fundamentus!A:U,12,FALSE)&lt;6,"Muita barata",IF(VLOOKUP(BR48,Fundamentus!A:U,12,FALSE)&lt;6,"Barata",IF(VLOOKUP(BR48,Fundamentus!A:U,12,FALSE)&lt;8,"Atrativa",IF(VLOOKUP(BR48,Fundamentus!A:U,12,FALSE)&gt;8,"Supervalorizada","n/a")))))</f>
        <v>Atrativa</v>
      </c>
      <c r="ET48" s="17" t="str">
        <f>IF(VLOOKUP(BR48,Fundamentus!A:U,17,FALSE)&lt;0.1,"Fraco retorno",IF(VLOOKUP(BR48,Fundamentus!A:U,17,FALSE)&gt;0.1,"Bom retorno","n/a"))</f>
        <v>Bom retorno</v>
      </c>
      <c r="EU48" s="17" t="str">
        <f>IF(VLOOKUP(BR48,Fundamentus!A:U,16,FALSE)&lt;0.1,"Ineficiente",IF(VLOOKUP(BR48,Fundamentus!A:U,16,FALSE)&gt;0.1,"Eficiente","n/a"))</f>
        <v>Eficiente</v>
      </c>
      <c r="EV48" s="33" t="str">
        <f>IF(VLOOKUP(BR48,Fundamentus!A:U,16,FALSE)&lt;0.1,"Oper. Ineficiente",IF(VLOOKUP(BR48,Fundamentus!A:U,16,FALSE)&gt;0.1,"Oper.Eficiente","n/a"))</f>
        <v>Oper.Eficiente</v>
      </c>
      <c r="EW48" s="34">
        <f>VLOOKUP(BR48,Fundamentus!A:U,14,FALSE)</f>
        <v>0.22850000000000001</v>
      </c>
      <c r="EX48" s="17" t="str">
        <f>IF(VLOOKUP(BR48,Fundamentus!A:U,21,FALSE)&lt;0,"Negativo",IF(VLOOKUP(BR48,Fundamentus!A:U,21,FALSE)&lt;0.05,"Fraco",IF(VLOOKUP(BR48,Fundamentus!A:U,21,FALSE)&lt;0.1,"Bom",IF(VLOOKUP(BR48,Fundamentus!A:U,21,FALSE)&gt;0.1,"Muito bom","n/a"))))</f>
        <v>Negativo</v>
      </c>
      <c r="EZ48" s="29" t="str">
        <f>IF(VLOOKUP(BR48,Fundamentus!A:U,15,FALSE)&gt;1,"Bom",IF(VLOOKUP(BR48,Fundamentus!A:U,15,FALSE)&lt;1,"Ruim","n/a"))</f>
        <v>Bom</v>
      </c>
      <c r="FA48" s="17" t="str">
        <f>IF(VLOOKUP(BR48,Fundamentus!A:U,20,FALSE)&lt;0.5,"Baixa",IF(VLOOKUP(BR48,Fundamentus!A:U,20,FALSE)&lt;1,"Moderada",IF(VLOOKUP(BR48,Fundamentus!A:U,20,FALSE)&lt;2,"Alerta",IF(VLOOKUP(BR48,Fundamentus!A:U,20,FALSE)&gt;2,"Alta","n/a"))))</f>
        <v>Moderada</v>
      </c>
    </row>
    <row r="49" spans="1:157" s="2" customFormat="1" ht="11.25"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5">
        <v>3.78</v>
      </c>
      <c r="BC49" s="52">
        <v>3.87</v>
      </c>
      <c r="BD49" s="52">
        <v>3.75</v>
      </c>
      <c r="BE49" s="52">
        <v>3.71</v>
      </c>
      <c r="BF49" s="52">
        <v>3.71</v>
      </c>
      <c r="BG49" s="67">
        <v>3.67</v>
      </c>
      <c r="BH49" s="52">
        <v>3.66</v>
      </c>
      <c r="BI49" s="52">
        <v>3.68</v>
      </c>
      <c r="BJ49" s="52">
        <v>3.72</v>
      </c>
      <c r="BK49" s="52">
        <v>3.64</v>
      </c>
      <c r="BL49" s="52">
        <v>3.68</v>
      </c>
      <c r="BM49" s="52">
        <v>3.5</v>
      </c>
      <c r="BN49" s="52">
        <v>3.43</v>
      </c>
      <c r="BO49" s="52">
        <v>3.54</v>
      </c>
      <c r="BP49" s="52">
        <v>3.59</v>
      </c>
      <c r="BQ49" s="52" cm="1">
        <f t="array" aca="1" ref="BQ49" ca="1">_FV(EE49,"Preço")</f>
        <v>3.59</v>
      </c>
      <c r="BR49" s="69" t="s">
        <v>46</v>
      </c>
      <c r="BS49" s="36" cm="1">
        <f t="array" aca="1" ref="BS49" ca="1">_FV(EE49,"Média de volume",TRUE)</f>
        <v>360660</v>
      </c>
      <c r="BT49" s="36">
        <v>335400</v>
      </c>
      <c r="BU49" s="36" cm="1">
        <f t="array" aca="1" ref="BU49" ca="1">_FV(EE49,"Volume")</f>
        <v>335400</v>
      </c>
      <c r="BV49" s="24" cm="1">
        <f t="array" aca="1" ref="BV49" ca="1">_FV(EE49,"Beta")</f>
        <v>1.2672000000000001</v>
      </c>
      <c r="BW49" s="71" cm="1">
        <f t="array" aca="1" ref="BW49" ca="1">_FV(EE49,"Variação (%)",TRUE)</f>
        <v>0</v>
      </c>
      <c r="BY49" s="17" cm="1">
        <f t="array" aca="1" ref="BY49" ca="1">_FV(EE49,"Baixo")</f>
        <v>3.57</v>
      </c>
      <c r="BZ49" s="17" cm="1">
        <f t="array" aca="1" ref="BZ49" ca="1">_FV(EE49,"Alto")</f>
        <v>3.62</v>
      </c>
      <c r="CA49" s="24"/>
      <c r="CB49" s="63">
        <f ca="1">SQRT(22.5*(BQ49/VLOOKUP(BR49,Fundamentus!A:U,3,FALSE))*(BQ49/VLOOKUP(BR49,Fundamentus!A:U,4,FALSE)))</f>
        <v>10.056377488231679</v>
      </c>
      <c r="CD49" s="62">
        <f t="shared" ca="1" si="24"/>
        <v>0</v>
      </c>
      <c r="CE49" s="8"/>
      <c r="CF49" s="61">
        <f t="shared" si="25"/>
        <v>3.1</v>
      </c>
      <c r="CG49" s="61">
        <f t="shared" si="26"/>
        <v>4.24</v>
      </c>
      <c r="CH49" s="61">
        <f t="shared" si="27"/>
        <v>3.7163235294117638</v>
      </c>
      <c r="CI49" s="14"/>
      <c r="CJ49" s="35">
        <f t="shared" si="1"/>
        <v>3.4273966046317721</v>
      </c>
      <c r="CK49" s="15">
        <f t="shared" si="28"/>
        <v>3.6099999999999852</v>
      </c>
      <c r="CL49" s="35">
        <f t="shared" si="2"/>
        <v>3.7926033953681983</v>
      </c>
      <c r="CN49" s="14"/>
      <c r="CO49" s="17">
        <f t="shared" si="3"/>
        <v>1.9066666666666658</v>
      </c>
      <c r="CP49" s="17">
        <f t="shared" si="4"/>
        <v>2.503333333333333</v>
      </c>
      <c r="CQ49" s="17">
        <f t="shared" si="5"/>
        <v>3.046666666666666</v>
      </c>
      <c r="CR49" s="38">
        <f t="shared" si="29"/>
        <v>3.6433333333333331</v>
      </c>
      <c r="CS49" s="17">
        <f t="shared" si="6"/>
        <v>4.1866666666666656</v>
      </c>
      <c r="CT49" s="17">
        <f t="shared" si="7"/>
        <v>4.7833333333333332</v>
      </c>
      <c r="CU49" s="17">
        <f t="shared" si="8"/>
        <v>5.3266666666666662</v>
      </c>
      <c r="CV49" s="2" cm="1">
        <f t="array" aca="1" ref="CV49" ca="1">MAX(_xlfn._xlws.FILTER(CO49:CU49,CO49:CU49&lt;BQ49))</f>
        <v>3.046666666666666</v>
      </c>
      <c r="CW49" s="2" cm="1">
        <f t="array" aca="1" ref="CW49" ca="1">MIN(_xlfn._xlws.FILTER($CO49:$CU49,$CO49:$CU49&gt;BQ49))</f>
        <v>3.6433333333333331</v>
      </c>
      <c r="CX49" s="16">
        <f t="shared" ca="1" si="63"/>
        <v>0.19584245076586448</v>
      </c>
      <c r="CY49" s="20">
        <f t="shared" ca="1" si="64"/>
        <v>-9.7921225382932242E-2</v>
      </c>
      <c r="CZ49" s="20">
        <f t="shared" ca="1" si="65"/>
        <v>-6.5280816921954823E-2</v>
      </c>
      <c r="DA49" s="20">
        <f t="shared" ca="1" si="66"/>
        <v>-3.9168490153172898E-2</v>
      </c>
      <c r="DB49" s="20">
        <f t="shared" ca="1" si="67"/>
        <v>-2.1760272307318276E-2</v>
      </c>
      <c r="DC49" s="20">
        <f t="shared" ca="1" si="68"/>
        <v>-1.152014416269791E-2</v>
      </c>
      <c r="DD49" s="20">
        <f t="shared" ca="1" si="69"/>
        <v>-5.9346197201777112E-3</v>
      </c>
      <c r="DE49" s="20">
        <f t="shared" ca="1" si="70"/>
        <v>-3.0129607810132999E-3</v>
      </c>
      <c r="DF49" s="21">
        <f t="shared" ca="1" si="71"/>
        <v>3.0129607810132999E-3</v>
      </c>
      <c r="DG49" s="21">
        <f t="shared" ca="1" si="72"/>
        <v>5.9346197201777112E-3</v>
      </c>
      <c r="DH49" s="21">
        <f t="shared" ca="1" si="73"/>
        <v>1.152014416269791E-2</v>
      </c>
      <c r="DI49" s="21">
        <f t="shared" ca="1" si="74"/>
        <v>2.1760272307318276E-2</v>
      </c>
      <c r="DJ49" s="21">
        <f t="shared" ca="1" si="75"/>
        <v>3.9168490153172898E-2</v>
      </c>
      <c r="DK49" s="21">
        <f t="shared" ca="1" si="76"/>
        <v>6.5280816921954823E-2</v>
      </c>
      <c r="DL49" s="21">
        <f t="shared" ca="1" si="77"/>
        <v>9.7921225382932242E-2</v>
      </c>
      <c r="DN49" s="16" cm="1">
        <f t="array" aca="1" ref="DN49" ca="1">MAX(_xlfn._xlws.FILTER(CY49:DL49,CY49:DL49&lt;BW49))</f>
        <v>-3.0129607810132999E-3</v>
      </c>
      <c r="DO49" s="16" cm="1">
        <f t="array" aca="1" ref="DO49" ca="1">MIN(_xlfn._xlws.FILTER(CY49:DL49,CY49:DL49&gt;BW49))</f>
        <v>3.0129607810132999E-3</v>
      </c>
      <c r="DP49" s="2" cm="1">
        <f t="array" aca="1" ref="DP49" ca="1">_FV(EE49,"Fechamento anterior",TRUE)</f>
        <v>3.59</v>
      </c>
      <c r="DQ49" s="28">
        <f t="shared" ca="1" si="15"/>
        <v>0.5</v>
      </c>
      <c r="DR49" s="15">
        <f t="shared" ca="1" si="78"/>
        <v>3.5791834707961621</v>
      </c>
      <c r="DS49" s="15">
        <f t="shared" ca="1" si="79"/>
        <v>3.6008165292038377</v>
      </c>
      <c r="DT49" s="9"/>
      <c r="DU49" s="9"/>
      <c r="DV49" s="9"/>
      <c r="DW49" s="89">
        <v>3.0364915320667549E-3</v>
      </c>
      <c r="DX49" s="89">
        <f t="shared" ca="1" si="18"/>
        <v>6.0259215620265998E-3</v>
      </c>
      <c r="DY49" s="72">
        <f t="shared" ca="1" si="19"/>
        <v>-0.10952698858450079</v>
      </c>
      <c r="DZ49" s="37"/>
      <c r="EA49" s="35">
        <f t="shared" si="39"/>
        <v>9.1301697684106647E-2</v>
      </c>
      <c r="EB49" s="56"/>
      <c r="EC49" s="56"/>
      <c r="EE49" s="2" t="e" vm="49">
        <v>#VALUE!</v>
      </c>
      <c r="EG49" s="10" cm="1">
        <f t="array" aca="1" ref="EG49" ca="1">_FV(EE49,"Ações em circulação",TRUE)</f>
        <v>216251500</v>
      </c>
      <c r="EH49" s="18">
        <f>VLOOKUP(BR49,Fundamentus!A:U,5,FALSE)</f>
        <v>0</v>
      </c>
      <c r="EI49" s="2" t="e">
        <f t="shared" ca="1" si="20"/>
        <v>#DIV/0!</v>
      </c>
      <c r="EJ49" s="17" t="e">
        <v>#DIV/0!</v>
      </c>
      <c r="EK49" s="17" t="e">
        <f t="shared" ca="1" si="21"/>
        <v>#DIV/0!</v>
      </c>
      <c r="EM49" s="16" t="e">
        <f t="shared" ca="1" si="22"/>
        <v>#DIV/0!</v>
      </c>
      <c r="EN49" s="32" t="str">
        <f>IF(VLOOKUP(BR49,Fundamentus!A:U,3,FALSE)&lt;15,"Bom",IF(VLOOKUP(BR49,Fundamentus!A:U,3,FALSE)&gt;15,"Ruim","n/a"))</f>
        <v>Bom</v>
      </c>
      <c r="EO49" s="28" t="str">
        <f>IF(VLOOKUP(BR49,Fundamentus!A:U,4,FALSE)&lt;1,"Baixo",IF(VLOOKUP(BR49,Fundamentus!A:U,4,FALSE)&lt;1.5,"Moderado",IF(VLOOKUP(BR49,Fundamentus!A:U,4,FALSE)&gt;1.5,"Alto","n/a")))</f>
        <v>Baixo</v>
      </c>
      <c r="EP49" s="17" t="str">
        <f>IF(VLOOKUP(BR49,Fundamentus!A:U,8,FALSE)&lt;0,"Risco elevado",IF(VLOOKUP(BR49,Fundamentus!A:U,8,FALSE)&lt;1,"Saudável",IF(VLOOKUP(BR49,Fundamentus!A:U,8,FALSE)&lt;3,"Estável",IF(VLOOKUP(BR49,Fundamentus!A:U,8,FALSE)&gt;3,"Alerta","n/a"))))</f>
        <v>Saudável</v>
      </c>
      <c r="EQ49" s="28" t="str">
        <f t="shared" si="23"/>
        <v>Ruim</v>
      </c>
      <c r="ER49" s="17" t="str">
        <f>IF(VLOOKUP(BR49,Fundamentus!A:U,12,FALSE)&lt;2,"Subvalorizada",IF(VLOOKUP(BR49,Fundamentus!A:U,12,FALSE)&lt;6,"Muita barata",IF(VLOOKUP(BR49,Fundamentus!A:U,12,FALSE)&lt;6,"Barata",IF(VLOOKUP(BR49,Fundamentus!A:U,12,FALSE)&lt;8,"Atrativa",IF(VLOOKUP(BR49,Fundamentus!A:U,12,FALSE)&gt;8,"Supervalorizada","n/a")))))</f>
        <v>Subvalorizada</v>
      </c>
      <c r="ET49" s="17" t="str">
        <f>IF(VLOOKUP(BR49,Fundamentus!A:U,17,FALSE)&lt;0.1,"Fraco retorno",IF(VLOOKUP(BR49,Fundamentus!A:U,17,FALSE)&gt;0.1,"Bom retorno","n/a"))</f>
        <v>Bom retorno</v>
      </c>
      <c r="EU49" s="17" t="str">
        <f>IF(VLOOKUP(BR49,Fundamentus!A:U,16,FALSE)&lt;0.1,"Ineficiente",IF(VLOOKUP(BR49,Fundamentus!A:U,16,FALSE)&gt;0.1,"Eficiente","n/a"))</f>
        <v>Ineficiente</v>
      </c>
      <c r="EV49" s="33" t="str">
        <f>IF(VLOOKUP(BR49,Fundamentus!A:U,16,FALSE)&lt;0.1,"Oper. Ineficiente",IF(VLOOKUP(BR49,Fundamentus!A:U,16,FALSE)&gt;0.1,"Oper.Eficiente","n/a"))</f>
        <v>Oper. Ineficiente</v>
      </c>
      <c r="EW49" s="34">
        <f>VLOOKUP(BR49,Fundamentus!A:U,14,FALSE)</f>
        <v>0</v>
      </c>
      <c r="EX49" s="17" t="str">
        <f>IF(VLOOKUP(BR49,Fundamentus!A:U,21,FALSE)&lt;0,"Negativo",IF(VLOOKUP(BR49,Fundamentus!A:U,21,FALSE)&lt;0.05,"Fraco",IF(VLOOKUP(BR49,Fundamentus!A:U,21,FALSE)&lt;0.1,"Bom",IF(VLOOKUP(BR49,Fundamentus!A:U,21,FALSE)&gt;0.1,"Muito bom","n/a"))))</f>
        <v>Negativo</v>
      </c>
      <c r="EZ49" s="29" t="str">
        <f>IF(VLOOKUP(BR49,Fundamentus!A:U,15,FALSE)&gt;1,"Bom",IF(VLOOKUP(BR49,Fundamentus!A:U,15,FALSE)&lt;1,"Ruim","n/a"))</f>
        <v>Ruim</v>
      </c>
      <c r="FA49" s="17" t="str">
        <f>IF(VLOOKUP(BR49,Fundamentus!A:U,20,FALSE)&lt;0.5,"Baixa",IF(VLOOKUP(BR49,Fundamentus!A:U,20,FALSE)&lt;1,"Moderada",IF(VLOOKUP(BR49,Fundamentus!A:U,20,FALSE)&lt;2,"Alerta",IF(VLOOKUP(BR49,Fundamentus!A:U,20,FALSE)&gt;2,"Alta","n/a"))))</f>
        <v>Baixa</v>
      </c>
    </row>
    <row r="50" spans="1:157" s="2" customFormat="1" ht="11.25"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5">
        <v>11.92</v>
      </c>
      <c r="BC50" s="52">
        <v>11.94</v>
      </c>
      <c r="BD50" s="52">
        <v>11.73</v>
      </c>
      <c r="BE50" s="52">
        <v>11.99</v>
      </c>
      <c r="BF50" s="52">
        <v>11.45</v>
      </c>
      <c r="BG50" s="67">
        <v>10.98</v>
      </c>
      <c r="BH50" s="52">
        <v>10.46</v>
      </c>
      <c r="BI50" s="52">
        <v>10.27</v>
      </c>
      <c r="BJ50" s="52">
        <v>10.44</v>
      </c>
      <c r="BK50" s="52">
        <v>10.14</v>
      </c>
      <c r="BL50" s="52">
        <v>9.8800000000000008</v>
      </c>
      <c r="BM50" s="52">
        <v>10.49</v>
      </c>
      <c r="BN50" s="52">
        <v>10.99</v>
      </c>
      <c r="BO50" s="52">
        <v>10.38</v>
      </c>
      <c r="BP50" s="52">
        <v>10.1</v>
      </c>
      <c r="BQ50" s="52" cm="1">
        <f t="array" aca="1" ref="BQ50" ca="1">_FV(EE50,"Preço")</f>
        <v>10.1</v>
      </c>
      <c r="BR50" s="69" t="s">
        <v>47</v>
      </c>
      <c r="BS50" s="36" cm="1">
        <f t="array" aca="1" ref="BS50" ca="1">_FV(EE50,"Média de volume",TRUE)</f>
        <v>21220</v>
      </c>
      <c r="BT50" s="36">
        <v>11200</v>
      </c>
      <c r="BU50" s="36" cm="1">
        <f t="array" aca="1" ref="BU50" ca="1">_FV(EE50,"Volume")</f>
        <v>11200</v>
      </c>
      <c r="BV50" s="24" cm="1">
        <f t="array" aca="1" ref="BV50" ca="1">_FV(EE50,"Beta")</f>
        <v>-0.40749999999999997</v>
      </c>
      <c r="BW50" s="71" cm="1">
        <f t="array" aca="1" ref="BW50" ca="1">_FV(EE50,"Variação (%)",TRUE)</f>
        <v>4.9750000000000003E-3</v>
      </c>
      <c r="BY50" s="17" cm="1">
        <f t="array" aca="1" ref="BY50" ca="1">_FV(EE50,"Baixo")</f>
        <v>9.9499999999999993</v>
      </c>
      <c r="BZ50" s="17" cm="1">
        <f t="array" aca="1" ref="BZ50" ca="1">_FV(EE50,"Alto")</f>
        <v>10.199999999999999</v>
      </c>
      <c r="CA50" s="24"/>
      <c r="CB50" s="63">
        <f ca="1">SQRT(22.5*(BQ50/VLOOKUP(BR50,Fundamentus!A:U,3,FALSE))*(BQ50/VLOOKUP(BR50,Fundamentus!A:U,4,FALSE)))</f>
        <v>4.2196906641331093</v>
      </c>
      <c r="CD50" s="62">
        <f t="shared" ca="1" si="24"/>
        <v>0</v>
      </c>
      <c r="CE50" s="8"/>
      <c r="CF50" s="61">
        <f t="shared" si="25"/>
        <v>9.8800000000000008</v>
      </c>
      <c r="CG50" s="61">
        <f t="shared" si="26"/>
        <v>16</v>
      </c>
      <c r="CH50" s="61">
        <f t="shared" si="27"/>
        <v>13.232132352941182</v>
      </c>
      <c r="CI50" s="14"/>
      <c r="CJ50" s="35">
        <f t="shared" si="1"/>
        <v>9.3011075346530987</v>
      </c>
      <c r="CK50" s="15">
        <f t="shared" si="28"/>
        <v>10.045000000000073</v>
      </c>
      <c r="CL50" s="35">
        <f t="shared" si="2"/>
        <v>10.788892465347047</v>
      </c>
      <c r="CN50" s="14"/>
      <c r="CO50" s="17">
        <f t="shared" si="3"/>
        <v>1.8666666666666689</v>
      </c>
      <c r="CP50" s="17">
        <f t="shared" si="4"/>
        <v>5.8733333333333348</v>
      </c>
      <c r="CQ50" s="17">
        <f t="shared" si="5"/>
        <v>7.9866666666666681</v>
      </c>
      <c r="CR50" s="38">
        <f t="shared" si="29"/>
        <v>11.993333333333334</v>
      </c>
      <c r="CS50" s="17">
        <f t="shared" si="6"/>
        <v>14.106666666666667</v>
      </c>
      <c r="CT50" s="17">
        <f t="shared" si="7"/>
        <v>18.113333333333333</v>
      </c>
      <c r="CU50" s="17">
        <f t="shared" si="8"/>
        <v>20.226666666666667</v>
      </c>
      <c r="CV50" s="2" cm="1">
        <f t="array" aca="1" ref="CV50" ca="1">MAX(_xlfn._xlws.FILTER(CO50:CU50,CO50:CU50&lt;BQ50))</f>
        <v>7.9866666666666681</v>
      </c>
      <c r="CW50" s="2" cm="1">
        <f t="array" aca="1" ref="CW50" ca="1">MIN(_xlfn._xlws.FILTER($CO50:$CU50,$CO50:$CU50&gt;BQ50))</f>
        <v>11.993333333333334</v>
      </c>
      <c r="CX50" s="16">
        <f t="shared" ca="1" si="63"/>
        <v>0.50166944908180278</v>
      </c>
      <c r="CY50" s="20">
        <f t="shared" ca="1" si="64"/>
        <v>-0.25083472454090139</v>
      </c>
      <c r="CZ50" s="20">
        <f t="shared" ca="1" si="65"/>
        <v>-0.16722314969393426</v>
      </c>
      <c r="DA50" s="20">
        <f t="shared" ca="1" si="66"/>
        <v>-0.10033388981636056</v>
      </c>
      <c r="DB50" s="20">
        <f t="shared" ca="1" si="67"/>
        <v>-5.5741049897978089E-2</v>
      </c>
      <c r="DC50" s="20">
        <f t="shared" ca="1" si="68"/>
        <v>-2.9509967593047221E-2</v>
      </c>
      <c r="DD50" s="20">
        <f t="shared" ca="1" si="69"/>
        <v>-1.5202104517630387E-2</v>
      </c>
      <c r="DE50" s="20">
        <f t="shared" ca="1" si="70"/>
        <v>-7.7179915243354271E-3</v>
      </c>
      <c r="DF50" s="21">
        <f t="shared" ca="1" si="71"/>
        <v>7.7179915243354271E-3</v>
      </c>
      <c r="DG50" s="21">
        <f t="shared" ca="1" si="72"/>
        <v>1.5202104517630387E-2</v>
      </c>
      <c r="DH50" s="21">
        <f t="shared" ca="1" si="73"/>
        <v>2.9509967593047221E-2</v>
      </c>
      <c r="DI50" s="21">
        <f t="shared" ca="1" si="74"/>
        <v>5.5741049897978089E-2</v>
      </c>
      <c r="DJ50" s="21">
        <f t="shared" ca="1" si="75"/>
        <v>0.10033388981636056</v>
      </c>
      <c r="DK50" s="21">
        <f t="shared" ca="1" si="76"/>
        <v>0.16722314969393426</v>
      </c>
      <c r="DL50" s="21">
        <f t="shared" ca="1" si="77"/>
        <v>0.25083472454090139</v>
      </c>
      <c r="DN50" s="16" cm="1">
        <f t="array" aca="1" ref="DN50" ca="1">MAX(_xlfn._xlws.FILTER(CY50:DL50,CY50:DL50&lt;BW50))</f>
        <v>-7.7179915243354271E-3</v>
      </c>
      <c r="DO50" s="16" cm="1">
        <f t="array" aca="1" ref="DO50" ca="1">MIN(_xlfn._xlws.FILTER(CY50:DL50,CY50:DL50&gt;BW50))</f>
        <v>7.7179915243354271E-3</v>
      </c>
      <c r="DP50" s="2" cm="1">
        <f t="array" aca="1" ref="DP50" ca="1">_FV(EE50,"Fechamento anterior",TRUE)</f>
        <v>10.050000000000001</v>
      </c>
      <c r="DQ50" s="28">
        <f t="shared" ca="1" si="15"/>
        <v>0.8223069345452344</v>
      </c>
      <c r="DR50" s="15">
        <f t="shared" ca="1" si="78"/>
        <v>9.972434185180429</v>
      </c>
      <c r="DS50" s="15">
        <f t="shared" ca="1" si="79"/>
        <v>10.127565814819572</v>
      </c>
      <c r="DT50" s="9"/>
      <c r="DU50" s="9"/>
      <c r="DV50" s="9"/>
      <c r="DW50" s="89">
        <v>1.4732086836491394E-2</v>
      </c>
      <c r="DX50" s="89">
        <f t="shared" ca="1" si="18"/>
        <v>1.5435983048670854E-2</v>
      </c>
      <c r="DY50" s="72">
        <f t="shared" ca="1" si="19"/>
        <v>7.3935417499185474E-2</v>
      </c>
      <c r="DZ50" s="37"/>
      <c r="EA50" s="35">
        <f t="shared" si="39"/>
        <v>0.3719462326734872</v>
      </c>
      <c r="EB50" s="56"/>
      <c r="EC50" s="56"/>
      <c r="EE50" s="2" t="e" vm="50">
        <v>#VALUE!</v>
      </c>
      <c r="EG50" s="10" cm="1">
        <f t="array" aca="1" ref="EG50" ca="1">_FV(EE50,"Ações em circulação",TRUE)</f>
        <v>96226960</v>
      </c>
      <c r="EH50" s="18">
        <f>VLOOKUP(BR50,Fundamentus!A:U,5,FALSE)</f>
        <v>13.502000000000001</v>
      </c>
      <c r="EI50" s="2">
        <f t="shared" ca="1" si="20"/>
        <v>71981358.021033913</v>
      </c>
      <c r="EJ50" s="17">
        <v>10329324.876018366</v>
      </c>
      <c r="EK50" s="17">
        <f t="shared" ca="1" si="21"/>
        <v>10329324.876018366</v>
      </c>
      <c r="EM50" s="16">
        <f t="shared" ca="1" si="22"/>
        <v>0</v>
      </c>
      <c r="EN50" s="32" t="str">
        <f>IF(VLOOKUP(BR50,Fundamentus!A:U,3,FALSE)&lt;15,"Bom",IF(VLOOKUP(BR50,Fundamentus!A:U,3,FALSE)&gt;15,"Ruim","n/a"))</f>
        <v>Ruim</v>
      </c>
      <c r="EO50" s="28" t="str">
        <f>IF(VLOOKUP(BR50,Fundamentus!A:U,4,FALSE)&lt;1,"Baixo",IF(VLOOKUP(BR50,Fundamentus!A:U,4,FALSE)&lt;1.5,"Moderado",IF(VLOOKUP(BR50,Fundamentus!A:U,4,FALSE)&gt;1.5,"Alto","n/a")))</f>
        <v>Moderado</v>
      </c>
      <c r="EP50" s="17" t="str">
        <f>IF(VLOOKUP(BR50,Fundamentus!A:U,8,FALSE)&lt;0,"Risco elevado",IF(VLOOKUP(BR50,Fundamentus!A:U,8,FALSE)&lt;1,"Saudável",IF(VLOOKUP(BR50,Fundamentus!A:U,8,FALSE)&lt;3,"Estável",IF(VLOOKUP(BR50,Fundamentus!A:U,8,FALSE)&gt;3,"Alerta","n/a"))))</f>
        <v>Risco elevado</v>
      </c>
      <c r="EQ50" s="28" t="str">
        <f t="shared" si="23"/>
        <v>Bom</v>
      </c>
      <c r="ER50" s="17" t="str">
        <f>IF(VLOOKUP(BR50,Fundamentus!A:U,12,FALSE)&lt;2,"Subvalorizada",IF(VLOOKUP(BR50,Fundamentus!A:U,12,FALSE)&lt;6,"Muita barata",IF(VLOOKUP(BR50,Fundamentus!A:U,12,FALSE)&lt;6,"Barata",IF(VLOOKUP(BR50,Fundamentus!A:U,12,FALSE)&lt;8,"Atrativa",IF(VLOOKUP(BR50,Fundamentus!A:U,12,FALSE)&gt;8,"Supervalorizada","n/a")))))</f>
        <v>Supervalorizada</v>
      </c>
      <c r="ET50" s="17" t="str">
        <f>IF(VLOOKUP(BR50,Fundamentus!A:U,17,FALSE)&lt;0.1,"Fraco retorno",IF(VLOOKUP(BR50,Fundamentus!A:U,17,FALSE)&gt;0.1,"Bom retorno","n/a"))</f>
        <v>Fraco retorno</v>
      </c>
      <c r="EU50" s="17" t="str">
        <f>IF(VLOOKUP(BR50,Fundamentus!A:U,16,FALSE)&lt;0.1,"Ineficiente",IF(VLOOKUP(BR50,Fundamentus!A:U,16,FALSE)&gt;0.1,"Eficiente","n/a"))</f>
        <v>Ineficiente</v>
      </c>
      <c r="EV50" s="33" t="str">
        <f>IF(VLOOKUP(BR50,Fundamentus!A:U,16,FALSE)&lt;0.1,"Oper. Ineficiente",IF(VLOOKUP(BR50,Fundamentus!A:U,16,FALSE)&gt;0.1,"Oper.Eficiente","n/a"))</f>
        <v>Oper. Ineficiente</v>
      </c>
      <c r="EW50" s="34">
        <f>VLOOKUP(BR50,Fundamentus!A:U,14,FALSE)</f>
        <v>0.14349999999999999</v>
      </c>
      <c r="EX50" s="17" t="str">
        <f>IF(VLOOKUP(BR50,Fundamentus!A:U,21,FALSE)&lt;0,"Negativo",IF(VLOOKUP(BR50,Fundamentus!A:U,21,FALSE)&lt;0.05,"Fraco",IF(VLOOKUP(BR50,Fundamentus!A:U,21,FALSE)&lt;0.1,"Bom",IF(VLOOKUP(BR50,Fundamentus!A:U,21,FALSE)&gt;0.1,"Muito bom","n/a"))))</f>
        <v>Negativo</v>
      </c>
      <c r="EZ50" s="29" t="str">
        <f>IF(VLOOKUP(BR50,Fundamentus!A:U,15,FALSE)&gt;1,"Bom",IF(VLOOKUP(BR50,Fundamentus!A:U,15,FALSE)&lt;1,"Ruim","n/a"))</f>
        <v>Ruim</v>
      </c>
      <c r="FA50" s="17" t="str">
        <f>IF(VLOOKUP(BR50,Fundamentus!A:U,20,FALSE)&lt;0.5,"Baixa",IF(VLOOKUP(BR50,Fundamentus!A:U,20,FALSE)&lt;1,"Moderada",IF(VLOOKUP(BR50,Fundamentus!A:U,20,FALSE)&lt;2,"Alerta",IF(VLOOKUP(BR50,Fundamentus!A:U,20,FALSE)&gt;2,"Alta","n/a"))))</f>
        <v>Baixa</v>
      </c>
    </row>
    <row r="51" spans="1:157" s="2" customFormat="1" ht="11.25"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5">
        <v>14.9</v>
      </c>
      <c r="BC51" s="52">
        <v>15.71</v>
      </c>
      <c r="BD51" s="52">
        <v>15.45</v>
      </c>
      <c r="BE51" s="52">
        <v>15.25</v>
      </c>
      <c r="BF51" s="52">
        <v>16.690000000000001</v>
      </c>
      <c r="BG51" s="67">
        <v>16.760000000000002</v>
      </c>
      <c r="BH51" s="52">
        <v>16.010000000000002</v>
      </c>
      <c r="BI51" s="52">
        <v>15.9</v>
      </c>
      <c r="BJ51" s="52">
        <v>16.78</v>
      </c>
      <c r="BK51" s="52">
        <v>16.690000000000001</v>
      </c>
      <c r="BL51" s="52">
        <v>16.11</v>
      </c>
      <c r="BM51" s="52">
        <v>17.18</v>
      </c>
      <c r="BN51" s="52">
        <v>16.05</v>
      </c>
      <c r="BO51" s="52">
        <v>16.420000000000002</v>
      </c>
      <c r="BP51" s="52">
        <v>16.23</v>
      </c>
      <c r="BQ51" s="52" cm="1">
        <f t="array" aca="1" ref="BQ51" ca="1">_FV(EE51,"Preço")</f>
        <v>16.23</v>
      </c>
      <c r="BR51" s="69" t="s">
        <v>48</v>
      </c>
      <c r="BS51" s="36" cm="1">
        <f t="array" aca="1" ref="BS51" ca="1">_FV(EE51,"Média de volume",TRUE)</f>
        <v>9238500</v>
      </c>
      <c r="BT51" s="36">
        <v>6936800</v>
      </c>
      <c r="BU51" s="36" cm="1">
        <f t="array" aca="1" ref="BU51" ca="1">_FV(EE51,"Volume")</f>
        <v>6936800</v>
      </c>
      <c r="BV51" s="24" cm="1">
        <f t="array" aca="1" ref="BV51" ca="1">_FV(EE51,"Beta")</f>
        <v>0.64129999999999998</v>
      </c>
      <c r="BW51" s="71" cm="1">
        <f t="array" aca="1" ref="BW51" ca="1">_FV(EE51,"Variação (%)",TRUE)</f>
        <v>-4.2940000000000001E-3</v>
      </c>
      <c r="BY51" s="17" cm="1">
        <f t="array" aca="1" ref="BY51" ca="1">_FV(EE51,"Baixo")</f>
        <v>16.079999999999998</v>
      </c>
      <c r="BZ51" s="17" cm="1">
        <f t="array" aca="1" ref="BZ51" ca="1">_FV(EE51,"Alto")</f>
        <v>16.440000000000001</v>
      </c>
      <c r="CA51" s="24"/>
      <c r="CB51" s="63">
        <f ca="1">SQRT(22.5*(BQ51/VLOOKUP(BR51,Fundamentus!A:U,3,FALSE))*(BQ51/VLOOKUP(BR51,Fundamentus!A:U,4,FALSE)))</f>
        <v>29.931723481327079</v>
      </c>
      <c r="CD51" s="62">
        <f t="shared" ca="1" si="24"/>
        <v>0</v>
      </c>
      <c r="CE51" s="8"/>
      <c r="CF51" s="61">
        <f t="shared" si="25"/>
        <v>14.68</v>
      </c>
      <c r="CG51" s="61">
        <f t="shared" si="26"/>
        <v>20.47</v>
      </c>
      <c r="CH51" s="61">
        <f t="shared" si="27"/>
        <v>17.499779411764706</v>
      </c>
      <c r="CI51" s="14"/>
      <c r="CJ51" s="35">
        <f t="shared" si="1"/>
        <v>15.021024728957402</v>
      </c>
      <c r="CK51" s="15">
        <f t="shared" si="28"/>
        <v>15.849999999999909</v>
      </c>
      <c r="CL51" s="35">
        <f t="shared" si="2"/>
        <v>16.678975271042418</v>
      </c>
      <c r="CN51" s="14"/>
      <c r="CO51" s="17">
        <f t="shared" si="3"/>
        <v>7.9933333333333323</v>
      </c>
      <c r="CP51" s="17">
        <f t="shared" si="4"/>
        <v>11.336666666666666</v>
      </c>
      <c r="CQ51" s="17">
        <f t="shared" si="5"/>
        <v>13.783333333333331</v>
      </c>
      <c r="CR51" s="38">
        <f t="shared" si="29"/>
        <v>17.126666666666665</v>
      </c>
      <c r="CS51" s="17">
        <f t="shared" si="6"/>
        <v>19.573333333333331</v>
      </c>
      <c r="CT51" s="17">
        <f t="shared" si="7"/>
        <v>22.916666666666664</v>
      </c>
      <c r="CU51" s="17">
        <f t="shared" si="8"/>
        <v>25.36333333333333</v>
      </c>
      <c r="CV51" s="2" cm="1">
        <f t="array" aca="1" ref="CV51" ca="1">MAX(_xlfn._xlws.FILTER(CO51:CU51,CO51:CU51&lt;BQ51))</f>
        <v>13.783333333333331</v>
      </c>
      <c r="CW51" s="2" cm="1">
        <f t="array" aca="1" ref="CW51" ca="1">MIN(_xlfn._xlws.FILTER($CO51:$CU51,$CO51:$CU51&gt;BQ51))</f>
        <v>17.126666666666665</v>
      </c>
      <c r="CX51" s="16">
        <f t="shared" ref="CX51:CX82" ca="1" si="80">(CW51/CV51)-1</f>
        <v>0.2425634824667473</v>
      </c>
      <c r="CY51" s="20">
        <f t="shared" ref="CY51:CY82" ca="1" si="81">-$CX51/2</f>
        <v>-0.12128174123337365</v>
      </c>
      <c r="CZ51" s="20">
        <f t="shared" ref="CZ51:CZ82" ca="1" si="82">-$CX51/3</f>
        <v>-8.0854494155582435E-2</v>
      </c>
      <c r="DA51" s="20">
        <f t="shared" ref="DA51:DA82" ca="1" si="83">-$CX51/5</f>
        <v>-4.8512696493349459E-2</v>
      </c>
      <c r="DB51" s="20">
        <f t="shared" ref="DB51:DB82" ca="1" si="84">-$CX51/9</f>
        <v>-2.6951498051860812E-2</v>
      </c>
      <c r="DC51" s="20">
        <f t="shared" ref="DC51:DC82" ca="1" si="85">-$CX51/17</f>
        <v>-1.4268440145102783E-2</v>
      </c>
      <c r="DD51" s="20">
        <f t="shared" ref="DD51:DD82" ca="1" si="86">-$CX51/33</f>
        <v>-7.3504085595984033E-3</v>
      </c>
      <c r="DE51" s="20">
        <f t="shared" ref="DE51:DE82" ca="1" si="87">-$CX51/65</f>
        <v>-3.7317458841038048E-3</v>
      </c>
      <c r="DF51" s="21">
        <f t="shared" ref="DF51:DF82" ca="1" si="88">-$CX51/65*-1</f>
        <v>3.7317458841038048E-3</v>
      </c>
      <c r="DG51" s="21">
        <f t="shared" ref="DG51:DG82" ca="1" si="89">-$CX51/33*-1</f>
        <v>7.3504085595984033E-3</v>
      </c>
      <c r="DH51" s="21">
        <f t="shared" ref="DH51:DH82" ca="1" si="90">-$CX51/17*-1</f>
        <v>1.4268440145102783E-2</v>
      </c>
      <c r="DI51" s="21">
        <f t="shared" ref="DI51:DI82" ca="1" si="91">-$CX51/9*-1</f>
        <v>2.6951498051860812E-2</v>
      </c>
      <c r="DJ51" s="21">
        <f t="shared" ref="DJ51:DJ82" ca="1" si="92">-$CX51/5*-1</f>
        <v>4.8512696493349459E-2</v>
      </c>
      <c r="DK51" s="21">
        <f t="shared" ref="DK51:DK82" ca="1" si="93">-$CX51/3*-1</f>
        <v>8.0854494155582435E-2</v>
      </c>
      <c r="DL51" s="21">
        <f t="shared" ref="DL51:DL82" ca="1" si="94">-$CX51/2*-1</f>
        <v>0.12128174123337365</v>
      </c>
      <c r="DN51" s="16" cm="1">
        <f t="array" aca="1" ref="DN51" ca="1">MAX(_xlfn._xlws.FILTER(CY51:DL51,CY51:DL51&lt;BW51))</f>
        <v>-7.3504085595984033E-3</v>
      </c>
      <c r="DO51" s="16" cm="1">
        <f t="array" aca="1" ref="DO51" ca="1">MIN(_xlfn._xlws.FILTER(CY51:DL51,CY51:DL51&gt;BW51))</f>
        <v>-3.7317458841038048E-3</v>
      </c>
      <c r="DP51" s="2" cm="1">
        <f t="array" aca="1" ref="DP51" ca="1">_FV(EE51,"Fechamento anterior",TRUE)</f>
        <v>16.3</v>
      </c>
      <c r="DQ51" s="28">
        <f t="shared" ca="1" si="15"/>
        <v>0.84449154453817044</v>
      </c>
      <c r="DR51" s="15">
        <f t="shared" ref="DR51:DR82" ca="1" si="95">DP51+(DP51*DN51)</f>
        <v>16.180188340478548</v>
      </c>
      <c r="DS51" s="15">
        <f t="shared" ref="DS51:DS82" ca="1" si="96">DP51+(DP51*DO51)</f>
        <v>16.239172542089108</v>
      </c>
      <c r="DT51" s="9"/>
      <c r="DU51" s="9"/>
      <c r="DV51" s="9"/>
      <c r="DW51" s="89">
        <v>6.7251787977461383E-3</v>
      </c>
      <c r="DX51" s="89">
        <f t="shared" ca="1" si="18"/>
        <v>3.6186626754945985E-3</v>
      </c>
      <c r="DY51" s="72">
        <f t="shared" ca="1" si="19"/>
        <v>0.45839726862082247</v>
      </c>
      <c r="DZ51" s="37"/>
      <c r="EA51" s="35">
        <f t="shared" si="39"/>
        <v>0.41448763552125401</v>
      </c>
      <c r="EB51" s="56"/>
      <c r="EC51" s="56"/>
      <c r="EE51" s="2" t="e" vm="51">
        <v>#VALUE!</v>
      </c>
      <c r="EG51" s="10" cm="1">
        <f t="array" aca="1" ref="EG51" ca="1">_FV(EE51,"Ações em circulação",TRUE)</f>
        <v>2013814000</v>
      </c>
      <c r="EH51" s="18">
        <f>VLOOKUP(BR51,Fundamentus!A:U,5,FALSE)</f>
        <v>0.51200000000000001</v>
      </c>
      <c r="EI51" s="2">
        <f t="shared" ca="1" si="20"/>
        <v>63836330507.8125</v>
      </c>
      <c r="EJ51" s="17">
        <v>3096062029.6289063</v>
      </c>
      <c r="EK51" s="17">
        <f t="shared" ca="1" si="21"/>
        <v>3096062029.6289063</v>
      </c>
      <c r="EM51" s="16">
        <f t="shared" ca="1" si="22"/>
        <v>0</v>
      </c>
      <c r="EN51" s="32" t="str">
        <f>IF(VLOOKUP(BR51,Fundamentus!A:U,3,FALSE)&lt;15,"Bom",IF(VLOOKUP(BR51,Fundamentus!A:U,3,FALSE)&gt;15,"Ruim","n/a"))</f>
        <v>Bom</v>
      </c>
      <c r="EO51" s="28" t="str">
        <f>IF(VLOOKUP(BR51,Fundamentus!A:U,4,FALSE)&lt;1,"Baixo",IF(VLOOKUP(BR51,Fundamentus!A:U,4,FALSE)&lt;1.5,"Moderado",IF(VLOOKUP(BR51,Fundamentus!A:U,4,FALSE)&gt;1.5,"Alto","n/a")))</f>
        <v>Baixo</v>
      </c>
      <c r="EP51" s="17" t="str">
        <f>IF(VLOOKUP(BR51,Fundamentus!A:U,8,FALSE)&lt;0,"Risco elevado",IF(VLOOKUP(BR51,Fundamentus!A:U,8,FALSE)&lt;1,"Saudável",IF(VLOOKUP(BR51,Fundamentus!A:U,8,FALSE)&lt;3,"Estável",IF(VLOOKUP(BR51,Fundamentus!A:U,8,FALSE)&gt;3,"Alerta","n/a"))))</f>
        <v>Estável</v>
      </c>
      <c r="EQ51" s="28" t="str">
        <f t="shared" si="23"/>
        <v>Ruim</v>
      </c>
      <c r="ER51" s="17" t="str">
        <f>IF(VLOOKUP(BR51,Fundamentus!A:U,12,FALSE)&lt;2,"Subvalorizada",IF(VLOOKUP(BR51,Fundamentus!A:U,12,FALSE)&lt;6,"Muita barata",IF(VLOOKUP(BR51,Fundamentus!A:U,12,FALSE)&lt;6,"Barata",IF(VLOOKUP(BR51,Fundamentus!A:U,12,FALSE)&lt;8,"Atrativa",IF(VLOOKUP(BR51,Fundamentus!A:U,12,FALSE)&gt;8,"Supervalorizada","n/a")))))</f>
        <v>Muita barata</v>
      </c>
      <c r="ET51" s="17" t="str">
        <f>IF(VLOOKUP(BR51,Fundamentus!A:U,17,FALSE)&lt;0.1,"Fraco retorno",IF(VLOOKUP(BR51,Fundamentus!A:U,17,FALSE)&gt;0.1,"Bom retorno","n/a"))</f>
        <v>Fraco retorno</v>
      </c>
      <c r="EU51" s="17" t="str">
        <f>IF(VLOOKUP(BR51,Fundamentus!A:U,16,FALSE)&lt;0.1,"Ineficiente",IF(VLOOKUP(BR51,Fundamentus!A:U,16,FALSE)&gt;0.1,"Eficiente","n/a"))</f>
        <v>Ineficiente</v>
      </c>
      <c r="EV51" s="33" t="str">
        <f>IF(VLOOKUP(BR51,Fundamentus!A:U,16,FALSE)&lt;0.1,"Oper. Ineficiente",IF(VLOOKUP(BR51,Fundamentus!A:U,16,FALSE)&gt;0.1,"Oper.Eficiente","n/a"))</f>
        <v>Oper. Ineficiente</v>
      </c>
      <c r="EW51" s="34">
        <f>VLOOKUP(BR51,Fundamentus!A:U,14,FALSE)</f>
        <v>4.8500000000000001E-2</v>
      </c>
      <c r="EX51" s="17" t="str">
        <f>IF(VLOOKUP(BR51,Fundamentus!A:U,21,FALSE)&lt;0,"Negativo",IF(VLOOKUP(BR51,Fundamentus!A:U,21,FALSE)&lt;0.05,"Fraco",IF(VLOOKUP(BR51,Fundamentus!A:U,21,FALSE)&lt;0.1,"Bom",IF(VLOOKUP(BR51,Fundamentus!A:U,21,FALSE)&gt;0.1,"Muito bom","n/a"))))</f>
        <v>Fraco</v>
      </c>
      <c r="EZ51" s="29" t="str">
        <f>IF(VLOOKUP(BR51,Fundamentus!A:U,15,FALSE)&gt;1,"Bom",IF(VLOOKUP(BR51,Fundamentus!A:U,15,FALSE)&lt;1,"Ruim","n/a"))</f>
        <v>Bom</v>
      </c>
      <c r="FA51" s="17" t="str">
        <f>IF(VLOOKUP(BR51,Fundamentus!A:U,20,FALSE)&lt;0.5,"Baixa",IF(VLOOKUP(BR51,Fundamentus!A:U,20,FALSE)&lt;1,"Moderada",IF(VLOOKUP(BR51,Fundamentus!A:U,20,FALSE)&lt;2,"Alerta",IF(VLOOKUP(BR51,Fundamentus!A:U,20,FALSE)&gt;2,"Alta","n/a"))))</f>
        <v>Baixa</v>
      </c>
    </row>
    <row r="52" spans="1:157" s="5" customFormat="1" ht="11.25"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5">
        <v>10.6</v>
      </c>
      <c r="BC52" s="52">
        <v>11.14</v>
      </c>
      <c r="BD52" s="52">
        <v>11.14</v>
      </c>
      <c r="BE52" s="52">
        <v>11.07</v>
      </c>
      <c r="BF52" s="52">
        <v>10.81</v>
      </c>
      <c r="BG52" s="67">
        <v>10.71</v>
      </c>
      <c r="BH52" s="52">
        <v>10.81</v>
      </c>
      <c r="BI52" s="52">
        <v>10.71</v>
      </c>
      <c r="BJ52" s="52">
        <v>11.12</v>
      </c>
      <c r="BK52" s="52">
        <v>10.48</v>
      </c>
      <c r="BL52" s="52">
        <v>10.45</v>
      </c>
      <c r="BM52" s="52">
        <v>10.44</v>
      </c>
      <c r="BN52" s="52">
        <v>10.34</v>
      </c>
      <c r="BO52" s="52">
        <v>10.88</v>
      </c>
      <c r="BP52" s="52">
        <v>11.03</v>
      </c>
      <c r="BQ52" s="52" cm="1">
        <f t="array" aca="1" ref="BQ52" ca="1">_FV(EE52,"Preço")</f>
        <v>11.03</v>
      </c>
      <c r="BR52" s="69" t="s">
        <v>49</v>
      </c>
      <c r="BS52" s="36" cm="1">
        <f t="array" aca="1" ref="BS52" ca="1">_FV(EE52,"Média de volume",TRUE)</f>
        <v>18287870</v>
      </c>
      <c r="BT52" s="36">
        <v>82046300</v>
      </c>
      <c r="BU52" s="36" cm="1">
        <f t="array" aca="1" ref="BU52" ca="1">_FV(EE52,"Volume")</f>
        <v>82046300</v>
      </c>
      <c r="BV52" s="24" cm="1">
        <f t="array" aca="1" ref="BV52" ca="1">_FV(EE52,"Beta")</f>
        <v>1.1745000000000001</v>
      </c>
      <c r="BW52" s="71" cm="1">
        <f t="array" aca="1" ref="BW52" ca="1">_FV(EE52,"Variação (%)",TRUE)</f>
        <v>9.0740000000000005E-4</v>
      </c>
      <c r="BY52" s="17" cm="1">
        <f t="array" aca="1" ref="BY52" ca="1">_FV(EE52,"Baixo")</f>
        <v>10.9</v>
      </c>
      <c r="BZ52" s="17" cm="1">
        <f t="array" aca="1" ref="BZ52" ca="1">_FV(EE52,"Alto")</f>
        <v>11.08</v>
      </c>
      <c r="CA52" s="24"/>
      <c r="CB52" s="63">
        <f ca="1">SQRT(22.5*(BQ52/VLOOKUP(BR52,Fundamentus!A:U,3,FALSE))*(BQ52/VLOOKUP(BR52,Fundamentus!A:U,4,FALSE)))</f>
        <v>16.323284831273188</v>
      </c>
      <c r="CD52" s="62">
        <f t="shared" ca="1" si="24"/>
        <v>0</v>
      </c>
      <c r="CE52" s="8"/>
      <c r="CF52" s="61">
        <f t="shared" si="25"/>
        <v>8.5299999999999994</v>
      </c>
      <c r="CG52" s="61">
        <f t="shared" si="26"/>
        <v>11.2</v>
      </c>
      <c r="CH52" s="61">
        <f t="shared" si="27"/>
        <v>10.120000000000001</v>
      </c>
      <c r="CI52" s="14"/>
      <c r="CJ52" s="35">
        <f t="shared" si="1"/>
        <v>10.875962568717821</v>
      </c>
      <c r="CK52" s="15">
        <f t="shared" si="28"/>
        <v>11.249999999999773</v>
      </c>
      <c r="CL52" s="35">
        <f t="shared" si="2"/>
        <v>11.624037431281725</v>
      </c>
      <c r="CN52" s="14"/>
      <c r="CO52" s="17">
        <f t="shared" si="3"/>
        <v>6.6366666666666649</v>
      </c>
      <c r="CP52" s="17">
        <f t="shared" si="4"/>
        <v>7.5833333333333321</v>
      </c>
      <c r="CQ52" s="17">
        <f t="shared" si="5"/>
        <v>9.3066666666666649</v>
      </c>
      <c r="CR52" s="38">
        <f t="shared" si="29"/>
        <v>10.253333333333332</v>
      </c>
      <c r="CS52" s="17">
        <f t="shared" si="6"/>
        <v>11.976666666666665</v>
      </c>
      <c r="CT52" s="17">
        <f t="shared" si="7"/>
        <v>12.923333333333332</v>
      </c>
      <c r="CU52" s="17">
        <f t="shared" si="8"/>
        <v>14.646666666666665</v>
      </c>
      <c r="CV52" s="2" cm="1">
        <f t="array" aca="1" ref="CV52" ca="1">MAX(_xlfn._xlws.FILTER(CO52:CU52,CO52:CU52&lt;BQ52))</f>
        <v>10.253333333333332</v>
      </c>
      <c r="CW52" s="2" cm="1">
        <f t="array" aca="1" ref="CW52" ca="1">MIN(_xlfn._xlws.FILTER($CO52:$CU52,$CO52:$CU52&gt;BQ52))</f>
        <v>11.976666666666665</v>
      </c>
      <c r="CX52" s="16">
        <f t="shared" ca="1" si="80"/>
        <v>0.16807542262678798</v>
      </c>
      <c r="CY52" s="20">
        <f t="shared" ca="1" si="81"/>
        <v>-8.4037711313393992E-2</v>
      </c>
      <c r="CZ52" s="20">
        <f t="shared" ca="1" si="82"/>
        <v>-5.6025140875595993E-2</v>
      </c>
      <c r="DA52" s="20">
        <f t="shared" ca="1" si="83"/>
        <v>-3.3615084525357594E-2</v>
      </c>
      <c r="DB52" s="20">
        <f t="shared" ca="1" si="84"/>
        <v>-1.8675046958531998E-2</v>
      </c>
      <c r="DC52" s="20">
        <f t="shared" ca="1" si="85"/>
        <v>-9.8867895662816466E-3</v>
      </c>
      <c r="DD52" s="20">
        <f t="shared" ca="1" si="86"/>
        <v>-5.0931946250541817E-3</v>
      </c>
      <c r="DE52" s="20">
        <f t="shared" ca="1" si="87"/>
        <v>-2.5857757327198152E-3</v>
      </c>
      <c r="DF52" s="21">
        <f t="shared" ca="1" si="88"/>
        <v>2.5857757327198152E-3</v>
      </c>
      <c r="DG52" s="21">
        <f t="shared" ca="1" si="89"/>
        <v>5.0931946250541817E-3</v>
      </c>
      <c r="DH52" s="21">
        <f t="shared" ca="1" si="90"/>
        <v>9.8867895662816466E-3</v>
      </c>
      <c r="DI52" s="21">
        <f t="shared" ca="1" si="91"/>
        <v>1.8675046958531998E-2</v>
      </c>
      <c r="DJ52" s="21">
        <f t="shared" ca="1" si="92"/>
        <v>3.3615084525357594E-2</v>
      </c>
      <c r="DK52" s="21">
        <f t="shared" ca="1" si="93"/>
        <v>5.6025140875595993E-2</v>
      </c>
      <c r="DL52" s="21">
        <f t="shared" ca="1" si="94"/>
        <v>8.4037711313393992E-2</v>
      </c>
      <c r="DN52" s="16" cm="1">
        <f t="array" aca="1" ref="DN52" ca="1">MAX(_xlfn._xlws.FILTER(CY52:DL52,CY52:DL52&lt;BW52))</f>
        <v>-2.5857757327198152E-3</v>
      </c>
      <c r="DO52" s="16" cm="1">
        <f t="array" aca="1" ref="DO52" ca="1">MIN(_xlfn._xlws.FILTER(CY52:DL52,CY52:DL52&gt;BW52))</f>
        <v>2.5857757327198152E-3</v>
      </c>
      <c r="DP52" s="2" cm="1">
        <f t="array" aca="1" ref="DP52" ca="1">_FV(EE52,"Fechamento anterior",TRUE)</f>
        <v>11.02</v>
      </c>
      <c r="DQ52" s="28">
        <f t="shared" ca="1" si="15"/>
        <v>0.67546784990890352</v>
      </c>
      <c r="DR52" s="15">
        <f t="shared" ca="1" si="95"/>
        <v>10.991504751425428</v>
      </c>
      <c r="DS52" s="15">
        <f t="shared" ca="1" si="96"/>
        <v>11.048495248574572</v>
      </c>
      <c r="DT52" s="9"/>
      <c r="DU52" s="9"/>
      <c r="DV52" s="9"/>
      <c r="DW52" s="89">
        <v>5.0461136380770509E-3</v>
      </c>
      <c r="DX52" s="89">
        <f t="shared" ca="1" si="18"/>
        <v>5.1715514654396303E-3</v>
      </c>
      <c r="DY52" s="72">
        <f t="shared" ca="1" si="19"/>
        <v>-0.58817642727830577</v>
      </c>
      <c r="DZ52" s="37"/>
      <c r="EA52" s="35">
        <f t="shared" si="39"/>
        <v>0.18701871564097577</v>
      </c>
      <c r="EB52" s="56"/>
      <c r="EC52" s="56"/>
      <c r="EE52" s="5" t="e" vm="52">
        <v>#VALUE!</v>
      </c>
      <c r="EG52" s="10" cm="1">
        <f t="array" aca="1" ref="EG52" ca="1">_FV(EE52,"Ações em circulação",TRUE)</f>
        <v>10993810000</v>
      </c>
      <c r="EH52" s="18">
        <f>VLOOKUP(BR52,Fundamentus!A:U,5,FALSE)</f>
        <v>14.128</v>
      </c>
      <c r="EI52" s="2">
        <f t="shared" ca="1" si="20"/>
        <v>8583077880.8040771</v>
      </c>
      <c r="EJ52" s="17">
        <v>16101854104.388449</v>
      </c>
      <c r="EK52" s="17">
        <f t="shared" ca="1" si="21"/>
        <v>16101854104.388449</v>
      </c>
      <c r="EL52" s="2"/>
      <c r="EM52" s="16">
        <f t="shared" ca="1" si="22"/>
        <v>0</v>
      </c>
      <c r="EN52" s="32" t="str">
        <f>IF(VLOOKUP(BR52,Fundamentus!A:U,3,FALSE)&lt;15,"Bom",IF(VLOOKUP(BR52,Fundamentus!A:U,3,FALSE)&gt;15,"Ruim","n/a"))</f>
        <v>Bom</v>
      </c>
      <c r="EO52" s="28" t="str">
        <f>IF(VLOOKUP(BR52,Fundamentus!A:U,4,FALSE)&lt;1,"Baixo",IF(VLOOKUP(BR52,Fundamentus!A:U,4,FALSE)&lt;1.5,"Moderado",IF(VLOOKUP(BR52,Fundamentus!A:U,4,FALSE)&gt;1.5,"Alto","n/a")))</f>
        <v>Moderado</v>
      </c>
      <c r="EP52" s="17" t="str">
        <f>IF(VLOOKUP(BR52,Fundamentus!A:U,8,FALSE)&lt;0,"Risco elevado",IF(VLOOKUP(BR52,Fundamentus!A:U,8,FALSE)&lt;1,"Saudável",IF(VLOOKUP(BR52,Fundamentus!A:U,8,FALSE)&lt;3,"Estável",IF(VLOOKUP(BR52,Fundamentus!A:U,8,FALSE)&gt;3,"Alerta","n/a"))))</f>
        <v>Alerta</v>
      </c>
      <c r="EQ52" s="28" t="str">
        <f t="shared" si="23"/>
        <v>Bom</v>
      </c>
      <c r="ER52" s="17" t="str">
        <f>IF(VLOOKUP(BR52,Fundamentus!A:U,12,FALSE)&lt;2,"Subvalorizada",IF(VLOOKUP(BR52,Fundamentus!A:U,12,FALSE)&lt;6,"Muita barata",IF(VLOOKUP(BR52,Fundamentus!A:U,12,FALSE)&lt;6,"Barata",IF(VLOOKUP(BR52,Fundamentus!A:U,12,FALSE)&lt;8,"Atrativa",IF(VLOOKUP(BR52,Fundamentus!A:U,12,FALSE)&gt;8,"Supervalorizada","n/a")))))</f>
        <v>Supervalorizada</v>
      </c>
      <c r="ES52" s="2"/>
      <c r="ET52" s="17" t="str">
        <f>IF(VLOOKUP(BR52,Fundamentus!A:U,17,FALSE)&lt;0.1,"Fraco retorno",IF(VLOOKUP(BR52,Fundamentus!A:U,17,FALSE)&gt;0.1,"Bom retorno","n/a"))</f>
        <v>Bom retorno</v>
      </c>
      <c r="EU52" s="17" t="str">
        <f>IF(VLOOKUP(BR52,Fundamentus!A:U,16,FALSE)&lt;0.1,"Ineficiente",IF(VLOOKUP(BR52,Fundamentus!A:U,16,FALSE)&gt;0.1,"Eficiente","n/a"))</f>
        <v>Ineficiente</v>
      </c>
      <c r="EV52" s="33" t="str">
        <f>IF(VLOOKUP(BR52,Fundamentus!A:U,16,FALSE)&lt;0.1,"Oper. Ineficiente",IF(VLOOKUP(BR52,Fundamentus!A:U,16,FALSE)&gt;0.1,"Oper.Eficiente","n/a"))</f>
        <v>Oper. Ineficiente</v>
      </c>
      <c r="EW52" s="34">
        <f>VLOOKUP(BR52,Fundamentus!A:U,14,FALSE)</f>
        <v>1.8759999999999999</v>
      </c>
      <c r="EX52" s="17" t="str">
        <f>IF(VLOOKUP(BR52,Fundamentus!A:U,21,FALSE)&lt;0,"Negativo",IF(VLOOKUP(BR52,Fundamentus!A:U,21,FALSE)&lt;0.05,"Fraco",IF(VLOOKUP(BR52,Fundamentus!A:U,21,FALSE)&lt;0.1,"Bom",IF(VLOOKUP(BR52,Fundamentus!A:U,21,FALSE)&gt;0.1,"Muito bom","n/a"))))</f>
        <v>Fraco</v>
      </c>
      <c r="EZ52" s="29" t="str">
        <f>IF(VLOOKUP(BR52,Fundamentus!A:U,15,FALSE)&gt;1,"Bom",IF(VLOOKUP(BR52,Fundamentus!A:U,15,FALSE)&lt;1,"Ruim","n/a"))</f>
        <v>Bom</v>
      </c>
      <c r="FA52" s="17" t="str">
        <f>IF(VLOOKUP(BR52,Fundamentus!A:U,20,FALSE)&lt;0.5,"Baixa",IF(VLOOKUP(BR52,Fundamentus!A:U,20,FALSE)&lt;1,"Moderada",IF(VLOOKUP(BR52,Fundamentus!A:U,20,FALSE)&lt;2,"Alerta",IF(VLOOKUP(BR52,Fundamentus!A:U,20,FALSE)&gt;2,"Alta","n/a"))))</f>
        <v>Baixa</v>
      </c>
    </row>
    <row r="53" spans="1:157" s="2" customFormat="1" ht="11.25"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5">
        <v>23.37</v>
      </c>
      <c r="BC53" s="52">
        <v>22.95</v>
      </c>
      <c r="BD53" s="52">
        <v>23.28</v>
      </c>
      <c r="BE53" s="52">
        <v>24.01</v>
      </c>
      <c r="BF53" s="52">
        <v>24.31</v>
      </c>
      <c r="BG53" s="67">
        <v>24.17</v>
      </c>
      <c r="BH53" s="52">
        <v>23.91</v>
      </c>
      <c r="BI53" s="52">
        <v>24.29</v>
      </c>
      <c r="BJ53" s="52">
        <v>23.36</v>
      </c>
      <c r="BK53" s="52">
        <v>22.71</v>
      </c>
      <c r="BL53" s="52">
        <v>21.95</v>
      </c>
      <c r="BM53" s="52">
        <v>20.94</v>
      </c>
      <c r="BN53" s="52">
        <v>20.95</v>
      </c>
      <c r="BO53" s="52">
        <v>23.47</v>
      </c>
      <c r="BP53" s="52">
        <v>23.57</v>
      </c>
      <c r="BQ53" s="52" cm="1">
        <f t="array" aca="1" ref="BQ53" ca="1">_FV(EE53,"Preço")</f>
        <v>23.57</v>
      </c>
      <c r="BR53" s="69" t="s">
        <v>50</v>
      </c>
      <c r="BS53" s="36" cm="1">
        <f t="array" aca="1" ref="BS53" ca="1">_FV(EE53,"Média de volume",TRUE)</f>
        <v>5273370</v>
      </c>
      <c r="BT53" s="36">
        <v>3330900</v>
      </c>
      <c r="BU53" s="36" cm="1">
        <f t="array" aca="1" ref="BU53" ca="1">_FV(EE53,"Volume")</f>
        <v>3330900</v>
      </c>
      <c r="BV53" s="24" cm="1">
        <f t="array" aca="1" ref="BV53" ca="1">_FV(EE53,"Beta")</f>
        <v>2.1412</v>
      </c>
      <c r="BW53" s="71" cm="1">
        <f t="array" aca="1" ref="BW53" ca="1">_FV(EE53,"Variação (%)",TRUE)</f>
        <v>8.9899999999999997E-3</v>
      </c>
      <c r="BY53" s="17" cm="1">
        <f t="array" aca="1" ref="BY53" ca="1">_FV(EE53,"Baixo")</f>
        <v>23.22</v>
      </c>
      <c r="BZ53" s="17" cm="1">
        <f t="array" aca="1" ref="BZ53" ca="1">_FV(EE53,"Alto")</f>
        <v>23.78</v>
      </c>
      <c r="CA53" s="24"/>
      <c r="CB53" s="63">
        <f ca="1">SQRT(22.5*(BQ53/VLOOKUP(BR53,Fundamentus!A:U,3,FALSE))*(BQ53/VLOOKUP(BR53,Fundamentus!A:U,4,FALSE)))</f>
        <v>13.886548593730875</v>
      </c>
      <c r="CD53" s="62">
        <f t="shared" ca="1" si="24"/>
        <v>0</v>
      </c>
      <c r="CE53" s="8"/>
      <c r="CF53" s="61">
        <f t="shared" si="25"/>
        <v>16.7</v>
      </c>
      <c r="CG53" s="61">
        <f t="shared" si="26"/>
        <v>25.46</v>
      </c>
      <c r="CH53" s="61">
        <f t="shared" si="27"/>
        <v>21.450000000000003</v>
      </c>
      <c r="CI53" s="14"/>
      <c r="CJ53" s="35">
        <f t="shared" si="1"/>
        <v>22.85641060348544</v>
      </c>
      <c r="CK53" s="15">
        <f t="shared" si="28"/>
        <v>24.835000000000036</v>
      </c>
      <c r="CL53" s="35">
        <f t="shared" si="2"/>
        <v>26.813589396514633</v>
      </c>
      <c r="CN53" s="14"/>
      <c r="CO53" s="17">
        <f t="shared" si="3"/>
        <v>9.5999999999999908</v>
      </c>
      <c r="CP53" s="17">
        <f t="shared" si="4"/>
        <v>13.149999999999995</v>
      </c>
      <c r="CQ53" s="17">
        <f t="shared" si="5"/>
        <v>18.359999999999992</v>
      </c>
      <c r="CR53" s="38">
        <f t="shared" si="29"/>
        <v>21.909999999999997</v>
      </c>
      <c r="CS53" s="17">
        <f t="shared" si="6"/>
        <v>27.119999999999994</v>
      </c>
      <c r="CT53" s="17">
        <f t="shared" si="7"/>
        <v>30.669999999999998</v>
      </c>
      <c r="CU53" s="17">
        <f t="shared" si="8"/>
        <v>35.879999999999995</v>
      </c>
      <c r="CV53" s="2" cm="1">
        <f t="array" aca="1" ref="CV53" ca="1">MAX(_xlfn._xlws.FILTER(CO53:CU53,CO53:CU53&lt;BQ53))</f>
        <v>21.909999999999997</v>
      </c>
      <c r="CW53" s="2" cm="1">
        <f t="array" aca="1" ref="CW53" ca="1">MIN(_xlfn._xlws.FILTER($CO53:$CU53,$CO53:$CU53&gt;BQ53))</f>
        <v>27.119999999999994</v>
      </c>
      <c r="CX53" s="16">
        <f t="shared" ca="1" si="80"/>
        <v>0.23779096303057945</v>
      </c>
      <c r="CY53" s="20">
        <f t="shared" ca="1" si="81"/>
        <v>-0.11889548151528972</v>
      </c>
      <c r="CZ53" s="20">
        <f t="shared" ca="1" si="82"/>
        <v>-7.9263654343526488E-2</v>
      </c>
      <c r="DA53" s="20">
        <f t="shared" ca="1" si="83"/>
        <v>-4.7558192606115893E-2</v>
      </c>
      <c r="DB53" s="20">
        <f t="shared" ca="1" si="84"/>
        <v>-2.6421218114508829E-2</v>
      </c>
      <c r="DC53" s="20">
        <f t="shared" ca="1" si="85"/>
        <v>-1.3987703707681143E-2</v>
      </c>
      <c r="DD53" s="20">
        <f t="shared" ca="1" si="86"/>
        <v>-7.2057867585024072E-3</v>
      </c>
      <c r="DE53" s="20">
        <f t="shared" ca="1" si="87"/>
        <v>-3.6583225081627609E-3</v>
      </c>
      <c r="DF53" s="21">
        <f t="shared" ca="1" si="88"/>
        <v>3.6583225081627609E-3</v>
      </c>
      <c r="DG53" s="21">
        <f t="shared" ca="1" si="89"/>
        <v>7.2057867585024072E-3</v>
      </c>
      <c r="DH53" s="21">
        <f t="shared" ca="1" si="90"/>
        <v>1.3987703707681143E-2</v>
      </c>
      <c r="DI53" s="21">
        <f t="shared" ca="1" si="91"/>
        <v>2.6421218114508829E-2</v>
      </c>
      <c r="DJ53" s="21">
        <f t="shared" ca="1" si="92"/>
        <v>4.7558192606115893E-2</v>
      </c>
      <c r="DK53" s="21">
        <f t="shared" ca="1" si="93"/>
        <v>7.9263654343526488E-2</v>
      </c>
      <c r="DL53" s="21">
        <f t="shared" ca="1" si="94"/>
        <v>0.11889548151528972</v>
      </c>
      <c r="DN53" s="16" cm="1">
        <f t="array" aca="1" ref="DN53" ca="1">MAX(_xlfn._xlws.FILTER(CY53:DL53,CY53:DL53&lt;BW53))</f>
        <v>7.2057867585024072E-3</v>
      </c>
      <c r="DO53" s="16" cm="1">
        <f t="array" aca="1" ref="DO53" ca="1">MIN(_xlfn._xlws.FILTER(CY53:DL53,CY53:DL53&gt;BW53))</f>
        <v>1.3987703707681143E-2</v>
      </c>
      <c r="DP53" s="2" cm="1">
        <f t="array" aca="1" ref="DP53" ca="1">_FV(EE53,"Fechamento anterior",TRUE)</f>
        <v>23.36</v>
      </c>
      <c r="DQ53" s="28">
        <f t="shared" ca="1" si="15"/>
        <v>0.26304351443155344</v>
      </c>
      <c r="DR53" s="15">
        <f t="shared" ca="1" si="95"/>
        <v>23.528327178678616</v>
      </c>
      <c r="DS53" s="15">
        <f t="shared" ca="1" si="96"/>
        <v>23.68675275861143</v>
      </c>
      <c r="DT53" s="9"/>
      <c r="DU53" s="9"/>
      <c r="DV53" s="9"/>
      <c r="DW53" s="89">
        <v>6.7487940143020758E-3</v>
      </c>
      <c r="DX53" s="89">
        <f t="shared" ca="1" si="18"/>
        <v>6.7819169491787363E-3</v>
      </c>
      <c r="DY53" s="72">
        <f t="shared" ca="1" si="19"/>
        <v>-0.63934437444596093</v>
      </c>
      <c r="DZ53" s="37"/>
      <c r="EA53" s="35">
        <f t="shared" si="39"/>
        <v>0.98929469825729854</v>
      </c>
      <c r="EB53" s="56"/>
      <c r="EC53" s="56"/>
      <c r="EE53" s="2" t="e" vm="53">
        <v>#VALUE!</v>
      </c>
      <c r="EG53" s="10" cm="1">
        <f t="array" aca="1" ref="EG53" ca="1">_FV(EE53,"Ações em circulação",TRUE)</f>
        <v>597250100</v>
      </c>
      <c r="EH53" s="18">
        <f>VLOOKUP(BR53,Fundamentus!A:U,5,FALSE)</f>
        <v>2.1509999999999998</v>
      </c>
      <c r="EI53" s="2">
        <f t="shared" ca="1" si="20"/>
        <v>6544483894.4676905</v>
      </c>
      <c r="EJ53" s="17">
        <v>509815295.37903309</v>
      </c>
      <c r="EK53" s="17">
        <f t="shared" ca="1" si="21"/>
        <v>509815295.37903309</v>
      </c>
      <c r="EM53" s="16">
        <f t="shared" ca="1" si="22"/>
        <v>0</v>
      </c>
      <c r="EN53" s="32" t="str">
        <f>IF(VLOOKUP(BR53,Fundamentus!A:U,3,FALSE)&lt;15,"Bom",IF(VLOOKUP(BR53,Fundamentus!A:U,3,FALSE)&gt;15,"Ruim","n/a"))</f>
        <v>Ruim</v>
      </c>
      <c r="EO53" s="28" t="str">
        <f>IF(VLOOKUP(BR53,Fundamentus!A:U,4,FALSE)&lt;1,"Baixo",IF(VLOOKUP(BR53,Fundamentus!A:U,4,FALSE)&lt;1.5,"Moderado",IF(VLOOKUP(BR53,Fundamentus!A:U,4,FALSE)&gt;1.5,"Alto","n/a")))</f>
        <v>Alto</v>
      </c>
      <c r="EP53" s="17" t="str">
        <f>IF(VLOOKUP(BR53,Fundamentus!A:U,8,FALSE)&lt;0,"Risco elevado",IF(VLOOKUP(BR53,Fundamentus!A:U,8,FALSE)&lt;1,"Saudável",IF(VLOOKUP(BR53,Fundamentus!A:U,8,FALSE)&lt;3,"Estável",IF(VLOOKUP(BR53,Fundamentus!A:U,8,FALSE)&gt;3,"Alerta","n/a"))))</f>
        <v>Alerta</v>
      </c>
      <c r="EQ53" s="28" t="str">
        <f t="shared" si="23"/>
        <v>Bom</v>
      </c>
      <c r="ER53" s="17" t="str">
        <f>IF(VLOOKUP(BR53,Fundamentus!A:U,12,FALSE)&lt;2,"Subvalorizada",IF(VLOOKUP(BR53,Fundamentus!A:U,12,FALSE)&lt;6,"Muita barata",IF(VLOOKUP(BR53,Fundamentus!A:U,12,FALSE)&lt;6,"Barata",IF(VLOOKUP(BR53,Fundamentus!A:U,12,FALSE)&lt;8,"Atrativa",IF(VLOOKUP(BR53,Fundamentus!A:U,12,FALSE)&gt;8,"Supervalorizada","n/a")))))</f>
        <v>Muita barata</v>
      </c>
      <c r="ET53" s="17" t="str">
        <f>IF(VLOOKUP(BR53,Fundamentus!A:U,17,FALSE)&lt;0.1,"Fraco retorno",IF(VLOOKUP(BR53,Fundamentus!A:U,17,FALSE)&gt;0.1,"Bom retorno","n/a"))</f>
        <v>Fraco retorno</v>
      </c>
      <c r="EU53" s="17" t="str">
        <f>IF(VLOOKUP(BR53,Fundamentus!A:U,16,FALSE)&lt;0.1,"Ineficiente",IF(VLOOKUP(BR53,Fundamentus!A:U,16,FALSE)&gt;0.1,"Eficiente","n/a"))</f>
        <v>Ineficiente</v>
      </c>
      <c r="EV53" s="33" t="str">
        <f>IF(VLOOKUP(BR53,Fundamentus!A:U,16,FALSE)&lt;0.1,"Oper. Ineficiente",IF(VLOOKUP(BR53,Fundamentus!A:U,16,FALSE)&gt;0.1,"Oper.Eficiente","n/a"))</f>
        <v>Oper. Ineficiente</v>
      </c>
      <c r="EW53" s="34">
        <f>VLOOKUP(BR53,Fundamentus!A:U,14,FALSE)</f>
        <v>7.7899999999999997E-2</v>
      </c>
      <c r="EX53" s="17" t="str">
        <f>IF(VLOOKUP(BR53,Fundamentus!A:U,21,FALSE)&lt;0,"Negativo",IF(VLOOKUP(BR53,Fundamentus!A:U,21,FALSE)&lt;0.05,"Fraco",IF(VLOOKUP(BR53,Fundamentus!A:U,21,FALSE)&lt;0.1,"Bom",IF(VLOOKUP(BR53,Fundamentus!A:U,21,FALSE)&gt;0.1,"Muito bom","n/a"))))</f>
        <v>Muito bom</v>
      </c>
      <c r="EZ53" s="29" t="str">
        <f>IF(VLOOKUP(BR53,Fundamentus!A:U,15,FALSE)&gt;1,"Bom",IF(VLOOKUP(BR53,Fundamentus!A:U,15,FALSE)&lt;1,"Ruim","n/a"))</f>
        <v>Bom</v>
      </c>
      <c r="FA53" s="17" t="str">
        <f>IF(VLOOKUP(BR53,Fundamentus!A:U,20,FALSE)&lt;0.5,"Baixa",IF(VLOOKUP(BR53,Fundamentus!A:U,20,FALSE)&lt;1,"Moderada",IF(VLOOKUP(BR53,Fundamentus!A:U,20,FALSE)&lt;2,"Alerta",IF(VLOOKUP(BR53,Fundamentus!A:U,20,FALSE)&gt;2,"Alta","n/a"))))</f>
        <v>Alerta</v>
      </c>
    </row>
    <row r="54" spans="1:157" s="2" customFormat="1" ht="11.25"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5">
        <v>13.18</v>
      </c>
      <c r="BC54" s="52">
        <v>12.65</v>
      </c>
      <c r="BD54" s="52">
        <v>12.59</v>
      </c>
      <c r="BE54" s="52">
        <v>12.85</v>
      </c>
      <c r="BF54" s="52">
        <v>13.07</v>
      </c>
      <c r="BG54" s="67">
        <v>13.02</v>
      </c>
      <c r="BH54" s="52">
        <v>13.06</v>
      </c>
      <c r="BI54" s="52">
        <v>12.73</v>
      </c>
      <c r="BJ54" s="52">
        <v>13.02</v>
      </c>
      <c r="BK54" s="52">
        <v>12.62</v>
      </c>
      <c r="BL54" s="52">
        <v>12.63</v>
      </c>
      <c r="BM54" s="52">
        <v>14.48</v>
      </c>
      <c r="BN54" s="52">
        <v>14.24</v>
      </c>
      <c r="BO54" s="52">
        <v>14.49</v>
      </c>
      <c r="BP54" s="52">
        <v>14.08</v>
      </c>
      <c r="BQ54" s="52" cm="1">
        <f t="array" aca="1" ref="BQ54" ca="1">_FV(EE54,"Preço")</f>
        <v>14.08</v>
      </c>
      <c r="BR54" s="69" t="s">
        <v>51</v>
      </c>
      <c r="BS54" s="36" cm="1">
        <f t="array" aca="1" ref="BS54" ca="1">_FV(EE54,"Média de volume",TRUE)</f>
        <v>3176190</v>
      </c>
      <c r="BT54" s="36">
        <v>2576200</v>
      </c>
      <c r="BU54" s="36" cm="1">
        <f t="array" aca="1" ref="BU54" ca="1">_FV(EE54,"Volume")</f>
        <v>2576200</v>
      </c>
      <c r="BV54" s="24" cm="1">
        <f t="array" aca="1" ref="BV54" ca="1">_FV(EE54,"Beta")</f>
        <v>0.60550000000000004</v>
      </c>
      <c r="BW54" s="71" cm="1">
        <f t="array" aca="1" ref="BW54" ca="1">_FV(EE54,"Variação (%)",TRUE)</f>
        <v>1.0043E-2</v>
      </c>
      <c r="BY54" s="17" cm="1">
        <f t="array" aca="1" ref="BY54" ca="1">_FV(EE54,"Baixo")</f>
        <v>13.72</v>
      </c>
      <c r="BZ54" s="17" cm="1">
        <f t="array" aca="1" ref="BZ54" ca="1">_FV(EE54,"Alto")</f>
        <v>14.22</v>
      </c>
      <c r="CA54" s="24"/>
      <c r="CB54" s="63">
        <f ca="1">SQRT(22.5*(BQ54/VLOOKUP(BR54,Fundamentus!A:U,3,FALSE))*(BQ54/VLOOKUP(BR54,Fundamentus!A:U,4,FALSE)))</f>
        <v>15.230945255099712</v>
      </c>
      <c r="CD54" s="62">
        <f t="shared" ca="1" si="24"/>
        <v>0</v>
      </c>
      <c r="CE54" s="8"/>
      <c r="CF54" s="61">
        <f t="shared" si="25"/>
        <v>11.06</v>
      </c>
      <c r="CG54" s="61">
        <f t="shared" si="26"/>
        <v>16.73</v>
      </c>
      <c r="CH54" s="61">
        <f t="shared" si="27"/>
        <v>13.648455882352941</v>
      </c>
      <c r="CI54" s="14"/>
      <c r="CJ54" s="35">
        <f t="shared" si="1"/>
        <v>12.333411007113863</v>
      </c>
      <c r="CK54" s="15">
        <f t="shared" si="28"/>
        <v>14.085000000000036</v>
      </c>
      <c r="CL54" s="35">
        <f t="shared" si="2"/>
        <v>15.83658899288621</v>
      </c>
      <c r="CN54" s="14"/>
      <c r="CO54" s="17">
        <f t="shared" si="3"/>
        <v>5.5133333333333301</v>
      </c>
      <c r="CP54" s="17">
        <f t="shared" si="4"/>
        <v>8.2866666666666653</v>
      </c>
      <c r="CQ54" s="17">
        <f t="shared" si="5"/>
        <v>11.18333333333333</v>
      </c>
      <c r="CR54" s="38">
        <f t="shared" si="29"/>
        <v>13.956666666666665</v>
      </c>
      <c r="CS54" s="17">
        <f t="shared" si="6"/>
        <v>16.853333333333332</v>
      </c>
      <c r="CT54" s="17">
        <f t="shared" si="7"/>
        <v>19.626666666666665</v>
      </c>
      <c r="CU54" s="17">
        <f t="shared" si="8"/>
        <v>22.52333333333333</v>
      </c>
      <c r="CV54" s="2" cm="1">
        <f t="array" aca="1" ref="CV54" ca="1">MAX(_xlfn._xlws.FILTER(CO54:CU54,CO54:CU54&lt;BQ54))</f>
        <v>13.956666666666665</v>
      </c>
      <c r="CW54" s="2" cm="1">
        <f t="array" aca="1" ref="CW54" ca="1">MIN(_xlfn._xlws.FILTER($CO54:$CU54,$CO54:$CU54&gt;BQ54))</f>
        <v>16.853333333333332</v>
      </c>
      <c r="CX54" s="16">
        <f t="shared" ca="1" si="80"/>
        <v>0.20754716981132071</v>
      </c>
      <c r="CY54" s="20">
        <f t="shared" ca="1" si="81"/>
        <v>-0.10377358490566035</v>
      </c>
      <c r="CZ54" s="20">
        <f t="shared" ca="1" si="82"/>
        <v>-6.9182389937106903E-2</v>
      </c>
      <c r="DA54" s="20">
        <f t="shared" ca="1" si="83"/>
        <v>-4.1509433962264142E-2</v>
      </c>
      <c r="DB54" s="20">
        <f t="shared" ca="1" si="84"/>
        <v>-2.3060796645702302E-2</v>
      </c>
      <c r="DC54" s="20">
        <f t="shared" ca="1" si="85"/>
        <v>-1.2208657047724747E-2</v>
      </c>
      <c r="DD54" s="20">
        <f t="shared" ca="1" si="86"/>
        <v>-6.2893081761006275E-3</v>
      </c>
      <c r="DE54" s="20">
        <f t="shared" ca="1" si="87"/>
        <v>-3.1930333817126264E-3</v>
      </c>
      <c r="DF54" s="21">
        <f t="shared" ca="1" si="88"/>
        <v>3.1930333817126264E-3</v>
      </c>
      <c r="DG54" s="21">
        <f t="shared" ca="1" si="89"/>
        <v>6.2893081761006275E-3</v>
      </c>
      <c r="DH54" s="21">
        <f t="shared" ca="1" si="90"/>
        <v>1.2208657047724747E-2</v>
      </c>
      <c r="DI54" s="21">
        <f t="shared" ca="1" si="91"/>
        <v>2.3060796645702302E-2</v>
      </c>
      <c r="DJ54" s="21">
        <f t="shared" ca="1" si="92"/>
        <v>4.1509433962264142E-2</v>
      </c>
      <c r="DK54" s="21">
        <f t="shared" ca="1" si="93"/>
        <v>6.9182389937106903E-2</v>
      </c>
      <c r="DL54" s="21">
        <f t="shared" ca="1" si="94"/>
        <v>0.10377358490566035</v>
      </c>
      <c r="DN54" s="16" cm="1">
        <f t="array" aca="1" ref="DN54" ca="1">MAX(_xlfn._xlws.FILTER(CY54:DL54,CY54:DL54&lt;BW54))</f>
        <v>6.2893081761006275E-3</v>
      </c>
      <c r="DO54" s="16" cm="1">
        <f t="array" aca="1" ref="DO54" ca="1">MIN(_xlfn._xlws.FILTER(CY54:DL54,CY54:DL54&gt;BW54))</f>
        <v>1.2208657047724747E-2</v>
      </c>
      <c r="DP54" s="2" cm="1">
        <f t="array" aca="1" ref="DP54" ca="1">_FV(EE54,"Fechamento anterior",TRUE)</f>
        <v>13.94</v>
      </c>
      <c r="DQ54" s="28">
        <f t="shared" ca="1" si="15"/>
        <v>0.63414634146342097</v>
      </c>
      <c r="DR54" s="15">
        <f t="shared" ca="1" si="95"/>
        <v>14.027672955974841</v>
      </c>
      <c r="DS54" s="15">
        <f t="shared" ca="1" si="96"/>
        <v>14.110188679245283</v>
      </c>
      <c r="DT54" s="9"/>
      <c r="DU54" s="9"/>
      <c r="DV54" s="9"/>
      <c r="DW54" s="89">
        <v>3.2109171182018842E-3</v>
      </c>
      <c r="DX54" s="89">
        <f t="shared" ca="1" si="18"/>
        <v>5.9193488716241197E-3</v>
      </c>
      <c r="DY54" s="72">
        <f t="shared" ca="1" si="19"/>
        <v>-2.8545509365171221E-3</v>
      </c>
      <c r="DZ54" s="37"/>
      <c r="EA54" s="35">
        <f t="shared" si="39"/>
        <v>0.87579449644308693</v>
      </c>
      <c r="EB54" s="56"/>
      <c r="EC54" s="56"/>
      <c r="EE54" s="2" t="e" vm="54">
        <v>#VALUE!</v>
      </c>
      <c r="EG54" s="10" cm="1">
        <f t="array" aca="1" ref="EG54" ca="1">_FV(EE54,"Ações em circulação",TRUE)</f>
        <v>547191000</v>
      </c>
      <c r="EH54" s="18">
        <f>VLOOKUP(BR54,Fundamentus!A:U,5,FALSE)</f>
        <v>1.0189999999999999</v>
      </c>
      <c r="EI54" s="2">
        <f t="shared" ca="1" si="20"/>
        <v>7560794190.3827286</v>
      </c>
      <c r="EJ54" s="17">
        <v>592766264.52600586</v>
      </c>
      <c r="EK54" s="17">
        <f t="shared" ca="1" si="21"/>
        <v>592766264.52600586</v>
      </c>
      <c r="EM54" s="16">
        <f t="shared" ca="1" si="22"/>
        <v>0</v>
      </c>
      <c r="EN54" s="32" t="str">
        <f>IF(VLOOKUP(BR54,Fundamentus!A:U,3,FALSE)&lt;15,"Bom",IF(VLOOKUP(BR54,Fundamentus!A:U,3,FALSE)&gt;15,"Ruim","n/a"))</f>
        <v>Bom</v>
      </c>
      <c r="EO54" s="28" t="str">
        <f>IF(VLOOKUP(BR54,Fundamentus!A:U,4,FALSE)&lt;1,"Baixo",IF(VLOOKUP(BR54,Fundamentus!A:U,4,FALSE)&lt;1.5,"Moderado",IF(VLOOKUP(BR54,Fundamentus!A:U,4,FALSE)&gt;1.5,"Alto","n/a")))</f>
        <v>Alto</v>
      </c>
      <c r="EP54" s="17" t="str">
        <f>IF(VLOOKUP(BR54,Fundamentus!A:U,8,FALSE)&lt;0,"Risco elevado",IF(VLOOKUP(BR54,Fundamentus!A:U,8,FALSE)&lt;1,"Saudável",IF(VLOOKUP(BR54,Fundamentus!A:U,8,FALSE)&lt;3,"Estável",IF(VLOOKUP(BR54,Fundamentus!A:U,8,FALSE)&gt;3,"Alerta","n/a"))))</f>
        <v>Alerta</v>
      </c>
      <c r="EQ54" s="28" t="str">
        <f t="shared" si="23"/>
        <v>Bom</v>
      </c>
      <c r="ER54" s="17" t="str">
        <f>IF(VLOOKUP(BR54,Fundamentus!A:U,12,FALSE)&lt;2,"Subvalorizada",IF(VLOOKUP(BR54,Fundamentus!A:U,12,FALSE)&lt;6,"Muita barata",IF(VLOOKUP(BR54,Fundamentus!A:U,12,FALSE)&lt;6,"Barata",IF(VLOOKUP(BR54,Fundamentus!A:U,12,FALSE)&lt;8,"Atrativa",IF(VLOOKUP(BR54,Fundamentus!A:U,12,FALSE)&gt;8,"Supervalorizada","n/a")))))</f>
        <v>Muita barata</v>
      </c>
      <c r="ET54" s="17" t="str">
        <f>IF(VLOOKUP(BR54,Fundamentus!A:U,17,FALSE)&lt;0.1,"Fraco retorno",IF(VLOOKUP(BR54,Fundamentus!A:U,17,FALSE)&gt;0.1,"Bom retorno","n/a"))</f>
        <v>Bom retorno</v>
      </c>
      <c r="EU54" s="17" t="str">
        <f>IF(VLOOKUP(BR54,Fundamentus!A:U,16,FALSE)&lt;0.1,"Ineficiente",IF(VLOOKUP(BR54,Fundamentus!A:U,16,FALSE)&gt;0.1,"Eficiente","n/a"))</f>
        <v>Eficiente</v>
      </c>
      <c r="EV54" s="33" t="str">
        <f>IF(VLOOKUP(BR54,Fundamentus!A:U,16,FALSE)&lt;0.1,"Oper. Ineficiente",IF(VLOOKUP(BR54,Fundamentus!A:U,16,FALSE)&gt;0.1,"Oper.Eficiente","n/a"))</f>
        <v>Oper.Eficiente</v>
      </c>
      <c r="EW54" s="34">
        <f>VLOOKUP(BR54,Fundamentus!A:U,14,FALSE)</f>
        <v>7.8399999999999997E-2</v>
      </c>
      <c r="EX54" s="17" t="str">
        <f>IF(VLOOKUP(BR54,Fundamentus!A:U,21,FALSE)&lt;0,"Negativo",IF(VLOOKUP(BR54,Fundamentus!A:U,21,FALSE)&lt;0.05,"Fraco",IF(VLOOKUP(BR54,Fundamentus!A:U,21,FALSE)&lt;0.1,"Bom",IF(VLOOKUP(BR54,Fundamentus!A:U,21,FALSE)&gt;0.1,"Muito bom","n/a"))))</f>
        <v>Muito bom</v>
      </c>
      <c r="EZ54" s="29" t="str">
        <f>IF(VLOOKUP(BR54,Fundamentus!A:U,15,FALSE)&gt;1,"Bom",IF(VLOOKUP(BR54,Fundamentus!A:U,15,FALSE)&lt;1,"Ruim","n/a"))</f>
        <v>Bom</v>
      </c>
      <c r="FA54" s="17" t="str">
        <f>IF(VLOOKUP(BR54,Fundamentus!A:U,20,FALSE)&lt;0.5,"Baixa",IF(VLOOKUP(BR54,Fundamentus!A:U,20,FALSE)&lt;1,"Moderada",IF(VLOOKUP(BR54,Fundamentus!A:U,20,FALSE)&lt;2,"Alerta",IF(VLOOKUP(BR54,Fundamentus!A:U,20,FALSE)&gt;2,"Alta","n/a"))))</f>
        <v>Alerta</v>
      </c>
    </row>
    <row r="55" spans="1:157" s="2" customFormat="1" ht="11.25"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5">
        <v>9.1199999999999992</v>
      </c>
      <c r="BC55" s="52">
        <v>9.58</v>
      </c>
      <c r="BD55" s="52">
        <v>9.27</v>
      </c>
      <c r="BE55" s="52">
        <v>9.2799999999999994</v>
      </c>
      <c r="BF55" s="52">
        <v>9.01</v>
      </c>
      <c r="BG55" s="67">
        <v>9.3800000000000008</v>
      </c>
      <c r="BH55" s="52">
        <v>8.93</v>
      </c>
      <c r="BI55" s="52">
        <v>8.9700000000000006</v>
      </c>
      <c r="BJ55" s="52">
        <v>8.91</v>
      </c>
      <c r="BK55" s="52">
        <v>8.9600000000000009</v>
      </c>
      <c r="BL55" s="52">
        <v>8.4</v>
      </c>
      <c r="BM55" s="52">
        <v>8.4</v>
      </c>
      <c r="BN55" s="52">
        <v>7.88</v>
      </c>
      <c r="BO55" s="52">
        <v>7.86</v>
      </c>
      <c r="BP55" s="52">
        <v>7.58</v>
      </c>
      <c r="BQ55" s="52" cm="1">
        <f t="array" aca="1" ref="BQ55" ca="1">_FV(EE55,"Preço")</f>
        <v>7.58</v>
      </c>
      <c r="BR55" s="69" t="s">
        <v>52</v>
      </c>
      <c r="BS55" s="36" cm="1">
        <f t="array" aca="1" ref="BS55" ca="1">_FV(EE55,"Média de volume",TRUE)</f>
        <v>127090</v>
      </c>
      <c r="BT55" s="36">
        <v>140000</v>
      </c>
      <c r="BU55" s="36" cm="1">
        <f t="array" aca="1" ref="BU55" ca="1">_FV(EE55,"Volume")</f>
        <v>140000</v>
      </c>
      <c r="BV55" s="24" cm="1">
        <f t="array" aca="1" ref="BV55" ca="1">_FV(EE55,"Beta")</f>
        <v>0.61339999999999995</v>
      </c>
      <c r="BW55" s="71" cm="1">
        <f t="array" aca="1" ref="BW55" ca="1">_FV(EE55,"Variação (%)",TRUE)</f>
        <v>-2.6319999999999998E-3</v>
      </c>
      <c r="BY55" s="17" cm="1">
        <f t="array" aca="1" ref="BY55" ca="1">_FV(EE55,"Baixo")</f>
        <v>7.44</v>
      </c>
      <c r="BZ55" s="17" cm="1">
        <f t="array" aca="1" ref="BZ55" ca="1">_FV(EE55,"Alto")</f>
        <v>7.66</v>
      </c>
      <c r="CA55" s="24"/>
      <c r="CB55" s="63">
        <f ca="1">SQRT(22.5*(BQ55/VLOOKUP(BR55,Fundamentus!A:U,3,FALSE))*(BQ55/VLOOKUP(BR55,Fundamentus!A:U,4,FALSE)))</f>
        <v>15.334650979515716</v>
      </c>
      <c r="CD55" s="62">
        <f t="shared" ca="1" si="24"/>
        <v>0</v>
      </c>
      <c r="CE55" s="8"/>
      <c r="CF55" s="61">
        <f t="shared" si="25"/>
        <v>7.58</v>
      </c>
      <c r="CG55" s="61">
        <f t="shared" si="26"/>
        <v>11.28</v>
      </c>
      <c r="CH55" s="61">
        <f t="shared" si="27"/>
        <v>9.670808823529411</v>
      </c>
      <c r="CI55" s="14"/>
      <c r="CJ55" s="35">
        <f t="shared" si="1"/>
        <v>6.4973007936513536</v>
      </c>
      <c r="CK55" s="15">
        <f t="shared" si="28"/>
        <v>7.3100000000001728</v>
      </c>
      <c r="CL55" s="35">
        <f t="shared" si="2"/>
        <v>8.122699206348992</v>
      </c>
      <c r="CN55" s="14"/>
      <c r="CO55" s="17">
        <f t="shared" si="3"/>
        <v>2.6466666666666665</v>
      </c>
      <c r="CP55" s="17">
        <f t="shared" si="4"/>
        <v>5.1133333333333333</v>
      </c>
      <c r="CQ55" s="17">
        <f t="shared" si="5"/>
        <v>6.3466666666666658</v>
      </c>
      <c r="CR55" s="38">
        <f t="shared" si="29"/>
        <v>8.8133333333333326</v>
      </c>
      <c r="CS55" s="17">
        <f t="shared" si="6"/>
        <v>10.046666666666665</v>
      </c>
      <c r="CT55" s="17">
        <f t="shared" si="7"/>
        <v>12.513333333333332</v>
      </c>
      <c r="CU55" s="17">
        <f t="shared" si="8"/>
        <v>13.746666666666664</v>
      </c>
      <c r="CV55" s="2" cm="1">
        <f t="array" aca="1" ref="CV55" ca="1">MAX(_xlfn._xlws.FILTER(CO55:CU55,CO55:CU55&lt;BQ55))</f>
        <v>6.3466666666666658</v>
      </c>
      <c r="CW55" s="2" cm="1">
        <f t="array" aca="1" ref="CW55" ca="1">MIN(_xlfn._xlws.FILTER($CO55:$CU55,$CO55:$CU55&gt;BQ55))</f>
        <v>8.8133333333333326</v>
      </c>
      <c r="CX55" s="16">
        <f t="shared" ca="1" si="80"/>
        <v>0.38865546218487412</v>
      </c>
      <c r="CY55" s="20">
        <f t="shared" ca="1" si="81"/>
        <v>-0.19432773109243706</v>
      </c>
      <c r="CZ55" s="20">
        <f t="shared" ca="1" si="82"/>
        <v>-0.12955182072829138</v>
      </c>
      <c r="DA55" s="20">
        <f t="shared" ca="1" si="83"/>
        <v>-7.7731092436974819E-2</v>
      </c>
      <c r="DB55" s="20">
        <f t="shared" ca="1" si="84"/>
        <v>-4.3183940242763792E-2</v>
      </c>
      <c r="DC55" s="20">
        <f t="shared" ca="1" si="85"/>
        <v>-2.2862086010874947E-2</v>
      </c>
      <c r="DD55" s="20">
        <f t="shared" ca="1" si="86"/>
        <v>-1.1777438248026489E-2</v>
      </c>
      <c r="DE55" s="20">
        <f t="shared" ca="1" si="87"/>
        <v>-5.9793148028442177E-3</v>
      </c>
      <c r="DF55" s="21">
        <f t="shared" ca="1" si="88"/>
        <v>5.9793148028442177E-3</v>
      </c>
      <c r="DG55" s="21">
        <f t="shared" ca="1" si="89"/>
        <v>1.1777438248026489E-2</v>
      </c>
      <c r="DH55" s="21">
        <f t="shared" ca="1" si="90"/>
        <v>2.2862086010874947E-2</v>
      </c>
      <c r="DI55" s="21">
        <f t="shared" ca="1" si="91"/>
        <v>4.3183940242763792E-2</v>
      </c>
      <c r="DJ55" s="21">
        <f t="shared" ca="1" si="92"/>
        <v>7.7731092436974819E-2</v>
      </c>
      <c r="DK55" s="21">
        <f t="shared" ca="1" si="93"/>
        <v>0.12955182072829138</v>
      </c>
      <c r="DL55" s="21">
        <f t="shared" ca="1" si="94"/>
        <v>0.19432773109243706</v>
      </c>
      <c r="DN55" s="16" cm="1">
        <f t="array" aca="1" ref="DN55" ca="1">MAX(_xlfn._xlws.FILTER(CY55:DL55,CY55:DL55&lt;BW55))</f>
        <v>-5.9793148028442177E-3</v>
      </c>
      <c r="DO55" s="16" cm="1">
        <f t="array" aca="1" ref="DO55" ca="1">MIN(_xlfn._xlws.FILTER(CY55:DL55,CY55:DL55&gt;BW55))</f>
        <v>5.9793148028442177E-3</v>
      </c>
      <c r="DP55" s="2" cm="1">
        <f t="array" aca="1" ref="DP55" ca="1">_FV(EE55,"Fechamento anterior",TRUE)</f>
        <v>7.6</v>
      </c>
      <c r="DQ55" s="28">
        <f t="shared" ca="1" si="15"/>
        <v>0.27994310099573649</v>
      </c>
      <c r="DR55" s="15">
        <f t="shared" ca="1" si="95"/>
        <v>7.5545572074983838</v>
      </c>
      <c r="DS55" s="15">
        <f t="shared" ca="1" si="96"/>
        <v>7.6454427925016155</v>
      </c>
      <c r="DT55" s="9"/>
      <c r="DU55" s="9"/>
      <c r="DV55" s="9"/>
      <c r="DW55" s="89">
        <v>1.0439560439560437E-2</v>
      </c>
      <c r="DX55" s="89">
        <f t="shared" ca="1" si="18"/>
        <v>1.1958629605688435E-2</v>
      </c>
      <c r="DY55" s="72">
        <f t="shared" ca="1" si="19"/>
        <v>0.33222623806026014</v>
      </c>
      <c r="DZ55" s="37"/>
      <c r="EA55" s="35">
        <f t="shared" si="39"/>
        <v>0.40634960317440966</v>
      </c>
      <c r="EB55" s="56"/>
      <c r="EC55" s="56"/>
      <c r="EE55" s="2" t="e" vm="55">
        <v>#VALUE!</v>
      </c>
      <c r="EG55" s="10" cm="1">
        <f t="array" aca="1" ref="EG55" ca="1">_FV(EE55,"Ações em circulação",TRUE)</f>
        <v>93170750</v>
      </c>
      <c r="EH55" s="18">
        <f>VLOOKUP(BR55,Fundamentus!A:U,5,FALSE)</f>
        <v>0.60199999999999998</v>
      </c>
      <c r="EI55" s="2">
        <f t="shared" ca="1" si="20"/>
        <v>1173146652.8239202</v>
      </c>
      <c r="EJ55" s="17">
        <v>83058783.019933552</v>
      </c>
      <c r="EK55" s="17">
        <f t="shared" ca="1" si="21"/>
        <v>83058783.019933552</v>
      </c>
      <c r="EM55" s="16">
        <f t="shared" ca="1" si="22"/>
        <v>0</v>
      </c>
      <c r="EN55" s="32" t="str">
        <f>IF(VLOOKUP(BR55,Fundamentus!A:U,3,FALSE)&lt;15,"Bom",IF(VLOOKUP(BR55,Fundamentus!A:U,3,FALSE)&gt;15,"Ruim","n/a"))</f>
        <v>Bom</v>
      </c>
      <c r="EO55" s="28" t="str">
        <f>IF(VLOOKUP(BR55,Fundamentus!A:U,4,FALSE)&lt;1,"Baixo",IF(VLOOKUP(BR55,Fundamentus!A:U,4,FALSE)&lt;1.5,"Moderado",IF(VLOOKUP(BR55,Fundamentus!A:U,4,FALSE)&gt;1.5,"Alto","n/a")))</f>
        <v>Baixo</v>
      </c>
      <c r="EP55" s="17" t="str">
        <f>IF(VLOOKUP(BR55,Fundamentus!A:U,8,FALSE)&lt;0,"Risco elevado",IF(VLOOKUP(BR55,Fundamentus!A:U,8,FALSE)&lt;1,"Saudável",IF(VLOOKUP(BR55,Fundamentus!A:U,8,FALSE)&lt;3,"Estável",IF(VLOOKUP(BR55,Fundamentus!A:U,8,FALSE)&gt;3,"Alerta","n/a"))))</f>
        <v>Saudável</v>
      </c>
      <c r="EQ55" s="28" t="str">
        <f t="shared" si="23"/>
        <v>Ruim</v>
      </c>
      <c r="ER55" s="17" t="str">
        <f>IF(VLOOKUP(BR55,Fundamentus!A:U,12,FALSE)&lt;2,"Subvalorizada",IF(VLOOKUP(BR55,Fundamentus!A:U,12,FALSE)&lt;6,"Muita barata",IF(VLOOKUP(BR55,Fundamentus!A:U,12,FALSE)&lt;6,"Barata",IF(VLOOKUP(BR55,Fundamentus!A:U,12,FALSE)&lt;8,"Atrativa",IF(VLOOKUP(BR55,Fundamentus!A:U,12,FALSE)&gt;8,"Supervalorizada","n/a")))))</f>
        <v>Supervalorizada</v>
      </c>
      <c r="ET55" s="17" t="str">
        <f>IF(VLOOKUP(BR55,Fundamentus!A:U,17,FALSE)&lt;0.1,"Fraco retorno",IF(VLOOKUP(BR55,Fundamentus!A:U,17,FALSE)&gt;0.1,"Bom retorno","n/a"))</f>
        <v>Fraco retorno</v>
      </c>
      <c r="EU55" s="17" t="str">
        <f>IF(VLOOKUP(BR55,Fundamentus!A:U,16,FALSE)&lt;0.1,"Ineficiente",IF(VLOOKUP(BR55,Fundamentus!A:U,16,FALSE)&gt;0.1,"Eficiente","n/a"))</f>
        <v>Ineficiente</v>
      </c>
      <c r="EV55" s="33" t="str">
        <f>IF(VLOOKUP(BR55,Fundamentus!A:U,16,FALSE)&lt;0.1,"Oper. Ineficiente",IF(VLOOKUP(BR55,Fundamentus!A:U,16,FALSE)&gt;0.1,"Oper.Eficiente","n/a"))</f>
        <v>Oper. Ineficiente</v>
      </c>
      <c r="EW55" s="34">
        <f>VLOOKUP(BR55,Fundamentus!A:U,14,FALSE)</f>
        <v>7.0800000000000002E-2</v>
      </c>
      <c r="EX55" s="17" t="str">
        <f>IF(VLOOKUP(BR55,Fundamentus!A:U,21,FALSE)&lt;0,"Negativo",IF(VLOOKUP(BR55,Fundamentus!A:U,21,FALSE)&lt;0.05,"Fraco",IF(VLOOKUP(BR55,Fundamentus!A:U,21,FALSE)&lt;0.1,"Bom",IF(VLOOKUP(BR55,Fundamentus!A:U,21,FALSE)&gt;0.1,"Muito bom","n/a"))))</f>
        <v>Negativo</v>
      </c>
      <c r="EZ55" s="29" t="str">
        <f>IF(VLOOKUP(BR55,Fundamentus!A:U,15,FALSE)&gt;1,"Bom",IF(VLOOKUP(BR55,Fundamentus!A:U,15,FALSE)&lt;1,"Ruim","n/a"))</f>
        <v>Bom</v>
      </c>
      <c r="FA55" s="17" t="str">
        <f>IF(VLOOKUP(BR55,Fundamentus!A:U,20,FALSE)&lt;0.5,"Baixa",IF(VLOOKUP(BR55,Fundamentus!A:U,20,FALSE)&lt;1,"Moderada",IF(VLOOKUP(BR55,Fundamentus!A:U,20,FALSE)&lt;2,"Alerta",IF(VLOOKUP(BR55,Fundamentus!A:U,20,FALSE)&gt;2,"Alta","n/a"))))</f>
        <v>Moderada</v>
      </c>
    </row>
    <row r="56" spans="1:157" s="2" customFormat="1" ht="11.25"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5">
        <v>11.93</v>
      </c>
      <c r="BC56" s="52">
        <v>11.84</v>
      </c>
      <c r="BD56" s="52">
        <v>11.85</v>
      </c>
      <c r="BE56" s="52">
        <v>11.81</v>
      </c>
      <c r="BF56" s="52">
        <v>11.5</v>
      </c>
      <c r="BG56" s="67">
        <v>11.36</v>
      </c>
      <c r="BH56" s="52">
        <v>11.48</v>
      </c>
      <c r="BI56" s="52">
        <v>11.54</v>
      </c>
      <c r="BJ56" s="52">
        <v>11.75</v>
      </c>
      <c r="BK56" s="52">
        <v>11.36</v>
      </c>
      <c r="BL56" s="52">
        <v>11.24</v>
      </c>
      <c r="BM56" s="52">
        <v>11.16</v>
      </c>
      <c r="BN56" s="52">
        <v>11.14</v>
      </c>
      <c r="BO56" s="52">
        <v>11.18</v>
      </c>
      <c r="BP56" s="52">
        <v>11.3</v>
      </c>
      <c r="BQ56" s="52" cm="1">
        <f t="array" aca="1" ref="BQ56" ca="1">_FV(EE56,"Preço")</f>
        <v>11.3</v>
      </c>
      <c r="BR56" s="69" t="s">
        <v>53</v>
      </c>
      <c r="BS56" s="36" cm="1">
        <f t="array" aca="1" ref="BS56" ca="1">_FV(EE56,"Média de volume",TRUE)</f>
        <v>2357510</v>
      </c>
      <c r="BT56" s="36">
        <v>143900</v>
      </c>
      <c r="BU56" s="36" cm="1">
        <f t="array" aca="1" ref="BU56" ca="1">_FV(EE56,"Volume")</f>
        <v>143900</v>
      </c>
      <c r="BV56" s="24" cm="1">
        <f t="array" aca="1" ref="BV56" ca="1">_FV(EE56,"Beta")</f>
        <v>0.71309999999999996</v>
      </c>
      <c r="BW56" s="71" cm="1">
        <f t="array" aca="1" ref="BW56" ca="1">_FV(EE56,"Variação (%)",TRUE)</f>
        <v>8.9289999999999994E-3</v>
      </c>
      <c r="BY56" s="17" cm="1">
        <f t="array" aca="1" ref="BY56" ca="1">_FV(EE56,"Baixo")</f>
        <v>11.26</v>
      </c>
      <c r="BZ56" s="17" cm="1">
        <f t="array" aca="1" ref="BZ56" ca="1">_FV(EE56,"Alto")</f>
        <v>11.46</v>
      </c>
      <c r="CA56" s="24"/>
      <c r="CB56" s="63">
        <f ca="1">SQRT(22.5*(BQ56/VLOOKUP(BR56,Fundamentus!A:U,3,FALSE))*(BQ56/VLOOKUP(BR56,Fundamentus!A:U,4,FALSE)))</f>
        <v>16.182536491065285</v>
      </c>
      <c r="CD56" s="62">
        <f t="shared" ca="1" si="24"/>
        <v>0</v>
      </c>
      <c r="CE56" s="8"/>
      <c r="CF56" s="61">
        <f t="shared" si="25"/>
        <v>10.77</v>
      </c>
      <c r="CG56" s="61">
        <f t="shared" si="26"/>
        <v>12.27</v>
      </c>
      <c r="CH56" s="61">
        <f t="shared" si="27"/>
        <v>11.462352941176469</v>
      </c>
      <c r="CI56" s="14"/>
      <c r="CJ56" s="35">
        <f t="shared" si="1"/>
        <v>11.15120453406977</v>
      </c>
      <c r="CK56" s="15">
        <f t="shared" si="28"/>
        <v>11.310000000000002</v>
      </c>
      <c r="CL56" s="35">
        <f t="shared" si="2"/>
        <v>11.468795465930235</v>
      </c>
      <c r="CN56" s="14"/>
      <c r="CO56" s="17">
        <f t="shared" si="3"/>
        <v>9.1233333333333348</v>
      </c>
      <c r="CP56" s="17">
        <f t="shared" si="4"/>
        <v>9.9466666666666672</v>
      </c>
      <c r="CQ56" s="17">
        <f t="shared" si="5"/>
        <v>10.623333333333335</v>
      </c>
      <c r="CR56" s="38">
        <f t="shared" si="29"/>
        <v>11.446666666666667</v>
      </c>
      <c r="CS56" s="17">
        <f t="shared" si="6"/>
        <v>12.123333333333335</v>
      </c>
      <c r="CT56" s="17">
        <f t="shared" si="7"/>
        <v>12.946666666666667</v>
      </c>
      <c r="CU56" s="17">
        <f t="shared" si="8"/>
        <v>13.623333333333335</v>
      </c>
      <c r="CV56" s="2" cm="1">
        <f t="array" aca="1" ref="CV56" ca="1">MAX(_xlfn._xlws.FILTER(CO56:CU56,CO56:CU56&lt;BQ56))</f>
        <v>10.623333333333335</v>
      </c>
      <c r="CW56" s="2" cm="1">
        <f t="array" aca="1" ref="CW56" ca="1">MIN(_xlfn._xlws.FILTER($CO56:$CU56,$CO56:$CU56&gt;BQ56))</f>
        <v>11.446666666666667</v>
      </c>
      <c r="CX56" s="16">
        <f t="shared" ca="1" si="80"/>
        <v>7.750235331032318E-2</v>
      </c>
      <c r="CY56" s="20">
        <f t="shared" ca="1" si="81"/>
        <v>-3.875117665516159E-2</v>
      </c>
      <c r="CZ56" s="20">
        <f t="shared" ca="1" si="82"/>
        <v>-2.5834117770107728E-2</v>
      </c>
      <c r="DA56" s="20">
        <f t="shared" ca="1" si="83"/>
        <v>-1.5500470662064636E-2</v>
      </c>
      <c r="DB56" s="20">
        <f t="shared" ca="1" si="84"/>
        <v>-8.6113725900359081E-3</v>
      </c>
      <c r="DC56" s="20">
        <f t="shared" ca="1" si="85"/>
        <v>-4.5589619594307755E-3</v>
      </c>
      <c r="DD56" s="20">
        <f t="shared" ca="1" si="86"/>
        <v>-2.348556160918884E-3</v>
      </c>
      <c r="DE56" s="20">
        <f t="shared" ca="1" si="87"/>
        <v>-1.1923438970818951E-3</v>
      </c>
      <c r="DF56" s="21">
        <f t="shared" ca="1" si="88"/>
        <v>1.1923438970818951E-3</v>
      </c>
      <c r="DG56" s="21">
        <f t="shared" ca="1" si="89"/>
        <v>2.348556160918884E-3</v>
      </c>
      <c r="DH56" s="21">
        <f t="shared" ca="1" si="90"/>
        <v>4.5589619594307755E-3</v>
      </c>
      <c r="DI56" s="21">
        <f t="shared" ca="1" si="91"/>
        <v>8.6113725900359081E-3</v>
      </c>
      <c r="DJ56" s="21">
        <f t="shared" ca="1" si="92"/>
        <v>1.5500470662064636E-2</v>
      </c>
      <c r="DK56" s="21">
        <f t="shared" ca="1" si="93"/>
        <v>2.5834117770107728E-2</v>
      </c>
      <c r="DL56" s="21">
        <f t="shared" ca="1" si="94"/>
        <v>3.875117665516159E-2</v>
      </c>
      <c r="DN56" s="16" cm="1">
        <f t="array" aca="1" ref="DN56" ca="1">MAX(_xlfn._xlws.FILTER(CY56:DL56,CY56:DL56&lt;BW56))</f>
        <v>8.6113725900359081E-3</v>
      </c>
      <c r="DO56" s="16" cm="1">
        <f t="array" aca="1" ref="DO56" ca="1">MIN(_xlfn._xlws.FILTER(CY56:DL56,CY56:DL56&gt;BW56))</f>
        <v>1.5500470662064636E-2</v>
      </c>
      <c r="DP56" s="2" cm="1">
        <f t="array" aca="1" ref="DP56" ca="1">_FV(EE56,"Fechamento anterior",TRUE)</f>
        <v>11.2</v>
      </c>
      <c r="DQ56" s="28">
        <f t="shared" ca="1" si="15"/>
        <v>4.6043594563348264E-2</v>
      </c>
      <c r="DR56" s="15">
        <f t="shared" ca="1" si="95"/>
        <v>11.296447373008402</v>
      </c>
      <c r="DS56" s="15">
        <f t="shared" ca="1" si="96"/>
        <v>11.373605271415123</v>
      </c>
      <c r="DT56" s="9"/>
      <c r="DU56" s="9"/>
      <c r="DV56" s="9"/>
      <c r="DW56" s="89">
        <v>2.3353807363775546E-3</v>
      </c>
      <c r="DX56" s="89">
        <f t="shared" ca="1" si="18"/>
        <v>6.8890980720287282E-3</v>
      </c>
      <c r="DY56" s="72">
        <f t="shared" ca="1" si="19"/>
        <v>-6.2974090232495047E-2</v>
      </c>
      <c r="DZ56" s="37"/>
      <c r="EA56" s="35">
        <f t="shared" si="39"/>
        <v>7.9397732965116541E-2</v>
      </c>
      <c r="EB56" s="56"/>
      <c r="EC56" s="56"/>
      <c r="EE56" s="2" t="e" vm="56">
        <v>#VALUE!</v>
      </c>
      <c r="EG56" s="10" cm="1">
        <f t="array" aca="1" ref="EG56" ca="1">_FV(EE56,"Ações em circulação",TRUE)</f>
        <v>344498900</v>
      </c>
      <c r="EH56" s="18">
        <f>VLOOKUP(BR56,Fundamentus!A:U,5,FALSE)</f>
        <v>2.9289999999999998</v>
      </c>
      <c r="EI56" s="2">
        <f t="shared" ca="1" si="20"/>
        <v>1329067111.642199</v>
      </c>
      <c r="EJ56" s="17">
        <v>564188988.89211345</v>
      </c>
      <c r="EK56" s="17">
        <f t="shared" ca="1" si="21"/>
        <v>564188988.89211345</v>
      </c>
      <c r="EM56" s="16">
        <f t="shared" ca="1" si="22"/>
        <v>0</v>
      </c>
      <c r="EN56" s="32" t="str">
        <f>IF(VLOOKUP(BR56,Fundamentus!A:U,3,FALSE)&lt;15,"Bom",IF(VLOOKUP(BR56,Fundamentus!A:U,3,FALSE)&gt;15,"Ruim","n/a"))</f>
        <v>Bom</v>
      </c>
      <c r="EO56" s="28" t="str">
        <f>IF(VLOOKUP(BR56,Fundamentus!A:U,4,FALSE)&lt;1,"Baixo",IF(VLOOKUP(BR56,Fundamentus!A:U,4,FALSE)&lt;1.5,"Moderado",IF(VLOOKUP(BR56,Fundamentus!A:U,4,FALSE)&gt;1.5,"Alto","n/a")))</f>
        <v>Alto</v>
      </c>
      <c r="EP56" s="17" t="str">
        <f>IF(VLOOKUP(BR56,Fundamentus!A:U,8,FALSE)&lt;0,"Risco elevado",IF(VLOOKUP(BR56,Fundamentus!A:U,8,FALSE)&lt;1,"Saudável",IF(VLOOKUP(BR56,Fundamentus!A:U,8,FALSE)&lt;3,"Estável",IF(VLOOKUP(BR56,Fundamentus!A:U,8,FALSE)&gt;3,"Alerta","n/a"))))</f>
        <v>Alerta</v>
      </c>
      <c r="EQ56" s="28" t="str">
        <f t="shared" si="23"/>
        <v>Bom</v>
      </c>
      <c r="ER56" s="17" t="str">
        <f>IF(VLOOKUP(BR56,Fundamentus!A:U,12,FALSE)&lt;2,"Subvalorizada",IF(VLOOKUP(BR56,Fundamentus!A:U,12,FALSE)&lt;6,"Muita barata",IF(VLOOKUP(BR56,Fundamentus!A:U,12,FALSE)&lt;6,"Barata",IF(VLOOKUP(BR56,Fundamentus!A:U,12,FALSE)&lt;8,"Atrativa",IF(VLOOKUP(BR56,Fundamentus!A:U,12,FALSE)&gt;8,"Supervalorizada","n/a")))))</f>
        <v>Supervalorizada</v>
      </c>
      <c r="ET56" s="17" t="str">
        <f>IF(VLOOKUP(BR56,Fundamentus!A:U,17,FALSE)&lt;0.1,"Fraco retorno",IF(VLOOKUP(BR56,Fundamentus!A:U,17,FALSE)&gt;0.1,"Bom retorno","n/a"))</f>
        <v>Bom retorno</v>
      </c>
      <c r="EU56" s="17" t="str">
        <f>IF(VLOOKUP(BR56,Fundamentus!A:U,16,FALSE)&lt;0.1,"Ineficiente",IF(VLOOKUP(BR56,Fundamentus!A:U,16,FALSE)&gt;0.1,"Eficiente","n/a"))</f>
        <v>Eficiente</v>
      </c>
      <c r="EV56" s="33" t="str">
        <f>IF(VLOOKUP(BR56,Fundamentus!A:U,16,FALSE)&lt;0.1,"Oper. Ineficiente",IF(VLOOKUP(BR56,Fundamentus!A:U,16,FALSE)&gt;0.1,"Oper.Eficiente","n/a"))</f>
        <v>Oper.Eficiente</v>
      </c>
      <c r="EW56" s="34">
        <f>VLOOKUP(BR56,Fundamentus!A:U,14,FALSE)</f>
        <v>0.42449999999999999</v>
      </c>
      <c r="EX56" s="17" t="str">
        <f>IF(VLOOKUP(BR56,Fundamentus!A:U,21,FALSE)&lt;0,"Negativo",IF(VLOOKUP(BR56,Fundamentus!A:U,21,FALSE)&lt;0.05,"Fraco",IF(VLOOKUP(BR56,Fundamentus!A:U,21,FALSE)&lt;0.1,"Bom",IF(VLOOKUP(BR56,Fundamentus!A:U,21,FALSE)&gt;0.1,"Muito bom","n/a"))))</f>
        <v>Fraco</v>
      </c>
      <c r="EZ56" s="29" t="str">
        <f>IF(VLOOKUP(BR56,Fundamentus!A:U,15,FALSE)&gt;1,"Bom",IF(VLOOKUP(BR56,Fundamentus!A:U,15,FALSE)&lt;1,"Ruim","n/a"))</f>
        <v>Bom</v>
      </c>
      <c r="FA56" s="17" t="str">
        <f>IF(VLOOKUP(BR56,Fundamentus!A:U,20,FALSE)&lt;0.5,"Baixa",IF(VLOOKUP(BR56,Fundamentus!A:U,20,FALSE)&lt;1,"Moderada",IF(VLOOKUP(BR56,Fundamentus!A:U,20,FALSE)&lt;2,"Alerta",IF(VLOOKUP(BR56,Fundamentus!A:U,20,FALSE)&gt;2,"Alta","n/a"))))</f>
        <v>Alerta</v>
      </c>
    </row>
    <row r="57" spans="1:157" s="2" customFormat="1" ht="11.25"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5">
        <v>19.21</v>
      </c>
      <c r="BC57" s="52">
        <v>17.89</v>
      </c>
      <c r="BD57" s="52">
        <v>18.059999999999999</v>
      </c>
      <c r="BE57" s="52">
        <v>18.82</v>
      </c>
      <c r="BF57" s="52">
        <v>19.079999999999998</v>
      </c>
      <c r="BG57" s="67">
        <v>19.13</v>
      </c>
      <c r="BH57" s="52">
        <v>17.97</v>
      </c>
      <c r="BI57" s="52">
        <v>17.96</v>
      </c>
      <c r="BJ57" s="52">
        <v>18.579999999999998</v>
      </c>
      <c r="BK57" s="52">
        <v>17.12</v>
      </c>
      <c r="BL57" s="52">
        <v>16.579999999999998</v>
      </c>
      <c r="BM57" s="52">
        <v>16.68</v>
      </c>
      <c r="BN57" s="52">
        <v>16.329999999999998</v>
      </c>
      <c r="BO57" s="52">
        <v>15.36</v>
      </c>
      <c r="BP57" s="52">
        <v>15.96</v>
      </c>
      <c r="BQ57" s="52" cm="1">
        <f t="array" aca="1" ref="BQ57" ca="1">_FV(EE57,"Preço")</f>
        <v>15.96</v>
      </c>
      <c r="BR57" s="69" t="s">
        <v>54</v>
      </c>
      <c r="BS57" s="36" cm="1">
        <f t="array" aca="1" ref="BS57" ca="1">_FV(EE57,"Média de volume",TRUE)</f>
        <v>11585950</v>
      </c>
      <c r="BT57" s="36">
        <v>10538900</v>
      </c>
      <c r="BU57" s="36" cm="1">
        <f t="array" aca="1" ref="BU57" ca="1">_FV(EE57,"Volume")</f>
        <v>10538900</v>
      </c>
      <c r="BV57" s="24" cm="1">
        <f t="array" aca="1" ref="BV57" ca="1">_FV(EE57,"Beta")</f>
        <v>0.8024</v>
      </c>
      <c r="BW57" s="71" cm="1">
        <f t="array" aca="1" ref="BW57" ca="1">_FV(EE57,"Variação (%)",TRUE)</f>
        <v>-4.9880000000000002E-3</v>
      </c>
      <c r="BY57" s="17" cm="1">
        <f t="array" aca="1" ref="BY57" ca="1">_FV(EE57,"Baixo")</f>
        <v>15.65</v>
      </c>
      <c r="BZ57" s="17" cm="1">
        <f t="array" aca="1" ref="BZ57" ca="1">_FV(EE57,"Alto")</f>
        <v>16.04</v>
      </c>
      <c r="CA57" s="24"/>
      <c r="CB57" s="63" t="e">
        <f ca="1">SQRT(22.5*(BQ57/VLOOKUP(BR57,Fundamentus!A:U,3,FALSE))*(BQ57/VLOOKUP(BR57,Fundamentus!A:U,4,FALSE)))</f>
        <v>#NUM!</v>
      </c>
      <c r="CD57" s="62">
        <f t="shared" ca="1" si="24"/>
        <v>0</v>
      </c>
      <c r="CE57" s="8"/>
      <c r="CF57" s="61">
        <f t="shared" si="25"/>
        <v>15.36</v>
      </c>
      <c r="CG57" s="61">
        <f t="shared" si="26"/>
        <v>23.61</v>
      </c>
      <c r="CH57" s="61">
        <f t="shared" si="27"/>
        <v>19.245073529411769</v>
      </c>
      <c r="CI57" s="14"/>
      <c r="CJ57" s="35">
        <f t="shared" si="1"/>
        <v>14.128771585044328</v>
      </c>
      <c r="CK57" s="15">
        <f t="shared" si="28"/>
        <v>15.300000000000182</v>
      </c>
      <c r="CL57" s="35">
        <f t="shared" si="2"/>
        <v>16.471228414956038</v>
      </c>
      <c r="CN57" s="14"/>
      <c r="CO57" s="17">
        <f t="shared" si="3"/>
        <v>4.759999999999998</v>
      </c>
      <c r="CP57" s="17">
        <f t="shared" si="4"/>
        <v>10.059999999999999</v>
      </c>
      <c r="CQ57" s="17">
        <f t="shared" si="5"/>
        <v>13.009999999999998</v>
      </c>
      <c r="CR57" s="38">
        <f t="shared" si="29"/>
        <v>18.309999999999999</v>
      </c>
      <c r="CS57" s="17">
        <f t="shared" si="6"/>
        <v>21.259999999999998</v>
      </c>
      <c r="CT57" s="17">
        <f t="shared" si="7"/>
        <v>26.56</v>
      </c>
      <c r="CU57" s="17">
        <f t="shared" si="8"/>
        <v>29.509999999999998</v>
      </c>
      <c r="CV57" s="2" cm="1">
        <f t="array" aca="1" ref="CV57" ca="1">MAX(_xlfn._xlws.FILTER(CO57:CU57,CO57:CU57&lt;BQ57))</f>
        <v>13.009999999999998</v>
      </c>
      <c r="CW57" s="2" cm="1">
        <f t="array" aca="1" ref="CW57" ca="1">MIN(_xlfn._xlws.FILTER($CO57:$CU57,$CO57:$CU57&gt;BQ57))</f>
        <v>18.309999999999999</v>
      </c>
      <c r="CX57" s="16">
        <f t="shared" ca="1" si="80"/>
        <v>0.40737893927747892</v>
      </c>
      <c r="CY57" s="20">
        <f t="shared" ca="1" si="81"/>
        <v>-0.20368946963873946</v>
      </c>
      <c r="CZ57" s="20">
        <f t="shared" ca="1" si="82"/>
        <v>-0.13579297975915963</v>
      </c>
      <c r="DA57" s="20">
        <f t="shared" ca="1" si="83"/>
        <v>-8.1475787855495779E-2</v>
      </c>
      <c r="DB57" s="20">
        <f t="shared" ca="1" si="84"/>
        <v>-4.5264326586386544E-2</v>
      </c>
      <c r="DC57" s="20">
        <f t="shared" ca="1" si="85"/>
        <v>-2.3963467016322289E-2</v>
      </c>
      <c r="DD57" s="20">
        <f t="shared" ca="1" si="86"/>
        <v>-1.2344816341741786E-2</v>
      </c>
      <c r="DE57" s="20">
        <f t="shared" ca="1" si="87"/>
        <v>-6.2673682965765989E-3</v>
      </c>
      <c r="DF57" s="21">
        <f t="shared" ca="1" si="88"/>
        <v>6.2673682965765989E-3</v>
      </c>
      <c r="DG57" s="21">
        <f t="shared" ca="1" si="89"/>
        <v>1.2344816341741786E-2</v>
      </c>
      <c r="DH57" s="21">
        <f t="shared" ca="1" si="90"/>
        <v>2.3963467016322289E-2</v>
      </c>
      <c r="DI57" s="21">
        <f t="shared" ca="1" si="91"/>
        <v>4.5264326586386544E-2</v>
      </c>
      <c r="DJ57" s="21">
        <f t="shared" ca="1" si="92"/>
        <v>8.1475787855495779E-2</v>
      </c>
      <c r="DK57" s="21">
        <f t="shared" ca="1" si="93"/>
        <v>0.13579297975915963</v>
      </c>
      <c r="DL57" s="21">
        <f t="shared" ca="1" si="94"/>
        <v>0.20368946963873946</v>
      </c>
      <c r="DN57" s="16" cm="1">
        <f t="array" aca="1" ref="DN57" ca="1">MAX(_xlfn._xlws.FILTER(CY57:DL57,CY57:DL57&lt;BW57))</f>
        <v>-6.2673682965765989E-3</v>
      </c>
      <c r="DO57" s="16" cm="1">
        <f t="array" aca="1" ref="DO57" ca="1">MIN(_xlfn._xlws.FILTER(CY57:DL57,CY57:DL57&gt;BW57))</f>
        <v>6.2673682965765989E-3</v>
      </c>
      <c r="DP57" s="2" cm="1">
        <f t="array" aca="1" ref="DP57" ca="1">_FV(EE57,"Fechamento anterior",TRUE)</f>
        <v>16.04</v>
      </c>
      <c r="DQ57" s="28">
        <f t="shared" ca="1" si="15"/>
        <v>0.10210323248483091</v>
      </c>
      <c r="DR57" s="15">
        <f t="shared" ca="1" si="95"/>
        <v>15.939471412522911</v>
      </c>
      <c r="DS57" s="15">
        <f t="shared" ca="1" si="96"/>
        <v>16.140528587477089</v>
      </c>
      <c r="DT57" s="9"/>
      <c r="DU57" s="9"/>
      <c r="DV57" s="9"/>
      <c r="DW57" s="89">
        <v>5.8154903515728273E-2</v>
      </c>
      <c r="DX57" s="89">
        <f t="shared" ca="1" si="18"/>
        <v>1.2534736593153198E-2</v>
      </c>
      <c r="DY57" s="72">
        <f t="shared" ca="1" si="19"/>
        <v>0.5635109185979712</v>
      </c>
      <c r="DZ57" s="37"/>
      <c r="EA57" s="35">
        <f t="shared" si="39"/>
        <v>0.58561420747792692</v>
      </c>
      <c r="EB57" s="56"/>
      <c r="EC57" s="56"/>
      <c r="EE57" s="2" t="e" vm="57">
        <v>#VALUE!</v>
      </c>
      <c r="EG57" s="10" cm="1">
        <f t="array" aca="1" ref="EG57" ca="1">_FV(EE57,"Ações em circulação",TRUE)</f>
        <v>1854869000</v>
      </c>
      <c r="EH57" s="18">
        <f>VLOOKUP(BR57,Fundamentus!A:U,5,FALSE)</f>
        <v>2.3039999999999998</v>
      </c>
      <c r="EI57" s="2">
        <f t="shared" ca="1" si="20"/>
        <v>12848832135.416668</v>
      </c>
      <c r="EJ57" s="17">
        <v>-1320859943.5208335</v>
      </c>
      <c r="EK57" s="17">
        <f t="shared" ca="1" si="21"/>
        <v>-1320859943.5208335</v>
      </c>
      <c r="EM57" s="16">
        <f t="shared" ca="1" si="22"/>
        <v>0</v>
      </c>
      <c r="EN57" s="32" t="str">
        <f>IF(VLOOKUP(BR57,Fundamentus!A:U,3,FALSE)&lt;15,"Bom",IF(VLOOKUP(BR57,Fundamentus!A:U,3,FALSE)&gt;15,"Ruim","n/a"))</f>
        <v>Bom</v>
      </c>
      <c r="EO57" s="28" t="str">
        <f>IF(VLOOKUP(BR57,Fundamentus!A:U,4,FALSE)&lt;1,"Baixo",IF(VLOOKUP(BR57,Fundamentus!A:U,4,FALSE)&lt;1.5,"Moderado",IF(VLOOKUP(BR57,Fundamentus!A:U,4,FALSE)&gt;1.5,"Alto","n/a")))</f>
        <v>Alto</v>
      </c>
      <c r="EP57" s="17" t="str">
        <f>IF(VLOOKUP(BR57,Fundamentus!A:U,8,FALSE)&lt;0,"Risco elevado",IF(VLOOKUP(BR57,Fundamentus!A:U,8,FALSE)&lt;1,"Saudável",IF(VLOOKUP(BR57,Fundamentus!A:U,8,FALSE)&lt;3,"Estável",IF(VLOOKUP(BR57,Fundamentus!A:U,8,FALSE)&gt;3,"Alerta","n/a"))))</f>
        <v>Alerta</v>
      </c>
      <c r="EQ57" s="28" t="str">
        <f t="shared" si="23"/>
        <v>Bom</v>
      </c>
      <c r="ER57" s="17" t="str">
        <f>IF(VLOOKUP(BR57,Fundamentus!A:U,12,FALSE)&lt;2,"Subvalorizada",IF(VLOOKUP(BR57,Fundamentus!A:U,12,FALSE)&lt;6,"Muita barata",IF(VLOOKUP(BR57,Fundamentus!A:U,12,FALSE)&lt;6,"Barata",IF(VLOOKUP(BR57,Fundamentus!A:U,12,FALSE)&lt;8,"Atrativa",IF(VLOOKUP(BR57,Fundamentus!A:U,12,FALSE)&gt;8,"Supervalorizada","n/a")))))</f>
        <v>Muita barata</v>
      </c>
      <c r="ET57" s="17" t="str">
        <f>IF(VLOOKUP(BR57,Fundamentus!A:U,17,FALSE)&lt;0.1,"Fraco retorno",IF(VLOOKUP(BR57,Fundamentus!A:U,17,FALSE)&gt;0.1,"Bom retorno","n/a"))</f>
        <v>Fraco retorno</v>
      </c>
      <c r="EU57" s="17" t="str">
        <f>IF(VLOOKUP(BR57,Fundamentus!A:U,16,FALSE)&lt;0.1,"Ineficiente",IF(VLOOKUP(BR57,Fundamentus!A:U,16,FALSE)&gt;0.1,"Eficiente","n/a"))</f>
        <v>Eficiente</v>
      </c>
      <c r="EV57" s="33" t="str">
        <f>IF(VLOOKUP(BR57,Fundamentus!A:U,16,FALSE)&lt;0.1,"Oper. Ineficiente",IF(VLOOKUP(BR57,Fundamentus!A:U,16,FALSE)&gt;0.1,"Oper.Eficiente","n/a"))</f>
        <v>Oper.Eficiente</v>
      </c>
      <c r="EW57" s="34">
        <f>VLOOKUP(BR57,Fundamentus!A:U,14,FALSE)</f>
        <v>-0.1028</v>
      </c>
      <c r="EX57" s="17" t="str">
        <f>IF(VLOOKUP(BR57,Fundamentus!A:U,21,FALSE)&lt;0,"Negativo",IF(VLOOKUP(BR57,Fundamentus!A:U,21,FALSE)&lt;0.05,"Fraco",IF(VLOOKUP(BR57,Fundamentus!A:U,21,FALSE)&lt;0.1,"Bom",IF(VLOOKUP(BR57,Fundamentus!A:U,21,FALSE)&gt;0.1,"Muito bom","n/a"))))</f>
        <v>Muito bom</v>
      </c>
      <c r="EZ57" s="29" t="str">
        <f>IF(VLOOKUP(BR57,Fundamentus!A:U,15,FALSE)&gt;1,"Bom",IF(VLOOKUP(BR57,Fundamentus!A:U,15,FALSE)&lt;1,"Ruim","n/a"))</f>
        <v>Bom</v>
      </c>
      <c r="FA57" s="17" t="str">
        <f>IF(VLOOKUP(BR57,Fundamentus!A:U,20,FALSE)&lt;0.5,"Baixa",IF(VLOOKUP(BR57,Fundamentus!A:U,20,FALSE)&lt;1,"Moderada",IF(VLOOKUP(BR57,Fundamentus!A:U,20,FALSE)&lt;2,"Alerta",IF(VLOOKUP(BR57,Fundamentus!A:U,20,FALSE)&gt;2,"Alta","n/a"))))</f>
        <v>Alerta</v>
      </c>
    </row>
    <row r="58" spans="1:157" s="2" customFormat="1" ht="11.25"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5">
        <v>26</v>
      </c>
      <c r="BC58" s="52">
        <v>25.46</v>
      </c>
      <c r="BD58" s="52">
        <v>24.97</v>
      </c>
      <c r="BE58" s="52">
        <v>24.97</v>
      </c>
      <c r="BF58" s="52">
        <v>25.2</v>
      </c>
      <c r="BG58" s="67">
        <v>24.4</v>
      </c>
      <c r="BH58" s="52">
        <v>25.26</v>
      </c>
      <c r="BI58" s="52">
        <v>25.62</v>
      </c>
      <c r="BJ58" s="52">
        <v>26.01</v>
      </c>
      <c r="BK58" s="52">
        <v>25.6</v>
      </c>
      <c r="BL58" s="52">
        <v>26.58</v>
      </c>
      <c r="BM58" s="52">
        <v>25.27</v>
      </c>
      <c r="BN58" s="52">
        <v>24.51</v>
      </c>
      <c r="BO58" s="52">
        <v>25.33</v>
      </c>
      <c r="BP58" s="52">
        <v>25.8</v>
      </c>
      <c r="BQ58" s="52" cm="1">
        <f t="array" aca="1" ref="BQ58" ca="1">_FV(EE58,"Preço")</f>
        <v>25.8</v>
      </c>
      <c r="BR58" s="69" t="s">
        <v>55</v>
      </c>
      <c r="BS58" s="36" cm="1">
        <f t="array" aca="1" ref="BS58" ca="1">_FV(EE58,"Média de volume",TRUE)</f>
        <v>5802240</v>
      </c>
      <c r="BT58" s="36">
        <v>9220500</v>
      </c>
      <c r="BU58" s="36" cm="1">
        <f t="array" aca="1" ref="BU58" ca="1">_FV(EE58,"Volume")</f>
        <v>9220500</v>
      </c>
      <c r="BV58" s="24" cm="1">
        <f t="array" aca="1" ref="BV58" ca="1">_FV(EE58,"Beta")</f>
        <v>1.6411</v>
      </c>
      <c r="BW58" s="71" cm="1">
        <f t="array" aca="1" ref="BW58" ca="1">_FV(EE58,"Variação (%)",TRUE)</f>
        <v>2.4216000000000001E-2</v>
      </c>
      <c r="BY58" s="17" cm="1">
        <f t="array" aca="1" ref="BY58" ca="1">_FV(EE58,"Baixo")</f>
        <v>24.1</v>
      </c>
      <c r="BZ58" s="17" cm="1">
        <f t="array" aca="1" ref="BZ58" ca="1">_FV(EE58,"Alto")</f>
        <v>25.88</v>
      </c>
      <c r="CA58" s="24"/>
      <c r="CB58" s="63">
        <f ca="1">SQRT(22.5*(BQ58/VLOOKUP(BR58,Fundamentus!A:U,3,FALSE))*(BQ58/VLOOKUP(BR58,Fundamentus!A:U,4,FALSE)))</f>
        <v>48.998727192728488</v>
      </c>
      <c r="CD58" s="62">
        <f t="shared" ca="1" si="24"/>
        <v>0</v>
      </c>
      <c r="CE58" s="8"/>
      <c r="CF58" s="61">
        <f t="shared" si="25"/>
        <v>16.43</v>
      </c>
      <c r="CG58" s="61">
        <f t="shared" si="26"/>
        <v>26.58</v>
      </c>
      <c r="CH58" s="61">
        <f t="shared" si="27"/>
        <v>21.848308823529408</v>
      </c>
      <c r="CI58" s="14"/>
      <c r="CJ58" s="35">
        <f t="shared" si="1"/>
        <v>24.494491108228708</v>
      </c>
      <c r="CK58" s="15">
        <f t="shared" si="28"/>
        <v>25.829999999999927</v>
      </c>
      <c r="CL58" s="35">
        <f t="shared" si="2"/>
        <v>27.165508891771147</v>
      </c>
      <c r="CN58" s="14"/>
      <c r="CO58" s="17">
        <f t="shared" si="3"/>
        <v>9.143333333333338</v>
      </c>
      <c r="CP58" s="17">
        <f t="shared" si="4"/>
        <v>12.786666666666669</v>
      </c>
      <c r="CQ58" s="17">
        <f t="shared" si="5"/>
        <v>19.293333333333337</v>
      </c>
      <c r="CR58" s="38">
        <f t="shared" si="29"/>
        <v>22.936666666666667</v>
      </c>
      <c r="CS58" s="17">
        <f t="shared" si="6"/>
        <v>29.443333333333335</v>
      </c>
      <c r="CT58" s="17">
        <f t="shared" si="7"/>
        <v>33.086666666666666</v>
      </c>
      <c r="CU58" s="17">
        <f t="shared" si="8"/>
        <v>39.593333333333334</v>
      </c>
      <c r="CV58" s="2" cm="1">
        <f t="array" aca="1" ref="CV58" ca="1">MAX(_xlfn._xlws.FILTER(CO58:CU58,CO58:CU58&lt;BQ58))</f>
        <v>22.936666666666667</v>
      </c>
      <c r="CW58" s="2" cm="1">
        <f t="array" aca="1" ref="CW58" ca="1">MIN(_xlfn._xlws.FILTER($CO58:$CU58,$CO58:$CU58&gt;BQ58))</f>
        <v>29.443333333333335</v>
      </c>
      <c r="CX58" s="16">
        <f t="shared" ca="1" si="80"/>
        <v>0.28367969771835488</v>
      </c>
      <c r="CY58" s="20">
        <f t="shared" ca="1" si="81"/>
        <v>-0.14183984885917744</v>
      </c>
      <c r="CZ58" s="20">
        <f t="shared" ca="1" si="82"/>
        <v>-9.4559899239451628E-2</v>
      </c>
      <c r="DA58" s="20">
        <f t="shared" ca="1" si="83"/>
        <v>-5.6735939543670975E-2</v>
      </c>
      <c r="DB58" s="20">
        <f t="shared" ca="1" si="84"/>
        <v>-3.1519966413150545E-2</v>
      </c>
      <c r="DC58" s="20">
        <f t="shared" ca="1" si="85"/>
        <v>-1.668704104225617E-2</v>
      </c>
      <c r="DD58" s="20">
        <f t="shared" ca="1" si="86"/>
        <v>-8.596354476313784E-3</v>
      </c>
      <c r="DE58" s="20">
        <f t="shared" ca="1" si="87"/>
        <v>-4.3643030418208445E-3</v>
      </c>
      <c r="DF58" s="21">
        <f t="shared" ca="1" si="88"/>
        <v>4.3643030418208445E-3</v>
      </c>
      <c r="DG58" s="21">
        <f t="shared" ca="1" si="89"/>
        <v>8.596354476313784E-3</v>
      </c>
      <c r="DH58" s="21">
        <f t="shared" ca="1" si="90"/>
        <v>1.668704104225617E-2</v>
      </c>
      <c r="DI58" s="21">
        <f t="shared" ca="1" si="91"/>
        <v>3.1519966413150545E-2</v>
      </c>
      <c r="DJ58" s="21">
        <f t="shared" ca="1" si="92"/>
        <v>5.6735939543670975E-2</v>
      </c>
      <c r="DK58" s="21">
        <f t="shared" ca="1" si="93"/>
        <v>9.4559899239451628E-2</v>
      </c>
      <c r="DL58" s="21">
        <f t="shared" ca="1" si="94"/>
        <v>0.14183984885917744</v>
      </c>
      <c r="DN58" s="16" cm="1">
        <f t="array" aca="1" ref="DN58" ca="1">MAX(_xlfn._xlws.FILTER(CY58:DL58,CY58:DL58&lt;BW58))</f>
        <v>1.668704104225617E-2</v>
      </c>
      <c r="DO58" s="16" cm="1">
        <f t="array" aca="1" ref="DO58" ca="1">MIN(_xlfn._xlws.FILTER(CY58:DL58,CY58:DL58&gt;BW58))</f>
        <v>3.1519966413150545E-2</v>
      </c>
      <c r="DP58" s="2" cm="1">
        <f t="array" aca="1" ref="DP58" ca="1">_FV(EE58,"Fechamento anterior",TRUE)</f>
        <v>25.19</v>
      </c>
      <c r="DQ58" s="28">
        <f t="shared" ca="1" si="15"/>
        <v>0.50758144352917589</v>
      </c>
      <c r="DR58" s="15">
        <f t="shared" ca="1" si="95"/>
        <v>25.610346563854435</v>
      </c>
      <c r="DS58" s="15">
        <f t="shared" ca="1" si="96"/>
        <v>25.983987953947263</v>
      </c>
      <c r="DT58" s="9"/>
      <c r="DU58" s="9"/>
      <c r="DV58" s="9"/>
      <c r="DW58" s="89">
        <v>1.4575335548325272E-2</v>
      </c>
      <c r="DX58" s="89">
        <f t="shared" ca="1" si="18"/>
        <v>1.4832925370894375E-2</v>
      </c>
      <c r="DY58" s="72">
        <f t="shared" ca="1" si="19"/>
        <v>-2.2463347256444704E-2</v>
      </c>
      <c r="DZ58" s="37"/>
      <c r="EA58" s="35">
        <f t="shared" si="39"/>
        <v>0.6677544458856105</v>
      </c>
      <c r="EB58" s="56"/>
      <c r="EC58" s="56"/>
      <c r="EE58" s="2" t="e" vm="58">
        <v>#VALUE!</v>
      </c>
      <c r="EG58" s="10" cm="1">
        <f t="array" aca="1" ref="EG58" ca="1">_FV(EE58,"Ações em circulação",TRUE)</f>
        <v>384000000</v>
      </c>
      <c r="EH58" s="18">
        <f>VLOOKUP(BR58,Fundamentus!A:U,5,FALSE)</f>
        <v>1.194</v>
      </c>
      <c r="EI58" s="2">
        <f t="shared" ca="1" si="20"/>
        <v>8297487437.1859303</v>
      </c>
      <c r="EJ58" s="17">
        <v>1447911557.7889447</v>
      </c>
      <c r="EK58" s="17">
        <f t="shared" ca="1" si="21"/>
        <v>1447911557.7889447</v>
      </c>
      <c r="EM58" s="16">
        <f t="shared" ca="1" si="22"/>
        <v>0</v>
      </c>
      <c r="EN58" s="32" t="str">
        <f>IF(VLOOKUP(BR58,Fundamentus!A:U,3,FALSE)&lt;15,"Bom",IF(VLOOKUP(BR58,Fundamentus!A:U,3,FALSE)&gt;15,"Ruim","n/a"))</f>
        <v>Bom</v>
      </c>
      <c r="EO58" s="28" t="str">
        <f>IF(VLOOKUP(BR58,Fundamentus!A:U,4,FALSE)&lt;1,"Baixo",IF(VLOOKUP(BR58,Fundamentus!A:U,4,FALSE)&lt;1.5,"Moderado",IF(VLOOKUP(BR58,Fundamentus!A:U,4,FALSE)&gt;1.5,"Alto","n/a")))</f>
        <v>Moderado</v>
      </c>
      <c r="EP58" s="17" t="str">
        <f>IF(VLOOKUP(BR58,Fundamentus!A:U,8,FALSE)&lt;0,"Risco elevado",IF(VLOOKUP(BR58,Fundamentus!A:U,8,FALSE)&lt;1,"Saudável",IF(VLOOKUP(BR58,Fundamentus!A:U,8,FALSE)&lt;3,"Estável",IF(VLOOKUP(BR58,Fundamentus!A:U,8,FALSE)&gt;3,"Alerta","n/a"))))</f>
        <v>Estável</v>
      </c>
      <c r="EQ58" s="28" t="str">
        <f t="shared" si="23"/>
        <v>Bom</v>
      </c>
      <c r="ER58" s="17" t="str">
        <f>IF(VLOOKUP(BR58,Fundamentus!A:U,12,FALSE)&lt;2,"Subvalorizada",IF(VLOOKUP(BR58,Fundamentus!A:U,12,FALSE)&lt;6,"Muita barata",IF(VLOOKUP(BR58,Fundamentus!A:U,12,FALSE)&lt;6,"Barata",IF(VLOOKUP(BR58,Fundamentus!A:U,12,FALSE)&lt;8,"Atrativa",IF(VLOOKUP(BR58,Fundamentus!A:U,12,FALSE)&gt;8,"Supervalorizada","n/a")))))</f>
        <v>Supervalorizada</v>
      </c>
      <c r="ET58" s="17" t="str">
        <f>IF(VLOOKUP(BR58,Fundamentus!A:U,17,FALSE)&lt;0.1,"Fraco retorno",IF(VLOOKUP(BR58,Fundamentus!A:U,17,FALSE)&gt;0.1,"Bom retorno","n/a"))</f>
        <v>Bom retorno</v>
      </c>
      <c r="EU58" s="17" t="str">
        <f>IF(VLOOKUP(BR58,Fundamentus!A:U,16,FALSE)&lt;0.1,"Ineficiente",IF(VLOOKUP(BR58,Fundamentus!A:U,16,FALSE)&gt;0.1,"Eficiente","n/a"))</f>
        <v>Ineficiente</v>
      </c>
      <c r="EV58" s="33" t="str">
        <f>IF(VLOOKUP(BR58,Fundamentus!A:U,16,FALSE)&lt;0.1,"Oper. Ineficiente",IF(VLOOKUP(BR58,Fundamentus!A:U,16,FALSE)&gt;0.1,"Oper.Eficiente","n/a"))</f>
        <v>Oper. Ineficiente</v>
      </c>
      <c r="EW58" s="34">
        <f>VLOOKUP(BR58,Fundamentus!A:U,14,FALSE)</f>
        <v>0.17449999999999999</v>
      </c>
      <c r="EX58" s="17" t="str">
        <f>IF(VLOOKUP(BR58,Fundamentus!A:U,21,FALSE)&lt;0,"Negativo",IF(VLOOKUP(BR58,Fundamentus!A:U,21,FALSE)&lt;0.05,"Fraco",IF(VLOOKUP(BR58,Fundamentus!A:U,21,FALSE)&lt;0.1,"Bom",IF(VLOOKUP(BR58,Fundamentus!A:U,21,FALSE)&gt;0.1,"Muito bom","n/a"))))</f>
        <v>Muito bom</v>
      </c>
      <c r="EZ58" s="29" t="str">
        <f>IF(VLOOKUP(BR58,Fundamentus!A:U,15,FALSE)&gt;1,"Bom",IF(VLOOKUP(BR58,Fundamentus!A:U,15,FALSE)&lt;1,"Ruim","n/a"))</f>
        <v>Bom</v>
      </c>
      <c r="FA58" s="17" t="str">
        <f>IF(VLOOKUP(BR58,Fundamentus!A:U,20,FALSE)&lt;0.5,"Baixa",IF(VLOOKUP(BR58,Fundamentus!A:U,20,FALSE)&lt;1,"Moderada",IF(VLOOKUP(BR58,Fundamentus!A:U,20,FALSE)&lt;2,"Alerta",IF(VLOOKUP(BR58,Fundamentus!A:U,20,FALSE)&gt;2,"Alta","n/a"))))</f>
        <v>Moderada</v>
      </c>
    </row>
    <row r="59" spans="1:157" s="2" customFormat="1" ht="11.25"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5">
        <v>14.99</v>
      </c>
      <c r="BC59" s="52">
        <v>15.38</v>
      </c>
      <c r="BD59" s="52">
        <v>15.25</v>
      </c>
      <c r="BE59" s="52">
        <v>15.07</v>
      </c>
      <c r="BF59" s="52">
        <v>14.76</v>
      </c>
      <c r="BG59" s="67">
        <v>14.6</v>
      </c>
      <c r="BH59" s="52">
        <v>14.2</v>
      </c>
      <c r="BI59" s="52">
        <v>14.38</v>
      </c>
      <c r="BJ59" s="52">
        <v>14.9</v>
      </c>
      <c r="BK59" s="52">
        <v>14.4</v>
      </c>
      <c r="BL59" s="52">
        <v>13.97</v>
      </c>
      <c r="BM59" s="52">
        <v>13.61</v>
      </c>
      <c r="BN59" s="52">
        <v>13.69</v>
      </c>
      <c r="BO59" s="52">
        <v>13.4</v>
      </c>
      <c r="BP59" s="52">
        <v>13.62</v>
      </c>
      <c r="BQ59" s="52" cm="1">
        <f t="array" aca="1" ref="BQ59" ca="1">_FV(EE59,"Preço")</f>
        <v>13.62</v>
      </c>
      <c r="BR59" s="69" t="s">
        <v>56</v>
      </c>
      <c r="BS59" s="36" cm="1">
        <f t="array" aca="1" ref="BS59" ca="1">_FV(EE59,"Média de volume",TRUE)</f>
        <v>4798430</v>
      </c>
      <c r="BT59" s="36">
        <v>3801900</v>
      </c>
      <c r="BU59" s="36" cm="1">
        <f t="array" aca="1" ref="BU59" ca="1">_FV(EE59,"Volume")</f>
        <v>3801900</v>
      </c>
      <c r="BV59" s="24" cm="1">
        <f t="array" aca="1" ref="BV59" ca="1">_FV(EE59,"Beta")</f>
        <v>0.95479999999999998</v>
      </c>
      <c r="BW59" s="71" cm="1">
        <f t="array" aca="1" ref="BW59" ca="1">_FV(EE59,"Variação (%)",TRUE)</f>
        <v>-1.0893E-2</v>
      </c>
      <c r="BY59" s="17" cm="1">
        <f t="array" aca="1" ref="BY59" ca="1">_FV(EE59,"Baixo")</f>
        <v>13.52</v>
      </c>
      <c r="BZ59" s="17" cm="1">
        <f t="array" aca="1" ref="BZ59" ca="1">_FV(EE59,"Alto")</f>
        <v>13.83</v>
      </c>
      <c r="CA59" s="24"/>
      <c r="CB59" s="63">
        <f ca="1">SQRT(22.5*(BQ59/VLOOKUP(BR59,Fundamentus!A:U,3,FALSE))*(BQ59/VLOOKUP(BR59,Fundamentus!A:U,4,FALSE)))</f>
        <v>11.683636365135465</v>
      </c>
      <c r="CD59" s="62">
        <f t="shared" ca="1" si="24"/>
        <v>0</v>
      </c>
      <c r="CE59" s="8"/>
      <c r="CF59" s="61">
        <f t="shared" si="25"/>
        <v>13.4</v>
      </c>
      <c r="CG59" s="61">
        <f t="shared" si="26"/>
        <v>16.63</v>
      </c>
      <c r="CH59" s="61">
        <f t="shared" si="27"/>
        <v>14.817352941176473</v>
      </c>
      <c r="CI59" s="14"/>
      <c r="CJ59" s="35">
        <f t="shared" si="1"/>
        <v>12.824423429299848</v>
      </c>
      <c r="CK59" s="15">
        <f t="shared" si="28"/>
        <v>13.515000000000015</v>
      </c>
      <c r="CL59" s="35">
        <f t="shared" si="2"/>
        <v>14.205576570700181</v>
      </c>
      <c r="CN59" s="14"/>
      <c r="CO59" s="17">
        <f t="shared" si="3"/>
        <v>9.24</v>
      </c>
      <c r="CP59" s="17">
        <f t="shared" si="4"/>
        <v>11.32</v>
      </c>
      <c r="CQ59" s="17">
        <f t="shared" si="5"/>
        <v>12.469999999999999</v>
      </c>
      <c r="CR59" s="38">
        <f t="shared" si="29"/>
        <v>14.549999999999999</v>
      </c>
      <c r="CS59" s="17">
        <f t="shared" si="6"/>
        <v>15.699999999999998</v>
      </c>
      <c r="CT59" s="17">
        <f t="shared" si="7"/>
        <v>17.779999999999998</v>
      </c>
      <c r="CU59" s="17">
        <f t="shared" si="8"/>
        <v>18.929999999999996</v>
      </c>
      <c r="CV59" s="2" cm="1">
        <f t="array" aca="1" ref="CV59" ca="1">MAX(_xlfn._xlws.FILTER(CO59:CU59,CO59:CU59&lt;BQ59))</f>
        <v>12.469999999999999</v>
      </c>
      <c r="CW59" s="2" cm="1">
        <f t="array" aca="1" ref="CW59" ca="1">MIN(_xlfn._xlws.FILTER($CO59:$CU59,$CO59:$CU59&gt;BQ59))</f>
        <v>14.549999999999999</v>
      </c>
      <c r="CX59" s="16">
        <f t="shared" ca="1" si="80"/>
        <v>0.16680032076984763</v>
      </c>
      <c r="CY59" s="20">
        <f t="shared" ca="1" si="81"/>
        <v>-8.3400160384923816E-2</v>
      </c>
      <c r="CZ59" s="20">
        <f t="shared" ca="1" si="82"/>
        <v>-5.5600106923282544E-2</v>
      </c>
      <c r="DA59" s="20">
        <f t="shared" ca="1" si="83"/>
        <v>-3.3360064153969526E-2</v>
      </c>
      <c r="DB59" s="20">
        <f t="shared" ca="1" si="84"/>
        <v>-1.8533368974427516E-2</v>
      </c>
      <c r="DC59" s="20">
        <f t="shared" ca="1" si="85"/>
        <v>-9.8117835746969195E-3</v>
      </c>
      <c r="DD59" s="20">
        <f t="shared" ca="1" si="86"/>
        <v>-5.0545551748438673E-3</v>
      </c>
      <c r="DE59" s="20">
        <f t="shared" ca="1" si="87"/>
        <v>-2.566158781074579E-3</v>
      </c>
      <c r="DF59" s="21">
        <f t="shared" ca="1" si="88"/>
        <v>2.566158781074579E-3</v>
      </c>
      <c r="DG59" s="21">
        <f t="shared" ca="1" si="89"/>
        <v>5.0545551748438673E-3</v>
      </c>
      <c r="DH59" s="21">
        <f t="shared" ca="1" si="90"/>
        <v>9.8117835746969195E-3</v>
      </c>
      <c r="DI59" s="21">
        <f t="shared" ca="1" si="91"/>
        <v>1.8533368974427516E-2</v>
      </c>
      <c r="DJ59" s="21">
        <f t="shared" ca="1" si="92"/>
        <v>3.3360064153969526E-2</v>
      </c>
      <c r="DK59" s="21">
        <f t="shared" ca="1" si="93"/>
        <v>5.5600106923282544E-2</v>
      </c>
      <c r="DL59" s="21">
        <f t="shared" ca="1" si="94"/>
        <v>8.3400160384923816E-2</v>
      </c>
      <c r="DN59" s="16" cm="1">
        <f t="array" aca="1" ref="DN59" ca="1">MAX(_xlfn._xlws.FILTER(CY59:DL59,CY59:DL59&lt;BW59))</f>
        <v>-1.8533368974427516E-2</v>
      </c>
      <c r="DO59" s="16" cm="1">
        <f t="array" aca="1" ref="DO59" ca="1">MIN(_xlfn._xlws.FILTER(CY59:DL59,CY59:DL59&gt;BW59))</f>
        <v>-9.8117835746969195E-3</v>
      </c>
      <c r="DP59" s="2" cm="1">
        <f t="array" aca="1" ref="DP59" ca="1">_FV(EE59,"Fechamento anterior",TRUE)</f>
        <v>13.77</v>
      </c>
      <c r="DQ59" s="28">
        <f t="shared" ca="1" si="15"/>
        <v>0.87600160256410053</v>
      </c>
      <c r="DR59" s="15">
        <f t="shared" ca="1" si="95"/>
        <v>13.514795509222132</v>
      </c>
      <c r="DS59" s="15">
        <f t="shared" ca="1" si="96"/>
        <v>13.634891740176423</v>
      </c>
      <c r="DT59" s="9"/>
      <c r="DU59" s="9"/>
      <c r="DV59" s="9"/>
      <c r="DW59" s="89">
        <v>4.9835657084777944E-3</v>
      </c>
      <c r="DX59" s="89">
        <f t="shared" ca="1" si="18"/>
        <v>8.7215853997305963E-3</v>
      </c>
      <c r="DY59" s="72">
        <f t="shared" ca="1" si="19"/>
        <v>0.1520468612097951</v>
      </c>
      <c r="DZ59" s="37"/>
      <c r="EA59" s="35">
        <f t="shared" si="39"/>
        <v>0.34528828535008271</v>
      </c>
      <c r="EB59" s="56"/>
      <c r="EC59" s="56"/>
      <c r="EE59" s="2" t="e" vm="59">
        <v>#VALUE!</v>
      </c>
      <c r="EG59" s="10" cm="1">
        <f t="array" aca="1" ref="EG59" ca="1">_FV(EE59,"Ações em circulação",TRUE)</f>
        <v>3000000000</v>
      </c>
      <c r="EH59" s="18">
        <f>VLOOKUP(BR59,Fundamentus!A:U,5,FALSE)</f>
        <v>0</v>
      </c>
      <c r="EI59" s="2" t="e">
        <f t="shared" ca="1" si="20"/>
        <v>#DIV/0!</v>
      </c>
      <c r="EJ59" s="17" t="e">
        <v>#DIV/0!</v>
      </c>
      <c r="EK59" s="17" t="e">
        <f t="shared" ca="1" si="21"/>
        <v>#DIV/0!</v>
      </c>
      <c r="EM59" s="16" t="e">
        <f t="shared" ca="1" si="22"/>
        <v>#DIV/0!</v>
      </c>
      <c r="EN59" s="32" t="str">
        <f>IF(VLOOKUP(BR59,Fundamentus!A:U,3,FALSE)&lt;15,"Bom",IF(VLOOKUP(BR59,Fundamentus!A:U,3,FALSE)&gt;15,"Ruim","n/a"))</f>
        <v>Bom</v>
      </c>
      <c r="EO59" s="28" t="str">
        <f>IF(VLOOKUP(BR59,Fundamentus!A:U,4,FALSE)&lt;1,"Baixo",IF(VLOOKUP(BR59,Fundamentus!A:U,4,FALSE)&lt;1.5,"Moderado",IF(VLOOKUP(BR59,Fundamentus!A:U,4,FALSE)&gt;1.5,"Alto","n/a")))</f>
        <v>Alto</v>
      </c>
      <c r="EP59" s="17" t="str">
        <f>IF(VLOOKUP(BR59,Fundamentus!A:U,8,FALSE)&lt;0,"Risco elevado",IF(VLOOKUP(BR59,Fundamentus!A:U,8,FALSE)&lt;1,"Saudável",IF(VLOOKUP(BR59,Fundamentus!A:U,8,FALSE)&lt;3,"Estável",IF(VLOOKUP(BR59,Fundamentus!A:U,8,FALSE)&gt;3,"Alerta","n/a"))))</f>
        <v>Alerta</v>
      </c>
      <c r="EQ59" s="28" t="str">
        <f t="shared" si="23"/>
        <v>Ruim</v>
      </c>
      <c r="ER59" s="17" t="str">
        <f>IF(VLOOKUP(BR59,Fundamentus!A:U,12,FALSE)&lt;2,"Subvalorizada",IF(VLOOKUP(BR59,Fundamentus!A:U,12,FALSE)&lt;6,"Muita barata",IF(VLOOKUP(BR59,Fundamentus!A:U,12,FALSE)&lt;6,"Barata",IF(VLOOKUP(BR59,Fundamentus!A:U,12,FALSE)&lt;8,"Atrativa",IF(VLOOKUP(BR59,Fundamentus!A:U,12,FALSE)&gt;8,"Supervalorizada","n/a")))))</f>
        <v>Subvalorizada</v>
      </c>
      <c r="ET59" s="17" t="str">
        <f>IF(VLOOKUP(BR59,Fundamentus!A:U,17,FALSE)&lt;0.1,"Fraco retorno",IF(VLOOKUP(BR59,Fundamentus!A:U,17,FALSE)&gt;0.1,"Bom retorno","n/a"))</f>
        <v>Bom retorno</v>
      </c>
      <c r="EU59" s="17" t="str">
        <f>IF(VLOOKUP(BR59,Fundamentus!A:U,16,FALSE)&lt;0.1,"Ineficiente",IF(VLOOKUP(BR59,Fundamentus!A:U,16,FALSE)&gt;0.1,"Eficiente","n/a"))</f>
        <v>Ineficiente</v>
      </c>
      <c r="EV59" s="33" t="str">
        <f>IF(VLOOKUP(BR59,Fundamentus!A:U,16,FALSE)&lt;0.1,"Oper. Ineficiente",IF(VLOOKUP(BR59,Fundamentus!A:U,16,FALSE)&gt;0.1,"Oper.Eficiente","n/a"))</f>
        <v>Oper. Ineficiente</v>
      </c>
      <c r="EW59" s="34">
        <f>VLOOKUP(BR59,Fundamentus!A:U,14,FALSE)</f>
        <v>0</v>
      </c>
      <c r="EX59" s="17" t="str">
        <f>IF(VLOOKUP(BR59,Fundamentus!A:U,21,FALSE)&lt;0,"Negativo",IF(VLOOKUP(BR59,Fundamentus!A:U,21,FALSE)&lt;0.05,"Fraco",IF(VLOOKUP(BR59,Fundamentus!A:U,21,FALSE)&lt;0.1,"Bom",IF(VLOOKUP(BR59,Fundamentus!A:U,21,FALSE)&gt;0.1,"Muito bom","n/a"))))</f>
        <v>Fraco</v>
      </c>
      <c r="EZ59" s="29" t="str">
        <f>IF(VLOOKUP(BR59,Fundamentus!A:U,15,FALSE)&gt;1,"Bom",IF(VLOOKUP(BR59,Fundamentus!A:U,15,FALSE)&lt;1,"Ruim","n/a"))</f>
        <v>Bom</v>
      </c>
      <c r="FA59" s="17" t="str">
        <f>IF(VLOOKUP(BR59,Fundamentus!A:U,20,FALSE)&lt;0.5,"Baixa",IF(VLOOKUP(BR59,Fundamentus!A:U,20,FALSE)&lt;1,"Moderada",IF(VLOOKUP(BR59,Fundamentus!A:U,20,FALSE)&lt;2,"Alerta",IF(VLOOKUP(BR59,Fundamentus!A:U,20,FALSE)&gt;2,"Alta","n/a"))))</f>
        <v>Baixa</v>
      </c>
    </row>
    <row r="60" spans="1:157" s="2" customFormat="1" ht="11.25"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5">
        <v>7.1</v>
      </c>
      <c r="BC60" s="52">
        <v>6.93</v>
      </c>
      <c r="BD60" s="52">
        <v>6.8</v>
      </c>
      <c r="BE60" s="52">
        <v>7.12</v>
      </c>
      <c r="BF60" s="52">
        <v>7.16</v>
      </c>
      <c r="BG60" s="67">
        <v>7.07</v>
      </c>
      <c r="BH60" s="52">
        <v>7.07</v>
      </c>
      <c r="BI60" s="52">
        <v>6.84</v>
      </c>
      <c r="BJ60" s="52">
        <v>7.04</v>
      </c>
      <c r="BK60" s="52">
        <v>6.97</v>
      </c>
      <c r="BL60" s="52">
        <v>6.91</v>
      </c>
      <c r="BM60" s="52">
        <v>6.95</v>
      </c>
      <c r="BN60" s="52">
        <v>7.96</v>
      </c>
      <c r="BO60" s="52">
        <v>8.56</v>
      </c>
      <c r="BP60" s="52">
        <v>9.15</v>
      </c>
      <c r="BQ60" s="52" cm="1">
        <f t="array" aca="1" ref="BQ60" ca="1">_FV(EE60,"Preço")</f>
        <v>9.15</v>
      </c>
      <c r="BR60" s="69" t="s">
        <v>57</v>
      </c>
      <c r="BS60" s="36" cm="1">
        <f t="array" aca="1" ref="BS60" ca="1">_FV(EE60,"Média de volume",TRUE)</f>
        <v>218470</v>
      </c>
      <c r="BT60" s="36">
        <v>461900</v>
      </c>
      <c r="BU60" s="36" cm="1">
        <f t="array" aca="1" ref="BU60" ca="1">_FV(EE60,"Volume")</f>
        <v>461900</v>
      </c>
      <c r="BV60" s="24" cm="1">
        <f t="array" aca="1" ref="BV60" ca="1">_FV(EE60,"Beta")</f>
        <v>1.2583</v>
      </c>
      <c r="BW60" s="71" cm="1">
        <f t="array" aca="1" ref="BW60" ca="1">_FV(EE60,"Variação (%)",TRUE)</f>
        <v>1.7798000000000001E-2</v>
      </c>
      <c r="BY60" s="17" cm="1">
        <f t="array" aca="1" ref="BY60" ca="1">_FV(EE60,"Baixo")</f>
        <v>9.02</v>
      </c>
      <c r="BZ60" s="17" cm="1">
        <f t="array" aca="1" ref="BZ60" ca="1">_FV(EE60,"Alto")</f>
        <v>9.25</v>
      </c>
      <c r="CA60" s="24"/>
      <c r="CB60" s="63">
        <f ca="1">SQRT(22.5*(BQ60/VLOOKUP(BR60,Fundamentus!A:U,3,FALSE))*(BQ60/VLOOKUP(BR60,Fundamentus!A:U,4,FALSE)))</f>
        <v>27.882177288110341</v>
      </c>
      <c r="CD60" s="62">
        <f t="shared" ca="1" si="24"/>
        <v>0</v>
      </c>
      <c r="CE60" s="8"/>
      <c r="CF60" s="61">
        <f t="shared" si="25"/>
        <v>6.66</v>
      </c>
      <c r="CG60" s="61">
        <f t="shared" si="26"/>
        <v>9.15</v>
      </c>
      <c r="CH60" s="61">
        <f t="shared" si="27"/>
        <v>7.3883088235294121</v>
      </c>
      <c r="CI60" s="14"/>
      <c r="CJ60" s="35">
        <f t="shared" si="1"/>
        <v>8.6097267935470523</v>
      </c>
      <c r="CK60" s="15">
        <f t="shared" si="28"/>
        <v>9.9549999999999272</v>
      </c>
      <c r="CL60" s="35">
        <f t="shared" si="2"/>
        <v>11.300273206452802</v>
      </c>
      <c r="CN60" s="14"/>
      <c r="CO60" s="17">
        <f t="shared" si="3"/>
        <v>5</v>
      </c>
      <c r="CP60" s="17">
        <f t="shared" si="4"/>
        <v>5.83</v>
      </c>
      <c r="CQ60" s="17">
        <f t="shared" si="5"/>
        <v>7.49</v>
      </c>
      <c r="CR60" s="38">
        <f t="shared" si="29"/>
        <v>8.32</v>
      </c>
      <c r="CS60" s="17">
        <f t="shared" si="6"/>
        <v>9.98</v>
      </c>
      <c r="CT60" s="17">
        <f t="shared" si="7"/>
        <v>10.81</v>
      </c>
      <c r="CU60" s="17">
        <f t="shared" si="8"/>
        <v>12.47</v>
      </c>
      <c r="CV60" s="2" cm="1">
        <f t="array" aca="1" ref="CV60" ca="1">MAX(_xlfn._xlws.FILTER(CO60:CU60,CO60:CU60&lt;BQ60))</f>
        <v>8.32</v>
      </c>
      <c r="CW60" s="2" cm="1">
        <f t="array" aca="1" ref="CW60" ca="1">MIN(_xlfn._xlws.FILTER($CO60:$CU60,$CO60:$CU60&gt;BQ60))</f>
        <v>9.98</v>
      </c>
      <c r="CX60" s="16">
        <f t="shared" ca="1" si="80"/>
        <v>0.19951923076923084</v>
      </c>
      <c r="CY60" s="20">
        <f t="shared" ca="1" si="81"/>
        <v>-9.9759615384615419E-2</v>
      </c>
      <c r="CZ60" s="20">
        <f t="shared" ca="1" si="82"/>
        <v>-6.6506410256410284E-2</v>
      </c>
      <c r="DA60" s="20">
        <f t="shared" ca="1" si="83"/>
        <v>-3.9903846153846165E-2</v>
      </c>
      <c r="DB60" s="20">
        <f t="shared" ca="1" si="84"/>
        <v>-2.2168803418803427E-2</v>
      </c>
      <c r="DC60" s="20">
        <f t="shared" ca="1" si="85"/>
        <v>-1.1736425339366519E-2</v>
      </c>
      <c r="DD60" s="20">
        <f t="shared" ca="1" si="86"/>
        <v>-6.0460372960372977E-3</v>
      </c>
      <c r="DE60" s="20">
        <f t="shared" ca="1" si="87"/>
        <v>-3.069526627218936E-3</v>
      </c>
      <c r="DF60" s="21">
        <f t="shared" ca="1" si="88"/>
        <v>3.069526627218936E-3</v>
      </c>
      <c r="DG60" s="21">
        <f t="shared" ca="1" si="89"/>
        <v>6.0460372960372977E-3</v>
      </c>
      <c r="DH60" s="21">
        <f t="shared" ca="1" si="90"/>
        <v>1.1736425339366519E-2</v>
      </c>
      <c r="DI60" s="21">
        <f t="shared" ca="1" si="91"/>
        <v>2.2168803418803427E-2</v>
      </c>
      <c r="DJ60" s="21">
        <f t="shared" ca="1" si="92"/>
        <v>3.9903846153846165E-2</v>
      </c>
      <c r="DK60" s="21">
        <f t="shared" ca="1" si="93"/>
        <v>6.6506410256410284E-2</v>
      </c>
      <c r="DL60" s="21">
        <f t="shared" ca="1" si="94"/>
        <v>9.9759615384615419E-2</v>
      </c>
      <c r="DN60" s="16" cm="1">
        <f t="array" aca="1" ref="DN60" ca="1">MAX(_xlfn._xlws.FILTER(CY60:DL60,CY60:DL60&lt;BW60))</f>
        <v>1.1736425339366519E-2</v>
      </c>
      <c r="DO60" s="16" cm="1">
        <f t="array" aca="1" ref="DO60" ca="1">MIN(_xlfn._xlws.FILTER(CY60:DL60,CY60:DL60&gt;BW60))</f>
        <v>2.2168803418803427E-2</v>
      </c>
      <c r="DP60" s="2" cm="1">
        <f t="array" aca="1" ref="DP60" ca="1">_FV(EE60,"Fechamento anterior",TRUE)</f>
        <v>8.99</v>
      </c>
      <c r="DQ60" s="28">
        <f t="shared" ca="1" si="15"/>
        <v>0.58099193213342815</v>
      </c>
      <c r="DR60" s="15">
        <f t="shared" ca="1" si="95"/>
        <v>9.0955104638009061</v>
      </c>
      <c r="DS60" s="15">
        <f t="shared" ca="1" si="96"/>
        <v>9.1892975427350425</v>
      </c>
      <c r="DT60" s="9"/>
      <c r="DU60" s="9"/>
      <c r="DV60" s="9"/>
      <c r="DW60" s="89">
        <v>5.2601340568145562E-3</v>
      </c>
      <c r="DX60" s="89">
        <f t="shared" ca="1" si="18"/>
        <v>1.0432378079436908E-2</v>
      </c>
      <c r="DY60" s="72">
        <f t="shared" ca="1" si="19"/>
        <v>-0.59839146140618993</v>
      </c>
      <c r="DZ60" s="37"/>
      <c r="EA60" s="35">
        <f t="shared" si="39"/>
        <v>0.6726366032264377</v>
      </c>
      <c r="EB60" s="56"/>
      <c r="EC60" s="56"/>
      <c r="EE60" s="2" t="e" vm="60">
        <v>#VALUE!</v>
      </c>
      <c r="EG60" s="10" cm="1">
        <f t="array" aca="1" ref="EG60" ca="1">_FV(EE60,"Ações em circulação",TRUE)</f>
        <v>94507240</v>
      </c>
      <c r="EH60" s="18">
        <f>VLOOKUP(BR60,Fundamentus!A:U,5,FALSE)</f>
        <v>0.123</v>
      </c>
      <c r="EI60" s="2">
        <f t="shared" ca="1" si="20"/>
        <v>7030416634.1463413</v>
      </c>
      <c r="EJ60" s="17">
        <v>146232665.99024388</v>
      </c>
      <c r="EK60" s="17">
        <f t="shared" ca="1" si="21"/>
        <v>146232665.99024388</v>
      </c>
      <c r="EM60" s="16">
        <f t="shared" ca="1" si="22"/>
        <v>0</v>
      </c>
      <c r="EN60" s="32" t="str">
        <f>IF(VLOOKUP(BR60,Fundamentus!A:U,3,FALSE)&lt;15,"Bom",IF(VLOOKUP(BR60,Fundamentus!A:U,3,FALSE)&gt;15,"Ruim","n/a"))</f>
        <v>Bom</v>
      </c>
      <c r="EO60" s="28" t="str">
        <f>IF(VLOOKUP(BR60,Fundamentus!A:U,4,FALSE)&lt;1,"Baixo",IF(VLOOKUP(BR60,Fundamentus!A:U,4,FALSE)&lt;1.5,"Moderado",IF(VLOOKUP(BR60,Fundamentus!A:U,4,FALSE)&gt;1.5,"Alto","n/a")))</f>
        <v>Baixo</v>
      </c>
      <c r="EP60" s="17" t="str">
        <f>IF(VLOOKUP(BR60,Fundamentus!A:U,8,FALSE)&lt;0,"Risco elevado",IF(VLOOKUP(BR60,Fundamentus!A:U,8,FALSE)&lt;1,"Saudável",IF(VLOOKUP(BR60,Fundamentus!A:U,8,FALSE)&lt;3,"Estável",IF(VLOOKUP(BR60,Fundamentus!A:U,8,FALSE)&gt;3,"Alerta","n/a"))))</f>
        <v>Saudável</v>
      </c>
      <c r="EQ60" s="28" t="str">
        <f t="shared" si="23"/>
        <v>Ruim</v>
      </c>
      <c r="ER60" s="17" t="str">
        <f>IF(VLOOKUP(BR60,Fundamentus!A:U,12,FALSE)&lt;2,"Subvalorizada",IF(VLOOKUP(BR60,Fundamentus!A:U,12,FALSE)&lt;6,"Muita barata",IF(VLOOKUP(BR60,Fundamentus!A:U,12,FALSE)&lt;6,"Barata",IF(VLOOKUP(BR60,Fundamentus!A:U,12,FALSE)&lt;8,"Atrativa",IF(VLOOKUP(BR60,Fundamentus!A:U,12,FALSE)&gt;8,"Supervalorizada","n/a")))))</f>
        <v>Muita barata</v>
      </c>
      <c r="ET60" s="17" t="str">
        <f>IF(VLOOKUP(BR60,Fundamentus!A:U,17,FALSE)&lt;0.1,"Fraco retorno",IF(VLOOKUP(BR60,Fundamentus!A:U,17,FALSE)&gt;0.1,"Bom retorno","n/a"))</f>
        <v>Fraco retorno</v>
      </c>
      <c r="EU60" s="17" t="str">
        <f>IF(VLOOKUP(BR60,Fundamentus!A:U,16,FALSE)&lt;0.1,"Ineficiente",IF(VLOOKUP(BR60,Fundamentus!A:U,16,FALSE)&gt;0.1,"Eficiente","n/a"))</f>
        <v>Ineficiente</v>
      </c>
      <c r="EV60" s="33" t="str">
        <f>IF(VLOOKUP(BR60,Fundamentus!A:U,16,FALSE)&lt;0.1,"Oper. Ineficiente",IF(VLOOKUP(BR60,Fundamentus!A:U,16,FALSE)&gt;0.1,"Oper.Eficiente","n/a"))</f>
        <v>Oper. Ineficiente</v>
      </c>
      <c r="EW60" s="34">
        <f>VLOOKUP(BR60,Fundamentus!A:U,14,FALSE)</f>
        <v>2.0799999999999999E-2</v>
      </c>
      <c r="EX60" s="17" t="str">
        <f>IF(VLOOKUP(BR60,Fundamentus!A:U,21,FALSE)&lt;0,"Negativo",IF(VLOOKUP(BR60,Fundamentus!A:U,21,FALSE)&lt;0.05,"Fraco",IF(VLOOKUP(BR60,Fundamentus!A:U,21,FALSE)&lt;0.1,"Bom",IF(VLOOKUP(BR60,Fundamentus!A:U,21,FALSE)&gt;0.1,"Muito bom","n/a"))))</f>
        <v>Fraco</v>
      </c>
      <c r="EZ60" s="29" t="str">
        <f>IF(VLOOKUP(BR60,Fundamentus!A:U,15,FALSE)&gt;1,"Bom",IF(VLOOKUP(BR60,Fundamentus!A:U,15,FALSE)&lt;1,"Ruim","n/a"))</f>
        <v>Bom</v>
      </c>
      <c r="FA60" s="17" t="str">
        <f>IF(VLOOKUP(BR60,Fundamentus!A:U,20,FALSE)&lt;0.5,"Baixa",IF(VLOOKUP(BR60,Fundamentus!A:U,20,FALSE)&lt;1,"Moderada",IF(VLOOKUP(BR60,Fundamentus!A:U,20,FALSE)&lt;2,"Alerta",IF(VLOOKUP(BR60,Fundamentus!A:U,20,FALSE)&gt;2,"Alta","n/a"))))</f>
        <v>Baixa</v>
      </c>
    </row>
    <row r="61" spans="1:157" s="2" customFormat="1" ht="11.25"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5">
        <v>7.88</v>
      </c>
      <c r="BC61" s="52">
        <v>8.1999999999999993</v>
      </c>
      <c r="BD61" s="52">
        <v>9.39</v>
      </c>
      <c r="BE61" s="52">
        <v>9.3800000000000008</v>
      </c>
      <c r="BF61" s="52">
        <v>9.23</v>
      </c>
      <c r="BG61" s="67">
        <v>8.85</v>
      </c>
      <c r="BH61" s="52">
        <v>9.0399999999999991</v>
      </c>
      <c r="BI61" s="52">
        <v>9.15</v>
      </c>
      <c r="BJ61" s="52">
        <v>9.44</v>
      </c>
      <c r="BK61" s="52">
        <v>9.17</v>
      </c>
      <c r="BL61" s="52">
        <v>8.67</v>
      </c>
      <c r="BM61" s="52">
        <v>8.8000000000000007</v>
      </c>
      <c r="BN61" s="52">
        <v>8.27</v>
      </c>
      <c r="BO61" s="52">
        <v>8.6199999999999992</v>
      </c>
      <c r="BP61" s="52">
        <v>8.4</v>
      </c>
      <c r="BQ61" s="52" cm="1">
        <f t="array" aca="1" ref="BQ61" ca="1">_FV(EE61,"Preço")</f>
        <v>8.4</v>
      </c>
      <c r="BR61" s="69" t="s">
        <v>58</v>
      </c>
      <c r="BS61" s="36" cm="1">
        <f t="array" aca="1" ref="BS61" ca="1">_FV(EE61,"Média de volume",TRUE)</f>
        <v>98780</v>
      </c>
      <c r="BT61" s="36">
        <v>47700</v>
      </c>
      <c r="BU61" s="36" cm="1">
        <f t="array" aca="1" ref="BU61" ca="1">_FV(EE61,"Volume")</f>
        <v>47700</v>
      </c>
      <c r="BV61" s="24" cm="1">
        <f t="array" aca="1" ref="BV61" ca="1">_FV(EE61,"Beta")</f>
        <v>0.98560000000000003</v>
      </c>
      <c r="BW61" s="71" cm="1">
        <f t="array" aca="1" ref="BW61" ca="1">_FV(EE61,"Variação (%)",TRUE)</f>
        <v>4.7850000000000002E-3</v>
      </c>
      <c r="BY61" s="17" cm="1">
        <f t="array" aca="1" ref="BY61" ca="1">_FV(EE61,"Baixo")</f>
        <v>8.27</v>
      </c>
      <c r="BZ61" s="17" cm="1">
        <f t="array" aca="1" ref="BZ61" ca="1">_FV(EE61,"Alto")</f>
        <v>8.4600000000000009</v>
      </c>
      <c r="CA61" s="24"/>
      <c r="CB61" s="63">
        <f ca="1">SQRT(22.5*(BQ61/VLOOKUP(BR61,Fundamentus!A:U,3,FALSE))*(BQ61/VLOOKUP(BR61,Fundamentus!A:U,4,FALSE)))</f>
        <v>16.287037486963555</v>
      </c>
      <c r="CD61" s="62">
        <f t="shared" ca="1" si="24"/>
        <v>0</v>
      </c>
      <c r="CE61" s="8"/>
      <c r="CF61" s="61">
        <f t="shared" si="25"/>
        <v>7.64</v>
      </c>
      <c r="CG61" s="61">
        <f t="shared" si="26"/>
        <v>11.1</v>
      </c>
      <c r="CH61" s="61">
        <f t="shared" si="27"/>
        <v>9.0147058823529402</v>
      </c>
      <c r="CI61" s="14"/>
      <c r="CJ61" s="35">
        <f t="shared" si="1"/>
        <v>7.7283334288443832</v>
      </c>
      <c r="CK61" s="15">
        <f t="shared" si="28"/>
        <v>8.3100000000000591</v>
      </c>
      <c r="CL61" s="35">
        <f t="shared" si="2"/>
        <v>8.891666571155735</v>
      </c>
      <c r="CN61" s="14"/>
      <c r="CO61" s="17">
        <f t="shared" si="3"/>
        <v>3.5333333333333341</v>
      </c>
      <c r="CP61" s="17">
        <f t="shared" si="4"/>
        <v>5.5866666666666669</v>
      </c>
      <c r="CQ61" s="17">
        <f t="shared" si="5"/>
        <v>6.9933333333333341</v>
      </c>
      <c r="CR61" s="38">
        <f t="shared" si="29"/>
        <v>9.0466666666666669</v>
      </c>
      <c r="CS61" s="17">
        <f t="shared" si="6"/>
        <v>10.453333333333333</v>
      </c>
      <c r="CT61" s="17">
        <f t="shared" si="7"/>
        <v>12.506666666666668</v>
      </c>
      <c r="CU61" s="17">
        <f t="shared" si="8"/>
        <v>13.913333333333334</v>
      </c>
      <c r="CV61" s="2" cm="1">
        <f t="array" aca="1" ref="CV61" ca="1">MAX(_xlfn._xlws.FILTER(CO61:CU61,CO61:CU61&lt;BQ61))</f>
        <v>6.9933333333333341</v>
      </c>
      <c r="CW61" s="2" cm="1">
        <f t="array" aca="1" ref="CW61" ca="1">MIN(_xlfn._xlws.FILTER($CO61:$CU61,$CO61:$CU61&gt;BQ61))</f>
        <v>9.0466666666666669</v>
      </c>
      <c r="CX61" s="16">
        <f t="shared" ca="1" si="80"/>
        <v>0.29361296472831255</v>
      </c>
      <c r="CY61" s="20">
        <f t="shared" ca="1" si="81"/>
        <v>-0.14680648236415628</v>
      </c>
      <c r="CZ61" s="20">
        <f t="shared" ca="1" si="82"/>
        <v>-9.7870988242770851E-2</v>
      </c>
      <c r="DA61" s="20">
        <f t="shared" ca="1" si="83"/>
        <v>-5.8722592945662511E-2</v>
      </c>
      <c r="DB61" s="20">
        <f t="shared" ca="1" si="84"/>
        <v>-3.2623662747590286E-2</v>
      </c>
      <c r="DC61" s="20">
        <f t="shared" ca="1" si="85"/>
        <v>-1.7271350866371327E-2</v>
      </c>
      <c r="DD61" s="20">
        <f t="shared" ca="1" si="86"/>
        <v>-8.8973625675246235E-3</v>
      </c>
      <c r="DE61" s="20">
        <f t="shared" ca="1" si="87"/>
        <v>-4.5171225342817319E-3</v>
      </c>
      <c r="DF61" s="21">
        <f t="shared" ca="1" si="88"/>
        <v>4.5171225342817319E-3</v>
      </c>
      <c r="DG61" s="21">
        <f t="shared" ca="1" si="89"/>
        <v>8.8973625675246235E-3</v>
      </c>
      <c r="DH61" s="21">
        <f t="shared" ca="1" si="90"/>
        <v>1.7271350866371327E-2</v>
      </c>
      <c r="DI61" s="21">
        <f t="shared" ca="1" si="91"/>
        <v>3.2623662747590286E-2</v>
      </c>
      <c r="DJ61" s="21">
        <f t="shared" ca="1" si="92"/>
        <v>5.8722592945662511E-2</v>
      </c>
      <c r="DK61" s="21">
        <f t="shared" ca="1" si="93"/>
        <v>9.7870988242770851E-2</v>
      </c>
      <c r="DL61" s="21">
        <f t="shared" ca="1" si="94"/>
        <v>0.14680648236415628</v>
      </c>
      <c r="DN61" s="16" cm="1">
        <f t="array" aca="1" ref="DN61" ca="1">MAX(_xlfn._xlws.FILTER(CY61:DL61,CY61:DL61&lt;BW61))</f>
        <v>4.5171225342817319E-3</v>
      </c>
      <c r="DO61" s="16" cm="1">
        <f t="array" aca="1" ref="DO61" ca="1">MIN(_xlfn._xlws.FILTER(CY61:DL61,CY61:DL61&gt;BW61))</f>
        <v>8.8973625675246235E-3</v>
      </c>
      <c r="DP61" s="2" cm="1">
        <f t="array" aca="1" ref="DP61" ca="1">_FV(EE61,"Fechamento anterior",TRUE)</f>
        <v>8.36</v>
      </c>
      <c r="DQ61" s="28">
        <f t="shared" ca="1" si="15"/>
        <v>6.1084885509257052E-2</v>
      </c>
      <c r="DR61" s="15">
        <f t="shared" ca="1" si="95"/>
        <v>8.3977631443865945</v>
      </c>
      <c r="DS61" s="15">
        <f t="shared" ca="1" si="96"/>
        <v>8.4343819510645055</v>
      </c>
      <c r="DT61" s="9"/>
      <c r="DU61" s="9"/>
      <c r="DV61" s="9"/>
      <c r="DW61" s="89">
        <v>7.9090459713297128E-3</v>
      </c>
      <c r="DX61" s="89">
        <f t="shared" ca="1" si="18"/>
        <v>4.3802400332428916E-3</v>
      </c>
      <c r="DY61" s="72">
        <f t="shared" ca="1" si="19"/>
        <v>0.15472781910283417</v>
      </c>
      <c r="DZ61" s="37"/>
      <c r="EA61" s="35">
        <f t="shared" si="39"/>
        <v>0.29083328557783777</v>
      </c>
      <c r="EB61" s="56"/>
      <c r="EC61" s="56"/>
      <c r="EE61" s="2" t="e" vm="61">
        <v>#VALUE!</v>
      </c>
      <c r="EG61" s="10" cm="1">
        <f t="array" aca="1" ref="EG61" ca="1">_FV(EE61,"Ações em circulação",TRUE)</f>
        <v>103538800</v>
      </c>
      <c r="EH61" s="18">
        <f>VLOOKUP(BR61,Fundamentus!A:U,5,FALSE)</f>
        <v>0.47699999999999998</v>
      </c>
      <c r="EI61" s="2">
        <f t="shared" ca="1" si="20"/>
        <v>1823324779.8742139</v>
      </c>
      <c r="EJ61" s="17">
        <v>144042657.6100629</v>
      </c>
      <c r="EK61" s="17">
        <f t="shared" ca="1" si="21"/>
        <v>144042657.6100629</v>
      </c>
      <c r="EM61" s="16">
        <f t="shared" ca="1" si="22"/>
        <v>0</v>
      </c>
      <c r="EN61" s="32" t="str">
        <f>IF(VLOOKUP(BR61,Fundamentus!A:U,3,FALSE)&lt;15,"Bom",IF(VLOOKUP(BR61,Fundamentus!A:U,3,FALSE)&gt;15,"Ruim","n/a"))</f>
        <v>Bom</v>
      </c>
      <c r="EO61" s="28" t="str">
        <f>IF(VLOOKUP(BR61,Fundamentus!A:U,4,FALSE)&lt;1,"Baixo",IF(VLOOKUP(BR61,Fundamentus!A:U,4,FALSE)&lt;1.5,"Moderado",IF(VLOOKUP(BR61,Fundamentus!A:U,4,FALSE)&gt;1.5,"Alto","n/a")))</f>
        <v>Baixo</v>
      </c>
      <c r="EP61" s="17" t="str">
        <f>IF(VLOOKUP(BR61,Fundamentus!A:U,8,FALSE)&lt;0,"Risco elevado",IF(VLOOKUP(BR61,Fundamentus!A:U,8,FALSE)&lt;1,"Saudável",IF(VLOOKUP(BR61,Fundamentus!A:U,8,FALSE)&lt;3,"Estável",IF(VLOOKUP(BR61,Fundamentus!A:U,8,FALSE)&gt;3,"Alerta","n/a"))))</f>
        <v>Estável</v>
      </c>
      <c r="EQ61" s="28" t="str">
        <f t="shared" si="23"/>
        <v>Ruim</v>
      </c>
      <c r="ER61" s="17" t="str">
        <f>IF(VLOOKUP(BR61,Fundamentus!A:U,12,FALSE)&lt;2,"Subvalorizada",IF(VLOOKUP(BR61,Fundamentus!A:U,12,FALSE)&lt;6,"Muita barata",IF(VLOOKUP(BR61,Fundamentus!A:U,12,FALSE)&lt;6,"Barata",IF(VLOOKUP(BR61,Fundamentus!A:U,12,FALSE)&lt;8,"Atrativa",IF(VLOOKUP(BR61,Fundamentus!A:U,12,FALSE)&gt;8,"Supervalorizada","n/a")))))</f>
        <v>Muita barata</v>
      </c>
      <c r="ET61" s="17" t="str">
        <f>IF(VLOOKUP(BR61,Fundamentus!A:U,17,FALSE)&lt;0.1,"Fraco retorno",IF(VLOOKUP(BR61,Fundamentus!A:U,17,FALSE)&gt;0.1,"Bom retorno","n/a"))</f>
        <v>Bom retorno</v>
      </c>
      <c r="EU61" s="17" t="str">
        <f>IF(VLOOKUP(BR61,Fundamentus!A:U,16,FALSE)&lt;0.1,"Ineficiente",IF(VLOOKUP(BR61,Fundamentus!A:U,16,FALSE)&gt;0.1,"Eficiente","n/a"))</f>
        <v>Eficiente</v>
      </c>
      <c r="EV61" s="33" t="str">
        <f>IF(VLOOKUP(BR61,Fundamentus!A:U,16,FALSE)&lt;0.1,"Oper. Ineficiente",IF(VLOOKUP(BR61,Fundamentus!A:U,16,FALSE)&gt;0.1,"Oper.Eficiente","n/a"))</f>
        <v>Oper.Eficiente</v>
      </c>
      <c r="EW61" s="34">
        <f>VLOOKUP(BR61,Fundamentus!A:U,14,FALSE)</f>
        <v>7.9000000000000001E-2</v>
      </c>
      <c r="EX61" s="17" t="str">
        <f>IF(VLOOKUP(BR61,Fundamentus!A:U,21,FALSE)&lt;0,"Negativo",IF(VLOOKUP(BR61,Fundamentus!A:U,21,FALSE)&lt;0.05,"Fraco",IF(VLOOKUP(BR61,Fundamentus!A:U,21,FALSE)&lt;0.1,"Bom",IF(VLOOKUP(BR61,Fundamentus!A:U,21,FALSE)&gt;0.1,"Muito bom","n/a"))))</f>
        <v>Muito bom</v>
      </c>
      <c r="EZ61" s="29" t="str">
        <f>IF(VLOOKUP(BR61,Fundamentus!A:U,15,FALSE)&gt;1,"Bom",IF(VLOOKUP(BR61,Fundamentus!A:U,15,FALSE)&lt;1,"Ruim","n/a"))</f>
        <v>Bom</v>
      </c>
      <c r="FA61" s="17" t="str">
        <f>IF(VLOOKUP(BR61,Fundamentus!A:U,20,FALSE)&lt;0.5,"Baixa",IF(VLOOKUP(BR61,Fundamentus!A:U,20,FALSE)&lt;1,"Moderada",IF(VLOOKUP(BR61,Fundamentus!A:U,20,FALSE)&lt;2,"Alerta",IF(VLOOKUP(BR61,Fundamentus!A:U,20,FALSE)&gt;2,"Alta","n/a"))))</f>
        <v>Baixa</v>
      </c>
    </row>
    <row r="62" spans="1:157" s="2" customFormat="1" ht="11.25"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5">
        <v>23.88</v>
      </c>
      <c r="BC62" s="52">
        <v>26.17</v>
      </c>
      <c r="BD62" s="52">
        <v>27.1</v>
      </c>
      <c r="BE62" s="52">
        <v>26.96</v>
      </c>
      <c r="BF62" s="52">
        <v>25.93</v>
      </c>
      <c r="BG62" s="67">
        <v>25.39</v>
      </c>
      <c r="BH62" s="52">
        <v>25.56</v>
      </c>
      <c r="BI62" s="52">
        <v>25.13</v>
      </c>
      <c r="BJ62" s="52">
        <v>24.96</v>
      </c>
      <c r="BK62" s="52">
        <v>23.34</v>
      </c>
      <c r="BL62" s="52">
        <v>22.18</v>
      </c>
      <c r="BM62" s="52">
        <v>22.09</v>
      </c>
      <c r="BN62" s="52">
        <v>22.02</v>
      </c>
      <c r="BO62" s="52">
        <v>22</v>
      </c>
      <c r="BP62" s="52">
        <v>20.67</v>
      </c>
      <c r="BQ62" s="52" cm="1">
        <f t="array" aca="1" ref="BQ62" ca="1">_FV(EE62,"Preço")</f>
        <v>20.67</v>
      </c>
      <c r="BR62" s="69" t="s">
        <v>59</v>
      </c>
      <c r="BS62" s="36" cm="1">
        <f t="array" aca="1" ref="BS62" ca="1">_FV(EE62,"Média de volume",TRUE)</f>
        <v>360620</v>
      </c>
      <c r="BT62" s="36">
        <v>249000</v>
      </c>
      <c r="BU62" s="36" cm="1">
        <f t="array" aca="1" ref="BU62" ca="1">_FV(EE62,"Volume")</f>
        <v>249000</v>
      </c>
      <c r="BV62" s="24" cm="1">
        <f t="array" aca="1" ref="BV62" ca="1">_FV(EE62,"Beta")</f>
        <v>1.3507</v>
      </c>
      <c r="BW62" s="71" cm="1">
        <f t="array" aca="1" ref="BW62" ca="1">_FV(EE62,"Variação (%)",TRUE)</f>
        <v>1.8728000000000002E-2</v>
      </c>
      <c r="BY62" s="17" cm="1">
        <f t="array" aca="1" ref="BY62" ca="1">_FV(EE62,"Baixo")</f>
        <v>20.440000000000001</v>
      </c>
      <c r="BZ62" s="17" cm="1">
        <f t="array" aca="1" ref="BZ62" ca="1">_FV(EE62,"Alto")</f>
        <v>20.8</v>
      </c>
      <c r="CA62" s="24"/>
      <c r="CB62" s="63">
        <f ca="1">SQRT(22.5*(BQ62/VLOOKUP(BR62,Fundamentus!A:U,3,FALSE))*(BQ62/VLOOKUP(BR62,Fundamentus!A:U,4,FALSE)))</f>
        <v>39.381471184441637</v>
      </c>
      <c r="CD62" s="62">
        <f t="shared" ca="1" si="24"/>
        <v>0</v>
      </c>
      <c r="CE62" s="8"/>
      <c r="CF62" s="61">
        <f t="shared" si="25"/>
        <v>15.18</v>
      </c>
      <c r="CG62" s="61">
        <f t="shared" si="26"/>
        <v>27.1</v>
      </c>
      <c r="CH62" s="61">
        <f t="shared" si="27"/>
        <v>22.329926470588237</v>
      </c>
      <c r="CI62" s="14"/>
      <c r="CJ62" s="35">
        <f t="shared" si="1"/>
        <v>19.603189841507206</v>
      </c>
      <c r="CK62" s="15">
        <f t="shared" si="28"/>
        <v>20.625000000000455</v>
      </c>
      <c r="CL62" s="35">
        <f t="shared" si="2"/>
        <v>21.646810158493704</v>
      </c>
      <c r="CN62" s="14"/>
      <c r="CO62" s="17">
        <f t="shared" si="3"/>
        <v>2.9466666666666654</v>
      </c>
      <c r="CP62" s="17">
        <f t="shared" si="4"/>
        <v>9.0633333333333326</v>
      </c>
      <c r="CQ62" s="17">
        <f t="shared" si="5"/>
        <v>14.866666666666667</v>
      </c>
      <c r="CR62" s="38">
        <f t="shared" si="29"/>
        <v>20.983333333333334</v>
      </c>
      <c r="CS62" s="17">
        <f t="shared" si="6"/>
        <v>26.786666666666669</v>
      </c>
      <c r="CT62" s="17">
        <f t="shared" si="7"/>
        <v>32.903333333333336</v>
      </c>
      <c r="CU62" s="17">
        <f t="shared" si="8"/>
        <v>38.706666666666671</v>
      </c>
      <c r="CV62" s="2" cm="1">
        <f t="array" aca="1" ref="CV62" ca="1">MAX(_xlfn._xlws.FILTER(CO62:CU62,CO62:CU62&lt;BQ62))</f>
        <v>14.866666666666667</v>
      </c>
      <c r="CW62" s="2" cm="1">
        <f t="array" aca="1" ref="CW62" ca="1">MIN(_xlfn._xlws.FILTER($CO62:$CU62,$CO62:$CU62&gt;BQ62))</f>
        <v>20.983333333333334</v>
      </c>
      <c r="CX62" s="16">
        <f t="shared" ca="1" si="80"/>
        <v>0.41143497757847536</v>
      </c>
      <c r="CY62" s="20">
        <f t="shared" ca="1" si="81"/>
        <v>-0.20571748878923768</v>
      </c>
      <c r="CZ62" s="20">
        <f t="shared" ca="1" si="82"/>
        <v>-0.13714499252615844</v>
      </c>
      <c r="DA62" s="20">
        <f t="shared" ca="1" si="83"/>
        <v>-8.2286995515695072E-2</v>
      </c>
      <c r="DB62" s="20">
        <f t="shared" ca="1" si="84"/>
        <v>-4.5714997508719483E-2</v>
      </c>
      <c r="DC62" s="20">
        <f t="shared" ca="1" si="85"/>
        <v>-2.4202057504616199E-2</v>
      </c>
      <c r="DD62" s="20">
        <f t="shared" ca="1" si="86"/>
        <v>-1.2467726593287131E-2</v>
      </c>
      <c r="DE62" s="20">
        <f t="shared" ca="1" si="87"/>
        <v>-6.3297688858226977E-3</v>
      </c>
      <c r="DF62" s="21">
        <f t="shared" ca="1" si="88"/>
        <v>6.3297688858226977E-3</v>
      </c>
      <c r="DG62" s="21">
        <f t="shared" ca="1" si="89"/>
        <v>1.2467726593287131E-2</v>
      </c>
      <c r="DH62" s="21">
        <f t="shared" ca="1" si="90"/>
        <v>2.4202057504616199E-2</v>
      </c>
      <c r="DI62" s="21">
        <f t="shared" ca="1" si="91"/>
        <v>4.5714997508719483E-2</v>
      </c>
      <c r="DJ62" s="21">
        <f t="shared" ca="1" si="92"/>
        <v>8.2286995515695072E-2</v>
      </c>
      <c r="DK62" s="21">
        <f t="shared" ca="1" si="93"/>
        <v>0.13714499252615844</v>
      </c>
      <c r="DL62" s="21">
        <f t="shared" ca="1" si="94"/>
        <v>0.20571748878923768</v>
      </c>
      <c r="DN62" s="16" cm="1">
        <f t="array" aca="1" ref="DN62" ca="1">MAX(_xlfn._xlws.FILTER(CY62:DL62,CY62:DL62&lt;BW62))</f>
        <v>1.2467726593287131E-2</v>
      </c>
      <c r="DO62" s="16" cm="1">
        <f t="array" aca="1" ref="DO62" ca="1">MIN(_xlfn._xlws.FILTER(CY62:DL62,CY62:DL62&gt;BW62))</f>
        <v>2.4202057504616199E-2</v>
      </c>
      <c r="DP62" s="2" cm="1">
        <f t="array" aca="1" ref="DP62" ca="1">_FV(EE62,"Fechamento anterior",TRUE)</f>
        <v>20.29</v>
      </c>
      <c r="DQ62" s="28">
        <f t="shared" ca="1" si="15"/>
        <v>0.53353796718696911</v>
      </c>
      <c r="DR62" s="15">
        <f t="shared" ca="1" si="95"/>
        <v>20.542970172577796</v>
      </c>
      <c r="DS62" s="15">
        <f t="shared" ca="1" si="96"/>
        <v>20.781059746768662</v>
      </c>
      <c r="DT62" s="9"/>
      <c r="DU62" s="9"/>
      <c r="DV62" s="9"/>
      <c r="DW62" s="89">
        <v>2.59144022678559E-2</v>
      </c>
      <c r="DX62" s="89">
        <f t="shared" ca="1" si="18"/>
        <v>1.1734330911329067E-2</v>
      </c>
      <c r="DY62" s="72">
        <f t="shared" ca="1" si="19"/>
        <v>4.4039491705488133E-2</v>
      </c>
      <c r="DZ62" s="37"/>
      <c r="EA62" s="35">
        <f t="shared" si="39"/>
        <v>0.51090507924662487</v>
      </c>
      <c r="EB62" s="56"/>
      <c r="EC62" s="56"/>
      <c r="EE62" s="2" t="e" vm="62">
        <v>#VALUE!</v>
      </c>
      <c r="EG62" s="10" cm="1">
        <f t="array" aca="1" ref="EG62" ca="1">_FV(EE62,"Ações em circulação",TRUE)</f>
        <v>81836380</v>
      </c>
      <c r="EH62" s="18">
        <f>VLOOKUP(BR62,Fundamentus!A:U,5,FALSE)</f>
        <v>0.83499999999999996</v>
      </c>
      <c r="EI62" s="2">
        <f t="shared" ca="1" si="20"/>
        <v>2025817933.6526949</v>
      </c>
      <c r="EJ62" s="17">
        <v>283817092.50474256</v>
      </c>
      <c r="EK62" s="17">
        <f t="shared" ca="1" si="21"/>
        <v>283817092.50474256</v>
      </c>
      <c r="EM62" s="16">
        <f t="shared" ca="1" si="22"/>
        <v>0</v>
      </c>
      <c r="EN62" s="32" t="str">
        <f>IF(VLOOKUP(BR62,Fundamentus!A:U,3,FALSE)&lt;15,"Bom",IF(VLOOKUP(BR62,Fundamentus!A:U,3,FALSE)&gt;15,"Ruim","n/a"))</f>
        <v>Bom</v>
      </c>
      <c r="EO62" s="28" t="str">
        <f>IF(VLOOKUP(BR62,Fundamentus!A:U,4,FALSE)&lt;1,"Baixo",IF(VLOOKUP(BR62,Fundamentus!A:U,4,FALSE)&lt;1.5,"Moderado",IF(VLOOKUP(BR62,Fundamentus!A:U,4,FALSE)&gt;1.5,"Alto","n/a")))</f>
        <v>Moderado</v>
      </c>
      <c r="EP62" s="17" t="str">
        <f>IF(VLOOKUP(BR62,Fundamentus!A:U,8,FALSE)&lt;0,"Risco elevado",IF(VLOOKUP(BR62,Fundamentus!A:U,8,FALSE)&lt;1,"Saudável",IF(VLOOKUP(BR62,Fundamentus!A:U,8,FALSE)&lt;3,"Estável",IF(VLOOKUP(BR62,Fundamentus!A:U,8,FALSE)&gt;3,"Alerta","n/a"))))</f>
        <v>Estável</v>
      </c>
      <c r="EQ62" s="28" t="str">
        <f t="shared" si="23"/>
        <v>Ruim</v>
      </c>
      <c r="ER62" s="17" t="str">
        <f>IF(VLOOKUP(BR62,Fundamentus!A:U,12,FALSE)&lt;2,"Subvalorizada",IF(VLOOKUP(BR62,Fundamentus!A:U,12,FALSE)&lt;6,"Muita barata",IF(VLOOKUP(BR62,Fundamentus!A:U,12,FALSE)&lt;6,"Barata",IF(VLOOKUP(BR62,Fundamentus!A:U,12,FALSE)&lt;8,"Atrativa",IF(VLOOKUP(BR62,Fundamentus!A:U,12,FALSE)&gt;8,"Supervalorizada","n/a")))))</f>
        <v>Muita barata</v>
      </c>
      <c r="ET62" s="17" t="str">
        <f>IF(VLOOKUP(BR62,Fundamentus!A:U,17,FALSE)&lt;0.1,"Fraco retorno",IF(VLOOKUP(BR62,Fundamentus!A:U,17,FALSE)&gt;0.1,"Bom retorno","n/a"))</f>
        <v>Bom retorno</v>
      </c>
      <c r="EU62" s="17" t="str">
        <f>IF(VLOOKUP(BR62,Fundamentus!A:U,16,FALSE)&lt;0.1,"Ineficiente",IF(VLOOKUP(BR62,Fundamentus!A:U,16,FALSE)&gt;0.1,"Eficiente","n/a"))</f>
        <v>Eficiente</v>
      </c>
      <c r="EV62" s="33" t="str">
        <f>IF(VLOOKUP(BR62,Fundamentus!A:U,16,FALSE)&lt;0.1,"Oper. Ineficiente",IF(VLOOKUP(BR62,Fundamentus!A:U,16,FALSE)&gt;0.1,"Oper.Eficiente","n/a"))</f>
        <v>Oper.Eficiente</v>
      </c>
      <c r="EW62" s="34">
        <f>VLOOKUP(BR62,Fundamentus!A:U,14,FALSE)</f>
        <v>0.1401</v>
      </c>
      <c r="EX62" s="17" t="str">
        <f>IF(VLOOKUP(BR62,Fundamentus!A:U,21,FALSE)&lt;0,"Negativo",IF(VLOOKUP(BR62,Fundamentus!A:U,21,FALSE)&lt;0.05,"Fraco",IF(VLOOKUP(BR62,Fundamentus!A:U,21,FALSE)&lt;0.1,"Bom",IF(VLOOKUP(BR62,Fundamentus!A:U,21,FALSE)&gt;0.1,"Muito bom","n/a"))))</f>
        <v>Fraco</v>
      </c>
      <c r="EZ62" s="29" t="str">
        <f>IF(VLOOKUP(BR62,Fundamentus!A:U,15,FALSE)&gt;1,"Bom",IF(VLOOKUP(BR62,Fundamentus!A:U,15,FALSE)&lt;1,"Ruim","n/a"))</f>
        <v>Bom</v>
      </c>
      <c r="FA62" s="17" t="str">
        <f>IF(VLOOKUP(BR62,Fundamentus!A:U,20,FALSE)&lt;0.5,"Baixa",IF(VLOOKUP(BR62,Fundamentus!A:U,20,FALSE)&lt;1,"Moderada",IF(VLOOKUP(BR62,Fundamentus!A:U,20,FALSE)&lt;2,"Alerta",IF(VLOOKUP(BR62,Fundamentus!A:U,20,FALSE)&gt;2,"Alta","n/a"))))</f>
        <v>Baixa</v>
      </c>
    </row>
    <row r="63" spans="1:157" s="2" customFormat="1" ht="11.25"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5">
        <v>1.98</v>
      </c>
      <c r="BC63" s="52">
        <v>2</v>
      </c>
      <c r="BD63" s="52">
        <v>1.98</v>
      </c>
      <c r="BE63" s="52">
        <v>1.96</v>
      </c>
      <c r="BF63" s="52">
        <v>2.0299999999999998</v>
      </c>
      <c r="BG63" s="67">
        <v>1.96</v>
      </c>
      <c r="BH63" s="52">
        <v>1.93</v>
      </c>
      <c r="BI63" s="52">
        <v>1.94</v>
      </c>
      <c r="BJ63" s="52">
        <v>1.95</v>
      </c>
      <c r="BK63" s="52">
        <v>1.98</v>
      </c>
      <c r="BL63" s="52">
        <v>1.94</v>
      </c>
      <c r="BM63" s="52">
        <v>1.95</v>
      </c>
      <c r="BN63" s="52">
        <v>2.04</v>
      </c>
      <c r="BO63" s="52">
        <v>1.9</v>
      </c>
      <c r="BP63" s="52">
        <v>1.92</v>
      </c>
      <c r="BQ63" s="52" cm="1">
        <f t="array" aca="1" ref="BQ63" ca="1">_FV(EE63,"Preço")</f>
        <v>1.92</v>
      </c>
      <c r="BR63" s="69" t="s">
        <v>60</v>
      </c>
      <c r="BS63" s="36" cm="1">
        <f t="array" aca="1" ref="BS63" ca="1">_FV(EE63,"Média de volume",TRUE)</f>
        <v>2860</v>
      </c>
      <c r="BT63" s="36">
        <v>200</v>
      </c>
      <c r="BU63" s="36" cm="1">
        <f t="array" aca="1" ref="BU63" ca="1">_FV(EE63,"Volume")</f>
        <v>200</v>
      </c>
      <c r="BV63" s="24" cm="1">
        <f t="array" aca="1" ref="BV63" ca="1">_FV(EE63,"Beta")</f>
        <v>1.0228999999999999</v>
      </c>
      <c r="BW63" s="71" cm="1">
        <f t="array" aca="1" ref="BW63" ca="1">_FV(EE63,"Variação (%)",TRUE)</f>
        <v>5.2359999999999993E-3</v>
      </c>
      <c r="BY63" s="17" cm="1">
        <f t="array" aca="1" ref="BY63" ca="1">_FV(EE63,"Baixo")</f>
        <v>1.92</v>
      </c>
      <c r="BZ63" s="17" cm="1">
        <f t="array" aca="1" ref="BZ63" ca="1">_FV(EE63,"Alto")</f>
        <v>1.92</v>
      </c>
      <c r="CA63" s="24"/>
      <c r="CB63" s="63" t="e">
        <f ca="1">SQRT(22.5*(BQ63/VLOOKUP(BR63,Fundamentus!A:U,3,FALSE))*(BQ63/VLOOKUP(BR63,Fundamentus!A:U,4,FALSE)))</f>
        <v>#NUM!</v>
      </c>
      <c r="CD63" s="62">
        <f t="shared" ca="1" si="24"/>
        <v>0</v>
      </c>
      <c r="CE63" s="8"/>
      <c r="CF63" s="61">
        <f t="shared" si="25"/>
        <v>1.75</v>
      </c>
      <c r="CG63" s="61">
        <f t="shared" si="26"/>
        <v>2.93</v>
      </c>
      <c r="CH63" s="61">
        <f t="shared" si="27"/>
        <v>2.2880882352941172</v>
      </c>
      <c r="CI63" s="14"/>
      <c r="CJ63" s="35">
        <f t="shared" si="1"/>
        <v>1.8017047696824569</v>
      </c>
      <c r="CK63" s="15">
        <f t="shared" si="28"/>
        <v>1.8949999999999818</v>
      </c>
      <c r="CL63" s="35">
        <f t="shared" si="2"/>
        <v>1.9882952303175068</v>
      </c>
      <c r="CN63" s="14"/>
      <c r="CO63" s="17">
        <f t="shared" si="3"/>
        <v>0.28999999999999915</v>
      </c>
      <c r="CP63" s="17">
        <f t="shared" si="4"/>
        <v>1.0199999999999996</v>
      </c>
      <c r="CQ63" s="17">
        <f t="shared" si="5"/>
        <v>1.4699999999999993</v>
      </c>
      <c r="CR63" s="38">
        <f t="shared" si="29"/>
        <v>2.1999999999999997</v>
      </c>
      <c r="CS63" s="17">
        <f t="shared" si="6"/>
        <v>2.6499999999999995</v>
      </c>
      <c r="CT63" s="17">
        <f t="shared" si="7"/>
        <v>3.38</v>
      </c>
      <c r="CU63" s="17">
        <f t="shared" si="8"/>
        <v>3.8299999999999996</v>
      </c>
      <c r="CV63" s="2" cm="1">
        <f t="array" aca="1" ref="CV63" ca="1">MAX(_xlfn._xlws.FILTER(CO63:CU63,CO63:CU63&lt;BQ63))</f>
        <v>1.4699999999999993</v>
      </c>
      <c r="CW63" s="2" cm="1">
        <f t="array" aca="1" ref="CW63" ca="1">MIN(_xlfn._xlws.FILTER($CO63:$CU63,$CO63:$CU63&gt;BQ63))</f>
        <v>2.1999999999999997</v>
      </c>
      <c r="CX63" s="16">
        <f t="shared" ca="1" si="80"/>
        <v>0.49659863945578286</v>
      </c>
      <c r="CY63" s="20">
        <f t="shared" ca="1" si="81"/>
        <v>-0.24829931972789143</v>
      </c>
      <c r="CZ63" s="20">
        <f t="shared" ca="1" si="82"/>
        <v>-0.1655328798185943</v>
      </c>
      <c r="DA63" s="20">
        <f t="shared" ca="1" si="83"/>
        <v>-9.9319727891156576E-2</v>
      </c>
      <c r="DB63" s="20">
        <f t="shared" ca="1" si="84"/>
        <v>-5.5177626606198099E-2</v>
      </c>
      <c r="DC63" s="20">
        <f t="shared" ca="1" si="85"/>
        <v>-2.921168467386958E-2</v>
      </c>
      <c r="DD63" s="20">
        <f t="shared" ca="1" si="86"/>
        <v>-1.5048443619872207E-2</v>
      </c>
      <c r="DE63" s="20">
        <f t="shared" ca="1" si="87"/>
        <v>-7.6399790685505054E-3</v>
      </c>
      <c r="DF63" s="21">
        <f t="shared" ca="1" si="88"/>
        <v>7.6399790685505054E-3</v>
      </c>
      <c r="DG63" s="21">
        <f t="shared" ca="1" si="89"/>
        <v>1.5048443619872207E-2</v>
      </c>
      <c r="DH63" s="21">
        <f t="shared" ca="1" si="90"/>
        <v>2.921168467386958E-2</v>
      </c>
      <c r="DI63" s="21">
        <f t="shared" ca="1" si="91"/>
        <v>5.5177626606198099E-2</v>
      </c>
      <c r="DJ63" s="21">
        <f t="shared" ca="1" si="92"/>
        <v>9.9319727891156576E-2</v>
      </c>
      <c r="DK63" s="21">
        <f t="shared" ca="1" si="93"/>
        <v>0.1655328798185943</v>
      </c>
      <c r="DL63" s="21">
        <f t="shared" ca="1" si="94"/>
        <v>0.24829931972789143</v>
      </c>
      <c r="DN63" s="16" cm="1">
        <f t="array" aca="1" ref="DN63" ca="1">MAX(_xlfn._xlws.FILTER(CY63:DL63,CY63:DL63&lt;BW63))</f>
        <v>-7.6399790685505054E-3</v>
      </c>
      <c r="DO63" s="16" cm="1">
        <f t="array" aca="1" ref="DO63" ca="1">MIN(_xlfn._xlws.FILTER(CY63:DL63,CY63:DL63&gt;BW63))</f>
        <v>7.6399790685505054E-3</v>
      </c>
      <c r="DP63" s="2" cm="1">
        <f t="array" aca="1" ref="DP63" ca="1">_FV(EE63,"Fechamento anterior",TRUE)</f>
        <v>1.91</v>
      </c>
      <c r="DQ63" s="28">
        <f t="shared" ca="1" si="15"/>
        <v>0.84264505486624142</v>
      </c>
      <c r="DR63" s="15">
        <f t="shared" ca="1" si="95"/>
        <v>1.8954076399790685</v>
      </c>
      <c r="DS63" s="15">
        <f t="shared" ca="1" si="96"/>
        <v>1.9245923600209314</v>
      </c>
      <c r="DT63" s="9"/>
      <c r="DU63" s="9"/>
      <c r="DV63" s="9"/>
      <c r="DW63" s="89">
        <v>2.644291889143148E-2</v>
      </c>
      <c r="DX63" s="89">
        <f t="shared" ca="1" si="18"/>
        <v>1.5279958137101011E-2</v>
      </c>
      <c r="DY63" s="72">
        <f t="shared" ca="1" si="19"/>
        <v>0.26796653928536385</v>
      </c>
      <c r="DZ63" s="37"/>
      <c r="EA63" s="35">
        <f t="shared" si="39"/>
        <v>4.6647615158762444E-2</v>
      </c>
      <c r="EB63" s="56"/>
      <c r="EC63" s="56"/>
      <c r="EE63" s="2" t="e" vm="63">
        <v>#VALUE!</v>
      </c>
      <c r="EG63" s="10" cm="1">
        <f t="array" aca="1" ref="EG63" ca="1">_FV(EE63,"Ações em circulação",TRUE)</f>
        <v>11900000</v>
      </c>
      <c r="EH63" s="18">
        <f>VLOOKUP(BR63,Fundamentus!A:U,5,FALSE)</f>
        <v>0.75700000000000001</v>
      </c>
      <c r="EI63" s="2">
        <f t="shared" ca="1" si="20"/>
        <v>30182298.546895642</v>
      </c>
      <c r="EJ63" s="17">
        <v>1970904.0951122853</v>
      </c>
      <c r="EK63" s="17">
        <f t="shared" ca="1" si="21"/>
        <v>1970904.0951122853</v>
      </c>
      <c r="EM63" s="16">
        <f t="shared" ca="1" si="22"/>
        <v>0</v>
      </c>
      <c r="EN63" s="32" t="str">
        <f>IF(VLOOKUP(BR63,Fundamentus!A:U,3,FALSE)&lt;15,"Bom",IF(VLOOKUP(BR63,Fundamentus!A:U,3,FALSE)&gt;15,"Ruim","n/a"))</f>
        <v>Bom</v>
      </c>
      <c r="EO63" s="28" t="str">
        <f>IF(VLOOKUP(BR63,Fundamentus!A:U,4,FALSE)&lt;1,"Baixo",IF(VLOOKUP(BR63,Fundamentus!A:U,4,FALSE)&lt;1.5,"Moderado",IF(VLOOKUP(BR63,Fundamentus!A:U,4,FALSE)&gt;1.5,"Alto","n/a")))</f>
        <v>Baixo</v>
      </c>
      <c r="EP63" s="17" t="str">
        <f>IF(VLOOKUP(BR63,Fundamentus!A:U,8,FALSE)&lt;0,"Risco elevado",IF(VLOOKUP(BR63,Fundamentus!A:U,8,FALSE)&lt;1,"Saudável",IF(VLOOKUP(BR63,Fundamentus!A:U,8,FALSE)&lt;3,"Estável",IF(VLOOKUP(BR63,Fundamentus!A:U,8,FALSE)&gt;3,"Alerta","n/a"))))</f>
        <v>Saudável</v>
      </c>
      <c r="EQ63" s="28" t="str">
        <f t="shared" si="23"/>
        <v>Ruim</v>
      </c>
      <c r="ER63" s="17" t="str">
        <f>IF(VLOOKUP(BR63,Fundamentus!A:U,12,FALSE)&lt;2,"Subvalorizada",IF(VLOOKUP(BR63,Fundamentus!A:U,12,FALSE)&lt;6,"Muita barata",IF(VLOOKUP(BR63,Fundamentus!A:U,12,FALSE)&lt;6,"Barata",IF(VLOOKUP(BR63,Fundamentus!A:U,12,FALSE)&lt;8,"Atrativa",IF(VLOOKUP(BR63,Fundamentus!A:U,12,FALSE)&gt;8,"Supervalorizada","n/a")))))</f>
        <v>Supervalorizada</v>
      </c>
      <c r="ET63" s="17" t="str">
        <f>IF(VLOOKUP(BR63,Fundamentus!A:U,17,FALSE)&lt;0.1,"Fraco retorno",IF(VLOOKUP(BR63,Fundamentus!A:U,17,FALSE)&gt;0.1,"Bom retorno","n/a"))</f>
        <v>Fraco retorno</v>
      </c>
      <c r="EU63" s="17" t="str">
        <f>IF(VLOOKUP(BR63,Fundamentus!A:U,16,FALSE)&lt;0.1,"Ineficiente",IF(VLOOKUP(BR63,Fundamentus!A:U,16,FALSE)&gt;0.1,"Eficiente","n/a"))</f>
        <v>Ineficiente</v>
      </c>
      <c r="EV63" s="33" t="str">
        <f>IF(VLOOKUP(BR63,Fundamentus!A:U,16,FALSE)&lt;0.1,"Oper. Ineficiente",IF(VLOOKUP(BR63,Fundamentus!A:U,16,FALSE)&gt;0.1,"Oper.Eficiente","n/a"))</f>
        <v>Oper. Ineficiente</v>
      </c>
      <c r="EW63" s="34">
        <f>VLOOKUP(BR63,Fundamentus!A:U,14,FALSE)</f>
        <v>6.5299999999999997E-2</v>
      </c>
      <c r="EX63" s="17" t="str">
        <f>IF(VLOOKUP(BR63,Fundamentus!A:U,21,FALSE)&lt;0,"Negativo",IF(VLOOKUP(BR63,Fundamentus!A:U,21,FALSE)&lt;0.05,"Fraco",IF(VLOOKUP(BR63,Fundamentus!A:U,21,FALSE)&lt;0.1,"Bom",IF(VLOOKUP(BR63,Fundamentus!A:U,21,FALSE)&gt;0.1,"Muito bom","n/a"))))</f>
        <v>Negativo</v>
      </c>
      <c r="EZ63" s="29" t="str">
        <f>IF(VLOOKUP(BR63,Fundamentus!A:U,15,FALSE)&gt;1,"Bom",IF(VLOOKUP(BR63,Fundamentus!A:U,15,FALSE)&lt;1,"Ruim","n/a"))</f>
        <v>Bom</v>
      </c>
      <c r="FA63" s="17" t="str">
        <f>IF(VLOOKUP(BR63,Fundamentus!A:U,20,FALSE)&lt;0.5,"Baixa",IF(VLOOKUP(BR63,Fundamentus!A:U,20,FALSE)&lt;1,"Moderada",IF(VLOOKUP(BR63,Fundamentus!A:U,20,FALSE)&lt;2,"Alerta",IF(VLOOKUP(BR63,Fundamentus!A:U,20,FALSE)&gt;2,"Alta","n/a"))))</f>
        <v>Baixa</v>
      </c>
    </row>
    <row r="64" spans="1:157" s="2" customFormat="1" ht="11.25"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5">
        <v>19.66</v>
      </c>
      <c r="BC64" s="52">
        <v>19.27</v>
      </c>
      <c r="BD64" s="52">
        <v>18.2</v>
      </c>
      <c r="BE64" s="52">
        <v>18.899999999999999</v>
      </c>
      <c r="BF64" s="52">
        <v>19.649999999999999</v>
      </c>
      <c r="BG64" s="67">
        <v>20.78</v>
      </c>
      <c r="BH64" s="52">
        <v>20.32</v>
      </c>
      <c r="BI64" s="52">
        <v>17.2</v>
      </c>
      <c r="BJ64" s="52">
        <v>17.989999999999998</v>
      </c>
      <c r="BK64" s="52">
        <v>17.79</v>
      </c>
      <c r="BL64" s="52">
        <v>18.739999999999998</v>
      </c>
      <c r="BM64" s="52">
        <v>19.510000000000002</v>
      </c>
      <c r="BN64" s="52">
        <v>19.39</v>
      </c>
      <c r="BO64" s="52">
        <v>19.93</v>
      </c>
      <c r="BP64" s="52">
        <v>19.54</v>
      </c>
      <c r="BQ64" s="52" cm="1">
        <f t="array" aca="1" ref="BQ64" ca="1">_FV(EE64,"Preço")</f>
        <v>19.54</v>
      </c>
      <c r="BR64" s="69" t="s">
        <v>61</v>
      </c>
      <c r="BS64" s="36" cm="1">
        <f t="array" aca="1" ref="BS64" ca="1">_FV(EE64,"Média de volume",TRUE)</f>
        <v>9253530</v>
      </c>
      <c r="BT64" s="36">
        <v>6510300</v>
      </c>
      <c r="BU64" s="36" cm="1">
        <f t="array" aca="1" ref="BU64" ca="1">_FV(EE64,"Volume")</f>
        <v>6510300</v>
      </c>
      <c r="BV64" s="24" cm="1">
        <f t="array" aca="1" ref="BV64" ca="1">_FV(EE64,"Beta")</f>
        <v>1.2085999999999999</v>
      </c>
      <c r="BW64" s="71" cm="1">
        <f t="array" aca="1" ref="BW64" ca="1">_FV(EE64,"Variação (%)",TRUE)</f>
        <v>-2.0059999999999998E-2</v>
      </c>
      <c r="BY64" s="17" cm="1">
        <f t="array" aca="1" ref="BY64" ca="1">_FV(EE64,"Baixo")</f>
        <v>19.440000000000001</v>
      </c>
      <c r="BZ64" s="17" cm="1">
        <f t="array" aca="1" ref="BZ64" ca="1">_FV(EE64,"Alto")</f>
        <v>20</v>
      </c>
      <c r="CA64" s="24"/>
      <c r="CB64" s="63">
        <f ca="1">SQRT(22.5*(BQ64/VLOOKUP(BR64,Fundamentus!A:U,3,FALSE))*(BQ64/VLOOKUP(BR64,Fundamentus!A:U,4,FALSE)))</f>
        <v>13.677756842039747</v>
      </c>
      <c r="CD64" s="62">
        <f t="shared" ca="1" si="24"/>
        <v>0</v>
      </c>
      <c r="CE64" s="8"/>
      <c r="CF64" s="61">
        <f t="shared" si="25"/>
        <v>16.18</v>
      </c>
      <c r="CG64" s="61">
        <f t="shared" si="26"/>
        <v>33.25</v>
      </c>
      <c r="CH64" s="61">
        <f t="shared" si="27"/>
        <v>21.734999999999999</v>
      </c>
      <c r="CI64" s="14"/>
      <c r="CJ64" s="35">
        <f t="shared" si="1"/>
        <v>18.25791957321335</v>
      </c>
      <c r="CK64" s="15">
        <f t="shared" si="28"/>
        <v>19.750000000000057</v>
      </c>
      <c r="CL64" s="35">
        <f t="shared" si="2"/>
        <v>21.242080426786764</v>
      </c>
      <c r="CN64" s="14"/>
      <c r="CO64" s="17">
        <f t="shared" si="3"/>
        <v>-4.3400000000000034</v>
      </c>
      <c r="CP64" s="17">
        <f t="shared" si="4"/>
        <v>5.9199999999999982</v>
      </c>
      <c r="CQ64" s="17">
        <f t="shared" si="5"/>
        <v>12.729999999999997</v>
      </c>
      <c r="CR64" s="38">
        <f t="shared" si="29"/>
        <v>22.99</v>
      </c>
      <c r="CS64" s="17">
        <f t="shared" si="6"/>
        <v>29.799999999999997</v>
      </c>
      <c r="CT64" s="17">
        <f t="shared" si="7"/>
        <v>40.06</v>
      </c>
      <c r="CU64" s="17">
        <f t="shared" si="8"/>
        <v>46.87</v>
      </c>
      <c r="CV64" s="2" cm="1">
        <f t="array" aca="1" ref="CV64" ca="1">MAX(_xlfn._xlws.FILTER(CO64:CU64,CO64:CU64&lt;BQ64))</f>
        <v>12.729999999999997</v>
      </c>
      <c r="CW64" s="2" cm="1">
        <f t="array" aca="1" ref="CW64" ca="1">MIN(_xlfn._xlws.FILTER($CO64:$CU64,$CO64:$CU64&gt;BQ64))</f>
        <v>22.99</v>
      </c>
      <c r="CX64" s="16">
        <f t="shared" ca="1" si="80"/>
        <v>0.80597014925373167</v>
      </c>
      <c r="CY64" s="20">
        <f t="shared" ca="1" si="81"/>
        <v>-0.40298507462686584</v>
      </c>
      <c r="CZ64" s="20">
        <f t="shared" ca="1" si="82"/>
        <v>-0.26865671641791056</v>
      </c>
      <c r="DA64" s="20">
        <f t="shared" ca="1" si="83"/>
        <v>-0.16119402985074632</v>
      </c>
      <c r="DB64" s="20">
        <f t="shared" ca="1" si="84"/>
        <v>-8.9552238805970186E-2</v>
      </c>
      <c r="DC64" s="20">
        <f t="shared" ca="1" si="85"/>
        <v>-4.7410008779631273E-2</v>
      </c>
      <c r="DD64" s="20">
        <f t="shared" ca="1" si="86"/>
        <v>-2.4423337856173687E-2</v>
      </c>
      <c r="DE64" s="20">
        <f t="shared" ca="1" si="87"/>
        <v>-1.2399540757749718E-2</v>
      </c>
      <c r="DF64" s="21">
        <f t="shared" ca="1" si="88"/>
        <v>1.2399540757749718E-2</v>
      </c>
      <c r="DG64" s="21">
        <f t="shared" ca="1" si="89"/>
        <v>2.4423337856173687E-2</v>
      </c>
      <c r="DH64" s="21">
        <f t="shared" ca="1" si="90"/>
        <v>4.7410008779631273E-2</v>
      </c>
      <c r="DI64" s="21">
        <f t="shared" ca="1" si="91"/>
        <v>8.9552238805970186E-2</v>
      </c>
      <c r="DJ64" s="21">
        <f t="shared" ca="1" si="92"/>
        <v>0.16119402985074632</v>
      </c>
      <c r="DK64" s="21">
        <f t="shared" ca="1" si="93"/>
        <v>0.26865671641791056</v>
      </c>
      <c r="DL64" s="21">
        <f t="shared" ca="1" si="94"/>
        <v>0.40298507462686584</v>
      </c>
      <c r="DN64" s="16" cm="1">
        <f t="array" aca="1" ref="DN64" ca="1">MAX(_xlfn._xlws.FILTER(CY64:DL64,CY64:DL64&lt;BW64))</f>
        <v>-2.4423337856173687E-2</v>
      </c>
      <c r="DO64" s="16" cm="1">
        <f t="array" aca="1" ref="DO64" ca="1">MIN(_xlfn._xlws.FILTER(CY64:DL64,CY64:DL64&gt;BW64))</f>
        <v>-1.2399540757749718E-2</v>
      </c>
      <c r="DP64" s="2" cm="1">
        <f t="array" aca="1" ref="DP64" ca="1">_FV(EE64,"Fechamento anterior",TRUE)</f>
        <v>19.940000000000001</v>
      </c>
      <c r="DQ64" s="28">
        <f t="shared" ca="1" si="15"/>
        <v>0.36287682491919704</v>
      </c>
      <c r="DR64" s="15">
        <f t="shared" ca="1" si="95"/>
        <v>19.452998643147897</v>
      </c>
      <c r="DS64" s="15">
        <f t="shared" ca="1" si="96"/>
        <v>19.692753157290472</v>
      </c>
      <c r="DT64" s="9"/>
      <c r="DU64" s="9"/>
      <c r="DV64" s="9"/>
      <c r="DW64" s="89">
        <v>2.3994788890862786E-2</v>
      </c>
      <c r="DX64" s="89">
        <f t="shared" ca="1" si="18"/>
        <v>1.202379709842397E-2</v>
      </c>
      <c r="DY64" s="72">
        <f t="shared" ca="1" si="19"/>
        <v>-0.14074308343572769</v>
      </c>
      <c r="DZ64" s="37"/>
      <c r="EA64" s="35">
        <f t="shared" si="39"/>
        <v>0.7460402133933538</v>
      </c>
      <c r="EB64" s="56"/>
      <c r="EC64" s="56"/>
      <c r="EE64" s="2" t="e" vm="64">
        <v>#VALUE!</v>
      </c>
      <c r="EG64" s="10" cm="1">
        <f t="array" aca="1" ref="EG64" ca="1">_FV(EE64,"Ações em circulação",TRUE)</f>
        <v>464187500</v>
      </c>
      <c r="EH64" s="18">
        <f>VLOOKUP(BR64,Fundamentus!A:U,5,FALSE)</f>
        <v>0.92800000000000005</v>
      </c>
      <c r="EI64" s="2">
        <f t="shared" ca="1" si="20"/>
        <v>9773948006.465517</v>
      </c>
      <c r="EJ64" s="17">
        <v>152473588.90086207</v>
      </c>
      <c r="EK64" s="17">
        <f t="shared" ca="1" si="21"/>
        <v>152473588.90086207</v>
      </c>
      <c r="EM64" s="16">
        <f t="shared" ca="1" si="22"/>
        <v>0</v>
      </c>
      <c r="EN64" s="32" t="str">
        <f>IF(VLOOKUP(BR64,Fundamentus!A:U,3,FALSE)&lt;15,"Bom",IF(VLOOKUP(BR64,Fundamentus!A:U,3,FALSE)&gt;15,"Ruim","n/a"))</f>
        <v>Ruim</v>
      </c>
      <c r="EO64" s="28" t="str">
        <f>IF(VLOOKUP(BR64,Fundamentus!A:U,4,FALSE)&lt;1,"Baixo",IF(VLOOKUP(BR64,Fundamentus!A:U,4,FALSE)&lt;1.5,"Moderado",IF(VLOOKUP(BR64,Fundamentus!A:U,4,FALSE)&gt;1.5,"Alto","n/a")))</f>
        <v>Baixo</v>
      </c>
      <c r="EP64" s="17" t="str">
        <f>IF(VLOOKUP(BR64,Fundamentus!A:U,8,FALSE)&lt;0,"Risco elevado",IF(VLOOKUP(BR64,Fundamentus!A:U,8,FALSE)&lt;1,"Saudável",IF(VLOOKUP(BR64,Fundamentus!A:U,8,FALSE)&lt;3,"Estável",IF(VLOOKUP(BR64,Fundamentus!A:U,8,FALSE)&gt;3,"Alerta","n/a"))))</f>
        <v>Alerta</v>
      </c>
      <c r="EQ64" s="28" t="str">
        <f t="shared" si="23"/>
        <v>Ruim</v>
      </c>
      <c r="ER64" s="17" t="str">
        <f>IF(VLOOKUP(BR64,Fundamentus!A:U,12,FALSE)&lt;2,"Subvalorizada",IF(VLOOKUP(BR64,Fundamentus!A:U,12,FALSE)&lt;6,"Muita barata",IF(VLOOKUP(BR64,Fundamentus!A:U,12,FALSE)&lt;6,"Barata",IF(VLOOKUP(BR64,Fundamentus!A:U,12,FALSE)&lt;8,"Atrativa",IF(VLOOKUP(BR64,Fundamentus!A:U,12,FALSE)&gt;8,"Supervalorizada","n/a")))))</f>
        <v>Atrativa</v>
      </c>
      <c r="ET64" s="17" t="str">
        <f>IF(VLOOKUP(BR64,Fundamentus!A:U,17,FALSE)&lt;0.1,"Fraco retorno",IF(VLOOKUP(BR64,Fundamentus!A:U,17,FALSE)&gt;0.1,"Bom retorno","n/a"))</f>
        <v>Fraco retorno</v>
      </c>
      <c r="EU64" s="17" t="str">
        <f>IF(VLOOKUP(BR64,Fundamentus!A:U,16,FALSE)&lt;0.1,"Ineficiente",IF(VLOOKUP(BR64,Fundamentus!A:U,16,FALSE)&gt;0.1,"Eficiente","n/a"))</f>
        <v>Ineficiente</v>
      </c>
      <c r="EV64" s="33" t="str">
        <f>IF(VLOOKUP(BR64,Fundamentus!A:U,16,FALSE)&lt;0.1,"Oper. Ineficiente",IF(VLOOKUP(BR64,Fundamentus!A:U,16,FALSE)&gt;0.1,"Oper.Eficiente","n/a"))</f>
        <v>Oper. Ineficiente</v>
      </c>
      <c r="EW64" s="34">
        <f>VLOOKUP(BR64,Fundamentus!A:U,14,FALSE)</f>
        <v>1.5599999999999999E-2</v>
      </c>
      <c r="EX64" s="17" t="str">
        <f>IF(VLOOKUP(BR64,Fundamentus!A:U,21,FALSE)&lt;0,"Negativo",IF(VLOOKUP(BR64,Fundamentus!A:U,21,FALSE)&lt;0.05,"Fraco",IF(VLOOKUP(BR64,Fundamentus!A:U,21,FALSE)&lt;0.1,"Bom",IF(VLOOKUP(BR64,Fundamentus!A:U,21,FALSE)&gt;0.1,"Muito bom","n/a"))))</f>
        <v>Muito bom</v>
      </c>
      <c r="EZ64" s="29" t="str">
        <f>IF(VLOOKUP(BR64,Fundamentus!A:U,15,FALSE)&gt;1,"Bom",IF(VLOOKUP(BR64,Fundamentus!A:U,15,FALSE)&lt;1,"Ruim","n/a"))</f>
        <v>Bom</v>
      </c>
      <c r="FA64" s="17" t="str">
        <f>IF(VLOOKUP(BR64,Fundamentus!A:U,20,FALSE)&lt;0.5,"Baixa",IF(VLOOKUP(BR64,Fundamentus!A:U,20,FALSE)&lt;1,"Moderada",IF(VLOOKUP(BR64,Fundamentus!A:U,20,FALSE)&lt;2,"Alerta",IF(VLOOKUP(BR64,Fundamentus!A:U,20,FALSE)&gt;2,"Alta","n/a"))))</f>
        <v>Alerta</v>
      </c>
    </row>
    <row r="65" spans="1:158" s="2" customFormat="1" ht="11.25"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5">
        <v>10.49</v>
      </c>
      <c r="BC65" s="52">
        <v>10.6</v>
      </c>
      <c r="BD65" s="52">
        <v>10.49</v>
      </c>
      <c r="BE65" s="52">
        <v>10.66</v>
      </c>
      <c r="BF65" s="52">
        <v>10.64</v>
      </c>
      <c r="BG65" s="67">
        <v>10.66</v>
      </c>
      <c r="BH65" s="52">
        <v>10.4</v>
      </c>
      <c r="BI65" s="52">
        <v>10.66</v>
      </c>
      <c r="BJ65" s="52">
        <v>11.49</v>
      </c>
      <c r="BK65" s="52">
        <v>11.25</v>
      </c>
      <c r="BL65" s="52">
        <v>11.16</v>
      </c>
      <c r="BM65" s="52">
        <v>11.09</v>
      </c>
      <c r="BN65" s="52">
        <v>11.36</v>
      </c>
      <c r="BO65" s="52">
        <v>11.62</v>
      </c>
      <c r="BP65" s="52">
        <v>12.19</v>
      </c>
      <c r="BQ65" s="52" cm="1">
        <f t="array" aca="1" ref="BQ65" ca="1">_FV(EE65,"Preço")</f>
        <v>12.19</v>
      </c>
      <c r="BR65" s="69" t="s">
        <v>159</v>
      </c>
      <c r="BS65" s="36" cm="1">
        <f t="array" aca="1" ref="BS65" ca="1">_FV(EE65,"Média de volume",TRUE)</f>
        <v>614590</v>
      </c>
      <c r="BT65" s="36">
        <v>547900</v>
      </c>
      <c r="BU65" s="36" cm="1">
        <f t="array" aca="1" ref="BU65" ca="1">_FV(EE65,"Volume")</f>
        <v>547900</v>
      </c>
      <c r="BV65" s="24" cm="1">
        <f t="array" aca="1" ref="BV65" ca="1">_FV(EE65,"Beta")</f>
        <v>1.5206999999999999</v>
      </c>
      <c r="BW65" s="71" cm="1">
        <f t="array" aca="1" ref="BW65" ca="1">_FV(EE65,"Variação (%)",TRUE)</f>
        <v>5.7759999999999999E-3</v>
      </c>
      <c r="BY65" s="17" cm="1">
        <f t="array" aca="1" ref="BY65" ca="1">_FV(EE65,"Baixo")</f>
        <v>12.03</v>
      </c>
      <c r="BZ65" s="17" cm="1">
        <f t="array" aca="1" ref="BZ65" ca="1">_FV(EE65,"Alto")</f>
        <v>12.3</v>
      </c>
      <c r="CA65" s="24"/>
      <c r="CB65" s="63">
        <f ca="1">SQRT(22.5*(BQ65/VLOOKUP(BR65,Fundamentus!A:U,3,FALSE))*(BQ65/VLOOKUP(BR65,Fundamentus!A:U,4,FALSE)))</f>
        <v>14.71270654938753</v>
      </c>
      <c r="CD65" s="62">
        <f t="shared" ca="1" si="24"/>
        <v>0</v>
      </c>
      <c r="CE65" s="8"/>
      <c r="CF65" s="61">
        <f t="shared" si="25"/>
        <v>8.17</v>
      </c>
      <c r="CG65" s="61">
        <f t="shared" si="26"/>
        <v>13.86</v>
      </c>
      <c r="CH65" s="61">
        <f t="shared" si="27"/>
        <v>10.451176470588235</v>
      </c>
      <c r="CI65" s="14"/>
      <c r="CJ65" s="35">
        <f t="shared" si="1"/>
        <v>12.083925883414036</v>
      </c>
      <c r="CK65" s="15">
        <f t="shared" si="28"/>
        <v>12.454999999999927</v>
      </c>
      <c r="CL65" s="35">
        <f t="shared" si="2"/>
        <v>12.826074116585819</v>
      </c>
      <c r="CN65" s="14"/>
      <c r="CO65" s="17">
        <f t="shared" si="3"/>
        <v>3.2633333333333336</v>
      </c>
      <c r="CP65" s="17">
        <f t="shared" si="4"/>
        <v>5.7166666666666668</v>
      </c>
      <c r="CQ65" s="17">
        <f t="shared" si="5"/>
        <v>8.9533333333333331</v>
      </c>
      <c r="CR65" s="38">
        <f t="shared" si="29"/>
        <v>11.406666666666666</v>
      </c>
      <c r="CS65" s="17">
        <f t="shared" si="6"/>
        <v>14.643333333333333</v>
      </c>
      <c r="CT65" s="17">
        <f t="shared" si="7"/>
        <v>17.096666666666664</v>
      </c>
      <c r="CU65" s="17">
        <f t="shared" si="8"/>
        <v>20.333333333333332</v>
      </c>
      <c r="CV65" s="2" cm="1">
        <f t="array" aca="1" ref="CV65" ca="1">MAX(_xlfn._xlws.FILTER(CO65:CU65,CO65:CU65&lt;BQ65))</f>
        <v>11.406666666666666</v>
      </c>
      <c r="CW65" s="2" cm="1">
        <f t="array" aca="1" ref="CW65" ca="1">MIN(_xlfn._xlws.FILTER($CO65:$CU65,$CO65:$CU65&gt;BQ65))</f>
        <v>14.643333333333333</v>
      </c>
      <c r="CX65" s="16">
        <f t="shared" ca="1" si="80"/>
        <v>0.28375219170075971</v>
      </c>
      <c r="CY65" s="20">
        <f t="shared" ca="1" si="81"/>
        <v>-0.14187609585037986</v>
      </c>
      <c r="CZ65" s="20">
        <f t="shared" ca="1" si="82"/>
        <v>-9.4584063900253243E-2</v>
      </c>
      <c r="DA65" s="20">
        <f t="shared" ca="1" si="83"/>
        <v>-5.6750438340151942E-2</v>
      </c>
      <c r="DB65" s="20">
        <f t="shared" ca="1" si="84"/>
        <v>-3.1528021300084412E-2</v>
      </c>
      <c r="DC65" s="20">
        <f t="shared" ca="1" si="85"/>
        <v>-1.6691305394162335E-2</v>
      </c>
      <c r="DD65" s="20">
        <f t="shared" ca="1" si="86"/>
        <v>-8.5985512636593854E-3</v>
      </c>
      <c r="DE65" s="20">
        <f t="shared" ca="1" si="87"/>
        <v>-4.3654183338578418E-3</v>
      </c>
      <c r="DF65" s="21">
        <f t="shared" ca="1" si="88"/>
        <v>4.3654183338578418E-3</v>
      </c>
      <c r="DG65" s="21">
        <f t="shared" ca="1" si="89"/>
        <v>8.5985512636593854E-3</v>
      </c>
      <c r="DH65" s="21">
        <f t="shared" ca="1" si="90"/>
        <v>1.6691305394162335E-2</v>
      </c>
      <c r="DI65" s="21">
        <f t="shared" ca="1" si="91"/>
        <v>3.1528021300084412E-2</v>
      </c>
      <c r="DJ65" s="21">
        <f t="shared" ca="1" si="92"/>
        <v>5.6750438340151942E-2</v>
      </c>
      <c r="DK65" s="21">
        <f t="shared" ca="1" si="93"/>
        <v>9.4584063900253243E-2</v>
      </c>
      <c r="DL65" s="21">
        <f t="shared" ca="1" si="94"/>
        <v>0.14187609585037986</v>
      </c>
      <c r="DN65" s="16" cm="1">
        <f t="array" aca="1" ref="DN65" ca="1">MAX(_xlfn._xlws.FILTER(CY65:DL65,CY65:DL65&lt;BW65))</f>
        <v>4.3654183338578418E-3</v>
      </c>
      <c r="DO65" s="16" cm="1">
        <f t="array" aca="1" ref="DO65" ca="1">MIN(_xlfn._xlws.FILTER(CY65:DL65,CY65:DL65&gt;BW65))</f>
        <v>8.5985512636593854E-3</v>
      </c>
      <c r="DP65" s="2" cm="1">
        <f t="array" aca="1" ref="DP65" ca="1">_FV(EE65,"Fechamento anterior",TRUE)</f>
        <v>12.12</v>
      </c>
      <c r="DQ65" s="28">
        <f t="shared" ca="1" si="15"/>
        <v>0.33312424799380386</v>
      </c>
      <c r="DR65" s="15">
        <f t="shared" ca="1" si="95"/>
        <v>12.172908870206356</v>
      </c>
      <c r="DS65" s="15">
        <f t="shared" ca="1" si="96"/>
        <v>12.224214441315551</v>
      </c>
      <c r="DT65" s="9"/>
      <c r="DU65" s="9"/>
      <c r="DV65" s="9"/>
      <c r="DW65" s="89">
        <v>4.0521340967106185E-3</v>
      </c>
      <c r="DX65" s="89">
        <f t="shared" ca="1" si="18"/>
        <v>4.2331329298015436E-3</v>
      </c>
      <c r="DY65" s="72">
        <f t="shared" ca="1" si="19"/>
        <v>-0.71414304624124614</v>
      </c>
      <c r="DZ65" s="37"/>
      <c r="EA65" s="35">
        <f t="shared" si="39"/>
        <v>0.18553705829294559</v>
      </c>
      <c r="EB65" s="56"/>
      <c r="EC65" s="56"/>
      <c r="EE65" s="2" t="e" vm="65">
        <v>#VALUE!</v>
      </c>
      <c r="EG65" s="10" cm="1">
        <f t="array" aca="1" ref="EG65" ca="1">_FV(EE65,"Ações em circulação",TRUE)</f>
        <v>234178200</v>
      </c>
      <c r="EH65" s="18">
        <f>VLOOKUP(BR65,Fundamentus!A:U,5,FALSE)</f>
        <v>1.5660000000000001</v>
      </c>
      <c r="EI65" s="2">
        <f t="shared" ca="1" si="20"/>
        <v>1822881390.8045976</v>
      </c>
      <c r="EJ65" s="17">
        <v>318275090.83448273</v>
      </c>
      <c r="EK65" s="17">
        <f t="shared" ca="1" si="21"/>
        <v>318275090.83448273</v>
      </c>
      <c r="EM65" s="16">
        <f t="shared" ca="1" si="22"/>
        <v>0</v>
      </c>
      <c r="EN65" s="32" t="str">
        <f>IF(VLOOKUP(BR65,Fundamentus!A:U,3,FALSE)&lt;15,"Bom",IF(VLOOKUP(BR65,Fundamentus!A:U,3,FALSE)&gt;15,"Ruim","n/a"))</f>
        <v>Bom</v>
      </c>
      <c r="EO65" s="28" t="str">
        <f>IF(VLOOKUP(BR65,Fundamentus!A:U,4,FALSE)&lt;1,"Baixo",IF(VLOOKUP(BR65,Fundamentus!A:U,4,FALSE)&lt;1.5,"Moderado",IF(VLOOKUP(BR65,Fundamentus!A:U,4,FALSE)&gt;1.5,"Alto","n/a")))</f>
        <v>Alto</v>
      </c>
      <c r="EP65" s="17" t="str">
        <f>IF(VLOOKUP(BR65,Fundamentus!A:U,8,FALSE)&lt;0,"Risco elevado",IF(VLOOKUP(BR65,Fundamentus!A:U,8,FALSE)&lt;1,"Saudável",IF(VLOOKUP(BR65,Fundamentus!A:U,8,FALSE)&lt;3,"Estável",IF(VLOOKUP(BR65,Fundamentus!A:U,8,FALSE)&gt;3,"Alerta","n/a"))))</f>
        <v>Alerta</v>
      </c>
      <c r="EQ65" s="28" t="str">
        <f t="shared" si="23"/>
        <v>Bom</v>
      </c>
      <c r="ER65" s="17" t="str">
        <f>IF(VLOOKUP(BR65,Fundamentus!A:U,12,FALSE)&lt;2,"Subvalorizada",IF(VLOOKUP(BR65,Fundamentus!A:U,12,FALSE)&lt;6,"Muita barata",IF(VLOOKUP(BR65,Fundamentus!A:U,12,FALSE)&lt;6,"Barata",IF(VLOOKUP(BR65,Fundamentus!A:U,12,FALSE)&lt;8,"Atrativa",IF(VLOOKUP(BR65,Fundamentus!A:U,12,FALSE)&gt;8,"Supervalorizada","n/a")))))</f>
        <v>Muita barata</v>
      </c>
      <c r="ET65" s="17" t="str">
        <f>IF(VLOOKUP(BR65,Fundamentus!A:U,17,FALSE)&lt;0.1,"Fraco retorno",IF(VLOOKUP(BR65,Fundamentus!A:U,17,FALSE)&gt;0.1,"Bom retorno","n/a"))</f>
        <v>Bom retorno</v>
      </c>
      <c r="EU65" s="17" t="str">
        <f>IF(VLOOKUP(BR65,Fundamentus!A:U,16,FALSE)&lt;0.1,"Ineficiente",IF(VLOOKUP(BR65,Fundamentus!A:U,16,FALSE)&gt;0.1,"Eficiente","n/a"))</f>
        <v>Eficiente</v>
      </c>
      <c r="EV65" s="33" t="str">
        <f>IF(VLOOKUP(BR65,Fundamentus!A:U,16,FALSE)&lt;0.1,"Oper. Ineficiente",IF(VLOOKUP(BR65,Fundamentus!A:U,16,FALSE)&gt;0.1,"Oper.Eficiente","n/a"))</f>
        <v>Oper.Eficiente</v>
      </c>
      <c r="EW65" s="34">
        <f>VLOOKUP(BR65,Fundamentus!A:U,14,FALSE)</f>
        <v>0.17460000000000001</v>
      </c>
      <c r="EX65" s="17" t="str">
        <f>IF(VLOOKUP(BR65,Fundamentus!A:U,21,FALSE)&lt;0,"Negativo",IF(VLOOKUP(BR65,Fundamentus!A:U,21,FALSE)&lt;0.05,"Fraco",IF(VLOOKUP(BR65,Fundamentus!A:U,21,FALSE)&lt;0.1,"Bom",IF(VLOOKUP(BR65,Fundamentus!A:U,21,FALSE)&gt;0.1,"Muito bom","n/a"))))</f>
        <v>Muito bom</v>
      </c>
      <c r="EZ65" s="29" t="str">
        <f>IF(VLOOKUP(BR65,Fundamentus!A:U,15,FALSE)&gt;1,"Bom",IF(VLOOKUP(BR65,Fundamentus!A:U,15,FALSE)&lt;1,"Ruim","n/a"))</f>
        <v>Bom</v>
      </c>
      <c r="FA65" s="17" t="str">
        <f>IF(VLOOKUP(BR65,Fundamentus!A:U,20,FALSE)&lt;0.5,"Baixa",IF(VLOOKUP(BR65,Fundamentus!A:U,20,FALSE)&lt;1,"Moderada",IF(VLOOKUP(BR65,Fundamentus!A:U,20,FALSE)&lt;2,"Alerta",IF(VLOOKUP(BR65,Fundamentus!A:U,20,FALSE)&gt;2,"Alta","n/a"))))</f>
        <v>Alerta</v>
      </c>
    </row>
    <row r="66" spans="1:158" s="2" customFormat="1" ht="11.25"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5">
        <v>13.53</v>
      </c>
      <c r="BC66" s="52">
        <v>13.55</v>
      </c>
      <c r="BD66" s="52">
        <v>13.62</v>
      </c>
      <c r="BE66" s="52">
        <v>13.68</v>
      </c>
      <c r="BF66" s="52">
        <v>13.69</v>
      </c>
      <c r="BG66" s="67">
        <v>13.71</v>
      </c>
      <c r="BH66" s="52">
        <v>13.69</v>
      </c>
      <c r="BI66" s="52">
        <v>13.75</v>
      </c>
      <c r="BJ66" s="52">
        <v>13.76</v>
      </c>
      <c r="BK66" s="52">
        <v>13.82</v>
      </c>
      <c r="BL66" s="52">
        <v>13.86</v>
      </c>
      <c r="BM66" s="52">
        <v>13.93</v>
      </c>
      <c r="BN66" s="52">
        <v>13.96</v>
      </c>
      <c r="BO66" s="52">
        <v>13.99</v>
      </c>
      <c r="BP66" s="52">
        <v>14.11</v>
      </c>
      <c r="BQ66" s="52" cm="1">
        <f t="array" aca="1" ref="BQ66" ca="1">_FV(EE66,"Preço")</f>
        <v>14.11</v>
      </c>
      <c r="BR66" s="66" t="s">
        <v>63</v>
      </c>
      <c r="BS66" s="36" cm="1">
        <f t="array" aca="1" ref="BS66" ca="1">_FV(EE66,"Média de volume",TRUE)</f>
        <v>3785410</v>
      </c>
      <c r="BT66" s="36">
        <v>4564100</v>
      </c>
      <c r="BU66" s="36" cm="1">
        <f t="array" aca="1" ref="BU66" ca="1">_FV(EE66,"Volume")</f>
        <v>4564100</v>
      </c>
      <c r="BV66" s="24" cm="1">
        <f t="array" aca="1" ref="BV66" ca="1">_FV(EE66,"Beta")</f>
        <v>1.2708999999999999</v>
      </c>
      <c r="BW66" s="71" cm="1">
        <f t="array" aca="1" ref="BW66" ca="1">_FV(EE66,"Variação (%)",TRUE)</f>
        <v>-1.4149999999999998E-3</v>
      </c>
      <c r="BY66" s="17" cm="1">
        <f t="array" aca="1" ref="BY66" ca="1">_FV(EE66,"Baixo")</f>
        <v>14.11</v>
      </c>
      <c r="BZ66" s="17" cm="1">
        <f t="array" aca="1" ref="BZ66" ca="1">_FV(EE66,"Alto")</f>
        <v>14.13</v>
      </c>
      <c r="CA66" s="24"/>
      <c r="CB66" s="63">
        <f ca="1">SQRT(22.5*(BQ66/VLOOKUP(BR66,Fundamentus!A:U,3,FALSE))*(BQ66/VLOOKUP(BR66,Fundamentus!A:U,4,FALSE)))</f>
        <v>3.8783118616174139</v>
      </c>
      <c r="CD66" s="62">
        <f t="shared" ca="1" si="24"/>
        <v>0</v>
      </c>
      <c r="CE66" s="8"/>
      <c r="CF66" s="61">
        <f t="shared" si="25"/>
        <v>11.56</v>
      </c>
      <c r="CG66" s="61">
        <f t="shared" si="26"/>
        <v>14.88</v>
      </c>
      <c r="CH66" s="61">
        <f t="shared" si="27"/>
        <v>13.387941176470589</v>
      </c>
      <c r="CI66" s="14"/>
      <c r="CJ66" s="35">
        <f t="shared" si="1"/>
        <v>14.013888937836567</v>
      </c>
      <c r="CK66" s="15">
        <f t="shared" si="28"/>
        <v>14.140000000000043</v>
      </c>
      <c r="CL66" s="35">
        <f t="shared" si="2"/>
        <v>14.266111062163519</v>
      </c>
      <c r="CN66" s="14"/>
      <c r="CO66" s="17">
        <f t="shared" si="3"/>
        <v>8.8333333333333304</v>
      </c>
      <c r="CP66" s="17">
        <f t="shared" si="4"/>
        <v>10.196666666666665</v>
      </c>
      <c r="CQ66" s="17">
        <f t="shared" si="5"/>
        <v>12.153333333333331</v>
      </c>
      <c r="CR66" s="38">
        <f t="shared" si="29"/>
        <v>13.516666666666666</v>
      </c>
      <c r="CS66" s="17">
        <f t="shared" si="6"/>
        <v>15.473333333333331</v>
      </c>
      <c r="CT66" s="17">
        <f t="shared" si="7"/>
        <v>16.836666666666666</v>
      </c>
      <c r="CU66" s="17">
        <f t="shared" si="8"/>
        <v>18.793333333333329</v>
      </c>
      <c r="CV66" s="2" cm="1">
        <f t="array" aca="1" ref="CV66" ca="1">MAX(_xlfn._xlws.FILTER(CO66:CU66,CO66:CU66&lt;BQ66))</f>
        <v>13.516666666666666</v>
      </c>
      <c r="CW66" s="2" cm="1">
        <f t="array" aca="1" ref="CW66" ca="1">MIN(_xlfn._xlws.FILTER($CO66:$CU66,$CO66:$CU66&gt;BQ66))</f>
        <v>15.473333333333331</v>
      </c>
      <c r="CX66" s="16">
        <f t="shared" ca="1" si="80"/>
        <v>0.14475955610357572</v>
      </c>
      <c r="CY66" s="20">
        <f t="shared" ca="1" si="81"/>
        <v>-7.2379778051787858E-2</v>
      </c>
      <c r="CZ66" s="20">
        <f t="shared" ca="1" si="82"/>
        <v>-4.8253185367858574E-2</v>
      </c>
      <c r="DA66" s="20">
        <f t="shared" ca="1" si="83"/>
        <v>-2.8951911220715144E-2</v>
      </c>
      <c r="DB66" s="20">
        <f t="shared" ca="1" si="84"/>
        <v>-1.6084395122619524E-2</v>
      </c>
      <c r="DC66" s="20">
        <f t="shared" ca="1" si="85"/>
        <v>-8.5152680060926883E-3</v>
      </c>
      <c r="DD66" s="20">
        <f t="shared" ca="1" si="86"/>
        <v>-4.3866532152598697E-3</v>
      </c>
      <c r="DE66" s="20">
        <f t="shared" ca="1" si="87"/>
        <v>-2.2270700939011649E-3</v>
      </c>
      <c r="DF66" s="21">
        <f t="shared" ca="1" si="88"/>
        <v>2.2270700939011649E-3</v>
      </c>
      <c r="DG66" s="21">
        <f t="shared" ca="1" si="89"/>
        <v>4.3866532152598697E-3</v>
      </c>
      <c r="DH66" s="21">
        <f t="shared" ca="1" si="90"/>
        <v>8.5152680060926883E-3</v>
      </c>
      <c r="DI66" s="21">
        <f t="shared" ca="1" si="91"/>
        <v>1.6084395122619524E-2</v>
      </c>
      <c r="DJ66" s="21">
        <f t="shared" ca="1" si="92"/>
        <v>2.8951911220715144E-2</v>
      </c>
      <c r="DK66" s="21">
        <f t="shared" ca="1" si="93"/>
        <v>4.8253185367858574E-2</v>
      </c>
      <c r="DL66" s="21">
        <f t="shared" ca="1" si="94"/>
        <v>7.2379778051787858E-2</v>
      </c>
      <c r="DN66" s="16" cm="1">
        <f t="array" aca="1" ref="DN66" ca="1">MAX(_xlfn._xlws.FILTER(CY66:DL66,CY66:DL66&lt;BW66))</f>
        <v>-2.2270700939011649E-3</v>
      </c>
      <c r="DO66" s="16" cm="1">
        <f t="array" aca="1" ref="DO66" ca="1">MIN(_xlfn._xlws.FILTER(CY66:DL66,CY66:DL66&gt;BW66))</f>
        <v>2.2270700939011649E-3</v>
      </c>
      <c r="DP66" s="2" cm="1">
        <f t="array" aca="1" ref="DP66" ca="1">_FV(EE66,"Fechamento anterior",TRUE)</f>
        <v>14.13</v>
      </c>
      <c r="DQ66" s="28">
        <f t="shared" ca="1" si="15"/>
        <v>0.18222190875429653</v>
      </c>
      <c r="DR66" s="15">
        <f t="shared" ca="1" si="95"/>
        <v>14.098531499573177</v>
      </c>
      <c r="DS66" s="15">
        <f t="shared" ca="1" si="96"/>
        <v>14.161468500426825</v>
      </c>
      <c r="DT66" s="9"/>
      <c r="DU66" s="9"/>
      <c r="DV66" s="9"/>
      <c r="DW66" s="89">
        <v>4.3760345516467205E-3</v>
      </c>
      <c r="DX66" s="89">
        <f t="shared" ca="1" si="18"/>
        <v>4.4541401878023298E-3</v>
      </c>
      <c r="DY66" s="75">
        <f t="shared" ca="1" si="19"/>
        <v>-0.23788555488617794</v>
      </c>
      <c r="DZ66" s="37"/>
      <c r="EA66" s="35">
        <f t="shared" si="39"/>
        <v>6.3055531081737962E-2</v>
      </c>
      <c r="EB66" s="56"/>
      <c r="EC66" s="56"/>
      <c r="EE66" s="2" t="e" vm="66">
        <v>#VALUE!</v>
      </c>
      <c r="EG66" s="10" cm="1">
        <f t="array" aca="1" ref="EG66" ca="1">_FV(EE66,"Ações em circulação",TRUE)</f>
        <v>864170300</v>
      </c>
      <c r="EH66" s="18">
        <f>VLOOKUP(BR66,Fundamentus!A:U,5,FALSE)</f>
        <v>3.8130000000000002</v>
      </c>
      <c r="EI66" s="2">
        <f t="shared" ca="1" si="20"/>
        <v>3197860722.0036716</v>
      </c>
      <c r="EJ66" s="17">
        <v>806820260.16152644</v>
      </c>
      <c r="EK66" s="17">
        <f t="shared" ca="1" si="21"/>
        <v>806820260.16152644</v>
      </c>
      <c r="EM66" s="16">
        <f ca="1">(EK66/EJ66)-1</f>
        <v>0</v>
      </c>
      <c r="EN66" s="32" t="str">
        <f>IF(VLOOKUP(BR66,Fundamentus!A:U,3,FALSE)&lt;15,"Bom",IF(VLOOKUP(BR66,Fundamentus!A:U,3,FALSE)&gt;15,"Ruim","n/a"))</f>
        <v>Ruim</v>
      </c>
      <c r="EO66" s="28" t="str">
        <f>IF(VLOOKUP(BR66,Fundamentus!A:U,4,FALSE)&lt;1,"Baixo",IF(VLOOKUP(BR66,Fundamentus!A:U,4,FALSE)&lt;1.5,"Moderado",IF(VLOOKUP(BR66,Fundamentus!A:U,4,FALSE)&gt;1.5,"Alto","n/a")))</f>
        <v>Alto</v>
      </c>
      <c r="EP66" s="17" t="str">
        <f>IF(VLOOKUP(BR66,Fundamentus!A:U,8,FALSE)&lt;0,"Risco elevado",IF(VLOOKUP(BR66,Fundamentus!A:U,8,FALSE)&lt;1,"Saudável",IF(VLOOKUP(BR66,Fundamentus!A:U,8,FALSE)&lt;3,"Estável",IF(VLOOKUP(BR66,Fundamentus!A:U,8,FALSE)&gt;3,"Alerta","n/a"))))</f>
        <v>Alerta</v>
      </c>
      <c r="EQ66" s="28" t="str">
        <f t="shared" si="23"/>
        <v>Bom</v>
      </c>
      <c r="ER66" s="17" t="str">
        <f>IF(VLOOKUP(BR66,Fundamentus!A:U,12,FALSE)&lt;2,"Subvalorizada",IF(VLOOKUP(BR66,Fundamentus!A:U,12,FALSE)&lt;6,"Muita barata",IF(VLOOKUP(BR66,Fundamentus!A:U,12,FALSE)&lt;6,"Barata",IF(VLOOKUP(BR66,Fundamentus!A:U,12,FALSE)&lt;8,"Atrativa",IF(VLOOKUP(BR66,Fundamentus!A:U,12,FALSE)&gt;8,"Supervalorizada","n/a")))))</f>
        <v>Supervalorizada</v>
      </c>
      <c r="ET66" s="17" t="str">
        <f>IF(VLOOKUP(BR66,Fundamentus!A:U,17,FALSE)&lt;0.1,"Fraco retorno",IF(VLOOKUP(BR66,Fundamentus!A:U,17,FALSE)&gt;0.1,"Bom retorno","n/a"))</f>
        <v>Bom retorno</v>
      </c>
      <c r="EU66" s="17" t="str">
        <f>IF(VLOOKUP(BR66,Fundamentus!A:U,16,FALSE)&lt;0.1,"Ineficiente",IF(VLOOKUP(BR66,Fundamentus!A:U,16,FALSE)&gt;0.1,"Eficiente","n/a"))</f>
        <v>Eficiente</v>
      </c>
      <c r="EV66" s="33" t="str">
        <f>IF(VLOOKUP(BR66,Fundamentus!A:U,16,FALSE)&lt;0.1,"Oper. Ineficiente",IF(VLOOKUP(BR66,Fundamentus!A:U,16,FALSE)&gt;0.1,"Oper.Eficiente","n/a"))</f>
        <v>Oper.Eficiente</v>
      </c>
      <c r="EW66" s="34">
        <f>VLOOKUP(BR66,Fundamentus!A:U,14,FALSE)</f>
        <v>0.25230000000000002</v>
      </c>
      <c r="EX66" s="17" t="str">
        <f>IF(VLOOKUP(BR66,Fundamentus!A:U,21,FALSE)&lt;0,"Negativo",IF(VLOOKUP(BR66,Fundamentus!A:U,21,FALSE)&lt;0.05,"Fraco",IF(VLOOKUP(BR66,Fundamentus!A:U,21,FALSE)&lt;0.1,"Bom",IF(VLOOKUP(BR66,Fundamentus!A:U,21,FALSE)&gt;0.1,"Muito bom","n/a"))))</f>
        <v>Muito bom</v>
      </c>
      <c r="EZ66" s="29" t="str">
        <f>IF(VLOOKUP(BR66,Fundamentus!A:U,15,FALSE)&gt;1,"Bom",IF(VLOOKUP(BR66,Fundamentus!A:U,15,FALSE)&lt;1,"Ruim","n/a"))</f>
        <v>Bom</v>
      </c>
      <c r="FA66" s="17" t="str">
        <f>IF(VLOOKUP(BR66,Fundamentus!A:U,20,FALSE)&lt;0.5,"Baixa",IF(VLOOKUP(BR66,Fundamentus!A:U,20,FALSE)&lt;1,"Moderada",IF(VLOOKUP(BR66,Fundamentus!A:U,20,FALSE)&lt;2,"Alerta",IF(VLOOKUP(BR66,Fundamentus!A:U,20,FALSE)&gt;2,"Alta","n/a"))))</f>
        <v>Alta</v>
      </c>
    </row>
    <row r="67" spans="1:158" s="2" customFormat="1" ht="11.25"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5">
        <v>17.88</v>
      </c>
      <c r="BC67" s="52">
        <v>18.95</v>
      </c>
      <c r="BD67" s="52">
        <v>19.18</v>
      </c>
      <c r="BE67" s="52">
        <v>20.18</v>
      </c>
      <c r="BF67" s="52">
        <v>20.13</v>
      </c>
      <c r="BG67" s="67">
        <v>21.07</v>
      </c>
      <c r="BH67" s="52">
        <v>21.43</v>
      </c>
      <c r="BI67" s="52">
        <v>21.21</v>
      </c>
      <c r="BJ67" s="52">
        <v>22.59</v>
      </c>
      <c r="BK67" s="52">
        <v>21.74</v>
      </c>
      <c r="BL67" s="52">
        <v>20.239999999999998</v>
      </c>
      <c r="BM67" s="52">
        <v>21.05</v>
      </c>
      <c r="BN67" s="52">
        <v>21.2</v>
      </c>
      <c r="BO67" s="52">
        <v>21.4</v>
      </c>
      <c r="BP67" s="52">
        <v>20.86</v>
      </c>
      <c r="BQ67" s="52" cm="1">
        <f t="array" aca="1" ref="BQ67" ca="1">_FV(EE67,"Preço")</f>
        <v>20.86</v>
      </c>
      <c r="BR67" s="69" t="s">
        <v>116</v>
      </c>
      <c r="BS67" s="36" cm="1">
        <f t="array" aca="1" ref="BS67" ca="1">_FV(EE67,"Média de volume",TRUE)</f>
        <v>10319620</v>
      </c>
      <c r="BT67" s="36">
        <v>14183300</v>
      </c>
      <c r="BU67" s="36" cm="1">
        <f t="array" aca="1" ref="BU67" ca="1">_FV(EE67,"Volume")</f>
        <v>14183300</v>
      </c>
      <c r="BV67" s="24" cm="1">
        <f t="array" aca="1" ref="BV67" ca="1">_FV(EE67,"Beta")</f>
        <v>1.0239</v>
      </c>
      <c r="BW67" s="71" cm="1">
        <f t="array" aca="1" ref="BW67" ca="1">_FV(EE67,"Variação (%)",TRUE)</f>
        <v>-1.9737000000000001E-2</v>
      </c>
      <c r="BY67" s="17" cm="1">
        <f t="array" aca="1" ref="BY67" ca="1">_FV(EE67,"Baixo")</f>
        <v>20.73</v>
      </c>
      <c r="BZ67" s="17" cm="1">
        <f t="array" aca="1" ref="BZ67" ca="1">_FV(EE67,"Alto")</f>
        <v>21.36</v>
      </c>
      <c r="CA67" s="24"/>
      <c r="CB67" s="63">
        <f ca="1">SQRT(22.5*(BQ67/VLOOKUP(BR67,Fundamentus!A:U,3,FALSE))*(BQ67/VLOOKUP(BR67,Fundamentus!A:U,4,FALSE)))</f>
        <v>49.381330639130795</v>
      </c>
      <c r="CD67" s="62">
        <f t="shared" ca="1" si="24"/>
        <v>0</v>
      </c>
      <c r="CE67" s="8"/>
      <c r="CF67" s="61">
        <f t="shared" si="25"/>
        <v>16.48</v>
      </c>
      <c r="CG67" s="61">
        <f t="shared" si="26"/>
        <v>26.03</v>
      </c>
      <c r="CH67" s="61">
        <f t="shared" si="27"/>
        <v>20.846029411764711</v>
      </c>
      <c r="CI67" s="14"/>
      <c r="CJ67" s="35">
        <f t="shared" si="1"/>
        <v>20.035672225943856</v>
      </c>
      <c r="CK67" s="15">
        <f t="shared" si="28"/>
        <v>21.034999999999997</v>
      </c>
      <c r="CL67" s="35">
        <f t="shared" si="2"/>
        <v>22.034327774056138</v>
      </c>
      <c r="CN67" s="14"/>
      <c r="CO67" s="17">
        <f t="shared" si="3"/>
        <v>6.6666666666666679</v>
      </c>
      <c r="CP67" s="17">
        <f t="shared" si="4"/>
        <v>11.573333333333334</v>
      </c>
      <c r="CQ67" s="17">
        <f t="shared" si="5"/>
        <v>16.216666666666669</v>
      </c>
      <c r="CR67" s="38">
        <f t="shared" si="29"/>
        <v>21.123333333333335</v>
      </c>
      <c r="CS67" s="17">
        <f t="shared" si="6"/>
        <v>25.766666666666669</v>
      </c>
      <c r="CT67" s="17">
        <f t="shared" si="7"/>
        <v>30.673333333333336</v>
      </c>
      <c r="CU67" s="17">
        <f t="shared" si="8"/>
        <v>35.31666666666667</v>
      </c>
      <c r="CV67" s="2" cm="1">
        <f t="array" aca="1" ref="CV67" ca="1">MAX(_xlfn._xlws.FILTER(CO67:CU67,CO67:CU67&lt;BQ67))</f>
        <v>16.216666666666669</v>
      </c>
      <c r="CW67" s="2" cm="1">
        <f t="array" aca="1" ref="CW67" ca="1">MIN(_xlfn._xlws.FILTER($CO67:$CU67,$CO67:$CU67&gt;BQ67))</f>
        <v>21.123333333333335</v>
      </c>
      <c r="CX67" s="16">
        <f t="shared" ca="1" si="80"/>
        <v>0.30256937307297016</v>
      </c>
      <c r="CY67" s="20">
        <f t="shared" ca="1" si="81"/>
        <v>-0.15128468653648508</v>
      </c>
      <c r="CZ67" s="20">
        <f t="shared" ca="1" si="82"/>
        <v>-0.10085645769099005</v>
      </c>
      <c r="DA67" s="20">
        <f t="shared" ca="1" si="83"/>
        <v>-6.0513874614594031E-2</v>
      </c>
      <c r="DB67" s="20">
        <f t="shared" ca="1" si="84"/>
        <v>-3.361881923033002E-2</v>
      </c>
      <c r="DC67" s="20">
        <f t="shared" ca="1" si="85"/>
        <v>-1.7798198416057068E-2</v>
      </c>
      <c r="DD67" s="20">
        <f t="shared" ca="1" si="86"/>
        <v>-9.1687688809990956E-3</v>
      </c>
      <c r="DE67" s="20">
        <f t="shared" ca="1" si="87"/>
        <v>-4.6549134318918488E-3</v>
      </c>
      <c r="DF67" s="21">
        <f t="shared" ca="1" si="88"/>
        <v>4.6549134318918488E-3</v>
      </c>
      <c r="DG67" s="21">
        <f t="shared" ca="1" si="89"/>
        <v>9.1687688809990956E-3</v>
      </c>
      <c r="DH67" s="21">
        <f t="shared" ca="1" si="90"/>
        <v>1.7798198416057068E-2</v>
      </c>
      <c r="DI67" s="21">
        <f t="shared" ca="1" si="91"/>
        <v>3.361881923033002E-2</v>
      </c>
      <c r="DJ67" s="21">
        <f t="shared" ca="1" si="92"/>
        <v>6.0513874614594031E-2</v>
      </c>
      <c r="DK67" s="21">
        <f t="shared" ca="1" si="93"/>
        <v>0.10085645769099005</v>
      </c>
      <c r="DL67" s="21">
        <f t="shared" ca="1" si="94"/>
        <v>0.15128468653648508</v>
      </c>
      <c r="DN67" s="16" cm="1">
        <f t="array" aca="1" ref="DN67" ca="1">MAX(_xlfn._xlws.FILTER(CY67:DL67,CY67:DL67&lt;BW67))</f>
        <v>-3.361881923033002E-2</v>
      </c>
      <c r="DO67" s="16" cm="1">
        <f t="array" aca="1" ref="DO67" ca="1">MIN(_xlfn._xlws.FILTER(CY67:DL67,CY67:DL67&gt;BW67))</f>
        <v>-1.7798198416057068E-2</v>
      </c>
      <c r="DP67" s="2" cm="1">
        <f t="array" aca="1" ref="DP67" ca="1">_FV(EE67,"Fechamento anterior",TRUE)</f>
        <v>21.28</v>
      </c>
      <c r="DQ67" s="28">
        <f t="shared" ca="1" si="15"/>
        <v>0.87746095984696637</v>
      </c>
      <c r="DR67" s="15">
        <f t="shared" ca="1" si="95"/>
        <v>20.564591526778578</v>
      </c>
      <c r="DS67" s="15">
        <f t="shared" ca="1" si="96"/>
        <v>20.901254337706305</v>
      </c>
      <c r="DT67" s="9"/>
      <c r="DU67" s="9"/>
      <c r="DV67" s="9"/>
      <c r="DW67" s="89">
        <v>6.4573872962507715E-3</v>
      </c>
      <c r="DX67" s="89">
        <f t="shared" ca="1" si="18"/>
        <v>1.5820620814272952E-2</v>
      </c>
      <c r="DY67" s="72">
        <f t="shared" ca="1" si="19"/>
        <v>-0.17511771867371903</v>
      </c>
      <c r="DZ67" s="37"/>
      <c r="EA67" s="35">
        <f t="shared" si="39"/>
        <v>0.49966388702807013</v>
      </c>
      <c r="EB67" s="56"/>
      <c r="EC67" s="56"/>
      <c r="EE67" s="2" t="e" vm="67">
        <v>#VALUE!</v>
      </c>
      <c r="EG67" s="10" cm="1">
        <f t="array" aca="1" ref="EG67" ca="1">_FV(EE67,"Ações em circulação",TRUE)</f>
        <v>1119000000</v>
      </c>
      <c r="EH67" s="18">
        <f>VLOOKUP(BR67,Fundamentus!A:U,5,FALSE)</f>
        <v>0.127</v>
      </c>
      <c r="EI67" s="2">
        <f t="shared" ca="1" si="20"/>
        <v>183797952755.90552</v>
      </c>
      <c r="EJ67" s="17">
        <v>6396168755.9055119</v>
      </c>
      <c r="EK67" s="17">
        <f t="shared" ca="1" si="21"/>
        <v>6396168755.9055119</v>
      </c>
      <c r="EM67" s="16">
        <f t="shared" ref="EM67:EM130" ca="1" si="97">(EK67/EJ67)-1</f>
        <v>0</v>
      </c>
      <c r="EN67" s="32" t="str">
        <f>IF(VLOOKUP(BR67,Fundamentus!A:U,3,FALSE)&lt;15,"Bom",IF(VLOOKUP(BR67,Fundamentus!A:U,3,FALSE)&gt;15,"Ruim","n/a"))</f>
        <v>Bom</v>
      </c>
      <c r="EO67" s="28" t="str">
        <f>IF(VLOOKUP(BR67,Fundamentus!A:U,4,FALSE)&lt;1,"Baixo",IF(VLOOKUP(BR67,Fundamentus!A:U,4,FALSE)&lt;1.5,"Moderado",IF(VLOOKUP(BR67,Fundamentus!A:U,4,FALSE)&gt;1.5,"Alto","n/a")))</f>
        <v>Moderado</v>
      </c>
      <c r="EP67" s="17" t="str">
        <f>IF(VLOOKUP(BR67,Fundamentus!A:U,8,FALSE)&lt;0,"Risco elevado",IF(VLOOKUP(BR67,Fundamentus!A:U,8,FALSE)&lt;1,"Saudável",IF(VLOOKUP(BR67,Fundamentus!A:U,8,FALSE)&lt;3,"Estável",IF(VLOOKUP(BR67,Fundamentus!A:U,8,FALSE)&gt;3,"Alerta","n/a"))))</f>
        <v>Estável</v>
      </c>
      <c r="EQ67" s="28" t="str">
        <f t="shared" si="23"/>
        <v>Ruim</v>
      </c>
      <c r="ER67" s="17" t="str">
        <f>IF(VLOOKUP(BR67,Fundamentus!A:U,12,FALSE)&lt;2,"Subvalorizada",IF(VLOOKUP(BR67,Fundamentus!A:U,12,FALSE)&lt;6,"Muita barata",IF(VLOOKUP(BR67,Fundamentus!A:U,12,FALSE)&lt;6,"Barata",IF(VLOOKUP(BR67,Fundamentus!A:U,12,FALSE)&lt;8,"Atrativa",IF(VLOOKUP(BR67,Fundamentus!A:U,12,FALSE)&gt;8,"Supervalorizada","n/a")))))</f>
        <v>Supervalorizada</v>
      </c>
      <c r="ET67" s="17" t="str">
        <f>IF(VLOOKUP(BR67,Fundamentus!A:U,17,FALSE)&lt;0.1,"Fraco retorno",IF(VLOOKUP(BR67,Fundamentus!A:U,17,FALSE)&gt;0.1,"Bom retorno","n/a"))</f>
        <v>Bom retorno</v>
      </c>
      <c r="EU67" s="17" t="str">
        <f>IF(VLOOKUP(BR67,Fundamentus!A:U,16,FALSE)&lt;0.1,"Ineficiente",IF(VLOOKUP(BR67,Fundamentus!A:U,16,FALSE)&gt;0.1,"Eficiente","n/a"))</f>
        <v>Ineficiente</v>
      </c>
      <c r="EV67" s="33" t="str">
        <f>IF(VLOOKUP(BR67,Fundamentus!A:U,16,FALSE)&lt;0.1,"Oper. Ineficiente",IF(VLOOKUP(BR67,Fundamentus!A:U,16,FALSE)&gt;0.1,"Oper.Eficiente","n/a"))</f>
        <v>Oper. Ineficiente</v>
      </c>
      <c r="EW67" s="34">
        <f>VLOOKUP(BR67,Fundamentus!A:U,14,FALSE)</f>
        <v>3.4799999999999998E-2</v>
      </c>
      <c r="EX67" s="17" t="str">
        <f>IF(VLOOKUP(BR67,Fundamentus!A:U,21,FALSE)&lt;0,"Negativo",IF(VLOOKUP(BR67,Fundamentus!A:U,21,FALSE)&lt;0.05,"Fraco",IF(VLOOKUP(BR67,Fundamentus!A:U,21,FALSE)&lt;0.1,"Bom",IF(VLOOKUP(BR67,Fundamentus!A:U,21,FALSE)&gt;0.1,"Muito bom","n/a"))))</f>
        <v>Muito bom</v>
      </c>
      <c r="EZ67" s="29" t="str">
        <f>IF(VLOOKUP(BR67,Fundamentus!A:U,15,FALSE)&gt;1,"Bom",IF(VLOOKUP(BR67,Fundamentus!A:U,15,FALSE)&lt;1,"Ruim","n/a"))</f>
        <v>Bom</v>
      </c>
      <c r="FA67" s="17" t="str">
        <f>IF(VLOOKUP(BR67,Fundamentus!A:U,20,FALSE)&lt;0.5,"Baixa",IF(VLOOKUP(BR67,Fundamentus!A:U,20,FALSE)&lt;1,"Moderada",IF(VLOOKUP(BR67,Fundamentus!A:U,20,FALSE)&lt;2,"Alerta",IF(VLOOKUP(BR67,Fundamentus!A:U,20,FALSE)&gt;2,"Alta","n/a"))))</f>
        <v>Alerta</v>
      </c>
      <c r="FB67" s="10"/>
    </row>
    <row r="68" spans="1:158" s="2" customFormat="1" ht="11.25"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5">
        <v>28.78</v>
      </c>
      <c r="BC68" s="52">
        <v>27.33</v>
      </c>
      <c r="BD68" s="52">
        <v>26.15</v>
      </c>
      <c r="BE68" s="52">
        <v>26.34</v>
      </c>
      <c r="BF68" s="52">
        <v>26.88</v>
      </c>
      <c r="BG68" s="67">
        <v>27.03</v>
      </c>
      <c r="BH68" s="52">
        <v>26.86</v>
      </c>
      <c r="BI68" s="52">
        <v>27.01</v>
      </c>
      <c r="BJ68" s="52">
        <v>27.74</v>
      </c>
      <c r="BK68" s="52">
        <v>23.91</v>
      </c>
      <c r="BL68" s="52">
        <v>23.75</v>
      </c>
      <c r="BM68" s="52">
        <v>22.85</v>
      </c>
      <c r="BN68" s="52">
        <v>23.65</v>
      </c>
      <c r="BO68" s="52">
        <v>21.46</v>
      </c>
      <c r="BP68" s="52">
        <v>22.27</v>
      </c>
      <c r="BQ68" s="52" cm="1">
        <f t="array" aca="1" ref="BQ68" ca="1">_FV(EE68,"Preço")</f>
        <v>22.27</v>
      </c>
      <c r="BR68" s="69" t="s">
        <v>65</v>
      </c>
      <c r="BS68" s="36" cm="1">
        <f t="array" aca="1" ref="BS68" ca="1">_FV(EE68,"Média de volume",TRUE)</f>
        <v>747680</v>
      </c>
      <c r="BT68" s="36">
        <v>133200</v>
      </c>
      <c r="BU68" s="36" cm="1">
        <f t="array" aca="1" ref="BU68" ca="1">_FV(EE68,"Volume")</f>
        <v>133200</v>
      </c>
      <c r="BV68" s="24" cm="1">
        <f t="array" aca="1" ref="BV68" ca="1">_FV(EE68,"Beta")</f>
        <v>0.97270000000000001</v>
      </c>
      <c r="BW68" s="71" cm="1">
        <f t="array" aca="1" ref="BW68" ca="1">_FV(EE68,"Variação (%)",TRUE)</f>
        <v>9.0620000000000006E-3</v>
      </c>
      <c r="BY68" s="17" cm="1">
        <f t="array" aca="1" ref="BY68" ca="1">_FV(EE68,"Baixo")</f>
        <v>21.97</v>
      </c>
      <c r="BZ68" s="17" cm="1">
        <f t="array" aca="1" ref="BZ68" ca="1">_FV(EE68,"Alto")</f>
        <v>22.28</v>
      </c>
      <c r="CA68" s="24"/>
      <c r="CB68" s="63">
        <f ca="1">SQRT(22.5*(BQ68/VLOOKUP(BR68,Fundamentus!A:U,3,FALSE))*(BQ68/VLOOKUP(BR68,Fundamentus!A:U,4,FALSE)))</f>
        <v>13.442465463623595</v>
      </c>
      <c r="CD68" s="62">
        <f t="shared" ca="1" si="24"/>
        <v>0</v>
      </c>
      <c r="CE68" s="8"/>
      <c r="CF68" s="61">
        <f t="shared" si="25"/>
        <v>17.03</v>
      </c>
      <c r="CG68" s="61">
        <f t="shared" si="26"/>
        <v>29.24</v>
      </c>
      <c r="CH68" s="61">
        <f t="shared" si="27"/>
        <v>22.301764705882352</v>
      </c>
      <c r="CI68" s="14"/>
      <c r="CJ68" s="35">
        <f t="shared" si="1"/>
        <v>19.75723873954783</v>
      </c>
      <c r="CK68" s="15">
        <f t="shared" si="28"/>
        <v>21.574999999999818</v>
      </c>
      <c r="CL68" s="35">
        <f t="shared" si="2"/>
        <v>23.392761260451806</v>
      </c>
      <c r="CN68" s="14"/>
      <c r="CO68" s="17">
        <f t="shared" si="3"/>
        <v>4.2433333333333323</v>
      </c>
      <c r="CP68" s="17">
        <f t="shared" si="4"/>
        <v>10.636666666666667</v>
      </c>
      <c r="CQ68" s="17">
        <f t="shared" si="5"/>
        <v>16.45333333333333</v>
      </c>
      <c r="CR68" s="38">
        <f t="shared" si="29"/>
        <v>22.846666666666664</v>
      </c>
      <c r="CS68" s="17">
        <f t="shared" si="6"/>
        <v>28.663333333333327</v>
      </c>
      <c r="CT68" s="17">
        <f t="shared" si="7"/>
        <v>35.056666666666658</v>
      </c>
      <c r="CU68" s="17">
        <f t="shared" si="8"/>
        <v>40.873333333333321</v>
      </c>
      <c r="CV68" s="2" cm="1">
        <f t="array" aca="1" ref="CV68" ca="1">MAX(_xlfn._xlws.FILTER(CO68:CU68,CO68:CU68&lt;BQ68))</f>
        <v>16.45333333333333</v>
      </c>
      <c r="CW68" s="2" cm="1">
        <f t="array" aca="1" ref="CW68" ca="1">MIN(_xlfn._xlws.FILTER($CO68:$CU68,$CO68:$CU68&gt;BQ68))</f>
        <v>22.846666666666664</v>
      </c>
      <c r="CX68" s="16">
        <f t="shared" ca="1" si="80"/>
        <v>0.38857374392220434</v>
      </c>
      <c r="CY68" s="20">
        <f t="shared" ca="1" si="81"/>
        <v>-0.19428687196110217</v>
      </c>
      <c r="CZ68" s="20">
        <f t="shared" ca="1" si="82"/>
        <v>-0.12952458130740144</v>
      </c>
      <c r="DA68" s="20">
        <f t="shared" ca="1" si="83"/>
        <v>-7.7714748784440874E-2</v>
      </c>
      <c r="DB68" s="20">
        <f t="shared" ca="1" si="84"/>
        <v>-4.3174860435800481E-2</v>
      </c>
      <c r="DC68" s="20">
        <f t="shared" ca="1" si="85"/>
        <v>-2.2857279054247313E-2</v>
      </c>
      <c r="DD68" s="20">
        <f t="shared" ca="1" si="86"/>
        <v>-1.1774961937036496E-2</v>
      </c>
      <c r="DE68" s="20">
        <f t="shared" ca="1" si="87"/>
        <v>-5.9780575988031435E-3</v>
      </c>
      <c r="DF68" s="21">
        <f t="shared" ca="1" si="88"/>
        <v>5.9780575988031435E-3</v>
      </c>
      <c r="DG68" s="21">
        <f t="shared" ca="1" si="89"/>
        <v>1.1774961937036496E-2</v>
      </c>
      <c r="DH68" s="21">
        <f t="shared" ca="1" si="90"/>
        <v>2.2857279054247313E-2</v>
      </c>
      <c r="DI68" s="21">
        <f t="shared" ca="1" si="91"/>
        <v>4.3174860435800481E-2</v>
      </c>
      <c r="DJ68" s="21">
        <f t="shared" ca="1" si="92"/>
        <v>7.7714748784440874E-2</v>
      </c>
      <c r="DK68" s="21">
        <f t="shared" ca="1" si="93"/>
        <v>0.12952458130740144</v>
      </c>
      <c r="DL68" s="21">
        <f t="shared" ca="1" si="94"/>
        <v>0.19428687196110217</v>
      </c>
      <c r="DN68" s="16" cm="1">
        <f t="array" aca="1" ref="DN68" ca="1">MAX(_xlfn._xlws.FILTER(CY68:DL68,CY68:DL68&lt;BW68))</f>
        <v>5.9780575988031435E-3</v>
      </c>
      <c r="DO68" s="16" cm="1">
        <f t="array" aca="1" ref="DO68" ca="1">MIN(_xlfn._xlws.FILTER(CY68:DL68,CY68:DL68&gt;BW68))</f>
        <v>1.1774961937036496E-2</v>
      </c>
      <c r="DP68" s="2" cm="1">
        <f t="array" aca="1" ref="DP68" ca="1">_FV(EE68,"Fechamento anterior",TRUE)</f>
        <v>22.07</v>
      </c>
      <c r="DQ68" s="28">
        <f t="shared" ca="1" si="15"/>
        <v>0.53201112809133877</v>
      </c>
      <c r="DR68" s="15">
        <f t="shared" ca="1" si="95"/>
        <v>22.201935731205587</v>
      </c>
      <c r="DS68" s="15">
        <f t="shared" ca="1" si="96"/>
        <v>22.329873409950395</v>
      </c>
      <c r="DT68" s="9"/>
      <c r="DU68" s="9"/>
      <c r="DV68" s="9"/>
      <c r="DW68" s="89">
        <v>1.1942286912098882E-2</v>
      </c>
      <c r="DX68" s="89">
        <f t="shared" ca="1" si="18"/>
        <v>5.7969043382333522E-3</v>
      </c>
      <c r="DY68" s="72">
        <f t="shared" ca="1" si="19"/>
        <v>0.38233843746200702</v>
      </c>
      <c r="DZ68" s="37"/>
      <c r="EA68" s="35">
        <f t="shared" si="39"/>
        <v>0.90888063022599352</v>
      </c>
      <c r="EB68" s="56"/>
      <c r="EC68" s="56"/>
      <c r="EE68" s="2" t="e" vm="68">
        <v>#VALUE!</v>
      </c>
      <c r="EG68" s="10" cm="1">
        <f t="array" aca="1" ref="EG68" ca="1">_FV(EE68,"Ações em circulação",TRUE)</f>
        <v>280335100</v>
      </c>
      <c r="EH68" s="18">
        <f>VLOOKUP(BR68,Fundamentus!A:U,5,FALSE)</f>
        <v>1.4750000000000001</v>
      </c>
      <c r="EI68" s="2">
        <f t="shared" ca="1" si="20"/>
        <v>4232584865.7627115</v>
      </c>
      <c r="EJ68" s="17">
        <v>318713640.39193219</v>
      </c>
      <c r="EK68" s="17">
        <f t="shared" ca="1" si="21"/>
        <v>318713640.39193219</v>
      </c>
      <c r="EM68" s="16">
        <f t="shared" ca="1" si="97"/>
        <v>0</v>
      </c>
      <c r="EN68" s="32" t="str">
        <f>IF(VLOOKUP(BR68,Fundamentus!A:U,3,FALSE)&lt;15,"Bom",IF(VLOOKUP(BR68,Fundamentus!A:U,3,FALSE)&gt;15,"Ruim","n/a"))</f>
        <v>Ruim</v>
      </c>
      <c r="EO68" s="28" t="str">
        <f>IF(VLOOKUP(BR68,Fundamentus!A:U,4,FALSE)&lt;1,"Baixo",IF(VLOOKUP(BR68,Fundamentus!A:U,4,FALSE)&lt;1.5,"Moderado",IF(VLOOKUP(BR68,Fundamentus!A:U,4,FALSE)&gt;1.5,"Alto","n/a")))</f>
        <v>Alto</v>
      </c>
      <c r="EP68" s="17" t="str">
        <f>IF(VLOOKUP(BR68,Fundamentus!A:U,8,FALSE)&lt;0,"Risco elevado",IF(VLOOKUP(BR68,Fundamentus!A:U,8,FALSE)&lt;1,"Saudável",IF(VLOOKUP(BR68,Fundamentus!A:U,8,FALSE)&lt;3,"Estável",IF(VLOOKUP(BR68,Fundamentus!A:U,8,FALSE)&gt;3,"Alerta","n/a"))))</f>
        <v>Alerta</v>
      </c>
      <c r="EQ68" s="28" t="str">
        <f t="shared" si="23"/>
        <v>Bom</v>
      </c>
      <c r="ER68" s="17" t="str">
        <f>IF(VLOOKUP(BR68,Fundamentus!A:U,12,FALSE)&lt;2,"Subvalorizada",IF(VLOOKUP(BR68,Fundamentus!A:U,12,FALSE)&lt;6,"Muita barata",IF(VLOOKUP(BR68,Fundamentus!A:U,12,FALSE)&lt;6,"Barata",IF(VLOOKUP(BR68,Fundamentus!A:U,12,FALSE)&lt;8,"Atrativa",IF(VLOOKUP(BR68,Fundamentus!A:U,12,FALSE)&gt;8,"Supervalorizada","n/a")))))</f>
        <v>Supervalorizada</v>
      </c>
      <c r="ET68" s="17" t="str">
        <f>IF(VLOOKUP(BR68,Fundamentus!A:U,17,FALSE)&lt;0.1,"Fraco retorno",IF(VLOOKUP(BR68,Fundamentus!A:U,17,FALSE)&gt;0.1,"Bom retorno","n/a"))</f>
        <v>Bom retorno</v>
      </c>
      <c r="EU68" s="17" t="str">
        <f>IF(VLOOKUP(BR68,Fundamentus!A:U,16,FALSE)&lt;0.1,"Ineficiente",IF(VLOOKUP(BR68,Fundamentus!A:U,16,FALSE)&gt;0.1,"Eficiente","n/a"))</f>
        <v>Eficiente</v>
      </c>
      <c r="EV68" s="33" t="str">
        <f>IF(VLOOKUP(BR68,Fundamentus!A:U,16,FALSE)&lt;0.1,"Oper. Ineficiente",IF(VLOOKUP(BR68,Fundamentus!A:U,16,FALSE)&gt;0.1,"Oper.Eficiente","n/a"))</f>
        <v>Oper.Eficiente</v>
      </c>
      <c r="EW68" s="34">
        <f>VLOOKUP(BR68,Fundamentus!A:U,14,FALSE)</f>
        <v>7.5300000000000006E-2</v>
      </c>
      <c r="EX68" s="17" t="str">
        <f>IF(VLOOKUP(BR68,Fundamentus!A:U,21,FALSE)&lt;0,"Negativo",IF(VLOOKUP(BR68,Fundamentus!A:U,21,FALSE)&lt;0.05,"Fraco",IF(VLOOKUP(BR68,Fundamentus!A:U,21,FALSE)&lt;0.1,"Bom",IF(VLOOKUP(BR68,Fundamentus!A:U,21,FALSE)&gt;0.1,"Muito bom","n/a"))))</f>
        <v>Muito bom</v>
      </c>
      <c r="EZ68" s="29" t="str">
        <f>IF(VLOOKUP(BR68,Fundamentus!A:U,15,FALSE)&gt;1,"Bom",IF(VLOOKUP(BR68,Fundamentus!A:U,15,FALSE)&lt;1,"Ruim","n/a"))</f>
        <v>Bom</v>
      </c>
      <c r="FA68" s="17" t="str">
        <f>IF(VLOOKUP(BR68,Fundamentus!A:U,20,FALSE)&lt;0.5,"Baixa",IF(VLOOKUP(BR68,Fundamentus!A:U,20,FALSE)&lt;1,"Moderada",IF(VLOOKUP(BR68,Fundamentus!A:U,20,FALSE)&lt;2,"Alerta",IF(VLOOKUP(BR68,Fundamentus!A:U,20,FALSE)&gt;2,"Alta","n/a"))))</f>
        <v>Alerta</v>
      </c>
    </row>
    <row r="69" spans="1:158" s="2" customFormat="1" ht="11.25"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5">
        <v>9.84</v>
      </c>
      <c r="BC69" s="52">
        <v>9.9</v>
      </c>
      <c r="BD69" s="52">
        <v>9.99</v>
      </c>
      <c r="BE69" s="52">
        <v>10.14</v>
      </c>
      <c r="BF69" s="52">
        <v>9.61</v>
      </c>
      <c r="BG69" s="67">
        <v>9.6300000000000008</v>
      </c>
      <c r="BH69" s="52">
        <v>9.6199999999999992</v>
      </c>
      <c r="BI69" s="52">
        <v>9.83</v>
      </c>
      <c r="BJ69" s="52">
        <v>9.86</v>
      </c>
      <c r="BK69" s="52">
        <v>9.6199999999999992</v>
      </c>
      <c r="BL69" s="52">
        <v>9.5500000000000007</v>
      </c>
      <c r="BM69" s="52">
        <v>9.49</v>
      </c>
      <c r="BN69" s="52">
        <v>9.4600000000000009</v>
      </c>
      <c r="BO69" s="52">
        <v>9.36</v>
      </c>
      <c r="BP69" s="52">
        <v>9.52</v>
      </c>
      <c r="BQ69" s="52" cm="1">
        <f t="array" aca="1" ref="BQ69" ca="1">_FV(EE69,"Preço")</f>
        <v>9.52</v>
      </c>
      <c r="BR69" s="69" t="s">
        <v>66</v>
      </c>
      <c r="BS69" s="36" cm="1">
        <f t="array" aca="1" ref="BS69" ca="1">_FV(EE69,"Média de volume",TRUE)</f>
        <v>1420460</v>
      </c>
      <c r="BT69" s="36">
        <v>4900</v>
      </c>
      <c r="BU69" s="36" cm="1">
        <f t="array" aca="1" ref="BU69" ca="1">_FV(EE69,"Volume")</f>
        <v>4900</v>
      </c>
      <c r="BV69" s="24" cm="1">
        <f t="array" aca="1" ref="BV69" ca="1">_FV(EE69,"Beta")</f>
        <v>0.623</v>
      </c>
      <c r="BW69" s="71" cm="1">
        <f t="array" aca="1" ref="BW69" ca="1">_FV(EE69,"Variação (%)",TRUE)</f>
        <v>1.1690000000000001E-2</v>
      </c>
      <c r="BY69" s="17" cm="1">
        <f t="array" aca="1" ref="BY69" ca="1">_FV(EE69,"Baixo")</f>
        <v>9.31</v>
      </c>
      <c r="BZ69" s="17" cm="1">
        <f t="array" aca="1" ref="BZ69" ca="1">_FV(EE69,"Alto")</f>
        <v>9.52</v>
      </c>
      <c r="CA69" s="24"/>
      <c r="CB69" s="63">
        <f ca="1">SQRT(22.5*(BQ69/VLOOKUP(BR69,Fundamentus!A:U,3,FALSE))*(BQ69/VLOOKUP(BR69,Fundamentus!A:U,4,FALSE)))</f>
        <v>14.850607413184839</v>
      </c>
      <c r="CD69" s="62">
        <f t="shared" ca="1" si="24"/>
        <v>0</v>
      </c>
      <c r="CE69" s="8"/>
      <c r="CF69" s="61">
        <f t="shared" si="25"/>
        <v>8.69</v>
      </c>
      <c r="CG69" s="61">
        <f t="shared" si="26"/>
        <v>10.49</v>
      </c>
      <c r="CH69" s="61">
        <f t="shared" si="27"/>
        <v>9.6695588235294139</v>
      </c>
      <c r="CI69" s="14"/>
      <c r="CJ69" s="35">
        <f t="shared" si="1"/>
        <v>9.2803689603764514</v>
      </c>
      <c r="CK69" s="15">
        <f t="shared" si="28"/>
        <v>9.4549999999999965</v>
      </c>
      <c r="CL69" s="35">
        <f t="shared" si="2"/>
        <v>9.6296310396235416</v>
      </c>
      <c r="CN69" s="14"/>
      <c r="CO69" s="17">
        <f t="shared" si="3"/>
        <v>6.8433333333333319</v>
      </c>
      <c r="CP69" s="17">
        <f t="shared" si="4"/>
        <v>7.7666666666666657</v>
      </c>
      <c r="CQ69" s="17">
        <f t="shared" si="5"/>
        <v>8.6433333333333326</v>
      </c>
      <c r="CR69" s="38">
        <f t="shared" si="29"/>
        <v>9.5666666666666664</v>
      </c>
      <c r="CS69" s="17">
        <f t="shared" si="6"/>
        <v>10.443333333333333</v>
      </c>
      <c r="CT69" s="17">
        <f t="shared" si="7"/>
        <v>11.366666666666667</v>
      </c>
      <c r="CU69" s="17">
        <f t="shared" si="8"/>
        <v>12.243333333333334</v>
      </c>
      <c r="CV69" s="2" cm="1">
        <f t="array" aca="1" ref="CV69" ca="1">MAX(_xlfn._xlws.FILTER(CO69:CU69,CO69:CU69&lt;BQ69))</f>
        <v>8.6433333333333326</v>
      </c>
      <c r="CW69" s="2" cm="1">
        <f t="array" aca="1" ref="CW69" ca="1">MIN(_xlfn._xlws.FILTER($CO69:$CU69,$CO69:$CU69&gt;BQ69))</f>
        <v>9.5666666666666664</v>
      </c>
      <c r="CX69" s="16">
        <f t="shared" ca="1" si="80"/>
        <v>0.10682607018897028</v>
      </c>
      <c r="CY69" s="20">
        <f t="shared" ca="1" si="81"/>
        <v>-5.341303509448514E-2</v>
      </c>
      <c r="CZ69" s="20">
        <f t="shared" ca="1" si="82"/>
        <v>-3.5608690062990091E-2</v>
      </c>
      <c r="DA69" s="20">
        <f t="shared" ca="1" si="83"/>
        <v>-2.1365214037794057E-2</v>
      </c>
      <c r="DB69" s="20">
        <f t="shared" ca="1" si="84"/>
        <v>-1.186956335433003E-2</v>
      </c>
      <c r="DC69" s="20">
        <f t="shared" ca="1" si="85"/>
        <v>-6.2838864817041339E-3</v>
      </c>
      <c r="DD69" s="20">
        <f t="shared" ca="1" si="86"/>
        <v>-3.2371536420900083E-3</v>
      </c>
      <c r="DE69" s="20">
        <f t="shared" ca="1" si="87"/>
        <v>-1.6434780029072351E-3</v>
      </c>
      <c r="DF69" s="21">
        <f t="shared" ca="1" si="88"/>
        <v>1.6434780029072351E-3</v>
      </c>
      <c r="DG69" s="21">
        <f t="shared" ca="1" si="89"/>
        <v>3.2371536420900083E-3</v>
      </c>
      <c r="DH69" s="21">
        <f t="shared" ca="1" si="90"/>
        <v>6.2838864817041339E-3</v>
      </c>
      <c r="DI69" s="21">
        <f t="shared" ca="1" si="91"/>
        <v>1.186956335433003E-2</v>
      </c>
      <c r="DJ69" s="21">
        <f t="shared" ca="1" si="92"/>
        <v>2.1365214037794057E-2</v>
      </c>
      <c r="DK69" s="21">
        <f t="shared" ca="1" si="93"/>
        <v>3.5608690062990091E-2</v>
      </c>
      <c r="DL69" s="21">
        <f t="shared" ca="1" si="94"/>
        <v>5.341303509448514E-2</v>
      </c>
      <c r="DN69" s="16" cm="1">
        <f t="array" aca="1" ref="DN69" ca="1">MAX(_xlfn._xlws.FILTER(CY69:DL69,CY69:DL69&lt;BW69))</f>
        <v>6.2838864817041339E-3</v>
      </c>
      <c r="DO69" s="16" cm="1">
        <f t="array" aca="1" ref="DO69" ca="1">MIN(_xlfn._xlws.FILTER(CY69:DL69,CY69:DL69&gt;BW69))</f>
        <v>1.186956335433003E-2</v>
      </c>
      <c r="DP69" s="2" cm="1">
        <f t="array" aca="1" ref="DP69" ca="1">_FV(EE69,"Fechamento anterior",TRUE)</f>
        <v>9.41</v>
      </c>
      <c r="DQ69" s="28">
        <f t="shared" ca="1" si="15"/>
        <v>0.9677977188412159</v>
      </c>
      <c r="DR69" s="15">
        <f t="shared" ca="1" si="95"/>
        <v>9.4691313717928356</v>
      </c>
      <c r="DS69" s="15">
        <f t="shared" ca="1" si="96"/>
        <v>9.5216925911642463</v>
      </c>
      <c r="DT69" s="9"/>
      <c r="DU69" s="9"/>
      <c r="DV69" s="9"/>
      <c r="DW69" s="89">
        <v>5.982140350608553E-3</v>
      </c>
      <c r="DX69" s="89">
        <f t="shared" ca="1" si="18"/>
        <v>5.5856768726258964E-3</v>
      </c>
      <c r="DY69" s="72">
        <f t="shared" ca="1" si="19"/>
        <v>0.37221332553550956</v>
      </c>
      <c r="DZ69" s="37"/>
      <c r="EA69" s="35">
        <f t="shared" si="39"/>
        <v>8.7315519811772269E-2</v>
      </c>
      <c r="EB69" s="56"/>
      <c r="EC69" s="56"/>
      <c r="EE69" s="2" t="e" vm="69">
        <v>#VALUE!</v>
      </c>
      <c r="EG69" s="10" cm="1">
        <f t="array" aca="1" ref="EG69" ca="1">_FV(EE69,"Ações em circulação",TRUE)</f>
        <v>109875600</v>
      </c>
      <c r="EH69" s="18">
        <f>VLOOKUP(BR69,Fundamentus!A:U,5,FALSE)</f>
        <v>2.226</v>
      </c>
      <c r="EI69" s="2">
        <f t="shared" ca="1" si="20"/>
        <v>469908226.41509432</v>
      </c>
      <c r="EJ69" s="17">
        <v>215828848.39245281</v>
      </c>
      <c r="EK69" s="17">
        <f t="shared" ca="1" si="21"/>
        <v>215828848.39245281</v>
      </c>
      <c r="EM69" s="16">
        <f t="shared" ca="1" si="97"/>
        <v>0</v>
      </c>
      <c r="EN69" s="39" t="str">
        <f>IF(VLOOKUP(BR69,Fundamentus!A:U,3,FALSE)&lt;15,"Bom",IF(VLOOKUP(BR69,Fundamentus!A:U,3,FALSE)&gt;15,"Ruim","n/a"))</f>
        <v>Bom</v>
      </c>
      <c r="EO69" s="40" t="str">
        <f>IF(VLOOKUP(BR69,Fundamentus!A:U,4,FALSE)&lt;1,"Baixo",IF(VLOOKUP(BR69,Fundamentus!A:U,4,FALSE)&lt;1.5,"Moderado",IF(VLOOKUP(BR69,Fundamentus!A:U,4,FALSE)&gt;1.5,"Alto","n/a")))</f>
        <v>Moderado</v>
      </c>
      <c r="EP69" s="41" t="str">
        <f>IF(VLOOKUP(BR69,Fundamentus!A:U,8,FALSE)&lt;0,"Risco elevado",IF(VLOOKUP(BR69,Fundamentus!A:U,8,FALSE)&lt;1,"Saudável",IF(VLOOKUP(BR69,Fundamentus!A:U,8,FALSE)&lt;3,"Estável",IF(VLOOKUP(BR69,Fundamentus!A:U,8,FALSE)&gt;3,"Alerta","n/a"))))</f>
        <v>Estável</v>
      </c>
      <c r="EQ69" s="40" t="str">
        <f t="shared" si="23"/>
        <v>Bom</v>
      </c>
      <c r="ER69" s="41" t="str">
        <f>IF(VLOOKUP(BR69,Fundamentus!A:U,12,FALSE)&lt;2,"Subvalorizada",IF(VLOOKUP(BR69,Fundamentus!A:U,12,FALSE)&lt;6,"Muita barata",IF(VLOOKUP(BR69,Fundamentus!A:U,12,FALSE)&lt;6,"Barata",IF(VLOOKUP(BR69,Fundamentus!A:U,12,FALSE)&lt;8,"Atrativa",IF(VLOOKUP(BR69,Fundamentus!A:U,12,FALSE)&gt;8,"Supervalorizada","n/a")))))</f>
        <v>Atrativa</v>
      </c>
      <c r="ET69" s="41" t="str">
        <f>IF(VLOOKUP(BR69,Fundamentus!A:U,17,FALSE)&lt;0.1,"Fraco retorno",IF(VLOOKUP(BR69,Fundamentus!A:U,17,FALSE)&gt;0.1,"Bom retorno","n/a"))</f>
        <v>Bom retorno</v>
      </c>
      <c r="EU69" s="41" t="str">
        <f>IF(VLOOKUP(BR69,Fundamentus!A:U,16,FALSE)&lt;0.1,"Ineficiente",IF(VLOOKUP(BR69,Fundamentus!A:U,16,FALSE)&gt;0.1,"Eficiente","n/a"))</f>
        <v>Eficiente</v>
      </c>
      <c r="EV69" s="42" t="str">
        <f>IF(VLOOKUP(BR69,Fundamentus!A:U,16,FALSE)&lt;0.1,"Oper. Ineficiente",IF(VLOOKUP(BR69,Fundamentus!A:U,16,FALSE)&gt;0.1,"Oper.Eficiente","n/a"))</f>
        <v>Oper.Eficiente</v>
      </c>
      <c r="EW69" s="43">
        <f>VLOOKUP(BR69,Fundamentus!A:U,14,FALSE)</f>
        <v>0.45929999999999999</v>
      </c>
      <c r="EX69" s="41" t="str">
        <f>IF(VLOOKUP(BR69,Fundamentus!A:U,21,FALSE)&lt;0,"Negativo",IF(VLOOKUP(BR69,Fundamentus!A:U,21,FALSE)&lt;0.05,"Fraco",IF(VLOOKUP(BR69,Fundamentus!A:U,21,FALSE)&lt;0.1,"Bom",IF(VLOOKUP(BR69,Fundamentus!A:U,21,FALSE)&gt;0.1,"Muito bom","n/a"))))</f>
        <v>Negativo</v>
      </c>
      <c r="EZ69" s="44" t="str">
        <f>IF(VLOOKUP(BR69,Fundamentus!A:U,15,FALSE)&gt;1,"Bom",IF(VLOOKUP(BR69,Fundamentus!A:U,15,FALSE)&lt;1,"Ruim","n/a"))</f>
        <v>Bom</v>
      </c>
      <c r="FA69" s="41" t="str">
        <f>IF(VLOOKUP(BR69,Fundamentus!A:U,20,FALSE)&lt;0.5,"Baixa",IF(VLOOKUP(BR69,Fundamentus!A:U,20,FALSE)&lt;1,"Moderada",IF(VLOOKUP(BR69,Fundamentus!A:U,20,FALSE)&lt;2,"Alerta",IF(VLOOKUP(BR69,Fundamentus!A:U,20,FALSE)&gt;2,"Alta","n/a"))))</f>
        <v>Alerta</v>
      </c>
    </row>
    <row r="70" spans="1:158" s="2" customFormat="1" ht="11.25"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5">
        <v>7</v>
      </c>
      <c r="BC70" s="52">
        <v>7.13</v>
      </c>
      <c r="BD70" s="52">
        <v>7.17</v>
      </c>
      <c r="BE70" s="52">
        <v>7.79</v>
      </c>
      <c r="BF70" s="52">
        <v>7.8</v>
      </c>
      <c r="BG70" s="67">
        <v>7.64</v>
      </c>
      <c r="BH70" s="52">
        <v>7.78</v>
      </c>
      <c r="BI70" s="52">
        <v>7.2</v>
      </c>
      <c r="BJ70" s="52">
        <v>6.96</v>
      </c>
      <c r="BK70" s="52">
        <v>6.7</v>
      </c>
      <c r="BL70" s="52">
        <v>6.3</v>
      </c>
      <c r="BM70" s="52">
        <v>6.2</v>
      </c>
      <c r="BN70" s="52">
        <v>6.4</v>
      </c>
      <c r="BO70" s="52">
        <v>6.15</v>
      </c>
      <c r="BP70" s="52">
        <v>6.53</v>
      </c>
      <c r="BQ70" s="52" cm="1">
        <f t="array" aca="1" ref="BQ70" ca="1">_FV(EE70,"Preço")</f>
        <v>6.53</v>
      </c>
      <c r="BR70" s="69" t="s">
        <v>117</v>
      </c>
      <c r="BS70" s="36" cm="1">
        <f t="array" aca="1" ref="BS70" ca="1">_FV(EE70,"Média de volume",TRUE)</f>
        <v>332130</v>
      </c>
      <c r="BT70" s="36">
        <v>352800</v>
      </c>
      <c r="BU70" s="36" cm="1">
        <f t="array" aca="1" ref="BU70" ca="1">_FV(EE70,"Volume")</f>
        <v>352800</v>
      </c>
      <c r="BV70" s="24" cm="1">
        <f t="array" aca="1" ref="BV70" ca="1">_FV(EE70,"Beta")</f>
        <v>1.534</v>
      </c>
      <c r="BW70" s="71" cm="1">
        <f t="array" aca="1" ref="BW70" ca="1">_FV(EE70,"Variação (%)",TRUE)</f>
        <v>3.0719999999999996E-3</v>
      </c>
      <c r="BY70" s="17" cm="1">
        <f t="array" aca="1" ref="BY70" ca="1">_FV(EE70,"Baixo")</f>
        <v>6.5</v>
      </c>
      <c r="BZ70" s="17" cm="1">
        <f t="array" aca="1" ref="BZ70" ca="1">_FV(EE70,"Alto")</f>
        <v>6.75</v>
      </c>
      <c r="CA70" s="24"/>
      <c r="CB70" s="60">
        <f ca="1">SQRT(22.5*(BQ70/VLOOKUP(BR70,Fundamentus!A:U,3,FALSE))*(BQ70/VLOOKUP(BR70,Fundamentus!A:U,4,FALSE)))</f>
        <v>13.820196095376794</v>
      </c>
      <c r="CD70" s="62">
        <f t="shared" ca="1" si="24"/>
        <v>0</v>
      </c>
      <c r="CE70" s="8"/>
      <c r="CF70" s="61">
        <f t="shared" si="25"/>
        <v>4.22</v>
      </c>
      <c r="CG70" s="61">
        <f t="shared" si="26"/>
        <v>7.8</v>
      </c>
      <c r="CH70" s="61">
        <f t="shared" si="27"/>
        <v>5.6052941176470563</v>
      </c>
      <c r="CI70" s="14"/>
      <c r="CJ70" s="35">
        <f t="shared" ref="CJ70:CJ133" si="98">CK70-EA70*2</f>
        <v>6.115128226207637</v>
      </c>
      <c r="CK70" s="15">
        <f t="shared" si="28"/>
        <v>6.5049999999999955</v>
      </c>
      <c r="CL70" s="35">
        <f t="shared" ref="CL70:CL133" si="99">CK70+EA70*2</f>
        <v>6.8948717737923539</v>
      </c>
      <c r="CN70" s="14"/>
      <c r="CO70" s="17">
        <f t="shared" ref="CO70:CO133" si="100">CF70-2*(CG70-CR70)</f>
        <v>0.98666666666666725</v>
      </c>
      <c r="CP70" s="17">
        <f t="shared" ref="CP70:CP133" si="101">CR70-(CG70-CF70)</f>
        <v>2.6033333333333335</v>
      </c>
      <c r="CQ70" s="17">
        <f t="shared" ref="CQ70:CQ133" si="102">2*CR70-CG70</f>
        <v>4.5666666666666673</v>
      </c>
      <c r="CR70" s="38">
        <f t="shared" si="29"/>
        <v>6.1833333333333336</v>
      </c>
      <c r="CS70" s="17">
        <f t="shared" ref="CS70:CS133" si="103">2*CR70-CF70</f>
        <v>8.1466666666666683</v>
      </c>
      <c r="CT70" s="17">
        <f t="shared" ref="CT70:CT133" si="104">CR70+(CG70-CF70)</f>
        <v>9.7633333333333336</v>
      </c>
      <c r="CU70" s="17">
        <f t="shared" ref="CU70:CU133" si="105">CG70+2*(CR70-CF70)</f>
        <v>11.726666666666667</v>
      </c>
      <c r="CV70" s="2" cm="1">
        <f t="array" aca="1" ref="CV70" ca="1">MAX(_xlfn._xlws.FILTER(CO70:CU70,CO70:CU70&lt;BQ70))</f>
        <v>6.1833333333333336</v>
      </c>
      <c r="CW70" s="2" cm="1">
        <f t="array" aca="1" ref="CW70" ca="1">MIN(_xlfn._xlws.FILTER($CO70:$CU70,$CO70:$CU70&gt;BQ70))</f>
        <v>8.1466666666666683</v>
      </c>
      <c r="CX70" s="16">
        <f t="shared" ca="1" si="80"/>
        <v>0.31752021563342336</v>
      </c>
      <c r="CY70" s="20">
        <f t="shared" ca="1" si="81"/>
        <v>-0.15876010781671168</v>
      </c>
      <c r="CZ70" s="20">
        <f t="shared" ca="1" si="82"/>
        <v>-0.10584007187780779</v>
      </c>
      <c r="DA70" s="20">
        <f t="shared" ca="1" si="83"/>
        <v>-6.3504043126684673E-2</v>
      </c>
      <c r="DB70" s="20">
        <f t="shared" ca="1" si="84"/>
        <v>-3.5280023959269262E-2</v>
      </c>
      <c r="DC70" s="20">
        <f t="shared" ca="1" si="85"/>
        <v>-1.867765974314255E-2</v>
      </c>
      <c r="DD70" s="20">
        <f t="shared" ca="1" si="86"/>
        <v>-9.6218247161643441E-3</v>
      </c>
      <c r="DE70" s="20">
        <f t="shared" ca="1" si="87"/>
        <v>-4.8849263943603598E-3</v>
      </c>
      <c r="DF70" s="21">
        <f t="shared" ca="1" si="88"/>
        <v>4.8849263943603598E-3</v>
      </c>
      <c r="DG70" s="21">
        <f t="shared" ca="1" si="89"/>
        <v>9.6218247161643441E-3</v>
      </c>
      <c r="DH70" s="21">
        <f t="shared" ca="1" si="90"/>
        <v>1.867765974314255E-2</v>
      </c>
      <c r="DI70" s="21">
        <f t="shared" ca="1" si="91"/>
        <v>3.5280023959269262E-2</v>
      </c>
      <c r="DJ70" s="21">
        <f t="shared" ca="1" si="92"/>
        <v>6.3504043126684673E-2</v>
      </c>
      <c r="DK70" s="21">
        <f t="shared" ca="1" si="93"/>
        <v>0.10584007187780779</v>
      </c>
      <c r="DL70" s="21">
        <f t="shared" ca="1" si="94"/>
        <v>0.15876010781671168</v>
      </c>
      <c r="DN70" s="23" cm="1">
        <f t="array" aca="1" ref="DN70" ca="1">MAX(_xlfn._xlws.FILTER(CY70:DL70,CY70:DL70&lt;BW70))</f>
        <v>-4.8849263943603598E-3</v>
      </c>
      <c r="DO70" s="23" cm="1">
        <f t="array" aca="1" ref="DO70" ca="1">MIN(_xlfn._xlws.FILTER(CY70:DL70,CY70:DL70&gt;BW70))</f>
        <v>4.8849263943603598E-3</v>
      </c>
      <c r="DP70" s="2" cm="1">
        <f t="array" aca="1" ref="DP70" ca="1">_FV(EE70,"Fechamento anterior",TRUE)</f>
        <v>6.51</v>
      </c>
      <c r="DQ70" s="28">
        <f t="shared" ref="DQ70:DQ133" ca="1" si="106">(BQ70-DR70)/(DS70-DR70)</f>
        <v>0.81445679756102329</v>
      </c>
      <c r="DR70" s="15">
        <f t="shared" ca="1" si="95"/>
        <v>6.4781991291727135</v>
      </c>
      <c r="DS70" s="15">
        <f t="shared" ca="1" si="96"/>
        <v>6.5418008708272861</v>
      </c>
      <c r="DT70" s="9"/>
      <c r="DU70" s="9"/>
      <c r="DV70" s="9"/>
      <c r="DW70" s="89">
        <v>2.6955298721947053E-2</v>
      </c>
      <c r="DX70" s="89">
        <f t="shared" ref="DX70:DX133" ca="1" si="107">DO70-DN70</f>
        <v>9.7698527887207197E-3</v>
      </c>
      <c r="DY70" s="72">
        <f t="shared" ref="DY70:DY133" ca="1" si="108">(BQ70-CK70)/(CK70-CJ70)</f>
        <v>6.4123647005334447E-2</v>
      </c>
      <c r="DZ70" s="37"/>
      <c r="EA70" s="35">
        <f t="shared" si="39"/>
        <v>0.19493588689617924</v>
      </c>
      <c r="EB70" s="56"/>
      <c r="EC70" s="56"/>
      <c r="EE70" s="2" t="e" vm="70">
        <v>#VALUE!</v>
      </c>
      <c r="EG70" s="10" cm="1">
        <f t="array" aca="1" ref="EG70" ca="1">_FV(EE70,"Ações em circulação",TRUE)</f>
        <v>186617500</v>
      </c>
      <c r="EH70" s="18">
        <f>VLOOKUP(BR70,Fundamentus!A:U,5,FALSE)</f>
        <v>0.89200000000000002</v>
      </c>
      <c r="EI70" s="2">
        <f t="shared" ref="EI70:EI133" ca="1" si="109">(BQ70*EG70)/EH70</f>
        <v>1366157258.9686098</v>
      </c>
      <c r="EJ70" s="17">
        <v>193857715.04764572</v>
      </c>
      <c r="EK70" s="17">
        <f t="shared" ref="EK70:EK133" ca="1" si="110">EI70*EW70</f>
        <v>193857715.04764572</v>
      </c>
      <c r="EM70" s="16">
        <f t="shared" ca="1" si="97"/>
        <v>0</v>
      </c>
      <c r="EN70" s="32" t="str">
        <f>IF(VLOOKUP(BR70,Fundamentus!A:U,3,FALSE)&lt;15,"Bom",IF(VLOOKUP(BR70,Fundamentus!A:U,3,FALSE)&gt;15,"Ruim","n/a"))</f>
        <v>Bom</v>
      </c>
      <c r="EO70" s="55" t="str">
        <f>IF(VLOOKUP(BR70,Fundamentus!A:U,4,FALSE)&lt;1,"Baixo",IF(VLOOKUP(BR70,Fundamentus!A:U,4,FALSE)&lt;1.5,"Moderado",IF(VLOOKUP(BR70,Fundamentus!A:U,4,FALSE)&gt;1.5,"Alto","n/a")))</f>
        <v>Baixo</v>
      </c>
      <c r="EP70" s="17" t="str">
        <f>IF(VLOOKUP(BR70,Fundamentus!A:U,8,FALSE)&lt;0,"Risco elevado",IF(VLOOKUP(BR70,Fundamentus!A:U,8,FALSE)&lt;1,"Saudável",IF(VLOOKUP(BR70,Fundamentus!A:U,8,FALSE)&lt;3,"Estável",IF(VLOOKUP(BR70,Fundamentus!A:U,8,FALSE)&gt;3,"Alerta","n/a"))))</f>
        <v>Saudável</v>
      </c>
      <c r="EQ70" s="28" t="str">
        <f t="shared" ref="EQ70:EQ133" si="111">IF(EH70&gt;1,"Bom","Ruim")</f>
        <v>Ruim</v>
      </c>
      <c r="ER70" s="17" t="str">
        <f>IF(VLOOKUP(BR70,Fundamentus!A:U,12,FALSE)&lt;2,"Subvalorizada",IF(VLOOKUP(BR70,Fundamentus!A:U,12,FALSE)&lt;6,"Muita barata",IF(VLOOKUP(BR70,Fundamentus!A:U,12,FALSE)&lt;6,"Barata",IF(VLOOKUP(BR70,Fundamentus!A:U,12,FALSE)&lt;8,"Atrativa",IF(VLOOKUP(BR70,Fundamentus!A:U,12,FALSE)&gt;8,"Supervalorizada","n/a")))))</f>
        <v>Atrativa</v>
      </c>
      <c r="ET70" s="17" t="str">
        <f>IF(VLOOKUP(BR70,Fundamentus!A:U,17,FALSE)&lt;0.1,"Fraco retorno",IF(VLOOKUP(BR70,Fundamentus!A:U,17,FALSE)&gt;0.1,"Bom retorno","n/a"))</f>
        <v>Bom retorno</v>
      </c>
      <c r="EU70" s="53" t="str">
        <f>IF(VLOOKUP(BR70,Fundamentus!A:U,16,FALSE)&lt;0.1,"Ineficiente",IF(VLOOKUP(BR70,Fundamentus!A:U,16,FALSE)&gt;0.1,"Eficiente","n/a"))</f>
        <v>Ineficiente</v>
      </c>
      <c r="EV70" s="54" t="str">
        <f>IF(VLOOKUP(BR70,Fundamentus!A:U,16,FALSE)&lt;0.1,"Oper. Ineficiente",IF(VLOOKUP(BR70,Fundamentus!A:U,16,FALSE)&gt;0.1,"Oper.Eficiente","n/a"))</f>
        <v>Oper. Ineficiente</v>
      </c>
      <c r="EW70" s="34">
        <f>VLOOKUP(BR70,Fundamentus!A:U,14,FALSE)</f>
        <v>0.1419</v>
      </c>
      <c r="EX70" s="17" t="str">
        <f>IF(VLOOKUP(BR70,Fundamentus!A:U,21,FALSE)&lt;0,"Negativo",IF(VLOOKUP(BR70,Fundamentus!A:U,21,FALSE)&lt;0.05,"Fraco",IF(VLOOKUP(BR70,Fundamentus!A:U,21,FALSE)&lt;0.1,"Bom",IF(VLOOKUP(BR70,Fundamentus!A:U,21,FALSE)&gt;0.1,"Muito bom","n/a"))))</f>
        <v>Muito bom</v>
      </c>
      <c r="EZ70" s="29" t="str">
        <f>IF(VLOOKUP(BR70,Fundamentus!A:U,15,FALSE)&gt;1,"Bom",IF(VLOOKUP(BR70,Fundamentus!A:U,15,FALSE)&lt;1,"Ruim","n/a"))</f>
        <v>Bom</v>
      </c>
      <c r="FA70" s="17" t="str">
        <f>IF(VLOOKUP(BR70,Fundamentus!A:U,20,FALSE)&lt;0.5,"Baixa",IF(VLOOKUP(BR70,Fundamentus!A:U,20,FALSE)&lt;1,"Moderada",IF(VLOOKUP(BR70,Fundamentus!A:U,20,FALSE)&lt;2,"Alerta",IF(VLOOKUP(BR70,Fundamentus!A:U,20,FALSE)&gt;2,"Alta","n/a"))))</f>
        <v>Moderada</v>
      </c>
      <c r="FB70" s="10"/>
    </row>
    <row r="71" spans="1:158" s="2" customFormat="1" ht="11.25"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5">
        <v>34.33</v>
      </c>
      <c r="BC71" s="52">
        <v>34.22</v>
      </c>
      <c r="BD71" s="52">
        <v>35.4</v>
      </c>
      <c r="BE71" s="52">
        <v>36.729999999999997</v>
      </c>
      <c r="BF71" s="52">
        <v>35.85</v>
      </c>
      <c r="BG71" s="67">
        <v>36.4</v>
      </c>
      <c r="BH71" s="52">
        <v>34.630000000000003</v>
      </c>
      <c r="BI71" s="52">
        <v>34.630000000000003</v>
      </c>
      <c r="BJ71" s="52">
        <v>36.72</v>
      </c>
      <c r="BK71" s="52">
        <v>35.340000000000003</v>
      </c>
      <c r="BL71" s="52">
        <v>33.82</v>
      </c>
      <c r="BM71" s="52">
        <v>34.450000000000003</v>
      </c>
      <c r="BN71" s="52">
        <v>37.229999999999997</v>
      </c>
      <c r="BO71" s="52">
        <v>36.1</v>
      </c>
      <c r="BP71" s="52">
        <v>36.44</v>
      </c>
      <c r="BQ71" s="52" cm="1">
        <f t="array" aca="1" ref="BQ71" ca="1">_FV(EE71,"Preço")</f>
        <v>36.44</v>
      </c>
      <c r="BR71" s="69" t="s">
        <v>68</v>
      </c>
      <c r="BS71" s="36" cm="1">
        <f t="array" aca="1" ref="BS71" ca="1">_FV(EE71,"Média de volume",TRUE)</f>
        <v>265530</v>
      </c>
      <c r="BT71" s="36">
        <v>241500</v>
      </c>
      <c r="BU71" s="36" cm="1">
        <f t="array" aca="1" ref="BU71" ca="1">_FV(EE71,"Volume")</f>
        <v>241500</v>
      </c>
      <c r="BV71" s="24" cm="1">
        <f t="array" aca="1" ref="BV71" ca="1">_FV(EE71,"Beta")</f>
        <v>1.1444000000000001</v>
      </c>
      <c r="BW71" s="71" cm="1">
        <f t="array" aca="1" ref="BW71" ca="1">_FV(EE71,"Variação (%)",TRUE)</f>
        <v>2.5611999999999999E-2</v>
      </c>
      <c r="BY71" s="17" cm="1">
        <f t="array" aca="1" ref="BY71" ca="1">_FV(EE71,"Baixo")</f>
        <v>35.299999999999997</v>
      </c>
      <c r="BZ71" s="17" cm="1">
        <f t="array" aca="1" ref="BZ71" ca="1">_FV(EE71,"Alto")</f>
        <v>36.49</v>
      </c>
      <c r="CA71" s="24"/>
      <c r="CB71" s="63">
        <f ca="1">SQRT(22.5*(BQ71/VLOOKUP(BR71,Fundamentus!A:U,3,FALSE))*(BQ71/VLOOKUP(BR71,Fundamentus!A:U,4,FALSE)))</f>
        <v>38.866965687478881</v>
      </c>
      <c r="CD71" s="62">
        <f t="shared" ref="CD71:CD134" ca="1" si="112">(BQ71 - BP71) / BP71</f>
        <v>0</v>
      </c>
      <c r="CE71" s="8"/>
      <c r="CF71" s="61">
        <f t="shared" ref="CF71:CF134" si="113">MIN(A71:BP71)</f>
        <v>23.29</v>
      </c>
      <c r="CG71" s="61">
        <f t="shared" ref="CG71:CG134" si="114">MAX(A71:BP71)</f>
        <v>37.229999999999997</v>
      </c>
      <c r="CH71" s="61">
        <f t="shared" ref="CH71:CH134" si="115">AVERAGE(A71:BP71)</f>
        <v>30.25367647058825</v>
      </c>
      <c r="CI71" s="14"/>
      <c r="CJ71" s="35">
        <f t="shared" si="98"/>
        <v>34.858229549790714</v>
      </c>
      <c r="CK71" s="15">
        <f t="shared" ref="CK71:CK134" si="116">FORECAST("22/08/2025", BM71:BP71, $BM$5:$BP$5)</f>
        <v>37.264999999999873</v>
      </c>
      <c r="CL71" s="35">
        <f t="shared" si="99"/>
        <v>39.671770450209031</v>
      </c>
      <c r="CN71" s="14"/>
      <c r="CO71" s="17">
        <f t="shared" si="100"/>
        <v>13.470000000000006</v>
      </c>
      <c r="CP71" s="17">
        <f t="shared" si="101"/>
        <v>18.380000000000003</v>
      </c>
      <c r="CQ71" s="17">
        <f t="shared" si="102"/>
        <v>27.410000000000004</v>
      </c>
      <c r="CR71" s="38">
        <f t="shared" ref="CR71:CR134" si="117">(CG71+CF71+BP71)/3</f>
        <v>32.32</v>
      </c>
      <c r="CS71" s="17">
        <f t="shared" si="103"/>
        <v>41.35</v>
      </c>
      <c r="CT71" s="17">
        <f t="shared" si="104"/>
        <v>46.26</v>
      </c>
      <c r="CU71" s="17">
        <f t="shared" si="105"/>
        <v>55.29</v>
      </c>
      <c r="CV71" s="2" cm="1">
        <f t="array" aca="1" ref="CV71" ca="1">MAX(_xlfn._xlws.FILTER(CO71:CU71,CO71:CU71&lt;BQ71))</f>
        <v>32.32</v>
      </c>
      <c r="CW71" s="2" cm="1">
        <f t="array" aca="1" ref="CW71" ca="1">MIN(_xlfn._xlws.FILTER($CO71:$CU71,$CO71:$CU71&gt;BQ71))</f>
        <v>41.35</v>
      </c>
      <c r="CX71" s="16">
        <f t="shared" ca="1" si="80"/>
        <v>0.27939356435643559</v>
      </c>
      <c r="CY71" s="20">
        <f t="shared" ca="1" si="81"/>
        <v>-0.13969678217821779</v>
      </c>
      <c r="CZ71" s="20">
        <f t="shared" ca="1" si="82"/>
        <v>-9.3131188118811867E-2</v>
      </c>
      <c r="DA71" s="20">
        <f t="shared" ca="1" si="83"/>
        <v>-5.5878712871287116E-2</v>
      </c>
      <c r="DB71" s="20">
        <f t="shared" ca="1" si="84"/>
        <v>-3.1043729372937288E-2</v>
      </c>
      <c r="DC71" s="20">
        <f t="shared" ca="1" si="85"/>
        <v>-1.6434915550378563E-2</v>
      </c>
      <c r="DD71" s="20">
        <f t="shared" ca="1" si="86"/>
        <v>-8.4664716471647139E-3</v>
      </c>
      <c r="DE71" s="20">
        <f t="shared" ca="1" si="87"/>
        <v>-4.2983625285605478E-3</v>
      </c>
      <c r="DF71" s="21">
        <f t="shared" ca="1" si="88"/>
        <v>4.2983625285605478E-3</v>
      </c>
      <c r="DG71" s="21">
        <f t="shared" ca="1" si="89"/>
        <v>8.4664716471647139E-3</v>
      </c>
      <c r="DH71" s="21">
        <f t="shared" ca="1" si="90"/>
        <v>1.6434915550378563E-2</v>
      </c>
      <c r="DI71" s="21">
        <f t="shared" ca="1" si="91"/>
        <v>3.1043729372937288E-2</v>
      </c>
      <c r="DJ71" s="21">
        <f t="shared" ca="1" si="92"/>
        <v>5.5878712871287116E-2</v>
      </c>
      <c r="DK71" s="21">
        <f t="shared" ca="1" si="93"/>
        <v>9.3131188118811867E-2</v>
      </c>
      <c r="DL71" s="21">
        <f t="shared" ca="1" si="94"/>
        <v>0.13969678217821779</v>
      </c>
      <c r="DN71" s="16" cm="1">
        <f t="array" aca="1" ref="DN71" ca="1">MAX(_xlfn._xlws.FILTER(CY71:DL71,CY71:DL71&lt;BW71))</f>
        <v>1.6434915550378563E-2</v>
      </c>
      <c r="DO71" s="16" cm="1">
        <f t="array" aca="1" ref="DO71" ca="1">MIN(_xlfn._xlws.FILTER(CY71:DL71,CY71:DL71&gt;BW71))</f>
        <v>3.1043729372937288E-2</v>
      </c>
      <c r="DP71" s="2" cm="1">
        <f t="array" aca="1" ref="DP71" ca="1">_FV(EE71,"Fechamento anterior",TRUE)</f>
        <v>35.53</v>
      </c>
      <c r="DQ71" s="28">
        <f t="shared" ca="1" si="106"/>
        <v>0.62819906531656</v>
      </c>
      <c r="DR71" s="15">
        <f t="shared" ca="1" si="95"/>
        <v>36.113932549504952</v>
      </c>
      <c r="DS71" s="15">
        <f t="shared" ca="1" si="96"/>
        <v>36.632983704620464</v>
      </c>
      <c r="DT71" s="9"/>
      <c r="DU71" s="9"/>
      <c r="DV71" s="9"/>
      <c r="DW71" s="89">
        <v>7.8961224504103256E-3</v>
      </c>
      <c r="DX71" s="89">
        <f t="shared" ca="1" si="107"/>
        <v>1.4608813822558724E-2</v>
      </c>
      <c r="DY71" s="72">
        <f t="shared" ca="1" si="108"/>
        <v>-0.34278300198017592</v>
      </c>
      <c r="DZ71" s="37"/>
      <c r="EA71" s="35">
        <f t="shared" ref="EA71:EA134" si="118">_xlfn.STDEV.P(BK71:BO71)</f>
        <v>1.2033852251045785</v>
      </c>
      <c r="EB71" s="56"/>
      <c r="EC71" s="56"/>
      <c r="EE71" s="2" t="e" vm="71">
        <v>#VALUE!</v>
      </c>
      <c r="EG71" s="10" cm="1">
        <f t="array" aca="1" ref="EG71" ca="1">_FV(EE71,"Ações em circulação",TRUE)</f>
        <v>66002920</v>
      </c>
      <c r="EH71" s="18">
        <f>VLOOKUP(BR71,Fundamentus!A:U,5,FALSE)</f>
        <v>1.0720000000000001</v>
      </c>
      <c r="EI71" s="2">
        <f t="shared" ca="1" si="109"/>
        <v>2243606720.8955221</v>
      </c>
      <c r="EJ71" s="17">
        <v>290098349.01179099</v>
      </c>
      <c r="EK71" s="17">
        <f t="shared" ca="1" si="110"/>
        <v>290098349.01179099</v>
      </c>
      <c r="EM71" s="16">
        <f t="shared" ca="1" si="97"/>
        <v>0</v>
      </c>
      <c r="EN71" s="45" t="str">
        <f>IF(VLOOKUP(BR71,Fundamentus!A:U,3,FALSE)&lt;15,"Bom",IF(VLOOKUP(BR71,Fundamentus!A:U,3,FALSE)&gt;15,"Ruim","n/a"))</f>
        <v>Bom</v>
      </c>
      <c r="EO71" s="46" t="str">
        <f>IF(VLOOKUP(BR71,Fundamentus!A:U,4,FALSE)&lt;1,"Baixo",IF(VLOOKUP(BR71,Fundamentus!A:U,4,FALSE)&lt;1.5,"Moderado",IF(VLOOKUP(BR71,Fundamentus!A:U,4,FALSE)&gt;1.5,"Alto","n/a")))</f>
        <v>Alto</v>
      </c>
      <c r="EP71" s="30" t="str">
        <f>IF(VLOOKUP(BR71,Fundamentus!A:U,8,FALSE)&lt;0,"Risco elevado",IF(VLOOKUP(BR71,Fundamentus!A:U,8,FALSE)&lt;1,"Saudável",IF(VLOOKUP(BR71,Fundamentus!A:U,8,FALSE)&lt;3,"Estável",IF(VLOOKUP(BR71,Fundamentus!A:U,8,FALSE)&gt;3,"Alerta","n/a"))))</f>
        <v>Alerta</v>
      </c>
      <c r="EQ71" s="46" t="str">
        <f t="shared" si="111"/>
        <v>Bom</v>
      </c>
      <c r="ER71" s="30" t="str">
        <f>IF(VLOOKUP(BR71,Fundamentus!A:U,12,FALSE)&lt;2,"Subvalorizada",IF(VLOOKUP(BR71,Fundamentus!A:U,12,FALSE)&lt;6,"Muita barata",IF(VLOOKUP(BR71,Fundamentus!A:U,12,FALSE)&lt;6,"Barata",IF(VLOOKUP(BR71,Fundamentus!A:U,12,FALSE)&lt;8,"Atrativa",IF(VLOOKUP(BR71,Fundamentus!A:U,12,FALSE)&gt;8,"Supervalorizada","n/a")))))</f>
        <v>Muita barata</v>
      </c>
      <c r="ET71" s="30" t="str">
        <f>IF(VLOOKUP(BR71,Fundamentus!A:U,17,FALSE)&lt;0.1,"Fraco retorno",IF(VLOOKUP(BR71,Fundamentus!A:U,17,FALSE)&gt;0.1,"Bom retorno","n/a"))</f>
        <v>Bom retorno</v>
      </c>
      <c r="EU71" s="30" t="str">
        <f>IF(VLOOKUP(BR71,Fundamentus!A:U,16,FALSE)&lt;0.1,"Ineficiente",IF(VLOOKUP(BR71,Fundamentus!A:U,16,FALSE)&gt;0.1,"Eficiente","n/a"))</f>
        <v>Eficiente</v>
      </c>
      <c r="EV71" s="49" t="str">
        <f>IF(VLOOKUP(BR71,Fundamentus!A:U,16,FALSE)&lt;0.1,"Oper. Ineficiente",IF(VLOOKUP(BR71,Fundamentus!A:U,16,FALSE)&gt;0.1,"Oper.Eficiente","n/a"))</f>
        <v>Oper.Eficiente</v>
      </c>
      <c r="EW71" s="48">
        <f>VLOOKUP(BR71,Fundamentus!A:U,14,FALSE)</f>
        <v>0.1293</v>
      </c>
      <c r="EX71" s="30" t="str">
        <f>IF(VLOOKUP(BR71,Fundamentus!A:U,21,FALSE)&lt;0,"Negativo",IF(VLOOKUP(BR71,Fundamentus!A:U,21,FALSE)&lt;0.05,"Fraco",IF(VLOOKUP(BR71,Fundamentus!A:U,21,FALSE)&lt;0.1,"Bom",IF(VLOOKUP(BR71,Fundamentus!A:U,21,FALSE)&gt;0.1,"Muito bom","n/a"))))</f>
        <v>Muito bom</v>
      </c>
      <c r="EZ71" s="31" t="str">
        <f>IF(VLOOKUP(BR71,Fundamentus!A:U,15,FALSE)&gt;1,"Bom",IF(VLOOKUP(BR71,Fundamentus!A:U,15,FALSE)&lt;1,"Ruim","n/a"))</f>
        <v>Bom</v>
      </c>
      <c r="FA71" s="30" t="str">
        <f>IF(VLOOKUP(BR71,Fundamentus!A:U,20,FALSE)&lt;0.5,"Baixa",IF(VLOOKUP(BR71,Fundamentus!A:U,20,FALSE)&lt;1,"Moderada",IF(VLOOKUP(BR71,Fundamentus!A:U,20,FALSE)&lt;2,"Alerta",IF(VLOOKUP(BR71,Fundamentus!A:U,20,FALSE)&gt;2,"Alta","n/a"))))</f>
        <v>Baixa</v>
      </c>
      <c r="FB71" s="10"/>
    </row>
    <row r="72" spans="1:158" s="2" customFormat="1" ht="11.25"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5">
        <v>6.51</v>
      </c>
      <c r="BC72" s="52">
        <v>6.66</v>
      </c>
      <c r="BD72" s="52">
        <v>6.65</v>
      </c>
      <c r="BE72" s="52">
        <v>6.8</v>
      </c>
      <c r="BF72" s="52">
        <v>6.79</v>
      </c>
      <c r="BG72" s="67">
        <v>6.82</v>
      </c>
      <c r="BH72" s="52">
        <v>6.77</v>
      </c>
      <c r="BI72" s="52">
        <v>6.63</v>
      </c>
      <c r="BJ72" s="52">
        <v>6.7</v>
      </c>
      <c r="BK72" s="52">
        <v>6.61</v>
      </c>
      <c r="BL72" s="52">
        <v>6.55</v>
      </c>
      <c r="BM72" s="52">
        <v>6.54</v>
      </c>
      <c r="BN72" s="52">
        <v>6.28</v>
      </c>
      <c r="BO72" s="52">
        <v>6.59</v>
      </c>
      <c r="BP72" s="52">
        <v>6.61</v>
      </c>
      <c r="BQ72" s="52" cm="1">
        <f t="array" aca="1" ref="BQ72" ca="1">_FV(EE72,"Preço")</f>
        <v>6.61</v>
      </c>
      <c r="BR72" s="69" t="s">
        <v>69</v>
      </c>
      <c r="BS72" s="36" cm="1">
        <f t="array" aca="1" ref="BS72" ca="1">_FV(EE72,"Média de volume",TRUE)</f>
        <v>2790</v>
      </c>
      <c r="BT72" s="36">
        <v>900</v>
      </c>
      <c r="BU72" s="36" cm="1">
        <f t="array" aca="1" ref="BU72" ca="1">_FV(EE72,"Volume")</f>
        <v>900</v>
      </c>
      <c r="BV72" s="24" cm="1">
        <f t="array" aca="1" ref="BV72" ca="1">_FV(EE72,"Beta")</f>
        <v>0.23719999999999999</v>
      </c>
      <c r="BW72" s="71" cm="1">
        <f t="array" aca="1" ref="BW72" ca="1">_FV(EE72,"Variação (%)",TRUE)</f>
        <v>2.6398000000000001E-2</v>
      </c>
      <c r="BY72" s="17" cm="1">
        <f t="array" aca="1" ref="BY72" ca="1">_FV(EE72,"Baixo")</f>
        <v>6.55</v>
      </c>
      <c r="BZ72" s="17" cm="1">
        <f t="array" aca="1" ref="BZ72" ca="1">_FV(EE72,"Alto")</f>
        <v>6.61</v>
      </c>
      <c r="CA72" s="24"/>
      <c r="CB72" s="63">
        <f ca="1">SQRT(22.5*(BQ72/VLOOKUP(BR72,Fundamentus!A:U,3,FALSE))*(BQ72/VLOOKUP(BR72,Fundamentus!A:U,4,FALSE)))</f>
        <v>5.4536914260144753</v>
      </c>
      <c r="CD72" s="62">
        <f t="shared" ca="1" si="112"/>
        <v>0</v>
      </c>
      <c r="CE72" s="8"/>
      <c r="CF72" s="61">
        <f t="shared" si="113"/>
        <v>6.24</v>
      </c>
      <c r="CG72" s="61">
        <f t="shared" si="114"/>
        <v>7</v>
      </c>
      <c r="CH72" s="61">
        <f t="shared" si="115"/>
        <v>6.6733823529411751</v>
      </c>
      <c r="CI72" s="14"/>
      <c r="CJ72" s="35">
        <f t="shared" si="98"/>
        <v>6.3954671212547129</v>
      </c>
      <c r="CK72" s="15">
        <f t="shared" si="116"/>
        <v>6.6349999999999909</v>
      </c>
      <c r="CL72" s="35">
        <f t="shared" si="99"/>
        <v>6.8745328787452689</v>
      </c>
      <c r="CN72" s="14"/>
      <c r="CO72" s="17">
        <f t="shared" si="100"/>
        <v>5.4733333333333345</v>
      </c>
      <c r="CP72" s="17">
        <f t="shared" si="101"/>
        <v>5.8566666666666674</v>
      </c>
      <c r="CQ72" s="17">
        <f t="shared" si="102"/>
        <v>6.2333333333333343</v>
      </c>
      <c r="CR72" s="38">
        <f t="shared" si="117"/>
        <v>6.6166666666666671</v>
      </c>
      <c r="CS72" s="17">
        <f t="shared" si="103"/>
        <v>6.9933333333333341</v>
      </c>
      <c r="CT72" s="17">
        <f t="shared" si="104"/>
        <v>7.3766666666666669</v>
      </c>
      <c r="CU72" s="17">
        <f t="shared" si="105"/>
        <v>7.7533333333333339</v>
      </c>
      <c r="CV72" s="2" cm="1">
        <f t="array" aca="1" ref="CV72" ca="1">MAX(_xlfn._xlws.FILTER(CO72:CU72,CO72:CU72&lt;BQ72))</f>
        <v>6.2333333333333343</v>
      </c>
      <c r="CW72" s="2" cm="1">
        <f t="array" aca="1" ref="CW72" ca="1">MIN(_xlfn._xlws.FILTER($CO72:$CU72,$CO72:$CU72&gt;BQ72))</f>
        <v>6.6166666666666671</v>
      </c>
      <c r="CX72" s="16">
        <f t="shared" ca="1" si="80"/>
        <v>6.149732620320858E-2</v>
      </c>
      <c r="CY72" s="20">
        <f t="shared" ca="1" si="81"/>
        <v>-3.074866310160429E-2</v>
      </c>
      <c r="CZ72" s="20">
        <f t="shared" ca="1" si="82"/>
        <v>-2.049910873440286E-2</v>
      </c>
      <c r="DA72" s="20">
        <f t="shared" ca="1" si="83"/>
        <v>-1.2299465240641716E-2</v>
      </c>
      <c r="DB72" s="20">
        <f t="shared" ca="1" si="84"/>
        <v>-6.8330362448009536E-3</v>
      </c>
      <c r="DC72" s="20">
        <f t="shared" ca="1" si="85"/>
        <v>-3.6174897766593282E-3</v>
      </c>
      <c r="DD72" s="20">
        <f t="shared" ca="1" si="86"/>
        <v>-1.8635553394911691E-3</v>
      </c>
      <c r="DE72" s="20">
        <f t="shared" ca="1" si="87"/>
        <v>-9.4611271081859359E-4</v>
      </c>
      <c r="DF72" s="21">
        <f t="shared" ca="1" si="88"/>
        <v>9.4611271081859359E-4</v>
      </c>
      <c r="DG72" s="21">
        <f t="shared" ca="1" si="89"/>
        <v>1.8635553394911691E-3</v>
      </c>
      <c r="DH72" s="21">
        <f t="shared" ca="1" si="90"/>
        <v>3.6174897766593282E-3</v>
      </c>
      <c r="DI72" s="21">
        <f t="shared" ca="1" si="91"/>
        <v>6.8330362448009536E-3</v>
      </c>
      <c r="DJ72" s="21">
        <f t="shared" ca="1" si="92"/>
        <v>1.2299465240641716E-2</v>
      </c>
      <c r="DK72" s="21">
        <f t="shared" ca="1" si="93"/>
        <v>2.049910873440286E-2</v>
      </c>
      <c r="DL72" s="21">
        <f t="shared" ca="1" si="94"/>
        <v>3.074866310160429E-2</v>
      </c>
      <c r="DN72" s="16" cm="1">
        <f t="array" aca="1" ref="DN72" ca="1">MAX(_xlfn._xlws.FILTER(CY72:DL72,CY72:DL72&lt;BW72))</f>
        <v>2.049910873440286E-2</v>
      </c>
      <c r="DO72" s="16" cm="1">
        <f t="array" aca="1" ref="DO72" ca="1">MIN(_xlfn._xlws.FILTER(CY72:DL72,CY72:DL72&gt;BW72))</f>
        <v>3.074866310160429E-2</v>
      </c>
      <c r="DP72" s="2" cm="1">
        <f t="array" aca="1" ref="DP72" ca="1">_FV(EE72,"Fechamento anterior",TRUE)</f>
        <v>6.44</v>
      </c>
      <c r="DQ72" s="28">
        <f t="shared" ca="1" si="106"/>
        <v>0.57547934107480248</v>
      </c>
      <c r="DR72" s="15">
        <f t="shared" ca="1" si="95"/>
        <v>6.5720142602495546</v>
      </c>
      <c r="DS72" s="15">
        <f t="shared" ca="1" si="96"/>
        <v>6.6380213903743321</v>
      </c>
      <c r="DT72" s="9"/>
      <c r="DU72" s="9"/>
      <c r="DV72" s="9"/>
      <c r="DW72" s="89" t="e" vm="5">
        <v>#VALUE!</v>
      </c>
      <c r="DX72" s="89">
        <f t="shared" ca="1" si="107"/>
        <v>1.024955436720143E-2</v>
      </c>
      <c r="DY72" s="72">
        <f t="shared" ca="1" si="108"/>
        <v>-0.10436980564399209</v>
      </c>
      <c r="DZ72" s="37"/>
      <c r="EA72" s="35">
        <f t="shared" si="118"/>
        <v>0.11976643937263888</v>
      </c>
      <c r="EB72" s="56"/>
      <c r="EC72" s="56"/>
      <c r="EE72" s="2" t="e" vm="72">
        <v>#VALUE!</v>
      </c>
      <c r="EG72" s="10" cm="1">
        <f t="array" aca="1" ref="EG72" ca="1">_FV(EE72,"Ações em circulação",TRUE)</f>
        <v>2110323000</v>
      </c>
      <c r="EH72" s="18">
        <f>VLOOKUP(BR72,Fundamentus!A:U,5,FALSE)</f>
        <v>0.747</v>
      </c>
      <c r="EI72" s="2">
        <f t="shared" ca="1" si="109"/>
        <v>18673674738.955822</v>
      </c>
      <c r="EJ72" s="17">
        <v>1878571678.7389555</v>
      </c>
      <c r="EK72" s="17">
        <f t="shared" ca="1" si="110"/>
        <v>1878571678.7389555</v>
      </c>
      <c r="EM72" s="16">
        <f t="shared" ca="1" si="97"/>
        <v>0</v>
      </c>
      <c r="EN72" s="32" t="str">
        <f>IF(VLOOKUP(BR72,Fundamentus!A:U,3,FALSE)&lt;15,"Bom",IF(VLOOKUP(BR72,Fundamentus!A:U,3,FALSE)&gt;15,"Ruim","n/a"))</f>
        <v>Bom</v>
      </c>
      <c r="EO72" s="28" t="str">
        <f>IF(VLOOKUP(BR72,Fundamentus!A:U,4,FALSE)&lt;1,"Baixo",IF(VLOOKUP(BR72,Fundamentus!A:U,4,FALSE)&lt;1.5,"Moderado",IF(VLOOKUP(BR72,Fundamentus!A:U,4,FALSE)&gt;1.5,"Alto","n/a")))</f>
        <v>Alto</v>
      </c>
      <c r="EP72" s="17" t="str">
        <f>IF(VLOOKUP(BR72,Fundamentus!A:U,8,FALSE)&lt;0,"Risco elevado",IF(VLOOKUP(BR72,Fundamentus!A:U,8,FALSE)&lt;1,"Saudável",IF(VLOOKUP(BR72,Fundamentus!A:U,8,FALSE)&lt;3,"Estável",IF(VLOOKUP(BR72,Fundamentus!A:U,8,FALSE)&gt;3,"Alerta","n/a"))))</f>
        <v>Alerta</v>
      </c>
      <c r="EQ72" s="28" t="str">
        <f t="shared" si="111"/>
        <v>Ruim</v>
      </c>
      <c r="ER72" s="17" t="str">
        <f>IF(VLOOKUP(BR72,Fundamentus!A:U,12,FALSE)&lt;2,"Subvalorizada",IF(VLOOKUP(BR72,Fundamentus!A:U,12,FALSE)&lt;6,"Muita barata",IF(VLOOKUP(BR72,Fundamentus!A:U,12,FALSE)&lt;6,"Barata",IF(VLOOKUP(BR72,Fundamentus!A:U,12,FALSE)&lt;8,"Atrativa",IF(VLOOKUP(BR72,Fundamentus!A:U,12,FALSE)&gt;8,"Supervalorizada","n/a")))))</f>
        <v>Atrativa</v>
      </c>
      <c r="ET72" s="17" t="str">
        <f>IF(VLOOKUP(BR72,Fundamentus!A:U,17,FALSE)&lt;0.1,"Fraco retorno",IF(VLOOKUP(BR72,Fundamentus!A:U,17,FALSE)&gt;0.1,"Bom retorno","n/a"))</f>
        <v>Bom retorno</v>
      </c>
      <c r="EU72" s="17" t="str">
        <f>IF(VLOOKUP(BR72,Fundamentus!A:U,16,FALSE)&lt;0.1,"Ineficiente",IF(VLOOKUP(BR72,Fundamentus!A:U,16,FALSE)&gt;0.1,"Eficiente","n/a"))</f>
        <v>Eficiente</v>
      </c>
      <c r="EV72" s="33" t="str">
        <f>IF(VLOOKUP(BR72,Fundamentus!A:U,16,FALSE)&lt;0.1,"Oper. Ineficiente",IF(VLOOKUP(BR72,Fundamentus!A:U,16,FALSE)&gt;0.1,"Oper.Eficiente","n/a"))</f>
        <v>Oper.Eficiente</v>
      </c>
      <c r="EW72" s="34">
        <f>VLOOKUP(BR72,Fundamentus!A:U,14,FALSE)</f>
        <v>0.10059999999999999</v>
      </c>
      <c r="EX72" s="17" t="str">
        <f>IF(VLOOKUP(BR72,Fundamentus!A:U,21,FALSE)&lt;0,"Negativo",IF(VLOOKUP(BR72,Fundamentus!A:U,21,FALSE)&lt;0.05,"Fraco",IF(VLOOKUP(BR72,Fundamentus!A:U,21,FALSE)&lt;0.1,"Bom",IF(VLOOKUP(BR72,Fundamentus!A:U,21,FALSE)&gt;0.1,"Muito bom","n/a"))))</f>
        <v>Bom</v>
      </c>
      <c r="EZ72" s="29" t="str">
        <f>IF(VLOOKUP(BR72,Fundamentus!A:U,15,FALSE)&gt;1,"Bom",IF(VLOOKUP(BR72,Fundamentus!A:U,15,FALSE)&lt;1,"Ruim","n/a"))</f>
        <v>Bom</v>
      </c>
      <c r="FA72" s="17" t="str">
        <f>IF(VLOOKUP(BR72,Fundamentus!A:U,20,FALSE)&lt;0.5,"Baixa",IF(VLOOKUP(BR72,Fundamentus!A:U,20,FALSE)&lt;1,"Moderada",IF(VLOOKUP(BR72,Fundamentus!A:U,20,FALSE)&lt;2,"Alerta",IF(VLOOKUP(BR72,Fundamentus!A:U,20,FALSE)&gt;2,"Alta","n/a"))))</f>
        <v>Alta</v>
      </c>
      <c r="FB72" s="10"/>
    </row>
    <row r="73" spans="1:158" s="2" customFormat="1" ht="11.25"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5">
        <v>0.89</v>
      </c>
      <c r="BC73" s="52">
        <v>0.94</v>
      </c>
      <c r="BD73" s="52">
        <v>0.85</v>
      </c>
      <c r="BE73" s="52">
        <v>0.85</v>
      </c>
      <c r="BF73" s="52">
        <v>1.3</v>
      </c>
      <c r="BG73" s="67">
        <v>1.1599999999999999</v>
      </c>
      <c r="BH73" s="52">
        <v>1.1200000000000001</v>
      </c>
      <c r="BI73" s="52">
        <v>0.91</v>
      </c>
      <c r="BJ73" s="52">
        <v>0.97</v>
      </c>
      <c r="BK73" s="52">
        <v>0.98</v>
      </c>
      <c r="BL73" s="52">
        <v>1.4</v>
      </c>
      <c r="BM73" s="52">
        <v>1.21</v>
      </c>
      <c r="BN73" s="52">
        <v>1.21</v>
      </c>
      <c r="BO73" s="52">
        <v>1.04</v>
      </c>
      <c r="BP73" s="52">
        <v>1.04</v>
      </c>
      <c r="BQ73" s="52" cm="1">
        <f t="array" aca="1" ref="BQ73" ca="1">_FV(EE73,"Preço")</f>
        <v>1.04</v>
      </c>
      <c r="BR73" s="69" t="s">
        <v>70</v>
      </c>
      <c r="BS73" s="36" cm="1">
        <f t="array" aca="1" ref="BS73" ca="1">_FV(EE73,"Média de volume",TRUE)</f>
        <v>36900</v>
      </c>
      <c r="BT73" s="36">
        <v>17700</v>
      </c>
      <c r="BU73" s="36" cm="1">
        <f t="array" aca="1" ref="BU73" ca="1">_FV(EE73,"Volume")</f>
        <v>17700</v>
      </c>
      <c r="BV73" s="24" cm="1">
        <f t="array" aca="1" ref="BV73" ca="1">_FV(EE73,"Beta")</f>
        <v>1.2155</v>
      </c>
      <c r="BW73" s="71" cm="1">
        <f t="array" aca="1" ref="BW73" ca="1">_FV(EE73,"Variação (%)",TRUE)</f>
        <v>0</v>
      </c>
      <c r="BY73" s="17" cm="1">
        <f t="array" aca="1" ref="BY73" ca="1">_FV(EE73,"Baixo")</f>
        <v>1.02</v>
      </c>
      <c r="BZ73" s="17" cm="1">
        <f t="array" aca="1" ref="BZ73" ca="1">_FV(EE73,"Alto")</f>
        <v>1.06</v>
      </c>
      <c r="CA73" s="24"/>
      <c r="CB73" s="63" t="e">
        <f ca="1">SQRT(22.5*(BQ73/VLOOKUP(BR73,Fundamentus!A:U,3,FALSE))*(BQ73/VLOOKUP(BR73,Fundamentus!A:U,4,FALSE)))</f>
        <v>#NUM!</v>
      </c>
      <c r="CD73" s="62">
        <f t="shared" ca="1" si="112"/>
        <v>0</v>
      </c>
      <c r="CE73" s="8"/>
      <c r="CF73" s="61">
        <f t="shared" si="113"/>
        <v>0.84</v>
      </c>
      <c r="CG73" s="61">
        <f t="shared" si="114"/>
        <v>1.4</v>
      </c>
      <c r="CH73" s="61">
        <f t="shared" si="115"/>
        <v>0.99051470588235258</v>
      </c>
      <c r="CI73" s="14"/>
      <c r="CJ73" s="35">
        <f t="shared" si="98"/>
        <v>0.65959519299785074</v>
      </c>
      <c r="CK73" s="15">
        <f t="shared" si="116"/>
        <v>0.95500000000004093</v>
      </c>
      <c r="CL73" s="35">
        <f t="shared" si="99"/>
        <v>1.2504048070022311</v>
      </c>
      <c r="CN73" s="14"/>
      <c r="CO73" s="17">
        <f t="shared" si="100"/>
        <v>0.22666666666666668</v>
      </c>
      <c r="CP73" s="17">
        <f t="shared" si="101"/>
        <v>0.53333333333333333</v>
      </c>
      <c r="CQ73" s="17">
        <f t="shared" si="102"/>
        <v>0.78666666666666663</v>
      </c>
      <c r="CR73" s="38">
        <f t="shared" si="117"/>
        <v>1.0933333333333333</v>
      </c>
      <c r="CS73" s="17">
        <f t="shared" si="103"/>
        <v>1.3466666666666667</v>
      </c>
      <c r="CT73" s="17">
        <f t="shared" si="104"/>
        <v>1.6533333333333333</v>
      </c>
      <c r="CU73" s="17">
        <f t="shared" si="105"/>
        <v>1.9066666666666665</v>
      </c>
      <c r="CV73" s="2" cm="1">
        <f t="array" aca="1" ref="CV73" ca="1">MAX(_xlfn._xlws.FILTER(CO73:CU73,CO73:CU73&lt;BQ73))</f>
        <v>0.78666666666666663</v>
      </c>
      <c r="CW73" s="2" cm="1">
        <f t="array" aca="1" ref="CW73" ca="1">MIN(_xlfn._xlws.FILTER($CO73:$CU73,$CO73:$CU73&gt;BQ73))</f>
        <v>1.0933333333333333</v>
      </c>
      <c r="CX73" s="16">
        <f t="shared" ca="1" si="80"/>
        <v>0.38983050847457634</v>
      </c>
      <c r="CY73" s="20">
        <f t="shared" ca="1" si="81"/>
        <v>-0.19491525423728817</v>
      </c>
      <c r="CZ73" s="20">
        <f t="shared" ca="1" si="82"/>
        <v>-0.12994350282485878</v>
      </c>
      <c r="DA73" s="20">
        <f t="shared" ca="1" si="83"/>
        <v>-7.7966101694915274E-2</v>
      </c>
      <c r="DB73" s="20">
        <f t="shared" ca="1" si="84"/>
        <v>-4.3314500941619594E-2</v>
      </c>
      <c r="DC73" s="20">
        <f t="shared" ca="1" si="85"/>
        <v>-2.2931206380857432E-2</v>
      </c>
      <c r="DD73" s="20">
        <f t="shared" ca="1" si="86"/>
        <v>-1.1813045711350799E-2</v>
      </c>
      <c r="DE73" s="20">
        <f t="shared" ca="1" si="87"/>
        <v>-5.9973924380704053E-3</v>
      </c>
      <c r="DF73" s="21">
        <f t="shared" ca="1" si="88"/>
        <v>5.9973924380704053E-3</v>
      </c>
      <c r="DG73" s="21">
        <f t="shared" ca="1" si="89"/>
        <v>1.1813045711350799E-2</v>
      </c>
      <c r="DH73" s="21">
        <f t="shared" ca="1" si="90"/>
        <v>2.2931206380857432E-2</v>
      </c>
      <c r="DI73" s="21">
        <f t="shared" ca="1" si="91"/>
        <v>4.3314500941619594E-2</v>
      </c>
      <c r="DJ73" s="21">
        <f t="shared" ca="1" si="92"/>
        <v>7.7966101694915274E-2</v>
      </c>
      <c r="DK73" s="21">
        <f t="shared" ca="1" si="93"/>
        <v>0.12994350282485878</v>
      </c>
      <c r="DL73" s="21">
        <f t="shared" ca="1" si="94"/>
        <v>0.19491525423728817</v>
      </c>
      <c r="DN73" s="16" cm="1">
        <f t="array" aca="1" ref="DN73" ca="1">MAX(_xlfn._xlws.FILTER(CY73:DL73,CY73:DL73&lt;BW73))</f>
        <v>-5.9973924380704053E-3</v>
      </c>
      <c r="DO73" s="16" cm="1">
        <f t="array" aca="1" ref="DO73" ca="1">MIN(_xlfn._xlws.FILTER(CY73:DL73,CY73:DL73&gt;BW73))</f>
        <v>5.9973924380704053E-3</v>
      </c>
      <c r="DP73" s="2" cm="1">
        <f t="array" aca="1" ref="DP73" ca="1">_FV(EE73,"Fechamento anterior",TRUE)</f>
        <v>1.04</v>
      </c>
      <c r="DQ73" s="28">
        <f t="shared" ca="1" si="106"/>
        <v>0.5</v>
      </c>
      <c r="DR73" s="15">
        <f t="shared" ca="1" si="95"/>
        <v>1.0337627118644068</v>
      </c>
      <c r="DS73" s="15">
        <f t="shared" ca="1" si="96"/>
        <v>1.0462372881355932</v>
      </c>
      <c r="DT73" s="9"/>
      <c r="DU73" s="9"/>
      <c r="DV73" s="9"/>
      <c r="DW73" s="89">
        <v>2.0383294560762162E-2</v>
      </c>
      <c r="DX73" s="89">
        <f t="shared" ca="1" si="107"/>
        <v>1.1994784876140811E-2</v>
      </c>
      <c r="DY73" s="72">
        <f t="shared" ca="1" si="108"/>
        <v>0.28774074756112178</v>
      </c>
      <c r="DZ73" s="37"/>
      <c r="EA73" s="35">
        <f t="shared" si="118"/>
        <v>0.14770240350109512</v>
      </c>
      <c r="EB73" s="56"/>
      <c r="EC73" s="56"/>
      <c r="EE73" s="2" t="e" vm="73">
        <v>#VALUE!</v>
      </c>
      <c r="EG73" s="10" cm="1">
        <f t="array" aca="1" ref="EG73" ca="1">_FV(EE73,"Ações em circulação",TRUE)</f>
        <v>124398500</v>
      </c>
      <c r="EH73" s="18">
        <f>VLOOKUP(BR73,Fundamentus!A:U,5,FALSE)</f>
        <v>1.609</v>
      </c>
      <c r="EI73" s="2">
        <f t="shared" ca="1" si="109"/>
        <v>80406737.103791177</v>
      </c>
      <c r="EJ73" s="17">
        <v>-30128404.392790552</v>
      </c>
      <c r="EK73" s="17">
        <f t="shared" ca="1" si="110"/>
        <v>-30128404.392790552</v>
      </c>
      <c r="EM73" s="16">
        <f t="shared" ca="1" si="97"/>
        <v>0</v>
      </c>
      <c r="EN73" s="32" t="str">
        <f>IF(VLOOKUP(BR73,Fundamentus!A:U,3,FALSE)&lt;15,"Bom",IF(VLOOKUP(BR73,Fundamentus!A:U,3,FALSE)&gt;15,"Ruim","n/a"))</f>
        <v>Bom</v>
      </c>
      <c r="EO73" s="28" t="str">
        <f>IF(VLOOKUP(BR73,Fundamentus!A:U,4,FALSE)&lt;1,"Baixo",IF(VLOOKUP(BR73,Fundamentus!A:U,4,FALSE)&lt;1.5,"Moderado",IF(VLOOKUP(BR73,Fundamentus!A:U,4,FALSE)&gt;1.5,"Alto","n/a")))</f>
        <v>Baixo</v>
      </c>
      <c r="EP73" s="17" t="str">
        <f>IF(VLOOKUP(BR73,Fundamentus!A:U,8,FALSE)&lt;0,"Risco elevado",IF(VLOOKUP(BR73,Fundamentus!A:U,8,FALSE)&lt;1,"Saudável",IF(VLOOKUP(BR73,Fundamentus!A:U,8,FALSE)&lt;3,"Estável",IF(VLOOKUP(BR73,Fundamentus!A:U,8,FALSE)&gt;3,"Alerta","n/a"))))</f>
        <v>Risco elevado</v>
      </c>
      <c r="EQ73" s="28" t="str">
        <f t="shared" si="111"/>
        <v>Bom</v>
      </c>
      <c r="ER73" s="17" t="str">
        <f>IF(VLOOKUP(BR73,Fundamentus!A:U,12,FALSE)&lt;2,"Subvalorizada",IF(VLOOKUP(BR73,Fundamentus!A:U,12,FALSE)&lt;6,"Muita barata",IF(VLOOKUP(BR73,Fundamentus!A:U,12,FALSE)&lt;6,"Barata",IF(VLOOKUP(BR73,Fundamentus!A:U,12,FALSE)&lt;8,"Atrativa",IF(VLOOKUP(BR73,Fundamentus!A:U,12,FALSE)&gt;8,"Supervalorizada","n/a")))))</f>
        <v>Supervalorizada</v>
      </c>
      <c r="ET73" s="17" t="str">
        <f>IF(VLOOKUP(BR73,Fundamentus!A:U,17,FALSE)&lt;0.1,"Fraco retorno",IF(VLOOKUP(BR73,Fundamentus!A:U,17,FALSE)&gt;0.1,"Bom retorno","n/a"))</f>
        <v>Fraco retorno</v>
      </c>
      <c r="EU73" s="17" t="str">
        <f>IF(VLOOKUP(BR73,Fundamentus!A:U,16,FALSE)&lt;0.1,"Ineficiente",IF(VLOOKUP(BR73,Fundamentus!A:U,16,FALSE)&gt;0.1,"Eficiente","n/a"))</f>
        <v>Ineficiente</v>
      </c>
      <c r="EV73" s="33" t="str">
        <f>IF(VLOOKUP(BR73,Fundamentus!A:U,16,FALSE)&lt;0.1,"Oper. Ineficiente",IF(VLOOKUP(BR73,Fundamentus!A:U,16,FALSE)&gt;0.1,"Oper.Eficiente","n/a"))</f>
        <v>Oper. Ineficiente</v>
      </c>
      <c r="EW73" s="34">
        <f>VLOOKUP(BR73,Fundamentus!A:U,14,FALSE)</f>
        <v>-0.37469999999999998</v>
      </c>
      <c r="EX73" s="17" t="str">
        <f>IF(VLOOKUP(BR73,Fundamentus!A:U,21,FALSE)&lt;0,"Negativo",IF(VLOOKUP(BR73,Fundamentus!A:U,21,FALSE)&lt;0.05,"Fraco",IF(VLOOKUP(BR73,Fundamentus!A:U,21,FALSE)&lt;0.1,"Bom",IF(VLOOKUP(BR73,Fundamentus!A:U,21,FALSE)&gt;0.1,"Muito bom","n/a"))))</f>
        <v>Muito bom</v>
      </c>
      <c r="EZ73" s="29" t="str">
        <f>IF(VLOOKUP(BR73,Fundamentus!A:U,15,FALSE)&gt;1,"Bom",IF(VLOOKUP(BR73,Fundamentus!A:U,15,FALSE)&lt;1,"Ruim","n/a"))</f>
        <v>Ruim</v>
      </c>
      <c r="FA73" s="17" t="str">
        <f>IF(VLOOKUP(BR73,Fundamentus!A:U,20,FALSE)&lt;0.5,"Baixa",IF(VLOOKUP(BR73,Fundamentus!A:U,20,FALSE)&lt;1,"Moderada",IF(VLOOKUP(BR73,Fundamentus!A:U,20,FALSE)&lt;2,"Alerta",IF(VLOOKUP(BR73,Fundamentus!A:U,20,FALSE)&gt;2,"Alta","n/a"))))</f>
        <v>Alerta</v>
      </c>
      <c r="FB73" s="10"/>
    </row>
    <row r="74" spans="1:158" s="2" customFormat="1" ht="11.25"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5">
        <v>2.21</v>
      </c>
      <c r="BC74" s="52">
        <v>2.2200000000000002</v>
      </c>
      <c r="BD74" s="52">
        <v>2.2400000000000002</v>
      </c>
      <c r="BE74" s="52">
        <v>2.37</v>
      </c>
      <c r="BF74" s="52">
        <v>2.54</v>
      </c>
      <c r="BG74" s="67">
        <v>2.31</v>
      </c>
      <c r="BH74" s="52">
        <v>2.29</v>
      </c>
      <c r="BI74" s="52">
        <v>2.35</v>
      </c>
      <c r="BJ74" s="52">
        <v>2.4900000000000002</v>
      </c>
      <c r="BK74" s="52">
        <v>2.37</v>
      </c>
      <c r="BL74" s="52">
        <v>2.39</v>
      </c>
      <c r="BM74" s="52">
        <v>2.42</v>
      </c>
      <c r="BN74" s="52">
        <v>2.35</v>
      </c>
      <c r="BO74" s="52">
        <v>2.29</v>
      </c>
      <c r="BP74" s="52">
        <v>2.0299999999999998</v>
      </c>
      <c r="BQ74" s="52" cm="1">
        <f t="array" aca="1" ref="BQ74" ca="1">_FV(EE74,"Preço")</f>
        <v>2.0299999999999998</v>
      </c>
      <c r="BR74" s="69" t="s">
        <v>71</v>
      </c>
      <c r="BS74" s="36" cm="1">
        <f t="array" aca="1" ref="BS74" ca="1">_FV(EE74,"Média de volume",TRUE)</f>
        <v>11804090</v>
      </c>
      <c r="BT74" s="36">
        <v>13487300</v>
      </c>
      <c r="BU74" s="36" cm="1">
        <f t="array" aca="1" ref="BU74" ca="1">_FV(EE74,"Volume")</f>
        <v>13487300</v>
      </c>
      <c r="BV74" s="24" cm="1">
        <f t="array" aca="1" ref="BV74" ca="1">_FV(EE74,"Beta")</f>
        <v>2.4438</v>
      </c>
      <c r="BW74" s="71" cm="1">
        <f t="array" aca="1" ref="BW74" ca="1">_FV(EE74,"Variação (%)",TRUE)</f>
        <v>4.9499999999999995E-3</v>
      </c>
      <c r="BY74" s="17" cm="1">
        <f t="array" aca="1" ref="BY74" ca="1">_FV(EE74,"Baixo")</f>
        <v>1.98</v>
      </c>
      <c r="BZ74" s="17" cm="1">
        <f t="array" aca="1" ref="BZ74" ca="1">_FV(EE74,"Alto")</f>
        <v>2.0499999999999998</v>
      </c>
      <c r="CA74" s="24"/>
      <c r="CB74" s="63" t="e">
        <f ca="1">SQRT(22.5*(BQ74/VLOOKUP(BR74,Fundamentus!A:U,3,FALSE))*(BQ74/VLOOKUP(BR74,Fundamentus!A:U,4,FALSE)))</f>
        <v>#NUM!</v>
      </c>
      <c r="CD74" s="62">
        <f t="shared" ca="1" si="112"/>
        <v>0</v>
      </c>
      <c r="CE74" s="8"/>
      <c r="CF74" s="61">
        <f t="shared" si="113"/>
        <v>1.4</v>
      </c>
      <c r="CG74" s="61">
        <f t="shared" si="114"/>
        <v>2.54</v>
      </c>
      <c r="CH74" s="61">
        <f t="shared" si="115"/>
        <v>2.0535294117647052</v>
      </c>
      <c r="CI74" s="14"/>
      <c r="CJ74" s="35">
        <f t="shared" si="98"/>
        <v>1.8777303030829462</v>
      </c>
      <c r="CK74" s="15">
        <f t="shared" si="116"/>
        <v>1.9650000000000318</v>
      </c>
      <c r="CL74" s="35">
        <f t="shared" si="99"/>
        <v>2.0522696969171177</v>
      </c>
      <c r="CN74" s="14"/>
      <c r="CO74" s="17">
        <f t="shared" si="100"/>
        <v>0.29999999999999982</v>
      </c>
      <c r="CP74" s="17">
        <f t="shared" si="101"/>
        <v>0.84999999999999987</v>
      </c>
      <c r="CQ74" s="17">
        <f t="shared" si="102"/>
        <v>1.44</v>
      </c>
      <c r="CR74" s="38">
        <f t="shared" si="117"/>
        <v>1.99</v>
      </c>
      <c r="CS74" s="17">
        <f t="shared" si="103"/>
        <v>2.58</v>
      </c>
      <c r="CT74" s="17">
        <f t="shared" si="104"/>
        <v>3.13</v>
      </c>
      <c r="CU74" s="17">
        <f t="shared" si="105"/>
        <v>3.72</v>
      </c>
      <c r="CV74" s="2" cm="1">
        <f t="array" aca="1" ref="CV74" ca="1">MAX(_xlfn._xlws.FILTER(CO74:CU74,CO74:CU74&lt;BQ74))</f>
        <v>1.99</v>
      </c>
      <c r="CW74" s="2" cm="1">
        <f t="array" aca="1" ref="CW74" ca="1">MIN(_xlfn._xlws.FILTER($CO74:$CU74,$CO74:$CU74&gt;BQ74))</f>
        <v>2.58</v>
      </c>
      <c r="CX74" s="16">
        <f t="shared" ca="1" si="80"/>
        <v>0.29648241206030157</v>
      </c>
      <c r="CY74" s="20">
        <f t="shared" ca="1" si="81"/>
        <v>-0.14824120603015079</v>
      </c>
      <c r="CZ74" s="20">
        <f t="shared" ca="1" si="82"/>
        <v>-9.8827470686767185E-2</v>
      </c>
      <c r="DA74" s="20">
        <f t="shared" ca="1" si="83"/>
        <v>-5.9296482412060314E-2</v>
      </c>
      <c r="DB74" s="20">
        <f t="shared" ca="1" si="84"/>
        <v>-3.29424902289224E-2</v>
      </c>
      <c r="DC74" s="20">
        <f t="shared" ca="1" si="85"/>
        <v>-1.7440141885900092E-2</v>
      </c>
      <c r="DD74" s="20">
        <f t="shared" ca="1" si="86"/>
        <v>-8.9843155169788361E-3</v>
      </c>
      <c r="DE74" s="20">
        <f t="shared" ca="1" si="87"/>
        <v>-4.5612678778507937E-3</v>
      </c>
      <c r="DF74" s="21">
        <f t="shared" ca="1" si="88"/>
        <v>4.5612678778507937E-3</v>
      </c>
      <c r="DG74" s="21">
        <f t="shared" ca="1" si="89"/>
        <v>8.9843155169788361E-3</v>
      </c>
      <c r="DH74" s="21">
        <f t="shared" ca="1" si="90"/>
        <v>1.7440141885900092E-2</v>
      </c>
      <c r="DI74" s="21">
        <f t="shared" ca="1" si="91"/>
        <v>3.29424902289224E-2</v>
      </c>
      <c r="DJ74" s="21">
        <f t="shared" ca="1" si="92"/>
        <v>5.9296482412060314E-2</v>
      </c>
      <c r="DK74" s="21">
        <f t="shared" ca="1" si="93"/>
        <v>9.8827470686767185E-2</v>
      </c>
      <c r="DL74" s="21">
        <f t="shared" ca="1" si="94"/>
        <v>0.14824120603015079</v>
      </c>
      <c r="DN74" s="16" cm="1">
        <f t="array" aca="1" ref="DN74" ca="1">MAX(_xlfn._xlws.FILTER(CY74:DL74,CY74:DL74&lt;BW74))</f>
        <v>4.5612678778507937E-3</v>
      </c>
      <c r="DO74" s="16" cm="1">
        <f t="array" aca="1" ref="DO74" ca="1">MIN(_xlfn._xlws.FILTER(CY74:DL74,CY74:DL74&gt;BW74))</f>
        <v>8.9843155169788361E-3</v>
      </c>
      <c r="DP74" s="2" cm="1">
        <f t="array" aca="1" ref="DP74" ca="1">_FV(EE74,"Fechamento anterior",TRUE)</f>
        <v>2.02</v>
      </c>
      <c r="DQ74" s="28">
        <f t="shared" ca="1" si="106"/>
        <v>8.7999769256568619E-2</v>
      </c>
      <c r="DR74" s="15">
        <f t="shared" ca="1" si="95"/>
        <v>2.0292137611132586</v>
      </c>
      <c r="DS74" s="15">
        <f t="shared" ca="1" si="96"/>
        <v>2.0381483173442971</v>
      </c>
      <c r="DT74" s="9"/>
      <c r="DU74" s="9"/>
      <c r="DV74" s="9"/>
      <c r="DW74" s="89">
        <v>1.7037526621135349E-2</v>
      </c>
      <c r="DX74" s="89">
        <f t="shared" ca="1" si="107"/>
        <v>4.4230476391280424E-3</v>
      </c>
      <c r="DY74" s="72">
        <f t="shared" ca="1" si="108"/>
        <v>0.74481752883505536</v>
      </c>
      <c r="DZ74" s="37"/>
      <c r="EA74" s="35">
        <f t="shared" si="118"/>
        <v>4.3634848458542839E-2</v>
      </c>
      <c r="EB74" s="56"/>
      <c r="EC74" s="56"/>
      <c r="EE74" s="2" t="e" vm="74">
        <v>#VALUE!</v>
      </c>
      <c r="EG74" s="10" cm="1">
        <f t="array" aca="1" ref="EG74" ca="1">_FV(EE74,"Ações em circulação",TRUE)</f>
        <v>525591100</v>
      </c>
      <c r="EH74" s="18">
        <f>VLOOKUP(BR74,Fundamentus!A:U,5,FALSE)</f>
        <v>0.88500000000000001</v>
      </c>
      <c r="EI74" s="2">
        <f t="shared" ca="1" si="109"/>
        <v>1205593144.6327682</v>
      </c>
      <c r="EJ74" s="17">
        <v>-63775877.351073436</v>
      </c>
      <c r="EK74" s="17">
        <f t="shared" ca="1" si="110"/>
        <v>-63775877.351073436</v>
      </c>
      <c r="EM74" s="16">
        <f t="shared" ca="1" si="97"/>
        <v>0</v>
      </c>
      <c r="EN74" s="32" t="str">
        <f>IF(VLOOKUP(BR74,Fundamentus!A:U,3,FALSE)&lt;15,"Bom",IF(VLOOKUP(BR74,Fundamentus!A:U,3,FALSE)&gt;15,"Ruim","n/a"))</f>
        <v>Bom</v>
      </c>
      <c r="EO74" s="28" t="str">
        <f>IF(VLOOKUP(BR74,Fundamentus!A:U,4,FALSE)&lt;1,"Baixo",IF(VLOOKUP(BR74,Fundamentus!A:U,4,FALSE)&lt;1.5,"Moderado",IF(VLOOKUP(BR74,Fundamentus!A:U,4,FALSE)&gt;1.5,"Alto","n/a")))</f>
        <v>Alto</v>
      </c>
      <c r="EP74" s="17" t="str">
        <f>IF(VLOOKUP(BR74,Fundamentus!A:U,8,FALSE)&lt;0,"Risco elevado",IF(VLOOKUP(BR74,Fundamentus!A:U,8,FALSE)&lt;1,"Saudável",IF(VLOOKUP(BR74,Fundamentus!A:U,8,FALSE)&lt;3,"Estável",IF(VLOOKUP(BR74,Fundamentus!A:U,8,FALSE)&gt;3,"Alerta","n/a"))))</f>
        <v>Risco elevado</v>
      </c>
      <c r="EQ74" s="28" t="str">
        <f t="shared" si="111"/>
        <v>Ruim</v>
      </c>
      <c r="ER74" s="17" t="str">
        <f>IF(VLOOKUP(BR74,Fundamentus!A:U,12,FALSE)&lt;2,"Subvalorizada",IF(VLOOKUP(BR74,Fundamentus!A:U,12,FALSE)&lt;6,"Muita barata",IF(VLOOKUP(BR74,Fundamentus!A:U,12,FALSE)&lt;6,"Barata",IF(VLOOKUP(BR74,Fundamentus!A:U,12,FALSE)&lt;8,"Atrativa",IF(VLOOKUP(BR74,Fundamentus!A:U,12,FALSE)&gt;8,"Supervalorizada","n/a")))))</f>
        <v>Muita barata</v>
      </c>
      <c r="ET74" s="17" t="str">
        <f>IF(VLOOKUP(BR74,Fundamentus!A:U,17,FALSE)&lt;0.1,"Fraco retorno",IF(VLOOKUP(BR74,Fundamentus!A:U,17,FALSE)&gt;0.1,"Bom retorno","n/a"))</f>
        <v>Fraco retorno</v>
      </c>
      <c r="EU74" s="17" t="str">
        <f>IF(VLOOKUP(BR74,Fundamentus!A:U,16,FALSE)&lt;0.1,"Ineficiente",IF(VLOOKUP(BR74,Fundamentus!A:U,16,FALSE)&gt;0.1,"Eficiente","n/a"))</f>
        <v>Ineficiente</v>
      </c>
      <c r="EV74" s="33" t="str">
        <f>IF(VLOOKUP(BR74,Fundamentus!A:U,16,FALSE)&lt;0.1,"Oper. Ineficiente",IF(VLOOKUP(BR74,Fundamentus!A:U,16,FALSE)&gt;0.1,"Oper.Eficiente","n/a"))</f>
        <v>Oper. Ineficiente</v>
      </c>
      <c r="EW74" s="34">
        <f>VLOOKUP(BR74,Fundamentus!A:U,14,FALSE)</f>
        <v>-5.2900000000000003E-2</v>
      </c>
      <c r="EX74" s="17" t="str">
        <f>IF(VLOOKUP(BR74,Fundamentus!A:U,21,FALSE)&lt;0,"Negativo",IF(VLOOKUP(BR74,Fundamentus!A:U,21,FALSE)&lt;0.05,"Fraco",IF(VLOOKUP(BR74,Fundamentus!A:U,21,FALSE)&lt;0.1,"Bom",IF(VLOOKUP(BR74,Fundamentus!A:U,21,FALSE)&gt;0.1,"Muito bom","n/a"))))</f>
        <v>Muito bom</v>
      </c>
      <c r="EZ74" s="29" t="str">
        <f>IF(VLOOKUP(BR74,Fundamentus!A:U,15,FALSE)&gt;1,"Bom",IF(VLOOKUP(BR74,Fundamentus!A:U,15,FALSE)&lt;1,"Ruim","n/a"))</f>
        <v>Ruim</v>
      </c>
      <c r="FA74" s="17" t="str">
        <f>IF(VLOOKUP(BR74,Fundamentus!A:U,20,FALSE)&lt;0.5,"Baixa",IF(VLOOKUP(BR74,Fundamentus!A:U,20,FALSE)&lt;1,"Moderada",IF(VLOOKUP(BR74,Fundamentus!A:U,20,FALSE)&lt;2,"Alerta",IF(VLOOKUP(BR74,Fundamentus!A:U,20,FALSE)&gt;2,"Alta","n/a"))))</f>
        <v>Alerta</v>
      </c>
      <c r="FB74" s="10"/>
    </row>
    <row r="75" spans="1:158" s="2" customFormat="1" ht="11.25"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5">
        <v>48.03</v>
      </c>
      <c r="BC75" s="52">
        <v>51.8</v>
      </c>
      <c r="BD75" s="52">
        <v>51.55</v>
      </c>
      <c r="BE75" s="52">
        <v>51.91</v>
      </c>
      <c r="BF75" s="52">
        <v>53.21</v>
      </c>
      <c r="BG75" s="67">
        <v>51.72</v>
      </c>
      <c r="BH75" s="52">
        <v>52.5</v>
      </c>
      <c r="BI75" s="52">
        <v>53.51</v>
      </c>
      <c r="BJ75" s="52">
        <v>53.6</v>
      </c>
      <c r="BK75" s="52">
        <v>51.22</v>
      </c>
      <c r="BL75" s="52">
        <v>49</v>
      </c>
      <c r="BM75" s="52">
        <v>48.27</v>
      </c>
      <c r="BN75" s="52">
        <v>47.93</v>
      </c>
      <c r="BO75" s="52">
        <v>48.3</v>
      </c>
      <c r="BP75" s="52">
        <v>51.89</v>
      </c>
      <c r="BQ75" s="52" cm="1">
        <f t="array" aca="1" ref="BQ75" ca="1">_FV(EE75,"Preço")</f>
        <v>51.89</v>
      </c>
      <c r="BR75" s="69" t="s">
        <v>72</v>
      </c>
      <c r="BS75" s="36" cm="1">
        <f t="array" aca="1" ref="BS75" ca="1">_FV(EE75,"Média de volume",TRUE)</f>
        <v>325190</v>
      </c>
      <c r="BT75" s="36">
        <v>1186900</v>
      </c>
      <c r="BU75" s="36" cm="1">
        <f t="array" aca="1" ref="BU75" ca="1">_FV(EE75,"Volume")</f>
        <v>1186900</v>
      </c>
      <c r="BV75" s="24" cm="1">
        <f t="array" aca="1" ref="BV75" ca="1">_FV(EE75,"Beta")</f>
        <v>0.92500000000000004</v>
      </c>
      <c r="BW75" s="71" cm="1">
        <f t="array" aca="1" ref="BW75" ca="1">_FV(EE75,"Variação (%)",TRUE)</f>
        <v>6.3537999999999997E-2</v>
      </c>
      <c r="BY75" s="17" cm="1">
        <f t="array" aca="1" ref="BY75" ca="1">_FV(EE75,"Baixo")</f>
        <v>49</v>
      </c>
      <c r="BZ75" s="17" cm="1">
        <f t="array" aca="1" ref="BZ75" ca="1">_FV(EE75,"Alto")</f>
        <v>51.92</v>
      </c>
      <c r="CA75" s="24"/>
      <c r="CB75" s="63">
        <f ca="1">SQRT(22.5*(BQ75/VLOOKUP(BR75,Fundamentus!A:U,3,FALSE))*(BQ75/VLOOKUP(BR75,Fundamentus!A:U,4,FALSE)))</f>
        <v>7.9440953449961755</v>
      </c>
      <c r="CD75" s="62">
        <f t="shared" ca="1" si="112"/>
        <v>0</v>
      </c>
      <c r="CE75" s="8"/>
      <c r="CF75" s="61">
        <f t="shared" si="113"/>
        <v>36.76</v>
      </c>
      <c r="CG75" s="61">
        <f t="shared" si="114"/>
        <v>53.6</v>
      </c>
      <c r="CH75" s="61">
        <f t="shared" si="115"/>
        <v>44.574044117647055</v>
      </c>
      <c r="CI75" s="14"/>
      <c r="CJ75" s="35">
        <f t="shared" si="98"/>
        <v>49.524996638657584</v>
      </c>
      <c r="CK75" s="15">
        <f t="shared" si="116"/>
        <v>51.904999999999745</v>
      </c>
      <c r="CL75" s="35">
        <f t="shared" si="99"/>
        <v>54.285003361341907</v>
      </c>
      <c r="CN75" s="14"/>
      <c r="CO75" s="17">
        <f t="shared" si="100"/>
        <v>24.393333333333324</v>
      </c>
      <c r="CP75" s="17">
        <f t="shared" si="101"/>
        <v>30.576666666666661</v>
      </c>
      <c r="CQ75" s="17">
        <f t="shared" si="102"/>
        <v>41.233333333333327</v>
      </c>
      <c r="CR75" s="38">
        <f t="shared" si="117"/>
        <v>47.416666666666664</v>
      </c>
      <c r="CS75" s="17">
        <f t="shared" si="103"/>
        <v>58.073333333333331</v>
      </c>
      <c r="CT75" s="17">
        <f t="shared" si="104"/>
        <v>64.256666666666661</v>
      </c>
      <c r="CU75" s="17">
        <f t="shared" si="105"/>
        <v>74.913333333333327</v>
      </c>
      <c r="CV75" s="2" cm="1">
        <f t="array" aca="1" ref="CV75" ca="1">MAX(_xlfn._xlws.FILTER(CO75:CU75,CO75:CU75&lt;BQ75))</f>
        <v>47.416666666666664</v>
      </c>
      <c r="CW75" s="2" cm="1">
        <f t="array" aca="1" ref="CW75" ca="1">MIN(_xlfn._xlws.FILTER($CO75:$CU75,$CO75:$CU75&gt;BQ75))</f>
        <v>58.073333333333331</v>
      </c>
      <c r="CX75" s="16">
        <f t="shared" ca="1" si="80"/>
        <v>0.22474516695957814</v>
      </c>
      <c r="CY75" s="20">
        <f t="shared" ca="1" si="81"/>
        <v>-0.11237258347978907</v>
      </c>
      <c r="CZ75" s="20">
        <f t="shared" ca="1" si="82"/>
        <v>-7.4915055653192716E-2</v>
      </c>
      <c r="DA75" s="20">
        <f t="shared" ca="1" si="83"/>
        <v>-4.4949033391915624E-2</v>
      </c>
      <c r="DB75" s="20">
        <f t="shared" ca="1" si="84"/>
        <v>-2.4971685217730903E-2</v>
      </c>
      <c r="DC75" s="20">
        <f t="shared" ca="1" si="85"/>
        <v>-1.3220303938798713E-2</v>
      </c>
      <c r="DD75" s="20">
        <f t="shared" ca="1" si="86"/>
        <v>-6.8104596048357011E-3</v>
      </c>
      <c r="DE75" s="20">
        <f t="shared" ca="1" si="87"/>
        <v>-3.4576179532242791E-3</v>
      </c>
      <c r="DF75" s="21">
        <f t="shared" ca="1" si="88"/>
        <v>3.4576179532242791E-3</v>
      </c>
      <c r="DG75" s="21">
        <f t="shared" ca="1" si="89"/>
        <v>6.8104596048357011E-3</v>
      </c>
      <c r="DH75" s="21">
        <f t="shared" ca="1" si="90"/>
        <v>1.3220303938798713E-2</v>
      </c>
      <c r="DI75" s="21">
        <f t="shared" ca="1" si="91"/>
        <v>2.4971685217730903E-2</v>
      </c>
      <c r="DJ75" s="21">
        <f t="shared" ca="1" si="92"/>
        <v>4.4949033391915624E-2</v>
      </c>
      <c r="DK75" s="21">
        <f t="shared" ca="1" si="93"/>
        <v>7.4915055653192716E-2</v>
      </c>
      <c r="DL75" s="21">
        <f t="shared" ca="1" si="94"/>
        <v>0.11237258347978907</v>
      </c>
      <c r="DN75" s="16" cm="1">
        <f t="array" aca="1" ref="DN75" ca="1">MAX(_xlfn._xlws.FILTER(CY75:DL75,CY75:DL75&lt;BW75))</f>
        <v>4.4949033391915624E-2</v>
      </c>
      <c r="DO75" s="16" cm="1">
        <f t="array" aca="1" ref="DO75" ca="1">MIN(_xlfn._xlws.FILTER(CY75:DL75,CY75:DL75&gt;BW75))</f>
        <v>7.4915055653192716E-2</v>
      </c>
      <c r="DP75" s="2" cm="1">
        <f t="array" aca="1" ref="DP75" ca="1">_FV(EE75,"Fechamento anterior",TRUE)</f>
        <v>48.79</v>
      </c>
      <c r="DQ75" s="28">
        <f t="shared" ca="1" si="106"/>
        <v>0.62032179686800437</v>
      </c>
      <c r="DR75" s="15">
        <f t="shared" ca="1" si="95"/>
        <v>50.98306333919156</v>
      </c>
      <c r="DS75" s="15">
        <f t="shared" ca="1" si="96"/>
        <v>52.445105565319274</v>
      </c>
      <c r="DT75" s="9"/>
      <c r="DU75" s="9"/>
      <c r="DV75" s="9"/>
      <c r="DW75" s="89">
        <v>6.2976400492627226E-3</v>
      </c>
      <c r="DX75" s="89">
        <f t="shared" ca="1" si="107"/>
        <v>2.9966022261277092E-2</v>
      </c>
      <c r="DY75" s="72">
        <f t="shared" ca="1" si="108"/>
        <v>-6.3025121070777743E-3</v>
      </c>
      <c r="DZ75" s="37"/>
      <c r="EA75" s="35">
        <f t="shared" si="118"/>
        <v>1.1900016806710816</v>
      </c>
      <c r="EB75" s="56"/>
      <c r="EC75" s="56"/>
      <c r="EE75" s="2" t="e" vm="75">
        <v>#VALUE!</v>
      </c>
      <c r="EG75" s="10" cm="1">
        <f t="array" aca="1" ref="EG75" ca="1">_FV(EE75,"Ações em circulação",TRUE)</f>
        <v>96126870</v>
      </c>
      <c r="EH75" s="18">
        <f>VLOOKUP(BR75,Fundamentus!A:U,5,FALSE)</f>
        <v>4.9589999999999996</v>
      </c>
      <c r="EI75" s="2">
        <f t="shared" ca="1" si="109"/>
        <v>1005852648.5783426</v>
      </c>
      <c r="EJ75" s="17">
        <v>43855175.478015736</v>
      </c>
      <c r="EK75" s="17">
        <f t="shared" ca="1" si="110"/>
        <v>43855175.478015736</v>
      </c>
      <c r="EM75" s="16">
        <f t="shared" ca="1" si="97"/>
        <v>0</v>
      </c>
      <c r="EN75" s="32" t="str">
        <f>IF(VLOOKUP(BR75,Fundamentus!A:U,3,FALSE)&lt;15,"Bom",IF(VLOOKUP(BR75,Fundamentus!A:U,3,FALSE)&gt;15,"Ruim","n/a"))</f>
        <v>Ruim</v>
      </c>
      <c r="EO75" s="28" t="str">
        <f>IF(VLOOKUP(BR75,Fundamentus!A:U,4,FALSE)&lt;1,"Baixo",IF(VLOOKUP(BR75,Fundamentus!A:U,4,FALSE)&lt;1.5,"Moderado",IF(VLOOKUP(BR75,Fundamentus!A:U,4,FALSE)&gt;1.5,"Alto","n/a")))</f>
        <v>Alto</v>
      </c>
      <c r="EP75" s="17" t="str">
        <f>IF(VLOOKUP(BR75,Fundamentus!A:U,8,FALSE)&lt;0,"Risco elevado",IF(VLOOKUP(BR75,Fundamentus!A:U,8,FALSE)&lt;1,"Saudável",IF(VLOOKUP(BR75,Fundamentus!A:U,8,FALSE)&lt;3,"Estável",IF(VLOOKUP(BR75,Fundamentus!A:U,8,FALSE)&gt;3,"Alerta","n/a"))))</f>
        <v>Alerta</v>
      </c>
      <c r="EQ75" s="28" t="str">
        <f t="shared" si="111"/>
        <v>Bom</v>
      </c>
      <c r="ER75" s="17" t="str">
        <f>IF(VLOOKUP(BR75,Fundamentus!A:U,12,FALSE)&lt;2,"Subvalorizada",IF(VLOOKUP(BR75,Fundamentus!A:U,12,FALSE)&lt;6,"Muita barata",IF(VLOOKUP(BR75,Fundamentus!A:U,12,FALSE)&lt;6,"Barata",IF(VLOOKUP(BR75,Fundamentus!A:U,12,FALSE)&lt;8,"Atrativa",IF(VLOOKUP(BR75,Fundamentus!A:U,12,FALSE)&gt;8,"Supervalorizada","n/a")))))</f>
        <v>Supervalorizada</v>
      </c>
      <c r="ET75" s="17" t="str">
        <f>IF(VLOOKUP(BR75,Fundamentus!A:U,17,FALSE)&lt;0.1,"Fraco retorno",IF(VLOOKUP(BR75,Fundamentus!A:U,17,FALSE)&gt;0.1,"Bom retorno","n/a"))</f>
        <v>Fraco retorno</v>
      </c>
      <c r="EU75" s="17" t="str">
        <f>IF(VLOOKUP(BR75,Fundamentus!A:U,16,FALSE)&lt;0.1,"Ineficiente",IF(VLOOKUP(BR75,Fundamentus!A:U,16,FALSE)&gt;0.1,"Eficiente","n/a"))</f>
        <v>Ineficiente</v>
      </c>
      <c r="EV75" s="33" t="str">
        <f>IF(VLOOKUP(BR75,Fundamentus!A:U,16,FALSE)&lt;0.1,"Oper. Ineficiente",IF(VLOOKUP(BR75,Fundamentus!A:U,16,FALSE)&gt;0.1,"Oper.Eficiente","n/a"))</f>
        <v>Oper. Ineficiente</v>
      </c>
      <c r="EW75" s="34">
        <f>VLOOKUP(BR75,Fundamentus!A:U,14,FALSE)</f>
        <v>4.36E-2</v>
      </c>
      <c r="EX75" s="17" t="str">
        <f>IF(VLOOKUP(BR75,Fundamentus!A:U,21,FALSE)&lt;0,"Negativo",IF(VLOOKUP(BR75,Fundamentus!A:U,21,FALSE)&lt;0.05,"Fraco",IF(VLOOKUP(BR75,Fundamentus!A:U,21,FALSE)&lt;0.1,"Bom",IF(VLOOKUP(BR75,Fundamentus!A:U,21,FALSE)&gt;0.1,"Muito bom","n/a"))))</f>
        <v>Muito bom</v>
      </c>
      <c r="EZ75" s="29" t="str">
        <f>IF(VLOOKUP(BR75,Fundamentus!A:U,15,FALSE)&gt;1,"Bom",IF(VLOOKUP(BR75,Fundamentus!A:U,15,FALSE)&lt;1,"Ruim","n/a"))</f>
        <v>Bom</v>
      </c>
      <c r="FA75" s="17" t="str">
        <f>IF(VLOOKUP(BR75,Fundamentus!A:U,20,FALSE)&lt;0.5,"Baixa",IF(VLOOKUP(BR75,Fundamentus!A:U,20,FALSE)&lt;1,"Moderada",IF(VLOOKUP(BR75,Fundamentus!A:U,20,FALSE)&lt;2,"Alerta",IF(VLOOKUP(BR75,Fundamentus!A:U,20,FALSE)&gt;2,"Alta","n/a"))))</f>
        <v>Alta</v>
      </c>
      <c r="FB75" s="10"/>
    </row>
    <row r="76" spans="1:158" s="2" customFormat="1" ht="11.25"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5">
        <v>47.32</v>
      </c>
      <c r="BC76" s="52">
        <v>46.76</v>
      </c>
      <c r="BD76" s="52">
        <v>46.45</v>
      </c>
      <c r="BE76" s="52">
        <v>49.16</v>
      </c>
      <c r="BF76" s="52">
        <v>50.79</v>
      </c>
      <c r="BG76" s="67">
        <v>47.05</v>
      </c>
      <c r="BH76" s="52">
        <v>47.32</v>
      </c>
      <c r="BI76" s="52">
        <v>44.28</v>
      </c>
      <c r="BJ76" s="52">
        <v>46.6</v>
      </c>
      <c r="BK76" s="52">
        <v>44.36</v>
      </c>
      <c r="BL76" s="52">
        <v>44.2</v>
      </c>
      <c r="BM76" s="52">
        <v>44.6</v>
      </c>
      <c r="BN76" s="52">
        <v>44.32</v>
      </c>
      <c r="BO76" s="52">
        <v>46.38</v>
      </c>
      <c r="BP76" s="52">
        <v>47.03</v>
      </c>
      <c r="BQ76" s="52" cm="1">
        <f t="array" aca="1" ref="BQ76" ca="1">_FV(EE76,"Preço")</f>
        <v>47.03</v>
      </c>
      <c r="BR76" s="69" t="s">
        <v>73</v>
      </c>
      <c r="BS76" s="36" cm="1">
        <f t="array" aca="1" ref="BS76" ca="1">_FV(EE76,"Média de volume",TRUE)</f>
        <v>681550</v>
      </c>
      <c r="BT76" s="36">
        <v>2457000</v>
      </c>
      <c r="BU76" s="36" cm="1">
        <f t="array" aca="1" ref="BU76" ca="1">_FV(EE76,"Volume")</f>
        <v>2457000</v>
      </c>
      <c r="BV76" s="24" cm="1">
        <f t="array" aca="1" ref="BV76" ca="1">_FV(EE76,"Beta")</f>
        <v>1.413</v>
      </c>
      <c r="BW76" s="71" cm="1">
        <f t="array" aca="1" ref="BW76" ca="1">_FV(EE76,"Variação (%)",TRUE)</f>
        <v>1.3359000000000001E-2</v>
      </c>
      <c r="BY76" s="17" cm="1">
        <f t="array" aca="1" ref="BY76" ca="1">_FV(EE76,"Baixo")</f>
        <v>45.91</v>
      </c>
      <c r="BZ76" s="17" cm="1">
        <f t="array" aca="1" ref="BZ76" ca="1">_FV(EE76,"Alto")</f>
        <v>49.5</v>
      </c>
      <c r="CA76" s="24"/>
      <c r="CB76" s="63" t="e">
        <f ca="1">SQRT(22.5*(BQ76/VLOOKUP(BR76,Fundamentus!A:U,3,FALSE))*(BQ76/VLOOKUP(BR76,Fundamentus!A:U,4,FALSE)))</f>
        <v>#NUM!</v>
      </c>
      <c r="CD76" s="62">
        <f t="shared" ca="1" si="112"/>
        <v>0</v>
      </c>
      <c r="CE76" s="8"/>
      <c r="CF76" s="61">
        <f t="shared" si="113"/>
        <v>28.65</v>
      </c>
      <c r="CG76" s="61">
        <f t="shared" si="114"/>
        <v>57.08</v>
      </c>
      <c r="CH76" s="61">
        <f t="shared" si="115"/>
        <v>43.247132352941193</v>
      </c>
      <c r="CI76" s="14"/>
      <c r="CJ76" s="35">
        <f t="shared" si="98"/>
        <v>46.291140276145057</v>
      </c>
      <c r="CK76" s="15">
        <f t="shared" si="116"/>
        <v>47.920000000000982</v>
      </c>
      <c r="CL76" s="35">
        <f t="shared" si="99"/>
        <v>49.548859723856907</v>
      </c>
      <c r="CN76" s="14"/>
      <c r="CO76" s="17">
        <f t="shared" si="100"/>
        <v>2.9966666666666626</v>
      </c>
      <c r="CP76" s="17">
        <f t="shared" si="101"/>
        <v>15.823333333333331</v>
      </c>
      <c r="CQ76" s="17">
        <f t="shared" si="102"/>
        <v>31.426666666666662</v>
      </c>
      <c r="CR76" s="38">
        <f t="shared" si="117"/>
        <v>44.25333333333333</v>
      </c>
      <c r="CS76" s="17">
        <f t="shared" si="103"/>
        <v>59.856666666666662</v>
      </c>
      <c r="CT76" s="17">
        <f t="shared" si="104"/>
        <v>72.683333333333337</v>
      </c>
      <c r="CU76" s="17">
        <f t="shared" si="105"/>
        <v>88.286666666666662</v>
      </c>
      <c r="CV76" s="2" cm="1">
        <f t="array" aca="1" ref="CV76" ca="1">MAX(_xlfn._xlws.FILTER(CO76:CU76,CO76:CU76&lt;BQ76))</f>
        <v>44.25333333333333</v>
      </c>
      <c r="CW76" s="2" cm="1">
        <f t="array" aca="1" ref="CW76" ca="1">MIN(_xlfn._xlws.FILTER($CO76:$CU76,$CO76:$CU76&gt;BQ76))</f>
        <v>59.856666666666662</v>
      </c>
      <c r="CX76" s="16">
        <f t="shared" ca="1" si="80"/>
        <v>0.3525911419102139</v>
      </c>
      <c r="CY76" s="20">
        <f t="shared" ca="1" si="81"/>
        <v>-0.17629557095510695</v>
      </c>
      <c r="CZ76" s="20">
        <f t="shared" ca="1" si="82"/>
        <v>-0.11753038063673797</v>
      </c>
      <c r="DA76" s="20">
        <f t="shared" ca="1" si="83"/>
        <v>-7.0518228382042775E-2</v>
      </c>
      <c r="DB76" s="20">
        <f t="shared" ca="1" si="84"/>
        <v>-3.9176793545579319E-2</v>
      </c>
      <c r="DC76" s="20">
        <f t="shared" ca="1" si="85"/>
        <v>-2.074065540648317E-2</v>
      </c>
      <c r="DD76" s="20">
        <f t="shared" ca="1" si="86"/>
        <v>-1.068458005788527E-2</v>
      </c>
      <c r="DE76" s="20">
        <f t="shared" ca="1" si="87"/>
        <v>-5.4244791063109829E-3</v>
      </c>
      <c r="DF76" s="21">
        <f t="shared" ca="1" si="88"/>
        <v>5.4244791063109829E-3</v>
      </c>
      <c r="DG76" s="21">
        <f t="shared" ca="1" si="89"/>
        <v>1.068458005788527E-2</v>
      </c>
      <c r="DH76" s="21">
        <f t="shared" ca="1" si="90"/>
        <v>2.074065540648317E-2</v>
      </c>
      <c r="DI76" s="21">
        <f t="shared" ca="1" si="91"/>
        <v>3.9176793545579319E-2</v>
      </c>
      <c r="DJ76" s="21">
        <f t="shared" ca="1" si="92"/>
        <v>7.0518228382042775E-2</v>
      </c>
      <c r="DK76" s="21">
        <f t="shared" ca="1" si="93"/>
        <v>0.11753038063673797</v>
      </c>
      <c r="DL76" s="21">
        <f t="shared" ca="1" si="94"/>
        <v>0.17629557095510695</v>
      </c>
      <c r="DN76" s="16" cm="1">
        <f t="array" aca="1" ref="DN76" ca="1">MAX(_xlfn._xlws.FILTER(CY76:DL76,CY76:DL76&lt;BW76))</f>
        <v>1.068458005788527E-2</v>
      </c>
      <c r="DO76" s="16" cm="1">
        <f t="array" aca="1" ref="DO76" ca="1">MIN(_xlfn._xlws.FILTER(CY76:DL76,CY76:DL76&gt;BW76))</f>
        <v>2.074065540648317E-2</v>
      </c>
      <c r="DP76" s="2" cm="1">
        <f t="array" aca="1" ref="DP76" ca="1">_FV(EE76,"Fechamento anterior",TRUE)</f>
        <v>46.41</v>
      </c>
      <c r="DQ76" s="28">
        <f t="shared" ca="1" si="106"/>
        <v>0.26596954370134285</v>
      </c>
      <c r="DR76" s="15">
        <f t="shared" ca="1" si="95"/>
        <v>46.905871360486451</v>
      </c>
      <c r="DS76" s="15">
        <f t="shared" ca="1" si="96"/>
        <v>47.372573817414882</v>
      </c>
      <c r="DT76" s="9"/>
      <c r="DU76" s="9"/>
      <c r="DV76" s="9"/>
      <c r="DW76" s="89">
        <v>1.0750947636876026E-2</v>
      </c>
      <c r="DX76" s="89">
        <f t="shared" ca="1" si="107"/>
        <v>1.00560753485979E-2</v>
      </c>
      <c r="DY76" s="72">
        <f t="shared" ca="1" si="108"/>
        <v>-0.54639450344694196</v>
      </c>
      <c r="DZ76" s="37"/>
      <c r="EA76" s="35">
        <f t="shared" si="118"/>
        <v>0.81442986192796307</v>
      </c>
      <c r="EB76" s="56"/>
      <c r="EC76" s="56"/>
      <c r="EE76" s="2" t="e" vm="76">
        <v>#VALUE!</v>
      </c>
      <c r="EG76" s="10" cm="1">
        <f t="array" aca="1" ref="EG76" ca="1">_FV(EE76,"Ações em circulação",TRUE)</f>
        <v>81842890</v>
      </c>
      <c r="EH76" s="18">
        <f>VLOOKUP(BR76,Fundamentus!A:U,5,FALSE)</f>
        <v>0.61</v>
      </c>
      <c r="EI76" s="2">
        <f t="shared" ca="1" si="109"/>
        <v>6309952650.3278694</v>
      </c>
      <c r="EJ76" s="17">
        <v>-107900190.32060657</v>
      </c>
      <c r="EK76" s="17">
        <f t="shared" ca="1" si="110"/>
        <v>-107900190.32060657</v>
      </c>
      <c r="EM76" s="16">
        <f t="shared" ca="1" si="97"/>
        <v>0</v>
      </c>
      <c r="EN76" s="32" t="str">
        <f>IF(VLOOKUP(BR76,Fundamentus!A:U,3,FALSE)&lt;15,"Bom",IF(VLOOKUP(BR76,Fundamentus!A:U,3,FALSE)&gt;15,"Ruim","n/a"))</f>
        <v>Bom</v>
      </c>
      <c r="EO76" s="28" t="str">
        <f>IF(VLOOKUP(BR76,Fundamentus!A:U,4,FALSE)&lt;1,"Baixo",IF(VLOOKUP(BR76,Fundamentus!A:U,4,FALSE)&lt;1.5,"Moderado",IF(VLOOKUP(BR76,Fundamentus!A:U,4,FALSE)&gt;1.5,"Alto","n/a")))</f>
        <v>Baixo</v>
      </c>
      <c r="EP76" s="17" t="str">
        <f>IF(VLOOKUP(BR76,Fundamentus!A:U,8,FALSE)&lt;0,"Risco elevado",IF(VLOOKUP(BR76,Fundamentus!A:U,8,FALSE)&lt;1,"Saudável",IF(VLOOKUP(BR76,Fundamentus!A:U,8,FALSE)&lt;3,"Estável",IF(VLOOKUP(BR76,Fundamentus!A:U,8,FALSE)&gt;3,"Alerta","n/a"))))</f>
        <v>Saudável</v>
      </c>
      <c r="EQ76" s="28" t="str">
        <f t="shared" si="111"/>
        <v>Ruim</v>
      </c>
      <c r="ER76" s="17" t="str">
        <f>IF(VLOOKUP(BR76,Fundamentus!A:U,12,FALSE)&lt;2,"Subvalorizada",IF(VLOOKUP(BR76,Fundamentus!A:U,12,FALSE)&lt;6,"Muita barata",IF(VLOOKUP(BR76,Fundamentus!A:U,12,FALSE)&lt;6,"Barata",IF(VLOOKUP(BR76,Fundamentus!A:U,12,FALSE)&lt;8,"Atrativa",IF(VLOOKUP(BR76,Fundamentus!A:U,12,FALSE)&gt;8,"Supervalorizada","n/a")))))</f>
        <v>Subvalorizada</v>
      </c>
      <c r="ET76" s="17" t="str">
        <f>IF(VLOOKUP(BR76,Fundamentus!A:U,17,FALSE)&lt;0.1,"Fraco retorno",IF(VLOOKUP(BR76,Fundamentus!A:U,17,FALSE)&gt;0.1,"Bom retorno","n/a"))</f>
        <v>Fraco retorno</v>
      </c>
      <c r="EU76" s="17" t="str">
        <f>IF(VLOOKUP(BR76,Fundamentus!A:U,16,FALSE)&lt;0.1,"Ineficiente",IF(VLOOKUP(BR76,Fundamentus!A:U,16,FALSE)&gt;0.1,"Eficiente","n/a"))</f>
        <v>Ineficiente</v>
      </c>
      <c r="EV76" s="33" t="str">
        <f>IF(VLOOKUP(BR76,Fundamentus!A:U,16,FALSE)&lt;0.1,"Oper. Ineficiente",IF(VLOOKUP(BR76,Fundamentus!A:U,16,FALSE)&gt;0.1,"Oper.Eficiente","n/a"))</f>
        <v>Oper. Ineficiente</v>
      </c>
      <c r="EW76" s="34">
        <f>VLOOKUP(BR76,Fundamentus!A:U,14,FALSE)</f>
        <v>-1.7100000000000001E-2</v>
      </c>
      <c r="EX76" s="17" t="str">
        <f>IF(VLOOKUP(BR76,Fundamentus!A:U,21,FALSE)&lt;0,"Negativo",IF(VLOOKUP(BR76,Fundamentus!A:U,21,FALSE)&lt;0.05,"Fraco",IF(VLOOKUP(BR76,Fundamentus!A:U,21,FALSE)&lt;0.1,"Bom",IF(VLOOKUP(BR76,Fundamentus!A:U,21,FALSE)&gt;0.1,"Muito bom","n/a"))))</f>
        <v>Fraco</v>
      </c>
      <c r="EZ76" s="29" t="str">
        <f>IF(VLOOKUP(BR76,Fundamentus!A:U,15,FALSE)&gt;1,"Bom",IF(VLOOKUP(BR76,Fundamentus!A:U,15,FALSE)&lt;1,"Ruim","n/a"))</f>
        <v>Ruim</v>
      </c>
      <c r="FA76" s="17" t="str">
        <f>IF(VLOOKUP(BR76,Fundamentus!A:U,20,FALSE)&lt;0.5,"Baixa",IF(VLOOKUP(BR76,Fundamentus!A:U,20,FALSE)&lt;1,"Moderada",IF(VLOOKUP(BR76,Fundamentus!A:U,20,FALSE)&lt;2,"Alerta",IF(VLOOKUP(BR76,Fundamentus!A:U,20,FALSE)&gt;2,"Alta","n/a"))))</f>
        <v>Baixa</v>
      </c>
      <c r="FB76" s="10"/>
    </row>
    <row r="77" spans="1:158" s="2" customFormat="1" ht="11.25"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5">
        <v>14.07</v>
      </c>
      <c r="BC77" s="52">
        <v>15.38</v>
      </c>
      <c r="BD77" s="52">
        <v>14.57</v>
      </c>
      <c r="BE77" s="52">
        <v>14.62</v>
      </c>
      <c r="BF77" s="52">
        <v>14.42</v>
      </c>
      <c r="BG77" s="67">
        <v>14.65</v>
      </c>
      <c r="BH77" s="52">
        <v>14.05</v>
      </c>
      <c r="BI77" s="52">
        <v>14.1</v>
      </c>
      <c r="BJ77" s="52">
        <v>14.5</v>
      </c>
      <c r="BK77" s="52">
        <v>14.3</v>
      </c>
      <c r="BL77" s="52">
        <v>14.14</v>
      </c>
      <c r="BM77" s="52">
        <v>13.91</v>
      </c>
      <c r="BN77" s="52">
        <v>12.98</v>
      </c>
      <c r="BO77" s="52">
        <v>13.95</v>
      </c>
      <c r="BP77" s="52">
        <v>11.31</v>
      </c>
      <c r="BQ77" s="52" cm="1">
        <f t="array" aca="1" ref="BQ77" ca="1">_FV(EE77,"Preço")</f>
        <v>11.31</v>
      </c>
      <c r="BR77" s="69" t="s">
        <v>74</v>
      </c>
      <c r="BS77" s="36" cm="1">
        <f t="array" aca="1" ref="BS77" ca="1">_FV(EE77,"Média de volume",TRUE)</f>
        <v>26200</v>
      </c>
      <c r="BT77" s="36">
        <v>54700</v>
      </c>
      <c r="BU77" s="36" cm="1">
        <f t="array" aca="1" ref="BU77" ca="1">_FV(EE77,"Volume")</f>
        <v>54700</v>
      </c>
      <c r="BV77" s="24" cm="1">
        <f t="array" aca="1" ref="BV77" ca="1">_FV(EE77,"Beta")</f>
        <v>0.57069999999999999</v>
      </c>
      <c r="BW77" s="71" cm="1">
        <f t="array" aca="1" ref="BW77" ca="1">_FV(EE77,"Variação (%)",TRUE)</f>
        <v>-3.7447000000000001E-2</v>
      </c>
      <c r="BY77" s="17" cm="1">
        <f t="array" aca="1" ref="BY77" ca="1">_FV(EE77,"Baixo")</f>
        <v>11.25</v>
      </c>
      <c r="BZ77" s="17" cm="1">
        <f t="array" aca="1" ref="BZ77" ca="1">_FV(EE77,"Alto")</f>
        <v>12.3</v>
      </c>
      <c r="CA77" s="24"/>
      <c r="CB77" s="63">
        <f ca="1">SQRT(22.5*(BQ77/VLOOKUP(BR77,Fundamentus!A:U,3,FALSE))*(BQ77/VLOOKUP(BR77,Fundamentus!A:U,4,FALSE)))</f>
        <v>30.623541918728048</v>
      </c>
      <c r="CD77" s="62">
        <f t="shared" ca="1" si="112"/>
        <v>0</v>
      </c>
      <c r="CE77" s="8"/>
      <c r="CF77" s="61">
        <f t="shared" si="113"/>
        <v>9.85</v>
      </c>
      <c r="CG77" s="61">
        <f t="shared" si="114"/>
        <v>15.86</v>
      </c>
      <c r="CH77" s="61">
        <f t="shared" si="115"/>
        <v>13.351250000000004</v>
      </c>
      <c r="CI77" s="14"/>
      <c r="CJ77" s="35">
        <f t="shared" si="98"/>
        <v>10.410469685110852</v>
      </c>
      <c r="CK77" s="15">
        <f t="shared" si="116"/>
        <v>11.329999999999927</v>
      </c>
      <c r="CL77" s="35">
        <f t="shared" si="99"/>
        <v>12.249530314889002</v>
      </c>
      <c r="CN77" s="14"/>
      <c r="CO77" s="17">
        <f t="shared" si="100"/>
        <v>2.8100000000000041</v>
      </c>
      <c r="CP77" s="17">
        <f t="shared" si="101"/>
        <v>6.3300000000000018</v>
      </c>
      <c r="CQ77" s="17">
        <f t="shared" si="102"/>
        <v>8.8200000000000038</v>
      </c>
      <c r="CR77" s="38">
        <f t="shared" si="117"/>
        <v>12.340000000000002</v>
      </c>
      <c r="CS77" s="17">
        <f t="shared" si="103"/>
        <v>14.830000000000004</v>
      </c>
      <c r="CT77" s="17">
        <f t="shared" si="104"/>
        <v>18.350000000000001</v>
      </c>
      <c r="CU77" s="17">
        <f t="shared" si="105"/>
        <v>20.840000000000003</v>
      </c>
      <c r="CV77" s="2" cm="1">
        <f t="array" aca="1" ref="CV77" ca="1">MAX(_xlfn._xlws.FILTER(CO77:CU77,CO77:CU77&lt;BQ77))</f>
        <v>8.8200000000000038</v>
      </c>
      <c r="CW77" s="2" cm="1">
        <f t="array" aca="1" ref="CW77" ca="1">MIN(_xlfn._xlws.FILTER($CO77:$CU77,$CO77:$CU77&gt;BQ77))</f>
        <v>12.340000000000002</v>
      </c>
      <c r="CX77" s="16">
        <f t="shared" ca="1" si="80"/>
        <v>0.39909297052154158</v>
      </c>
      <c r="CY77" s="20">
        <f t="shared" ca="1" si="81"/>
        <v>-0.19954648526077079</v>
      </c>
      <c r="CZ77" s="20">
        <f t="shared" ca="1" si="82"/>
        <v>-0.1330309901738472</v>
      </c>
      <c r="DA77" s="20">
        <f t="shared" ca="1" si="83"/>
        <v>-7.9818594104308319E-2</v>
      </c>
      <c r="DB77" s="20">
        <f t="shared" ca="1" si="84"/>
        <v>-4.4343663391282401E-2</v>
      </c>
      <c r="DC77" s="20">
        <f t="shared" ca="1" si="85"/>
        <v>-2.3476057089502445E-2</v>
      </c>
      <c r="DD77" s="20">
        <f t="shared" ca="1" si="86"/>
        <v>-1.2093726379440653E-2</v>
      </c>
      <c r="DE77" s="20">
        <f t="shared" ca="1" si="87"/>
        <v>-6.1398918541775626E-3</v>
      </c>
      <c r="DF77" s="21">
        <f t="shared" ca="1" si="88"/>
        <v>6.1398918541775626E-3</v>
      </c>
      <c r="DG77" s="21">
        <f t="shared" ca="1" si="89"/>
        <v>1.2093726379440653E-2</v>
      </c>
      <c r="DH77" s="21">
        <f t="shared" ca="1" si="90"/>
        <v>2.3476057089502445E-2</v>
      </c>
      <c r="DI77" s="21">
        <f t="shared" ca="1" si="91"/>
        <v>4.4343663391282401E-2</v>
      </c>
      <c r="DJ77" s="21">
        <f t="shared" ca="1" si="92"/>
        <v>7.9818594104308319E-2</v>
      </c>
      <c r="DK77" s="21">
        <f t="shared" ca="1" si="93"/>
        <v>0.1330309901738472</v>
      </c>
      <c r="DL77" s="21">
        <f t="shared" ca="1" si="94"/>
        <v>0.19954648526077079</v>
      </c>
      <c r="DN77" s="16" cm="1">
        <f t="array" aca="1" ref="DN77" ca="1">MAX(_xlfn._xlws.FILTER(CY77:DL77,CY77:DL77&lt;BW77))</f>
        <v>-4.4343663391282401E-2</v>
      </c>
      <c r="DO77" s="16" cm="1">
        <f t="array" aca="1" ref="DO77" ca="1">MIN(_xlfn._xlws.FILTER(CY77:DL77,CY77:DL77&gt;BW77))</f>
        <v>-2.3476057089502445E-2</v>
      </c>
      <c r="DP77" s="2" cm="1">
        <f t="array" aca="1" ref="DP77" ca="1">_FV(EE77,"Fechamento anterior",TRUE)</f>
        <v>11.75</v>
      </c>
      <c r="DQ77" s="28">
        <f t="shared" ca="1" si="106"/>
        <v>0.33050531914893738</v>
      </c>
      <c r="DR77" s="15">
        <f t="shared" ca="1" si="95"/>
        <v>11.228961955152432</v>
      </c>
      <c r="DS77" s="15">
        <f t="shared" ca="1" si="96"/>
        <v>11.474156329198346</v>
      </c>
      <c r="DT77" s="9"/>
      <c r="DU77" s="9"/>
      <c r="DV77" s="9"/>
      <c r="DW77" s="89">
        <v>2.2659270465624458E-2</v>
      </c>
      <c r="DX77" s="89">
        <f t="shared" ca="1" si="107"/>
        <v>2.0867606301779956E-2</v>
      </c>
      <c r="DY77" s="72">
        <f t="shared" ca="1" si="108"/>
        <v>-2.1750234523088444E-2</v>
      </c>
      <c r="DZ77" s="37"/>
      <c r="EA77" s="35">
        <f t="shared" si="118"/>
        <v>0.45976515744453711</v>
      </c>
      <c r="EB77" s="56"/>
      <c r="EC77" s="56"/>
      <c r="EE77" s="2" t="e" vm="77">
        <v>#VALUE!</v>
      </c>
      <c r="EG77" s="10" cm="1">
        <f t="array" aca="1" ref="EG77" ca="1">_FV(EE77,"Ações em circulação",TRUE)</f>
        <v>22500000</v>
      </c>
      <c r="EH77" s="18">
        <f>VLOOKUP(BR77,Fundamentus!A:U,5,FALSE)</f>
        <v>0.53200000000000003</v>
      </c>
      <c r="EI77" s="2">
        <f t="shared" ca="1" si="109"/>
        <v>478336466.1654135</v>
      </c>
      <c r="EJ77" s="17">
        <v>77155671.992481202</v>
      </c>
      <c r="EK77" s="17">
        <f t="shared" ca="1" si="110"/>
        <v>77155671.992481202</v>
      </c>
      <c r="EM77" s="16">
        <f t="shared" ca="1" si="97"/>
        <v>0</v>
      </c>
      <c r="EN77" s="32" t="str">
        <f>IF(VLOOKUP(BR77,Fundamentus!A:U,3,FALSE)&lt;15,"Bom",IF(VLOOKUP(BR77,Fundamentus!A:U,3,FALSE)&gt;15,"Ruim","n/a"))</f>
        <v>Bom</v>
      </c>
      <c r="EO77" s="28" t="str">
        <f>IF(VLOOKUP(BR77,Fundamentus!A:U,4,FALSE)&lt;1,"Baixo",IF(VLOOKUP(BR77,Fundamentus!A:U,4,FALSE)&lt;1.5,"Moderado",IF(VLOOKUP(BR77,Fundamentus!A:U,4,FALSE)&gt;1.5,"Alto","n/a")))</f>
        <v>Baixo</v>
      </c>
      <c r="EP77" s="17" t="str">
        <f>IF(VLOOKUP(BR77,Fundamentus!A:U,8,FALSE)&lt;0,"Risco elevado",IF(VLOOKUP(BR77,Fundamentus!A:U,8,FALSE)&lt;1,"Saudável",IF(VLOOKUP(BR77,Fundamentus!A:U,8,FALSE)&lt;3,"Estável",IF(VLOOKUP(BR77,Fundamentus!A:U,8,FALSE)&gt;3,"Alerta","n/a"))))</f>
        <v>Alerta</v>
      </c>
      <c r="EQ77" s="28" t="str">
        <f t="shared" si="111"/>
        <v>Ruim</v>
      </c>
      <c r="ER77" s="17" t="str">
        <f>IF(VLOOKUP(BR77,Fundamentus!A:U,12,FALSE)&lt;2,"Subvalorizada",IF(VLOOKUP(BR77,Fundamentus!A:U,12,FALSE)&lt;6,"Muita barata",IF(VLOOKUP(BR77,Fundamentus!A:U,12,FALSE)&lt;6,"Barata",IF(VLOOKUP(BR77,Fundamentus!A:U,12,FALSE)&lt;8,"Atrativa",IF(VLOOKUP(BR77,Fundamentus!A:U,12,FALSE)&gt;8,"Supervalorizada","n/a")))))</f>
        <v>Muita barata</v>
      </c>
      <c r="ET77" s="17" t="str">
        <f>IF(VLOOKUP(BR77,Fundamentus!A:U,17,FALSE)&lt;0.1,"Fraco retorno",IF(VLOOKUP(BR77,Fundamentus!A:U,17,FALSE)&gt;0.1,"Bom retorno","n/a"))</f>
        <v>Bom retorno</v>
      </c>
      <c r="EU77" s="17" t="str">
        <f>IF(VLOOKUP(BR77,Fundamentus!A:U,16,FALSE)&lt;0.1,"Ineficiente",IF(VLOOKUP(BR77,Fundamentus!A:U,16,FALSE)&gt;0.1,"Eficiente","n/a"))</f>
        <v>Eficiente</v>
      </c>
      <c r="EV77" s="33" t="str">
        <f>IF(VLOOKUP(BR77,Fundamentus!A:U,16,FALSE)&lt;0.1,"Oper. Ineficiente",IF(VLOOKUP(BR77,Fundamentus!A:U,16,FALSE)&gt;0.1,"Oper.Eficiente","n/a"))</f>
        <v>Oper.Eficiente</v>
      </c>
      <c r="EW77" s="34">
        <f>VLOOKUP(BR77,Fundamentus!A:U,14,FALSE)</f>
        <v>0.1613</v>
      </c>
      <c r="EX77" s="17" t="str">
        <f>IF(VLOOKUP(BR77,Fundamentus!A:U,21,FALSE)&lt;0,"Negativo",IF(VLOOKUP(BR77,Fundamentus!A:U,21,FALSE)&lt;0.05,"Fraco",IF(VLOOKUP(BR77,Fundamentus!A:U,21,FALSE)&lt;0.1,"Bom",IF(VLOOKUP(BR77,Fundamentus!A:U,21,FALSE)&gt;0.1,"Muito bom","n/a"))))</f>
        <v>Muito bom</v>
      </c>
      <c r="EZ77" s="29" t="str">
        <f>IF(VLOOKUP(BR77,Fundamentus!A:U,15,FALSE)&gt;1,"Bom",IF(VLOOKUP(BR77,Fundamentus!A:U,15,FALSE)&lt;1,"Ruim","n/a"))</f>
        <v>Bom</v>
      </c>
      <c r="FA77" s="17" t="str">
        <f>IF(VLOOKUP(BR77,Fundamentus!A:U,20,FALSE)&lt;0.5,"Baixa",IF(VLOOKUP(BR77,Fundamentus!A:U,20,FALSE)&lt;1,"Moderada",IF(VLOOKUP(BR77,Fundamentus!A:U,20,FALSE)&lt;2,"Alerta",IF(VLOOKUP(BR77,Fundamentus!A:U,20,FALSE)&gt;2,"Alta","n/a"))))</f>
        <v>Baixa</v>
      </c>
      <c r="FB77" s="10"/>
    </row>
    <row r="78" spans="1:158" s="2" customFormat="1" ht="11.25"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5">
        <v>5.64</v>
      </c>
      <c r="BC78" s="52">
        <v>5.39</v>
      </c>
      <c r="BD78" s="52">
        <v>5.28</v>
      </c>
      <c r="BE78" s="52">
        <v>5.39</v>
      </c>
      <c r="BF78" s="52">
        <v>5.32</v>
      </c>
      <c r="BG78" s="67">
        <v>5.5</v>
      </c>
      <c r="BH78" s="52">
        <v>5.38</v>
      </c>
      <c r="BI78" s="52">
        <v>5.4</v>
      </c>
      <c r="BJ78" s="52">
        <v>5.46</v>
      </c>
      <c r="BK78" s="52">
        <v>5.31</v>
      </c>
      <c r="BL78" s="52">
        <v>5.0999999999999996</v>
      </c>
      <c r="BM78" s="52">
        <v>5.0199999999999996</v>
      </c>
      <c r="BN78" s="52">
        <v>5.03</v>
      </c>
      <c r="BO78" s="52">
        <v>5.26</v>
      </c>
      <c r="BP78" s="52">
        <v>5.3</v>
      </c>
      <c r="BQ78" s="52" cm="1">
        <f t="array" aca="1" ref="BQ78" ca="1">_FV(EE78,"Preço")</f>
        <v>5.3</v>
      </c>
      <c r="BR78" s="69" t="s">
        <v>75</v>
      </c>
      <c r="BS78" s="36" cm="1">
        <f t="array" aca="1" ref="BS78" ca="1">_FV(EE78,"Média de volume",TRUE)</f>
        <v>2861890</v>
      </c>
      <c r="BT78" s="36">
        <v>751600</v>
      </c>
      <c r="BU78" s="36" cm="1">
        <f t="array" aca="1" ref="BU78" ca="1">_FV(EE78,"Volume")</f>
        <v>751600</v>
      </c>
      <c r="BV78" s="24" cm="1">
        <f t="array" aca="1" ref="BV78" ca="1">_FV(EE78,"Beta")</f>
        <v>0.89419999999999999</v>
      </c>
      <c r="BW78" s="71" cm="1">
        <f t="array" aca="1" ref="BW78" ca="1">_FV(EE78,"Variação (%)",TRUE)</f>
        <v>0</v>
      </c>
      <c r="BY78" s="17" cm="1">
        <f t="array" aca="1" ref="BY78" ca="1">_FV(EE78,"Baixo")</f>
        <v>5.25</v>
      </c>
      <c r="BZ78" s="17" cm="1">
        <f t="array" aca="1" ref="BZ78" ca="1">_FV(EE78,"Alto")</f>
        <v>5.32</v>
      </c>
      <c r="CA78" s="24"/>
      <c r="CB78" s="63">
        <f ca="1">SQRT(22.5*(BQ78/VLOOKUP(BR78,Fundamentus!A:U,3,FALSE))*(BQ78/VLOOKUP(BR78,Fundamentus!A:U,4,FALSE)))</f>
        <v>9.0428530826701703</v>
      </c>
      <c r="CD78" s="62">
        <f t="shared" ca="1" si="112"/>
        <v>0</v>
      </c>
      <c r="CE78" s="8"/>
      <c r="CF78" s="61">
        <f t="shared" si="113"/>
        <v>5.01</v>
      </c>
      <c r="CG78" s="61">
        <f t="shared" si="114"/>
        <v>6.44</v>
      </c>
      <c r="CH78" s="61">
        <f t="shared" si="115"/>
        <v>5.604558823529409</v>
      </c>
      <c r="CI78" s="14"/>
      <c r="CJ78" s="35">
        <f t="shared" si="98"/>
        <v>5.181136021970735</v>
      </c>
      <c r="CK78" s="15">
        <f t="shared" si="116"/>
        <v>5.4200000000000728</v>
      </c>
      <c r="CL78" s="35">
        <f t="shared" si="99"/>
        <v>5.6588639780294105</v>
      </c>
      <c r="CN78" s="14"/>
      <c r="CO78" s="17">
        <f t="shared" si="100"/>
        <v>3.2966666666666651</v>
      </c>
      <c r="CP78" s="17">
        <f t="shared" si="101"/>
        <v>4.1533333333333324</v>
      </c>
      <c r="CQ78" s="17">
        <f t="shared" si="102"/>
        <v>4.7266666666666657</v>
      </c>
      <c r="CR78" s="38">
        <f t="shared" si="117"/>
        <v>5.583333333333333</v>
      </c>
      <c r="CS78" s="17">
        <f t="shared" si="103"/>
        <v>6.1566666666666663</v>
      </c>
      <c r="CT78" s="17">
        <f t="shared" si="104"/>
        <v>7.0133333333333336</v>
      </c>
      <c r="CU78" s="17">
        <f t="shared" si="105"/>
        <v>7.5866666666666669</v>
      </c>
      <c r="CV78" s="2" cm="1">
        <f t="array" aca="1" ref="CV78" ca="1">MAX(_xlfn._xlws.FILTER(CO78:CU78,CO78:CU78&lt;BQ78))</f>
        <v>4.7266666666666657</v>
      </c>
      <c r="CW78" s="2" cm="1">
        <f t="array" aca="1" ref="CW78" ca="1">MIN(_xlfn._xlws.FILTER($CO78:$CU78,$CO78:$CU78&gt;BQ78))</f>
        <v>5.583333333333333</v>
      </c>
      <c r="CX78" s="16">
        <f t="shared" ca="1" si="80"/>
        <v>0.18124118476727813</v>
      </c>
      <c r="CY78" s="20">
        <f t="shared" ca="1" si="81"/>
        <v>-9.0620592383639065E-2</v>
      </c>
      <c r="CZ78" s="20">
        <f t="shared" ca="1" si="82"/>
        <v>-6.0413728255759379E-2</v>
      </c>
      <c r="DA78" s="20">
        <f t="shared" ca="1" si="83"/>
        <v>-3.6248236953455623E-2</v>
      </c>
      <c r="DB78" s="20">
        <f t="shared" ca="1" si="84"/>
        <v>-2.013790941858646E-2</v>
      </c>
      <c r="DC78" s="20">
        <f t="shared" ca="1" si="85"/>
        <v>-1.0661246162781066E-2</v>
      </c>
      <c r="DD78" s="20">
        <f t="shared" ca="1" si="86"/>
        <v>-5.4921571141599429E-3</v>
      </c>
      <c r="DE78" s="20">
        <f t="shared" ca="1" si="87"/>
        <v>-2.7883259194965864E-3</v>
      </c>
      <c r="DF78" s="21">
        <f t="shared" ca="1" si="88"/>
        <v>2.7883259194965864E-3</v>
      </c>
      <c r="DG78" s="21">
        <f t="shared" ca="1" si="89"/>
        <v>5.4921571141599429E-3</v>
      </c>
      <c r="DH78" s="21">
        <f t="shared" ca="1" si="90"/>
        <v>1.0661246162781066E-2</v>
      </c>
      <c r="DI78" s="21">
        <f t="shared" ca="1" si="91"/>
        <v>2.013790941858646E-2</v>
      </c>
      <c r="DJ78" s="21">
        <f t="shared" ca="1" si="92"/>
        <v>3.6248236953455623E-2</v>
      </c>
      <c r="DK78" s="21">
        <f t="shared" ca="1" si="93"/>
        <v>6.0413728255759379E-2</v>
      </c>
      <c r="DL78" s="21">
        <f t="shared" ca="1" si="94"/>
        <v>9.0620592383639065E-2</v>
      </c>
      <c r="DN78" s="16" cm="1">
        <f t="array" aca="1" ref="DN78" ca="1">MAX(_xlfn._xlws.FILTER(CY78:DL78,CY78:DL78&lt;BW78))</f>
        <v>-2.7883259194965864E-3</v>
      </c>
      <c r="DO78" s="16" cm="1">
        <f t="array" aca="1" ref="DO78" ca="1">MIN(_xlfn._xlws.FILTER(CY78:DL78,CY78:DL78&gt;BW78))</f>
        <v>2.7883259194965864E-3</v>
      </c>
      <c r="DP78" s="2" cm="1">
        <f t="array" aca="1" ref="DP78" ca="1">_FV(EE78,"Fechamento anterior",TRUE)</f>
        <v>5.3</v>
      </c>
      <c r="DQ78" s="28">
        <f t="shared" ca="1" si="106"/>
        <v>0.5</v>
      </c>
      <c r="DR78" s="15">
        <f t="shared" ca="1" si="95"/>
        <v>5.2852218726266678</v>
      </c>
      <c r="DS78" s="15">
        <f t="shared" ca="1" si="96"/>
        <v>5.3147781273733319</v>
      </c>
      <c r="DT78" s="9"/>
      <c r="DU78" s="9"/>
      <c r="DV78" s="9"/>
      <c r="DW78" s="89">
        <v>2.4680851063829785E-2</v>
      </c>
      <c r="DX78" s="89">
        <f t="shared" ca="1" si="107"/>
        <v>5.5766518389931729E-3</v>
      </c>
      <c r="DY78" s="72">
        <f t="shared" ca="1" si="108"/>
        <v>-0.50237796837384274</v>
      </c>
      <c r="DZ78" s="37"/>
      <c r="EA78" s="35">
        <f t="shared" si="118"/>
        <v>0.11943198901466885</v>
      </c>
      <c r="EB78" s="56"/>
      <c r="EC78" s="56"/>
      <c r="EE78" s="2" t="e" vm="78">
        <v>#VALUE!</v>
      </c>
      <c r="EG78" s="10" cm="1">
        <f t="array" aca="1" ref="EG78" ca="1">_FV(EE78,"Ações em circulação",TRUE)</f>
        <v>902160000</v>
      </c>
      <c r="EH78" s="18">
        <f>VLOOKUP(BR78,Fundamentus!A:U,5,FALSE)</f>
        <v>1.7509999999999999</v>
      </c>
      <c r="EI78" s="2">
        <f t="shared" ca="1" si="109"/>
        <v>2730695602.5128498</v>
      </c>
      <c r="EJ78" s="17">
        <v>729641864.9914335</v>
      </c>
      <c r="EK78" s="17">
        <f t="shared" ca="1" si="110"/>
        <v>729641864.9914335</v>
      </c>
      <c r="EM78" s="16">
        <f t="shared" ca="1" si="97"/>
        <v>0</v>
      </c>
      <c r="EN78" s="32" t="str">
        <f>IF(VLOOKUP(BR78,Fundamentus!A:U,3,FALSE)&lt;15,"Bom",IF(VLOOKUP(BR78,Fundamentus!A:U,3,FALSE)&gt;15,"Ruim","n/a"))</f>
        <v>Bom</v>
      </c>
      <c r="EO78" s="28" t="str">
        <f>IF(VLOOKUP(BR78,Fundamentus!A:U,4,FALSE)&lt;1,"Baixo",IF(VLOOKUP(BR78,Fundamentus!A:U,4,FALSE)&lt;1.5,"Moderado",IF(VLOOKUP(BR78,Fundamentus!A:U,4,FALSE)&gt;1.5,"Alto","n/a")))</f>
        <v>Moderado</v>
      </c>
      <c r="EP78" s="17" t="str">
        <f>IF(VLOOKUP(BR78,Fundamentus!A:U,8,FALSE)&lt;0,"Risco elevado",IF(VLOOKUP(BR78,Fundamentus!A:U,8,FALSE)&lt;1,"Saudável",IF(VLOOKUP(BR78,Fundamentus!A:U,8,FALSE)&lt;3,"Estável",IF(VLOOKUP(BR78,Fundamentus!A:U,8,FALSE)&gt;3,"Alerta","n/a"))))</f>
        <v>Estável</v>
      </c>
      <c r="EQ78" s="28" t="str">
        <f t="shared" si="111"/>
        <v>Bom</v>
      </c>
      <c r="ER78" s="17" t="str">
        <f>IF(VLOOKUP(BR78,Fundamentus!A:U,12,FALSE)&lt;2,"Subvalorizada",IF(VLOOKUP(BR78,Fundamentus!A:U,12,FALSE)&lt;6,"Muita barata",IF(VLOOKUP(BR78,Fundamentus!A:U,12,FALSE)&lt;6,"Barata",IF(VLOOKUP(BR78,Fundamentus!A:U,12,FALSE)&lt;8,"Atrativa",IF(VLOOKUP(BR78,Fundamentus!A:U,12,FALSE)&gt;8,"Supervalorizada","n/a")))))</f>
        <v>Muita barata</v>
      </c>
      <c r="ET78" s="17" t="str">
        <f>IF(VLOOKUP(BR78,Fundamentus!A:U,17,FALSE)&lt;0.1,"Fraco retorno",IF(VLOOKUP(BR78,Fundamentus!A:U,17,FALSE)&gt;0.1,"Bom retorno","n/a"))</f>
        <v>Bom retorno</v>
      </c>
      <c r="EU78" s="17" t="str">
        <f>IF(VLOOKUP(BR78,Fundamentus!A:U,16,FALSE)&lt;0.1,"Ineficiente",IF(VLOOKUP(BR78,Fundamentus!A:U,16,FALSE)&gt;0.1,"Eficiente","n/a"))</f>
        <v>Eficiente</v>
      </c>
      <c r="EV78" s="33" t="str">
        <f>IF(VLOOKUP(BR78,Fundamentus!A:U,16,FALSE)&lt;0.1,"Oper. Ineficiente",IF(VLOOKUP(BR78,Fundamentus!A:U,16,FALSE)&gt;0.1,"Oper.Eficiente","n/a"))</f>
        <v>Oper.Eficiente</v>
      </c>
      <c r="EW78" s="34">
        <f>VLOOKUP(BR78,Fundamentus!A:U,14,FALSE)</f>
        <v>0.26719999999999999</v>
      </c>
      <c r="EX78" s="17" t="str">
        <f>IF(VLOOKUP(BR78,Fundamentus!A:U,21,FALSE)&lt;0,"Negativo",IF(VLOOKUP(BR78,Fundamentus!A:U,21,FALSE)&lt;0.05,"Fraco",IF(VLOOKUP(BR78,Fundamentus!A:U,21,FALSE)&lt;0.1,"Bom",IF(VLOOKUP(BR78,Fundamentus!A:U,21,FALSE)&gt;0.1,"Muito bom","n/a"))))</f>
        <v>Bom</v>
      </c>
      <c r="EZ78" s="29" t="str">
        <f>IF(VLOOKUP(BR78,Fundamentus!A:U,15,FALSE)&gt;1,"Bom",IF(VLOOKUP(BR78,Fundamentus!A:U,15,FALSE)&lt;1,"Ruim","n/a"))</f>
        <v>Bom</v>
      </c>
      <c r="FA78" s="17" t="str">
        <f>IF(VLOOKUP(BR78,Fundamentus!A:U,20,FALSE)&lt;0.5,"Baixa",IF(VLOOKUP(BR78,Fundamentus!A:U,20,FALSE)&lt;1,"Moderada",IF(VLOOKUP(BR78,Fundamentus!A:U,20,FALSE)&lt;2,"Alerta",IF(VLOOKUP(BR78,Fundamentus!A:U,20,FALSE)&gt;2,"Alta","n/a"))))</f>
        <v>Baixa</v>
      </c>
      <c r="FB78" s="10"/>
    </row>
    <row r="79" spans="1:158" s="2" customFormat="1" ht="11.25"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5">
        <v>7.89</v>
      </c>
      <c r="BC79" s="52">
        <v>7.74</v>
      </c>
      <c r="BD79" s="52">
        <v>8.57</v>
      </c>
      <c r="BE79" s="52">
        <v>9.1</v>
      </c>
      <c r="BF79" s="52">
        <v>8.19</v>
      </c>
      <c r="BG79" s="67">
        <v>8.15</v>
      </c>
      <c r="BH79" s="52">
        <v>8.1999999999999993</v>
      </c>
      <c r="BI79" s="52">
        <v>8.07</v>
      </c>
      <c r="BJ79" s="52">
        <v>7.8</v>
      </c>
      <c r="BK79" s="52">
        <v>7.43</v>
      </c>
      <c r="BL79" s="52">
        <v>7.6</v>
      </c>
      <c r="BM79" s="52">
        <v>7.93</v>
      </c>
      <c r="BN79" s="52">
        <v>7.73</v>
      </c>
      <c r="BO79" s="52">
        <v>7.42</v>
      </c>
      <c r="BP79" s="52">
        <v>8.25</v>
      </c>
      <c r="BQ79" s="52" cm="1">
        <f t="array" aca="1" ref="BQ79" ca="1">_FV(EE79,"Preço")</f>
        <v>8.25</v>
      </c>
      <c r="BR79" s="69" t="s">
        <v>76</v>
      </c>
      <c r="BS79" s="36" cm="1">
        <f t="array" aca="1" ref="BS79" ca="1">_FV(EE79,"Média de volume",TRUE)</f>
        <v>2384000</v>
      </c>
      <c r="BT79" s="36">
        <v>1744000</v>
      </c>
      <c r="BU79" s="36" cm="1">
        <f t="array" aca="1" ref="BU79" ca="1">_FV(EE79,"Volume")</f>
        <v>1744000</v>
      </c>
      <c r="BV79" s="24" cm="1">
        <f t="array" aca="1" ref="BV79" ca="1">_FV(EE79,"Beta")</f>
        <v>1.504</v>
      </c>
      <c r="BW79" s="71" cm="1">
        <f t="array" aca="1" ref="BW79" ca="1">_FV(EE79,"Variação (%)",TRUE)</f>
        <v>-1.4336999999999999E-2</v>
      </c>
      <c r="BY79" s="17" cm="1">
        <f t="array" aca="1" ref="BY79" ca="1">_FV(EE79,"Baixo")</f>
        <v>8.16</v>
      </c>
      <c r="BZ79" s="17" cm="1">
        <f t="array" aca="1" ref="BZ79" ca="1">_FV(EE79,"Alto")</f>
        <v>8.3800000000000008</v>
      </c>
      <c r="CA79" s="24"/>
      <c r="CB79" s="63">
        <f ca="1">SQRT(22.5*(BQ79/VLOOKUP(BR79,Fundamentus!A:U,3,FALSE))*(BQ79/VLOOKUP(BR79,Fundamentus!A:U,4,FALSE)))</f>
        <v>9.6131185258945742</v>
      </c>
      <c r="CD79" s="62">
        <f t="shared" ca="1" si="112"/>
        <v>0</v>
      </c>
      <c r="CE79" s="8"/>
      <c r="CF79" s="61">
        <f t="shared" si="113"/>
        <v>6.18</v>
      </c>
      <c r="CG79" s="61">
        <f t="shared" si="114"/>
        <v>10.72</v>
      </c>
      <c r="CH79" s="61">
        <f t="shared" si="115"/>
        <v>8.1613235294117601</v>
      </c>
      <c r="CI79" s="14"/>
      <c r="CJ79" s="35">
        <f t="shared" si="98"/>
        <v>7.6106251829268201</v>
      </c>
      <c r="CK79" s="15">
        <f t="shared" si="116"/>
        <v>7.9949999999999477</v>
      </c>
      <c r="CL79" s="35">
        <f t="shared" si="99"/>
        <v>8.3793748170730744</v>
      </c>
      <c r="CN79" s="14"/>
      <c r="CO79" s="17">
        <f t="shared" si="100"/>
        <v>1.5066666666666642</v>
      </c>
      <c r="CP79" s="17">
        <f t="shared" si="101"/>
        <v>3.8433333333333319</v>
      </c>
      <c r="CQ79" s="17">
        <f t="shared" si="102"/>
        <v>6.0466666666666651</v>
      </c>
      <c r="CR79" s="38">
        <f t="shared" si="117"/>
        <v>8.3833333333333329</v>
      </c>
      <c r="CS79" s="17">
        <f t="shared" si="103"/>
        <v>10.586666666666666</v>
      </c>
      <c r="CT79" s="17">
        <f t="shared" si="104"/>
        <v>12.923333333333334</v>
      </c>
      <c r="CU79" s="17">
        <f t="shared" si="105"/>
        <v>15.126666666666667</v>
      </c>
      <c r="CV79" s="2" cm="1">
        <f t="array" aca="1" ref="CV79" ca="1">MAX(_xlfn._xlws.FILTER(CO79:CU79,CO79:CU79&lt;BQ79))</f>
        <v>6.0466666666666651</v>
      </c>
      <c r="CW79" s="2" cm="1">
        <f t="array" aca="1" ref="CW79" ca="1">MIN(_xlfn._xlws.FILTER($CO79:$CU79,$CO79:$CU79&gt;BQ79))</f>
        <v>8.3833333333333329</v>
      </c>
      <c r="CX79" s="16">
        <f t="shared" ca="1" si="80"/>
        <v>0.38643880926130136</v>
      </c>
      <c r="CY79" s="20">
        <f t="shared" ca="1" si="81"/>
        <v>-0.19321940463065068</v>
      </c>
      <c r="CZ79" s="20">
        <f t="shared" ca="1" si="82"/>
        <v>-0.12881293642043379</v>
      </c>
      <c r="DA79" s="20">
        <f t="shared" ca="1" si="83"/>
        <v>-7.7287761852260273E-2</v>
      </c>
      <c r="DB79" s="20">
        <f t="shared" ca="1" si="84"/>
        <v>-4.2937645473477927E-2</v>
      </c>
      <c r="DC79" s="20">
        <f t="shared" ca="1" si="85"/>
        <v>-2.2731694662429493E-2</v>
      </c>
      <c r="DD79" s="20">
        <f t="shared" ca="1" si="86"/>
        <v>-1.1710266947312163E-2</v>
      </c>
      <c r="DE79" s="20">
        <f t="shared" ca="1" si="87"/>
        <v>-5.945212450173867E-3</v>
      </c>
      <c r="DF79" s="21">
        <f t="shared" ca="1" si="88"/>
        <v>5.945212450173867E-3</v>
      </c>
      <c r="DG79" s="21">
        <f t="shared" ca="1" si="89"/>
        <v>1.1710266947312163E-2</v>
      </c>
      <c r="DH79" s="21">
        <f t="shared" ca="1" si="90"/>
        <v>2.2731694662429493E-2</v>
      </c>
      <c r="DI79" s="21">
        <f t="shared" ca="1" si="91"/>
        <v>4.2937645473477927E-2</v>
      </c>
      <c r="DJ79" s="21">
        <f t="shared" ca="1" si="92"/>
        <v>7.7287761852260273E-2</v>
      </c>
      <c r="DK79" s="21">
        <f t="shared" ca="1" si="93"/>
        <v>0.12881293642043379</v>
      </c>
      <c r="DL79" s="21">
        <f t="shared" ca="1" si="94"/>
        <v>0.19321940463065068</v>
      </c>
      <c r="DN79" s="16" cm="1">
        <f t="array" aca="1" ref="DN79" ca="1">MAX(_xlfn._xlws.FILTER(CY79:DL79,CY79:DL79&lt;BW79))</f>
        <v>-2.2731694662429493E-2</v>
      </c>
      <c r="DO79" s="16" cm="1">
        <f t="array" aca="1" ref="DO79" ca="1">MIN(_xlfn._xlws.FILTER(CY79:DL79,CY79:DL79&gt;BW79))</f>
        <v>-1.1710266947312163E-2</v>
      </c>
      <c r="DP79" s="2" cm="1">
        <f t="array" aca="1" ref="DP79" ca="1">_FV(EE79,"Fechamento anterior",TRUE)</f>
        <v>8.3699999999999992</v>
      </c>
      <c r="DQ79" s="28">
        <f t="shared" ca="1" si="106"/>
        <v>0.76167782584020538</v>
      </c>
      <c r="DR79" s="15">
        <f t="shared" ca="1" si="95"/>
        <v>8.1797357156754646</v>
      </c>
      <c r="DS79" s="15">
        <f t="shared" ca="1" si="96"/>
        <v>8.2719850656509966</v>
      </c>
      <c r="DT79" s="9"/>
      <c r="DU79" s="9"/>
      <c r="DV79" s="9"/>
      <c r="DW79" s="89">
        <v>1.3568004430368793E-2</v>
      </c>
      <c r="DX79" s="89">
        <f t="shared" ca="1" si="107"/>
        <v>1.102142771511733E-2</v>
      </c>
      <c r="DY79" s="72">
        <f t="shared" ca="1" si="108"/>
        <v>0.66341494987050198</v>
      </c>
      <c r="DZ79" s="37"/>
      <c r="EA79" s="35">
        <f t="shared" si="118"/>
        <v>0.19218740853656363</v>
      </c>
      <c r="EB79" s="56"/>
      <c r="EC79" s="56"/>
      <c r="EE79" s="2" t="e" vm="79">
        <v>#VALUE!</v>
      </c>
      <c r="EG79" s="10" cm="1">
        <f t="array" aca="1" ref="EG79" ca="1">_FV(EE79,"Ações em circulação",TRUE)</f>
        <v>611509500</v>
      </c>
      <c r="EH79" s="18">
        <f>VLOOKUP(BR79,Fundamentus!A:U,5,FALSE)</f>
        <v>0</v>
      </c>
      <c r="EI79" s="2" t="e">
        <f t="shared" ca="1" si="109"/>
        <v>#DIV/0!</v>
      </c>
      <c r="EJ79" s="17" t="e">
        <v>#DIV/0!</v>
      </c>
      <c r="EK79" s="17" t="e">
        <f t="shared" ca="1" si="110"/>
        <v>#DIV/0!</v>
      </c>
      <c r="EM79" s="16" t="e">
        <f t="shared" ca="1" si="97"/>
        <v>#DIV/0!</v>
      </c>
      <c r="EN79" s="32" t="str">
        <f>IF(VLOOKUP(BR79,Fundamentus!A:U,3,FALSE)&lt;15,"Bom",IF(VLOOKUP(BR79,Fundamentus!A:U,3,FALSE)&gt;15,"Ruim","n/a"))</f>
        <v>Bom</v>
      </c>
      <c r="EO79" s="28" t="str">
        <f>IF(VLOOKUP(BR79,Fundamentus!A:U,4,FALSE)&lt;1,"Baixo",IF(VLOOKUP(BR79,Fundamentus!A:U,4,FALSE)&lt;1.5,"Moderado",IF(VLOOKUP(BR79,Fundamentus!A:U,4,FALSE)&gt;1.5,"Alto","n/a")))</f>
        <v>Moderado</v>
      </c>
      <c r="EP79" s="17" t="str">
        <f>IF(VLOOKUP(BR79,Fundamentus!A:U,8,FALSE)&lt;0,"Risco elevado",IF(VLOOKUP(BR79,Fundamentus!A:U,8,FALSE)&lt;1,"Saudável",IF(VLOOKUP(BR79,Fundamentus!A:U,8,FALSE)&lt;3,"Estável",IF(VLOOKUP(BR79,Fundamentus!A:U,8,FALSE)&gt;3,"Alerta","n/a"))))</f>
        <v>Saudável</v>
      </c>
      <c r="EQ79" s="28" t="str">
        <f t="shared" si="111"/>
        <v>Ruim</v>
      </c>
      <c r="ER79" s="17" t="str">
        <f>IF(VLOOKUP(BR79,Fundamentus!A:U,12,FALSE)&lt;2,"Subvalorizada",IF(VLOOKUP(BR79,Fundamentus!A:U,12,FALSE)&lt;6,"Muita barata",IF(VLOOKUP(BR79,Fundamentus!A:U,12,FALSE)&lt;6,"Barata",IF(VLOOKUP(BR79,Fundamentus!A:U,12,FALSE)&lt;8,"Atrativa",IF(VLOOKUP(BR79,Fundamentus!A:U,12,FALSE)&gt;8,"Supervalorizada","n/a")))))</f>
        <v>Subvalorizada</v>
      </c>
      <c r="ET79" s="17" t="str">
        <f>IF(VLOOKUP(BR79,Fundamentus!A:U,17,FALSE)&lt;0.1,"Fraco retorno",IF(VLOOKUP(BR79,Fundamentus!A:U,17,FALSE)&gt;0.1,"Bom retorno","n/a"))</f>
        <v>Bom retorno</v>
      </c>
      <c r="EU79" s="17" t="str">
        <f>IF(VLOOKUP(BR79,Fundamentus!A:U,16,FALSE)&lt;0.1,"Ineficiente",IF(VLOOKUP(BR79,Fundamentus!A:U,16,FALSE)&gt;0.1,"Eficiente","n/a"))</f>
        <v>Ineficiente</v>
      </c>
      <c r="EV79" s="33" t="str">
        <f>IF(VLOOKUP(BR79,Fundamentus!A:U,16,FALSE)&lt;0.1,"Oper. Ineficiente",IF(VLOOKUP(BR79,Fundamentus!A:U,16,FALSE)&gt;0.1,"Oper.Eficiente","n/a"))</f>
        <v>Oper. Ineficiente</v>
      </c>
      <c r="EW79" s="34">
        <f>VLOOKUP(BR79,Fundamentus!A:U,14,FALSE)</f>
        <v>0</v>
      </c>
      <c r="EX79" s="17" t="str">
        <f>IF(VLOOKUP(BR79,Fundamentus!A:U,21,FALSE)&lt;0,"Negativo",IF(VLOOKUP(BR79,Fundamentus!A:U,21,FALSE)&lt;0.05,"Fraco",IF(VLOOKUP(BR79,Fundamentus!A:U,21,FALSE)&lt;0.1,"Bom",IF(VLOOKUP(BR79,Fundamentus!A:U,21,FALSE)&gt;0.1,"Muito bom","n/a"))))</f>
        <v>Fraco</v>
      </c>
      <c r="EZ79" s="29" t="str">
        <f>IF(VLOOKUP(BR79,Fundamentus!A:U,15,FALSE)&gt;1,"Bom",IF(VLOOKUP(BR79,Fundamentus!A:U,15,FALSE)&lt;1,"Ruim","n/a"))</f>
        <v>Ruim</v>
      </c>
      <c r="FA79" s="17" t="str">
        <f>IF(VLOOKUP(BR79,Fundamentus!A:U,20,FALSE)&lt;0.5,"Baixa",IF(VLOOKUP(BR79,Fundamentus!A:U,20,FALSE)&lt;1,"Moderada",IF(VLOOKUP(BR79,Fundamentus!A:U,20,FALSE)&lt;2,"Alerta",IF(VLOOKUP(BR79,Fundamentus!A:U,20,FALSE)&gt;2,"Alta","n/a"))))</f>
        <v>Baixa</v>
      </c>
      <c r="FB79" s="10"/>
    </row>
    <row r="80" spans="1:158" s="2" customFormat="1" ht="11.25"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5">
        <v>42.21</v>
      </c>
      <c r="BC80" s="52">
        <v>44.17</v>
      </c>
      <c r="BD80" s="52">
        <v>43.69</v>
      </c>
      <c r="BE80" s="52">
        <v>42.35</v>
      </c>
      <c r="BF80" s="52">
        <v>42.57</v>
      </c>
      <c r="BG80" s="67">
        <v>42.39</v>
      </c>
      <c r="BH80" s="52">
        <v>41.64</v>
      </c>
      <c r="BI80" s="52">
        <v>42.35</v>
      </c>
      <c r="BJ80" s="52">
        <v>43</v>
      </c>
      <c r="BK80" s="52">
        <v>39.450000000000003</v>
      </c>
      <c r="BL80" s="52">
        <v>42.37</v>
      </c>
      <c r="BM80" s="52">
        <v>36.17</v>
      </c>
      <c r="BN80" s="52">
        <v>37.18</v>
      </c>
      <c r="BO80" s="52">
        <v>38.07</v>
      </c>
      <c r="BP80" s="52">
        <v>35.97</v>
      </c>
      <c r="BQ80" s="52" cm="1">
        <f t="array" aca="1" ref="BQ80" ca="1">_FV(EE80,"Preço")</f>
        <v>35.97</v>
      </c>
      <c r="BR80" s="69" t="s">
        <v>77</v>
      </c>
      <c r="BS80" s="36" cm="1">
        <f t="array" aca="1" ref="BS80" ca="1">_FV(EE80,"Média de volume",TRUE)</f>
        <v>8985530</v>
      </c>
      <c r="BT80" s="36">
        <v>7172700</v>
      </c>
      <c r="BU80" s="36" cm="1">
        <f t="array" aca="1" ref="BU80" ca="1">_FV(EE80,"Volume")</f>
        <v>7172700</v>
      </c>
      <c r="BV80" s="24" cm="1">
        <f t="array" aca="1" ref="BV80" ca="1">_FV(EE80,"Beta")</f>
        <v>0.34339999999999998</v>
      </c>
      <c r="BW80" s="71" cm="1">
        <f t="array" aca="1" ref="BW80" ca="1">_FV(EE80,"Variação (%)",TRUE)</f>
        <v>-1.4250000000000001E-2</v>
      </c>
      <c r="BY80" s="17" cm="1">
        <f t="array" aca="1" ref="BY80" ca="1">_FV(EE80,"Baixo")</f>
        <v>35.72</v>
      </c>
      <c r="BZ80" s="17" cm="1">
        <f t="array" aca="1" ref="BZ80" ca="1">_FV(EE80,"Alto")</f>
        <v>36.799999999999997</v>
      </c>
      <c r="CA80" s="24"/>
      <c r="CB80" s="63">
        <f ca="1">SQRT(22.5*(BQ80/VLOOKUP(BR80,Fundamentus!A:U,3,FALSE))*(BQ80/VLOOKUP(BR80,Fundamentus!A:U,4,FALSE)))</f>
        <v>12.763125111099361</v>
      </c>
      <c r="CD80" s="62">
        <f t="shared" ca="1" si="112"/>
        <v>0</v>
      </c>
      <c r="CE80" s="8"/>
      <c r="CF80" s="61">
        <f t="shared" si="113"/>
        <v>35.97</v>
      </c>
      <c r="CG80" s="61">
        <f t="shared" si="114"/>
        <v>57.87</v>
      </c>
      <c r="CH80" s="61">
        <f t="shared" si="115"/>
        <v>47.597132352941152</v>
      </c>
      <c r="CI80" s="14"/>
      <c r="CJ80" s="35">
        <f t="shared" si="98"/>
        <v>32.618736929691458</v>
      </c>
      <c r="CK80" s="15">
        <f t="shared" si="116"/>
        <v>36.919999999999987</v>
      </c>
      <c r="CL80" s="35">
        <f t="shared" si="99"/>
        <v>41.221263070308517</v>
      </c>
      <c r="CN80" s="14"/>
      <c r="CO80" s="17">
        <f t="shared" si="100"/>
        <v>6.7700000000000102</v>
      </c>
      <c r="CP80" s="17">
        <f t="shared" si="101"/>
        <v>21.370000000000005</v>
      </c>
      <c r="CQ80" s="17">
        <f t="shared" si="102"/>
        <v>28.670000000000009</v>
      </c>
      <c r="CR80" s="38">
        <f t="shared" si="117"/>
        <v>43.27</v>
      </c>
      <c r="CS80" s="17">
        <f t="shared" si="103"/>
        <v>50.570000000000007</v>
      </c>
      <c r="CT80" s="17">
        <f t="shared" si="104"/>
        <v>65.17</v>
      </c>
      <c r="CU80" s="17">
        <f t="shared" si="105"/>
        <v>72.47</v>
      </c>
      <c r="CV80" s="2" cm="1">
        <f t="array" aca="1" ref="CV80" ca="1">MAX(_xlfn._xlws.FILTER(CO80:CU80,CO80:CU80&lt;BQ80))</f>
        <v>28.670000000000009</v>
      </c>
      <c r="CW80" s="2" cm="1">
        <f t="array" aca="1" ref="CW80" ca="1">MIN(_xlfn._xlws.FILTER($CO80:$CU80,$CO80:$CU80&gt;BQ80))</f>
        <v>43.27</v>
      </c>
      <c r="CX80" s="16">
        <f t="shared" ca="1" si="80"/>
        <v>0.50924311126613153</v>
      </c>
      <c r="CY80" s="20">
        <f t="shared" ca="1" si="81"/>
        <v>-0.25462155563306577</v>
      </c>
      <c r="CZ80" s="20">
        <f t="shared" ca="1" si="82"/>
        <v>-0.16974770375537718</v>
      </c>
      <c r="DA80" s="20">
        <f t="shared" ca="1" si="83"/>
        <v>-0.1018486222532263</v>
      </c>
      <c r="DB80" s="20">
        <f t="shared" ca="1" si="84"/>
        <v>-5.6582567918459059E-2</v>
      </c>
      <c r="DC80" s="20">
        <f t="shared" ca="1" si="85"/>
        <v>-2.9955477133301853E-2</v>
      </c>
      <c r="DD80" s="20">
        <f t="shared" ca="1" si="86"/>
        <v>-1.5431609432307015E-2</v>
      </c>
      <c r="DE80" s="20">
        <f t="shared" ca="1" si="87"/>
        <v>-7.8345094040943308E-3</v>
      </c>
      <c r="DF80" s="21">
        <f t="shared" ca="1" si="88"/>
        <v>7.8345094040943308E-3</v>
      </c>
      <c r="DG80" s="21">
        <f t="shared" ca="1" si="89"/>
        <v>1.5431609432307015E-2</v>
      </c>
      <c r="DH80" s="21">
        <f t="shared" ca="1" si="90"/>
        <v>2.9955477133301853E-2</v>
      </c>
      <c r="DI80" s="21">
        <f t="shared" ca="1" si="91"/>
        <v>5.6582567918459059E-2</v>
      </c>
      <c r="DJ80" s="21">
        <f t="shared" ca="1" si="92"/>
        <v>0.1018486222532263</v>
      </c>
      <c r="DK80" s="21">
        <f t="shared" ca="1" si="93"/>
        <v>0.16974770375537718</v>
      </c>
      <c r="DL80" s="21">
        <f t="shared" ca="1" si="94"/>
        <v>0.25462155563306577</v>
      </c>
      <c r="DN80" s="16" cm="1">
        <f t="array" aca="1" ref="DN80" ca="1">MAX(_xlfn._xlws.FILTER(CY80:DL80,CY80:DL80&lt;BW80))</f>
        <v>-1.5431609432307015E-2</v>
      </c>
      <c r="DO80" s="16" cm="1">
        <f t="array" aca="1" ref="DO80" ca="1">MIN(_xlfn._xlws.FILTER(CY80:DL80,CY80:DL80&gt;BW80))</f>
        <v>-7.8345094040943308E-3</v>
      </c>
      <c r="DP80" s="2" cm="1">
        <f t="array" aca="1" ref="DP80" ca="1">_FV(EE80,"Fechamento anterior",TRUE)</f>
        <v>36.49</v>
      </c>
      <c r="DQ80" s="28">
        <f t="shared" ca="1" si="106"/>
        <v>0.15547114615750668</v>
      </c>
      <c r="DR80" s="15">
        <f t="shared" ca="1" si="95"/>
        <v>35.926900571815118</v>
      </c>
      <c r="DS80" s="15">
        <f t="shared" ca="1" si="96"/>
        <v>36.204118751844597</v>
      </c>
      <c r="DT80" s="9"/>
      <c r="DU80" s="9"/>
      <c r="DV80" s="9"/>
      <c r="DW80" s="89">
        <v>1.3062583743653881E-2</v>
      </c>
      <c r="DX80" s="89">
        <f t="shared" ca="1" si="107"/>
        <v>7.5971000282126847E-3</v>
      </c>
      <c r="DY80" s="72">
        <f t="shared" ca="1" si="108"/>
        <v>-0.22086535616893696</v>
      </c>
      <c r="DZ80" s="37"/>
      <c r="EA80" s="35">
        <f t="shared" si="118"/>
        <v>2.150631535154266</v>
      </c>
      <c r="EB80" s="56"/>
      <c r="EC80" s="56"/>
      <c r="EE80" s="2" t="e" vm="80">
        <v>#VALUE!</v>
      </c>
      <c r="EG80" s="10" cm="1">
        <f t="array" aca="1" ref="EG80" ca="1">_FV(EE80,"Ações em circulação",TRUE)</f>
        <v>4197318000</v>
      </c>
      <c r="EH80" s="18">
        <f>VLOOKUP(BR80,Fundamentus!A:U,5,FALSE)</f>
        <v>3.895</v>
      </c>
      <c r="EI80" s="2">
        <f t="shared" ca="1" si="109"/>
        <v>38761881504.492943</v>
      </c>
      <c r="EJ80" s="17">
        <v>6395710448.2413359</v>
      </c>
      <c r="EK80" s="17">
        <f t="shared" ca="1" si="110"/>
        <v>6395710448.2413359</v>
      </c>
      <c r="EM80" s="16">
        <f t="shared" ca="1" si="97"/>
        <v>0</v>
      </c>
      <c r="EN80" s="32" t="str">
        <f>IF(VLOOKUP(BR80,Fundamentus!A:U,3,FALSE)&lt;15,"Bom",IF(VLOOKUP(BR80,Fundamentus!A:U,3,FALSE)&gt;15,"Ruim","n/a"))</f>
        <v>Ruim</v>
      </c>
      <c r="EO80" s="28" t="str">
        <f>IF(VLOOKUP(BR80,Fundamentus!A:U,4,FALSE)&lt;1,"Baixo",IF(VLOOKUP(BR80,Fundamentus!A:U,4,FALSE)&lt;1.5,"Moderado",IF(VLOOKUP(BR80,Fundamentus!A:U,4,FALSE)&gt;1.5,"Alto","n/a")))</f>
        <v>Alto</v>
      </c>
      <c r="EP80" s="17" t="str">
        <f>IF(VLOOKUP(BR80,Fundamentus!A:U,8,FALSE)&lt;0,"Risco elevado",IF(VLOOKUP(BR80,Fundamentus!A:U,8,FALSE)&lt;1,"Saudável",IF(VLOOKUP(BR80,Fundamentus!A:U,8,FALSE)&lt;3,"Estável",IF(VLOOKUP(BR80,Fundamentus!A:U,8,FALSE)&gt;3,"Alerta","n/a"))))</f>
        <v>Alerta</v>
      </c>
      <c r="EQ80" s="28" t="str">
        <f t="shared" si="111"/>
        <v>Bom</v>
      </c>
      <c r="ER80" s="17" t="str">
        <f>IF(VLOOKUP(BR80,Fundamentus!A:U,12,FALSE)&lt;2,"Subvalorizada",IF(VLOOKUP(BR80,Fundamentus!A:U,12,FALSE)&lt;6,"Muita barata",IF(VLOOKUP(BR80,Fundamentus!A:U,12,FALSE)&lt;6,"Barata",IF(VLOOKUP(BR80,Fundamentus!A:U,12,FALSE)&lt;8,"Atrativa",IF(VLOOKUP(BR80,Fundamentus!A:U,12,FALSE)&gt;8,"Supervalorizada","n/a")))))</f>
        <v>Supervalorizada</v>
      </c>
      <c r="ET80" s="17" t="str">
        <f>IF(VLOOKUP(BR80,Fundamentus!A:U,17,FALSE)&lt;0.1,"Fraco retorno",IF(VLOOKUP(BR80,Fundamentus!A:U,17,FALSE)&gt;0.1,"Bom retorno","n/a"))</f>
        <v>Bom retorno</v>
      </c>
      <c r="EU80" s="17" t="str">
        <f>IF(VLOOKUP(BR80,Fundamentus!A:U,16,FALSE)&lt;0.1,"Ineficiente",IF(VLOOKUP(BR80,Fundamentus!A:U,16,FALSE)&gt;0.1,"Eficiente","n/a"))</f>
        <v>Eficiente</v>
      </c>
      <c r="EV80" s="33" t="str">
        <f>IF(VLOOKUP(BR80,Fundamentus!A:U,16,FALSE)&lt;0.1,"Oper. Ineficiente",IF(VLOOKUP(BR80,Fundamentus!A:U,16,FALSE)&gt;0.1,"Oper.Eficiente","n/a"))</f>
        <v>Oper.Eficiente</v>
      </c>
      <c r="EW80" s="34">
        <f>VLOOKUP(BR80,Fundamentus!A:U,14,FALSE)</f>
        <v>0.16500000000000001</v>
      </c>
      <c r="EX80" s="17" t="str">
        <f>IF(VLOOKUP(BR80,Fundamentus!A:U,21,FALSE)&lt;0,"Negativo",IF(VLOOKUP(BR80,Fundamentus!A:U,21,FALSE)&lt;0.05,"Fraco",IF(VLOOKUP(BR80,Fundamentus!A:U,21,FALSE)&lt;0.1,"Bom",IF(VLOOKUP(BR80,Fundamentus!A:U,21,FALSE)&gt;0.1,"Muito bom","n/a"))))</f>
        <v>Muito bom</v>
      </c>
      <c r="EZ80" s="29" t="str">
        <f>IF(VLOOKUP(BR80,Fundamentus!A:U,15,FALSE)&gt;1,"Bom",IF(VLOOKUP(BR80,Fundamentus!A:U,15,FALSE)&lt;1,"Ruim","n/a"))</f>
        <v>Bom</v>
      </c>
      <c r="FA80" s="17" t="str">
        <f>IF(VLOOKUP(BR80,Fundamentus!A:U,20,FALSE)&lt;0.5,"Baixa",IF(VLOOKUP(BR80,Fundamentus!A:U,20,FALSE)&lt;1,"Moderada",IF(VLOOKUP(BR80,Fundamentus!A:U,20,FALSE)&lt;2,"Alerta",IF(VLOOKUP(BR80,Fundamentus!A:U,20,FALSE)&gt;2,"Alta","n/a"))))</f>
        <v>Baixa</v>
      </c>
      <c r="FB80" s="10"/>
    </row>
    <row r="81" spans="1:158" s="2" customFormat="1" ht="11.25"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5">
        <v>39.82</v>
      </c>
      <c r="BC81" s="52">
        <v>40.74</v>
      </c>
      <c r="BD81" s="52">
        <v>40.450000000000003</v>
      </c>
      <c r="BE81" s="52">
        <v>41.06</v>
      </c>
      <c r="BF81" s="52">
        <v>40.6</v>
      </c>
      <c r="BG81" s="67">
        <v>40.46</v>
      </c>
      <c r="BH81" s="52">
        <v>40.049999999999997</v>
      </c>
      <c r="BI81" s="52">
        <v>45.03</v>
      </c>
      <c r="BJ81" s="52">
        <v>46.3</v>
      </c>
      <c r="BK81" s="52">
        <v>41.6</v>
      </c>
      <c r="BL81" s="52">
        <v>41.71</v>
      </c>
      <c r="BM81" s="52">
        <v>42.15</v>
      </c>
      <c r="BN81" s="52">
        <v>40.200000000000003</v>
      </c>
      <c r="BO81" s="52">
        <v>40.6</v>
      </c>
      <c r="BP81" s="52">
        <v>39.35</v>
      </c>
      <c r="BQ81" s="52" cm="1">
        <f t="array" aca="1" ref="BQ81" ca="1">_FV(EE81,"Preço")</f>
        <v>39.35</v>
      </c>
      <c r="BR81" s="69" t="s">
        <v>78</v>
      </c>
      <c r="BS81" s="36" cm="1">
        <f t="array" aca="1" ref="BS81" ca="1">_FV(EE81,"Média de volume",TRUE)</f>
        <v>874140</v>
      </c>
      <c r="BT81" s="36">
        <v>935800</v>
      </c>
      <c r="BU81" s="36" cm="1">
        <f t="array" aca="1" ref="BU81" ca="1">_FV(EE81,"Volume")</f>
        <v>935800</v>
      </c>
      <c r="BV81" s="24" cm="1">
        <f t="array" aca="1" ref="BV81" ca="1">_FV(EE81,"Beta")</f>
        <v>0.5806</v>
      </c>
      <c r="BW81" s="71" cm="1">
        <f t="array" aca="1" ref="BW81" ca="1">_FV(EE81,"Variação (%)",TRUE)</f>
        <v>2.542E-4</v>
      </c>
      <c r="BY81" s="17" cm="1">
        <f t="array" aca="1" ref="BY81" ca="1">_FV(EE81,"Baixo")</f>
        <v>38.96</v>
      </c>
      <c r="BZ81" s="17" cm="1">
        <f t="array" aca="1" ref="BZ81" ca="1">_FV(EE81,"Alto")</f>
        <v>39.72</v>
      </c>
      <c r="CA81" s="24"/>
      <c r="CB81" s="63">
        <f ca="1">SQRT(22.5*(BQ81/VLOOKUP(BR81,Fundamentus!A:U,3,FALSE))*(BQ81/VLOOKUP(BR81,Fundamentus!A:U,4,FALSE)))</f>
        <v>34.296926184918284</v>
      </c>
      <c r="CD81" s="62">
        <f t="shared" ca="1" si="112"/>
        <v>0</v>
      </c>
      <c r="CE81" s="8"/>
      <c r="CF81" s="61">
        <f t="shared" si="113"/>
        <v>34.950000000000003</v>
      </c>
      <c r="CG81" s="61">
        <f t="shared" si="114"/>
        <v>46.61</v>
      </c>
      <c r="CH81" s="61">
        <f t="shared" si="115"/>
        <v>40.922573529411757</v>
      </c>
      <c r="CI81" s="14"/>
      <c r="CJ81" s="35">
        <f t="shared" si="98"/>
        <v>37.113745744231849</v>
      </c>
      <c r="CK81" s="15">
        <f t="shared" si="116"/>
        <v>38.574999999999818</v>
      </c>
      <c r="CL81" s="35">
        <f t="shared" si="99"/>
        <v>40.036254255767787</v>
      </c>
      <c r="CN81" s="14"/>
      <c r="CO81" s="17">
        <f t="shared" si="100"/>
        <v>22.336666666666673</v>
      </c>
      <c r="CP81" s="17">
        <f t="shared" si="101"/>
        <v>28.643333333333338</v>
      </c>
      <c r="CQ81" s="17">
        <f t="shared" si="102"/>
        <v>33.99666666666667</v>
      </c>
      <c r="CR81" s="38">
        <f t="shared" si="117"/>
        <v>40.303333333333335</v>
      </c>
      <c r="CS81" s="17">
        <f t="shared" si="103"/>
        <v>45.656666666666666</v>
      </c>
      <c r="CT81" s="17">
        <f t="shared" si="104"/>
        <v>51.963333333333331</v>
      </c>
      <c r="CU81" s="17">
        <f t="shared" si="105"/>
        <v>57.316666666666663</v>
      </c>
      <c r="CV81" s="2" cm="1">
        <f t="array" aca="1" ref="CV81" ca="1">MAX(_xlfn._xlws.FILTER(CO81:CU81,CO81:CU81&lt;BQ81))</f>
        <v>33.99666666666667</v>
      </c>
      <c r="CW81" s="2" cm="1">
        <f t="array" aca="1" ref="CW81" ca="1">MIN(_xlfn._xlws.FILTER($CO81:$CU81,$CO81:$CU81&gt;BQ81))</f>
        <v>40.303333333333335</v>
      </c>
      <c r="CX81" s="16">
        <f t="shared" ca="1" si="80"/>
        <v>0.18550838317482099</v>
      </c>
      <c r="CY81" s="20">
        <f t="shared" ca="1" si="81"/>
        <v>-9.2754191587410495E-2</v>
      </c>
      <c r="CZ81" s="20">
        <f t="shared" ca="1" si="82"/>
        <v>-6.1836127724940328E-2</v>
      </c>
      <c r="DA81" s="20">
        <f t="shared" ca="1" si="83"/>
        <v>-3.7101676634964199E-2</v>
      </c>
      <c r="DB81" s="20">
        <f t="shared" ca="1" si="84"/>
        <v>-2.0612042574980109E-2</v>
      </c>
      <c r="DC81" s="20">
        <f t="shared" ca="1" si="85"/>
        <v>-1.0912257833812999E-2</v>
      </c>
      <c r="DD81" s="20">
        <f t="shared" ca="1" si="86"/>
        <v>-5.6214661568127575E-3</v>
      </c>
      <c r="DE81" s="20">
        <f t="shared" ca="1" si="87"/>
        <v>-2.8539751257664766E-3</v>
      </c>
      <c r="DF81" s="21">
        <f t="shared" ca="1" si="88"/>
        <v>2.8539751257664766E-3</v>
      </c>
      <c r="DG81" s="21">
        <f t="shared" ca="1" si="89"/>
        <v>5.6214661568127575E-3</v>
      </c>
      <c r="DH81" s="21">
        <f t="shared" ca="1" si="90"/>
        <v>1.0912257833812999E-2</v>
      </c>
      <c r="DI81" s="21">
        <f t="shared" ca="1" si="91"/>
        <v>2.0612042574980109E-2</v>
      </c>
      <c r="DJ81" s="21">
        <f t="shared" ca="1" si="92"/>
        <v>3.7101676634964199E-2</v>
      </c>
      <c r="DK81" s="21">
        <f t="shared" ca="1" si="93"/>
        <v>6.1836127724940328E-2</v>
      </c>
      <c r="DL81" s="21">
        <f t="shared" ca="1" si="94"/>
        <v>9.2754191587410495E-2</v>
      </c>
      <c r="DN81" s="16" cm="1">
        <f t="array" aca="1" ref="DN81" ca="1">MAX(_xlfn._xlws.FILTER(CY81:DL81,CY81:DL81&lt;BW81))</f>
        <v>-2.8539751257664766E-3</v>
      </c>
      <c r="DO81" s="16" cm="1">
        <f t="array" aca="1" ref="DO81" ca="1">MIN(_xlfn._xlws.FILTER(CY81:DL81,CY81:DL81&gt;BW81))</f>
        <v>2.8539751257664766E-3</v>
      </c>
      <c r="DP81" s="2" cm="1">
        <f t="array" aca="1" ref="DP81" ca="1">_FV(EE81,"Fechamento anterior",TRUE)</f>
        <v>39.340000000000003</v>
      </c>
      <c r="DQ81" s="28">
        <f t="shared" ca="1" si="106"/>
        <v>0.54453336016792087</v>
      </c>
      <c r="DR81" s="15">
        <f t="shared" ca="1" si="95"/>
        <v>39.227724618552351</v>
      </c>
      <c r="DS81" s="15">
        <f t="shared" ca="1" si="96"/>
        <v>39.452275381447656</v>
      </c>
      <c r="DT81" s="9"/>
      <c r="DU81" s="9"/>
      <c r="DV81" s="9"/>
      <c r="DW81" s="89">
        <v>8.8422008673313332E-3</v>
      </c>
      <c r="DX81" s="89">
        <f t="shared" ca="1" si="107"/>
        <v>5.7079502515329531E-3</v>
      </c>
      <c r="DY81" s="72">
        <f t="shared" ca="1" si="108"/>
        <v>0.53036629110987843</v>
      </c>
      <c r="DZ81" s="37"/>
      <c r="EA81" s="35">
        <f t="shared" si="118"/>
        <v>0.73062712788398321</v>
      </c>
      <c r="EB81" s="56"/>
      <c r="EC81" s="56"/>
      <c r="EE81" s="2" t="e" vm="81">
        <v>#VALUE!</v>
      </c>
      <c r="EG81" s="10" cm="1">
        <f t="array" aca="1" ref="EG81" ca="1">_FV(EE81,"Ações em circulação",TRUE)</f>
        <v>815927700</v>
      </c>
      <c r="EH81" s="18">
        <f>VLOOKUP(BR81,Fundamentus!A:U,5,FALSE)</f>
        <v>2.9860000000000002</v>
      </c>
      <c r="EI81" s="2">
        <f t="shared" ca="1" si="109"/>
        <v>10752429670.12726</v>
      </c>
      <c r="EJ81" s="17">
        <v>3187020154.2257199</v>
      </c>
      <c r="EK81" s="17">
        <f t="shared" ca="1" si="110"/>
        <v>3187020154.2257199</v>
      </c>
      <c r="EM81" s="16">
        <f t="shared" ca="1" si="97"/>
        <v>0</v>
      </c>
      <c r="EN81" s="32" t="str">
        <f>IF(VLOOKUP(BR81,Fundamentus!A:U,3,FALSE)&lt;15,"Bom",IF(VLOOKUP(BR81,Fundamentus!A:U,3,FALSE)&gt;15,"Ruim","n/a"))</f>
        <v>Bom</v>
      </c>
      <c r="EO81" s="28" t="str">
        <f>IF(VLOOKUP(BR81,Fundamentus!A:U,4,FALSE)&lt;1,"Baixo",IF(VLOOKUP(BR81,Fundamentus!A:U,4,FALSE)&lt;1.5,"Moderado",IF(VLOOKUP(BR81,Fundamentus!A:U,4,FALSE)&gt;1.5,"Alto","n/a")))</f>
        <v>Alto</v>
      </c>
      <c r="EP81" s="17" t="str">
        <f>IF(VLOOKUP(BR81,Fundamentus!A:U,8,FALSE)&lt;0,"Risco elevado",IF(VLOOKUP(BR81,Fundamentus!A:U,8,FALSE)&lt;1,"Saudável",IF(VLOOKUP(BR81,Fundamentus!A:U,8,FALSE)&lt;3,"Estável",IF(VLOOKUP(BR81,Fundamentus!A:U,8,FALSE)&gt;3,"Alerta","n/a"))))</f>
        <v>Alerta</v>
      </c>
      <c r="EQ81" s="28" t="str">
        <f t="shared" si="111"/>
        <v>Bom</v>
      </c>
      <c r="ER81" s="17" t="str">
        <f>IF(VLOOKUP(BR81,Fundamentus!A:U,12,FALSE)&lt;2,"Subvalorizada",IF(VLOOKUP(BR81,Fundamentus!A:U,12,FALSE)&lt;6,"Muita barata",IF(VLOOKUP(BR81,Fundamentus!A:U,12,FALSE)&lt;6,"Barata",IF(VLOOKUP(BR81,Fundamentus!A:U,12,FALSE)&lt;8,"Atrativa",IF(VLOOKUP(BR81,Fundamentus!A:U,12,FALSE)&gt;8,"Supervalorizada","n/a")))))</f>
        <v>Atrativa</v>
      </c>
      <c r="ET81" s="17" t="str">
        <f>IF(VLOOKUP(BR81,Fundamentus!A:U,17,FALSE)&lt;0.1,"Fraco retorno",IF(VLOOKUP(BR81,Fundamentus!A:U,17,FALSE)&gt;0.1,"Bom retorno","n/a"))</f>
        <v>Bom retorno</v>
      </c>
      <c r="EU81" s="17" t="str">
        <f>IF(VLOOKUP(BR81,Fundamentus!A:U,16,FALSE)&lt;0.1,"Ineficiente",IF(VLOOKUP(BR81,Fundamentus!A:U,16,FALSE)&gt;0.1,"Eficiente","n/a"))</f>
        <v>Eficiente</v>
      </c>
      <c r="EV81" s="33" t="str">
        <f>IF(VLOOKUP(BR81,Fundamentus!A:U,16,FALSE)&lt;0.1,"Oper. Ineficiente",IF(VLOOKUP(BR81,Fundamentus!A:U,16,FALSE)&gt;0.1,"Oper.Eficiente","n/a"))</f>
        <v>Oper.Eficiente</v>
      </c>
      <c r="EW81" s="34">
        <f>VLOOKUP(BR81,Fundamentus!A:U,14,FALSE)</f>
        <v>0.2964</v>
      </c>
      <c r="EX81" s="17" t="str">
        <f>IF(VLOOKUP(BR81,Fundamentus!A:U,21,FALSE)&lt;0,"Negativo",IF(VLOOKUP(BR81,Fundamentus!A:U,21,FALSE)&lt;0.05,"Fraco",IF(VLOOKUP(BR81,Fundamentus!A:U,21,FALSE)&lt;0.1,"Bom",IF(VLOOKUP(BR81,Fundamentus!A:U,21,FALSE)&gt;0.1,"Muito bom","n/a"))))</f>
        <v>Negativo</v>
      </c>
      <c r="EZ81" s="29" t="str">
        <f>IF(VLOOKUP(BR81,Fundamentus!A:U,15,FALSE)&gt;1,"Bom",IF(VLOOKUP(BR81,Fundamentus!A:U,15,FALSE)&lt;1,"Ruim","n/a"))</f>
        <v>Bom</v>
      </c>
      <c r="FA81" s="17" t="str">
        <f>IF(VLOOKUP(BR81,Fundamentus!A:U,20,FALSE)&lt;0.5,"Baixa",IF(VLOOKUP(BR81,Fundamentus!A:U,20,FALSE)&lt;1,"Moderada",IF(VLOOKUP(BR81,Fundamentus!A:U,20,FALSE)&lt;2,"Alerta",IF(VLOOKUP(BR81,Fundamentus!A:U,20,FALSE)&gt;2,"Alta","n/a"))))</f>
        <v>Alta</v>
      </c>
      <c r="FB81" s="10"/>
    </row>
    <row r="82" spans="1:158" s="2" customFormat="1" ht="11.25"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5">
        <v>42.5</v>
      </c>
      <c r="BC82" s="52">
        <v>39.18</v>
      </c>
      <c r="BD82" s="52">
        <v>41.74</v>
      </c>
      <c r="BE82" s="52">
        <v>40.119999999999997</v>
      </c>
      <c r="BF82" s="52">
        <v>39.03</v>
      </c>
      <c r="BG82" s="67">
        <v>39.03</v>
      </c>
      <c r="BH82" s="52">
        <v>39.03</v>
      </c>
      <c r="BI82" s="52">
        <v>39.03</v>
      </c>
      <c r="BJ82" s="52">
        <v>39.03</v>
      </c>
      <c r="BK82" s="52">
        <v>39.03</v>
      </c>
      <c r="BL82" s="52">
        <v>39.03</v>
      </c>
      <c r="BM82" s="52">
        <v>39.03</v>
      </c>
      <c r="BN82" s="52">
        <v>39.03</v>
      </c>
      <c r="BO82" s="52">
        <v>39.03</v>
      </c>
      <c r="BP82" s="52">
        <v>39.03</v>
      </c>
      <c r="BQ82" s="52" cm="1">
        <f t="array" aca="1" ref="BQ82" ca="1">_FV(EE82,"Preço")</f>
        <v>39.03</v>
      </c>
      <c r="BR82" s="69" t="s">
        <v>79</v>
      </c>
      <c r="BS82" s="36" cm="1">
        <f t="array" aca="1" ref="BS82" ca="1">_FV(EE82,"Média de volume",TRUE)</f>
        <v>23419940</v>
      </c>
      <c r="BT82" s="36">
        <v>94391100</v>
      </c>
      <c r="BU82" s="36" cm="1">
        <f t="array" aca="1" ref="BU82" ca="1">_FV(EE82,"Volume")</f>
        <v>94391100</v>
      </c>
      <c r="BV82" s="24" cm="1">
        <f t="array" aca="1" ref="BV82" ca="1">_FV(EE82,"Beta")</f>
        <v>0.49909999999999999</v>
      </c>
      <c r="BW82" s="71" cm="1">
        <f t="array" aca="1" ref="BW82" ca="1">_FV(EE82,"Variação (%)",TRUE)</f>
        <v>0</v>
      </c>
      <c r="BY82" s="17" cm="1">
        <f t="array" aca="1" ref="BY82" ca="1">_FV(EE82,"Baixo")</f>
        <v>38.4</v>
      </c>
      <c r="BZ82" s="17" cm="1">
        <f t="array" aca="1" ref="BZ82" ca="1">_FV(EE82,"Alto")</f>
        <v>40.06</v>
      </c>
      <c r="CA82" s="24"/>
      <c r="CB82" s="63">
        <f ca="1">SQRT(22.5*(BQ82/VLOOKUP(BR82,Fundamentus!A:U,3,FALSE))*(BQ82/VLOOKUP(BR82,Fundamentus!A:U,4,FALSE)))</f>
        <v>118.86727711875339</v>
      </c>
      <c r="CD82" s="62">
        <f t="shared" ca="1" si="112"/>
        <v>0</v>
      </c>
      <c r="CE82" s="8"/>
      <c r="CF82" s="61">
        <f t="shared" si="113"/>
        <v>23.86</v>
      </c>
      <c r="CG82" s="61">
        <f t="shared" si="114"/>
        <v>47.87</v>
      </c>
      <c r="CH82" s="61">
        <f t="shared" si="115"/>
        <v>35.500882352941204</v>
      </c>
      <c r="CI82" s="14"/>
      <c r="CJ82" s="35">
        <f t="shared" si="98"/>
        <v>39.03</v>
      </c>
      <c r="CK82" s="15">
        <f t="shared" si="116"/>
        <v>39.03</v>
      </c>
      <c r="CL82" s="35">
        <f t="shared" si="99"/>
        <v>39.03</v>
      </c>
      <c r="CN82" s="14"/>
      <c r="CO82" s="17">
        <f t="shared" si="100"/>
        <v>1.9599999999999937</v>
      </c>
      <c r="CP82" s="17">
        <f t="shared" si="101"/>
        <v>12.909999999999997</v>
      </c>
      <c r="CQ82" s="17">
        <f t="shared" si="102"/>
        <v>25.969999999999992</v>
      </c>
      <c r="CR82" s="38">
        <f t="shared" si="117"/>
        <v>36.919999999999995</v>
      </c>
      <c r="CS82" s="17">
        <f t="shared" si="103"/>
        <v>49.97999999999999</v>
      </c>
      <c r="CT82" s="17">
        <f t="shared" si="104"/>
        <v>60.929999999999993</v>
      </c>
      <c r="CU82" s="17">
        <f t="shared" si="105"/>
        <v>73.989999999999981</v>
      </c>
      <c r="CV82" s="2" cm="1">
        <f t="array" aca="1" ref="CV82" ca="1">MAX(_xlfn._xlws.FILTER(CO82:CU82,CO82:CU82&lt;BQ82))</f>
        <v>36.919999999999995</v>
      </c>
      <c r="CW82" s="2" cm="1">
        <f t="array" aca="1" ref="CW82" ca="1">MIN(_xlfn._xlws.FILTER($CO82:$CU82,$CO82:$CU82&gt;BQ82))</f>
        <v>49.97999999999999</v>
      </c>
      <c r="CX82" s="16">
        <f t="shared" ca="1" si="80"/>
        <v>0.35373781148429018</v>
      </c>
      <c r="CY82" s="20">
        <f t="shared" ca="1" si="81"/>
        <v>-0.17686890574214509</v>
      </c>
      <c r="CZ82" s="20">
        <f t="shared" ca="1" si="82"/>
        <v>-0.11791260382809672</v>
      </c>
      <c r="DA82" s="20">
        <f t="shared" ca="1" si="83"/>
        <v>-7.0747562296858038E-2</v>
      </c>
      <c r="DB82" s="20">
        <f t="shared" ca="1" si="84"/>
        <v>-3.9304201276032243E-2</v>
      </c>
      <c r="DC82" s="20">
        <f t="shared" ca="1" si="85"/>
        <v>-2.0808106557899421E-2</v>
      </c>
      <c r="DD82" s="20">
        <f t="shared" ca="1" si="86"/>
        <v>-1.0719327620736066E-2</v>
      </c>
      <c r="DE82" s="20">
        <f t="shared" ca="1" si="87"/>
        <v>-5.4421201766813873E-3</v>
      </c>
      <c r="DF82" s="21">
        <f t="shared" ca="1" si="88"/>
        <v>5.4421201766813873E-3</v>
      </c>
      <c r="DG82" s="21">
        <f t="shared" ca="1" si="89"/>
        <v>1.0719327620736066E-2</v>
      </c>
      <c r="DH82" s="21">
        <f t="shared" ca="1" si="90"/>
        <v>2.0808106557899421E-2</v>
      </c>
      <c r="DI82" s="21">
        <f t="shared" ca="1" si="91"/>
        <v>3.9304201276032243E-2</v>
      </c>
      <c r="DJ82" s="21">
        <f t="shared" ca="1" si="92"/>
        <v>7.0747562296858038E-2</v>
      </c>
      <c r="DK82" s="21">
        <f t="shared" ca="1" si="93"/>
        <v>0.11791260382809672</v>
      </c>
      <c r="DL82" s="21">
        <f t="shared" ca="1" si="94"/>
        <v>0.17686890574214509</v>
      </c>
      <c r="DN82" s="16" cm="1">
        <f t="array" aca="1" ref="DN82" ca="1">MAX(_xlfn._xlws.FILTER(CY82:DL82,CY82:DL82&lt;BW82))</f>
        <v>-5.4421201766813873E-3</v>
      </c>
      <c r="DO82" s="16" cm="1">
        <f t="array" aca="1" ref="DO82" ca="1">MIN(_xlfn._xlws.FILTER(CY82:DL82,CY82:DL82&gt;BW82))</f>
        <v>5.4421201766813873E-3</v>
      </c>
      <c r="DP82" s="2" cm="1">
        <f t="array" aca="1" ref="DP82" ca="1">_FV(EE82,"Fechamento anterior",TRUE)</f>
        <v>38.29</v>
      </c>
      <c r="DQ82" s="28">
        <f t="shared" ca="1" si="106"/>
        <v>2.2756126474151319</v>
      </c>
      <c r="DR82" s="15">
        <f t="shared" ca="1" si="95"/>
        <v>38.081621218434869</v>
      </c>
      <c r="DS82" s="15">
        <f t="shared" ca="1" si="96"/>
        <v>38.49837878156513</v>
      </c>
      <c r="DT82" s="9"/>
      <c r="DU82" s="9"/>
      <c r="DV82" s="9"/>
      <c r="DW82" s="89">
        <v>1.0884240353362775E-2</v>
      </c>
      <c r="DX82" s="89">
        <f t="shared" ca="1" si="107"/>
        <v>1.0884240353362775E-2</v>
      </c>
      <c r="DY82" s="72" t="e">
        <f t="shared" ca="1" si="108"/>
        <v>#DIV/0!</v>
      </c>
      <c r="DZ82" s="37"/>
      <c r="EA82" s="35">
        <f t="shared" si="118"/>
        <v>0</v>
      </c>
      <c r="EB82" s="56"/>
      <c r="EC82" s="56"/>
      <c r="EE82" s="2" t="e" vm="82">
        <v>#VALUE!</v>
      </c>
      <c r="EG82" s="10" cm="1">
        <f t="array" aca="1" ref="EG82" ca="1">_FV(EE82,"Ações em circulação",TRUE)</f>
        <v>2218116000</v>
      </c>
      <c r="EH82" s="18">
        <f>VLOOKUP(BR82,Fundamentus!A:U,5,FALSE)</f>
        <v>7.6999999999999999E-2</v>
      </c>
      <c r="EI82" s="2">
        <f t="shared" ca="1" si="109"/>
        <v>1124325551688.3118</v>
      </c>
      <c r="EJ82" s="17">
        <v>30918952671.428574</v>
      </c>
      <c r="EK82" s="17">
        <f t="shared" ca="1" si="110"/>
        <v>30918952671.428574</v>
      </c>
      <c r="EM82" s="16">
        <f t="shared" ca="1" si="97"/>
        <v>0</v>
      </c>
      <c r="EN82" s="32" t="str">
        <f>IF(VLOOKUP(BR82,Fundamentus!A:U,3,FALSE)&lt;15,"Bom",IF(VLOOKUP(BR82,Fundamentus!A:U,3,FALSE)&gt;15,"Ruim","n/a"))</f>
        <v>Bom</v>
      </c>
      <c r="EO82" s="28" t="str">
        <f>IF(VLOOKUP(BR82,Fundamentus!A:U,4,FALSE)&lt;1,"Baixo",IF(VLOOKUP(BR82,Fundamentus!A:U,4,FALSE)&lt;1.5,"Moderado",IF(VLOOKUP(BR82,Fundamentus!A:U,4,FALSE)&gt;1.5,"Alto","n/a")))</f>
        <v>Baixo</v>
      </c>
      <c r="EP82" s="17" t="str">
        <f>IF(VLOOKUP(BR82,Fundamentus!A:U,8,FALSE)&lt;0,"Risco elevado",IF(VLOOKUP(BR82,Fundamentus!A:U,8,FALSE)&lt;1,"Saudável",IF(VLOOKUP(BR82,Fundamentus!A:U,8,FALSE)&lt;3,"Estável",IF(VLOOKUP(BR82,Fundamentus!A:U,8,FALSE)&gt;3,"Alerta","n/a"))))</f>
        <v>Saudável</v>
      </c>
      <c r="EQ82" s="28" t="str">
        <f t="shared" si="111"/>
        <v>Ruim</v>
      </c>
      <c r="ER82" s="17" t="str">
        <f>IF(VLOOKUP(BR82,Fundamentus!A:U,12,FALSE)&lt;2,"Subvalorizada",IF(VLOOKUP(BR82,Fundamentus!A:U,12,FALSE)&lt;6,"Muita barata",IF(VLOOKUP(BR82,Fundamentus!A:U,12,FALSE)&lt;6,"Barata",IF(VLOOKUP(BR82,Fundamentus!A:U,12,FALSE)&lt;8,"Atrativa",IF(VLOOKUP(BR82,Fundamentus!A:U,12,FALSE)&gt;8,"Supervalorizada","n/a")))))</f>
        <v>Muita barata</v>
      </c>
      <c r="ET82" s="17" t="str">
        <f>IF(VLOOKUP(BR82,Fundamentus!A:U,17,FALSE)&lt;0.1,"Fraco retorno",IF(VLOOKUP(BR82,Fundamentus!A:U,17,FALSE)&gt;0.1,"Bom retorno","n/a"))</f>
        <v>Bom retorno</v>
      </c>
      <c r="EU82" s="17" t="str">
        <f>IF(VLOOKUP(BR82,Fundamentus!A:U,16,FALSE)&lt;0.1,"Ineficiente",IF(VLOOKUP(BR82,Fundamentus!A:U,16,FALSE)&gt;0.1,"Eficiente","n/a"))</f>
        <v>Eficiente</v>
      </c>
      <c r="EV82" s="33" t="str">
        <f>IF(VLOOKUP(BR82,Fundamentus!A:U,16,FALSE)&lt;0.1,"Oper. Ineficiente",IF(VLOOKUP(BR82,Fundamentus!A:U,16,FALSE)&gt;0.1,"Oper.Eficiente","n/a"))</f>
        <v>Oper.Eficiente</v>
      </c>
      <c r="EW82" s="34">
        <f>VLOOKUP(BR82,Fundamentus!A:U,14,FALSE)</f>
        <v>2.75E-2</v>
      </c>
      <c r="EX82" s="17" t="str">
        <f>IF(VLOOKUP(BR82,Fundamentus!A:U,21,FALSE)&lt;0,"Negativo",IF(VLOOKUP(BR82,Fundamentus!A:U,21,FALSE)&lt;0.05,"Fraco",IF(VLOOKUP(BR82,Fundamentus!A:U,21,FALSE)&lt;0.1,"Bom",IF(VLOOKUP(BR82,Fundamentus!A:U,21,FALSE)&gt;0.1,"Muito bom","n/a"))))</f>
        <v>Bom</v>
      </c>
      <c r="EZ82" s="29" t="str">
        <f>IF(VLOOKUP(BR82,Fundamentus!A:U,15,FALSE)&gt;1,"Bom",IF(VLOOKUP(BR82,Fundamentus!A:U,15,FALSE)&lt;1,"Ruim","n/a"))</f>
        <v>Bom</v>
      </c>
      <c r="FA82" s="17" t="str">
        <f>IF(VLOOKUP(BR82,Fundamentus!A:U,20,FALSE)&lt;0.5,"Baixa",IF(VLOOKUP(BR82,Fundamentus!A:U,20,FALSE)&lt;1,"Moderada",IF(VLOOKUP(BR82,Fundamentus!A:U,20,FALSE)&lt;2,"Alerta",IF(VLOOKUP(BR82,Fundamentus!A:U,20,FALSE)&gt;2,"Alta","n/a"))))</f>
        <v>Alta</v>
      </c>
      <c r="FB82" s="10"/>
    </row>
    <row r="83" spans="1:158" s="2" customFormat="1" ht="11.25"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5">
        <v>8.2100000000000009</v>
      </c>
      <c r="BC83" s="52">
        <v>8.15</v>
      </c>
      <c r="BD83" s="52">
        <v>8.5399999999999991</v>
      </c>
      <c r="BE83" s="52">
        <v>8.7200000000000006</v>
      </c>
      <c r="BF83" s="52">
        <v>8.43</v>
      </c>
      <c r="BG83" s="67">
        <v>8.69</v>
      </c>
      <c r="BH83" s="52">
        <v>8.86</v>
      </c>
      <c r="BI83" s="52">
        <v>8.52</v>
      </c>
      <c r="BJ83" s="52">
        <v>8.4700000000000006</v>
      </c>
      <c r="BK83" s="52">
        <v>8.2899999999999991</v>
      </c>
      <c r="BL83" s="52">
        <v>8.02</v>
      </c>
      <c r="BM83" s="52">
        <v>7.79</v>
      </c>
      <c r="BN83" s="52">
        <v>7.39</v>
      </c>
      <c r="BO83" s="52">
        <v>7.41</v>
      </c>
      <c r="BP83" s="52">
        <v>7.99</v>
      </c>
      <c r="BQ83" s="52" cm="1">
        <f t="array" aca="1" ref="BQ83" ca="1">_FV(EE83,"Preço")</f>
        <v>7.99</v>
      </c>
      <c r="BR83" s="69" t="s">
        <v>80</v>
      </c>
      <c r="BS83" s="36" cm="1">
        <f t="array" aca="1" ref="BS83" ca="1">_FV(EE83,"Média de volume",TRUE)</f>
        <v>213970</v>
      </c>
      <c r="BT83" s="36">
        <v>180800</v>
      </c>
      <c r="BU83" s="36" cm="1">
        <f t="array" aca="1" ref="BU83" ca="1">_FV(EE83,"Volume")</f>
        <v>180800</v>
      </c>
      <c r="BV83" s="24" cm="1">
        <f t="array" aca="1" ref="BV83" ca="1">_FV(EE83,"Beta")</f>
        <v>1.2786999999999999</v>
      </c>
      <c r="BW83" s="71" cm="1">
        <f t="array" aca="1" ref="BW83" ca="1">_FV(EE83,"Variação (%)",TRUE)</f>
        <v>3.0967999999999999E-2</v>
      </c>
      <c r="BY83" s="17" cm="1">
        <f t="array" aca="1" ref="BY83" ca="1">_FV(EE83,"Baixo")</f>
        <v>7.72</v>
      </c>
      <c r="BZ83" s="17" cm="1">
        <f t="array" aca="1" ref="BZ83" ca="1">_FV(EE83,"Alto")</f>
        <v>7.99</v>
      </c>
      <c r="CA83" s="24"/>
      <c r="CB83" s="63">
        <f ca="1">SQRT(22.5*(BQ83/VLOOKUP(BR83,Fundamentus!A:U,3,FALSE))*(BQ83/VLOOKUP(BR83,Fundamentus!A:U,4,FALSE)))</f>
        <v>15.341699418151208</v>
      </c>
      <c r="CD83" s="62">
        <f t="shared" ca="1" si="112"/>
        <v>0</v>
      </c>
      <c r="CE83" s="8"/>
      <c r="CF83" s="61">
        <f t="shared" si="113"/>
        <v>5.0999999999999996</v>
      </c>
      <c r="CG83" s="61">
        <f t="shared" si="114"/>
        <v>8.86</v>
      </c>
      <c r="CH83" s="61">
        <f t="shared" si="115"/>
        <v>6.7272058823529424</v>
      </c>
      <c r="CI83" s="14"/>
      <c r="CJ83" s="35">
        <f t="shared" si="98"/>
        <v>7.1032647561662587</v>
      </c>
      <c r="CK83" s="15">
        <f t="shared" si="116"/>
        <v>7.7999999999999545</v>
      </c>
      <c r="CL83" s="35">
        <f t="shared" si="99"/>
        <v>8.4967352438336494</v>
      </c>
      <c r="CN83" s="14"/>
      <c r="CO83" s="17">
        <f t="shared" si="100"/>
        <v>2.0133333333333336</v>
      </c>
      <c r="CP83" s="17">
        <f t="shared" si="101"/>
        <v>3.5566666666666666</v>
      </c>
      <c r="CQ83" s="17">
        <f t="shared" si="102"/>
        <v>5.7733333333333334</v>
      </c>
      <c r="CR83" s="38">
        <f t="shared" si="117"/>
        <v>7.3166666666666664</v>
      </c>
      <c r="CS83" s="17">
        <f t="shared" si="103"/>
        <v>9.5333333333333332</v>
      </c>
      <c r="CT83" s="17">
        <f t="shared" si="104"/>
        <v>11.076666666666666</v>
      </c>
      <c r="CU83" s="17">
        <f t="shared" si="105"/>
        <v>13.293333333333333</v>
      </c>
      <c r="CV83" s="2" cm="1">
        <f t="array" aca="1" ref="CV83" ca="1">MAX(_xlfn._xlws.FILTER(CO83:CU83,CO83:CU83&lt;BQ83))</f>
        <v>7.3166666666666664</v>
      </c>
      <c r="CW83" s="2" cm="1">
        <f t="array" aca="1" ref="CW83" ca="1">MIN(_xlfn._xlws.FILTER($CO83:$CU83,$CO83:$CU83&gt;BQ83))</f>
        <v>9.5333333333333332</v>
      </c>
      <c r="CX83" s="16">
        <f t="shared" ref="CX83:CX114" ca="1" si="119">(CW83/CV83)-1</f>
        <v>0.30296127562642372</v>
      </c>
      <c r="CY83" s="20">
        <f t="shared" ref="CY83:CY114" ca="1" si="120">-$CX83/2</f>
        <v>-0.15148063781321186</v>
      </c>
      <c r="CZ83" s="20">
        <f t="shared" ref="CZ83:CZ114" ca="1" si="121">-$CX83/3</f>
        <v>-0.10098709187547457</v>
      </c>
      <c r="DA83" s="20">
        <f t="shared" ref="DA83:DA114" ca="1" si="122">-$CX83/5</f>
        <v>-6.0592255125284745E-2</v>
      </c>
      <c r="DB83" s="20">
        <f t="shared" ref="DB83:DB114" ca="1" si="123">-$CX83/9</f>
        <v>-3.3662363958491523E-2</v>
      </c>
      <c r="DC83" s="20">
        <f t="shared" ref="DC83:DC114" ca="1" si="124">-$CX83/17</f>
        <v>-1.782125150743669E-2</v>
      </c>
      <c r="DD83" s="20">
        <f t="shared" ref="DD83:DD114" ca="1" si="125">-$CX83/33</f>
        <v>-9.1806447159522332E-3</v>
      </c>
      <c r="DE83" s="20">
        <f t="shared" ref="DE83:DE114" ca="1" si="126">-$CX83/65</f>
        <v>-4.66094270194498E-3</v>
      </c>
      <c r="DF83" s="21">
        <f t="shared" ref="DF83:DF114" ca="1" si="127">-$CX83/65*-1</f>
        <v>4.66094270194498E-3</v>
      </c>
      <c r="DG83" s="21">
        <f t="shared" ref="DG83:DG114" ca="1" si="128">-$CX83/33*-1</f>
        <v>9.1806447159522332E-3</v>
      </c>
      <c r="DH83" s="21">
        <f t="shared" ref="DH83:DH114" ca="1" si="129">-$CX83/17*-1</f>
        <v>1.782125150743669E-2</v>
      </c>
      <c r="DI83" s="21">
        <f t="shared" ref="DI83:DI114" ca="1" si="130">-$CX83/9*-1</f>
        <v>3.3662363958491523E-2</v>
      </c>
      <c r="DJ83" s="21">
        <f t="shared" ref="DJ83:DJ114" ca="1" si="131">-$CX83/5*-1</f>
        <v>6.0592255125284745E-2</v>
      </c>
      <c r="DK83" s="21">
        <f t="shared" ref="DK83:DK114" ca="1" si="132">-$CX83/3*-1</f>
        <v>0.10098709187547457</v>
      </c>
      <c r="DL83" s="21">
        <f t="shared" ref="DL83:DL114" ca="1" si="133">-$CX83/2*-1</f>
        <v>0.15148063781321186</v>
      </c>
      <c r="DN83" s="16" cm="1">
        <f t="array" aca="1" ref="DN83" ca="1">MAX(_xlfn._xlws.FILTER(CY83:DL83,CY83:DL83&lt;BW83))</f>
        <v>1.782125150743669E-2</v>
      </c>
      <c r="DO83" s="16" cm="1">
        <f t="array" aca="1" ref="DO83" ca="1">MIN(_xlfn._xlws.FILTER(CY83:DL83,CY83:DL83&gt;BW83))</f>
        <v>3.3662363958491523E-2</v>
      </c>
      <c r="DP83" s="2" cm="1">
        <f t="array" aca="1" ref="DP83" ca="1">_FV(EE83,"Fechamento anterior",TRUE)</f>
        <v>7.75</v>
      </c>
      <c r="DQ83" s="28">
        <f t="shared" ca="1" si="106"/>
        <v>0.8298969197186582</v>
      </c>
      <c r="DR83" s="15">
        <f t="shared" ref="DR83:DR114" ca="1" si="134">DP83+(DP83*DN83)</f>
        <v>7.8881146991826343</v>
      </c>
      <c r="DS83" s="15">
        <f t="shared" ref="DS83:DS114" ca="1" si="135">DP83+(DP83*DO83)</f>
        <v>8.0108833206783086</v>
      </c>
      <c r="DT83" s="9"/>
      <c r="DU83" s="9"/>
      <c r="DV83" s="9"/>
      <c r="DW83" s="89">
        <v>4.2374720896012413E-3</v>
      </c>
      <c r="DX83" s="89">
        <f t="shared" ca="1" si="107"/>
        <v>1.5841112451054833E-2</v>
      </c>
      <c r="DY83" s="72">
        <f t="shared" ca="1" si="108"/>
        <v>0.27270042915382781</v>
      </c>
      <c r="DZ83" s="37"/>
      <c r="EA83" s="35">
        <f t="shared" si="118"/>
        <v>0.34836762191684784</v>
      </c>
      <c r="EB83" s="56"/>
      <c r="EC83" s="56"/>
      <c r="EE83" s="2" t="e" vm="83">
        <v>#VALUE!</v>
      </c>
      <c r="EG83" s="10" cm="1">
        <f t="array" aca="1" ref="EG83" ca="1">_FV(EE83,"Ações em circulação",TRUE)</f>
        <v>123812800</v>
      </c>
      <c r="EH83" s="18">
        <f>VLOOKUP(BR83,Fundamentus!A:U,5,FALSE)</f>
        <v>9.4E-2</v>
      </c>
      <c r="EI83" s="2">
        <f t="shared" ca="1" si="109"/>
        <v>10524088000</v>
      </c>
      <c r="EJ83" s="17">
        <v>131551100</v>
      </c>
      <c r="EK83" s="17">
        <f t="shared" ca="1" si="110"/>
        <v>131551100</v>
      </c>
      <c r="EM83" s="16">
        <f t="shared" ca="1" si="97"/>
        <v>0</v>
      </c>
      <c r="EN83" s="32" t="str">
        <f>IF(VLOOKUP(BR83,Fundamentus!A:U,3,FALSE)&lt;15,"Bom",IF(VLOOKUP(BR83,Fundamentus!A:U,3,FALSE)&gt;15,"Ruim","n/a"))</f>
        <v>Bom</v>
      </c>
      <c r="EO83" s="28" t="str">
        <f>IF(VLOOKUP(BR83,Fundamentus!A:U,4,FALSE)&lt;1,"Baixo",IF(VLOOKUP(BR83,Fundamentus!A:U,4,FALSE)&lt;1.5,"Moderado",IF(VLOOKUP(BR83,Fundamentus!A:U,4,FALSE)&gt;1.5,"Alto","n/a")))</f>
        <v>Baixo</v>
      </c>
      <c r="EP83" s="17" t="str">
        <f>IF(VLOOKUP(BR83,Fundamentus!A:U,8,FALSE)&lt;0,"Risco elevado",IF(VLOOKUP(BR83,Fundamentus!A:U,8,FALSE)&lt;1,"Saudável",IF(VLOOKUP(BR83,Fundamentus!A:U,8,FALSE)&lt;3,"Estável",IF(VLOOKUP(BR83,Fundamentus!A:U,8,FALSE)&gt;3,"Alerta","n/a"))))</f>
        <v>Estável</v>
      </c>
      <c r="EQ83" s="28" t="str">
        <f t="shared" si="111"/>
        <v>Ruim</v>
      </c>
      <c r="ER83" s="17" t="str">
        <f>IF(VLOOKUP(BR83,Fundamentus!A:U,12,FALSE)&lt;2,"Subvalorizada",IF(VLOOKUP(BR83,Fundamentus!A:U,12,FALSE)&lt;6,"Muita barata",IF(VLOOKUP(BR83,Fundamentus!A:U,12,FALSE)&lt;6,"Barata",IF(VLOOKUP(BR83,Fundamentus!A:U,12,FALSE)&lt;8,"Atrativa",IF(VLOOKUP(BR83,Fundamentus!A:U,12,FALSE)&gt;8,"Supervalorizada","n/a")))))</f>
        <v>Muita barata</v>
      </c>
      <c r="ET83" s="17" t="str">
        <f>IF(VLOOKUP(BR83,Fundamentus!A:U,17,FALSE)&lt;0.1,"Fraco retorno",IF(VLOOKUP(BR83,Fundamentus!A:U,17,FALSE)&gt;0.1,"Bom retorno","n/a"))</f>
        <v>Fraco retorno</v>
      </c>
      <c r="EU83" s="17" t="str">
        <f>IF(VLOOKUP(BR83,Fundamentus!A:U,16,FALSE)&lt;0.1,"Ineficiente",IF(VLOOKUP(BR83,Fundamentus!A:U,16,FALSE)&gt;0.1,"Eficiente","n/a"))</f>
        <v>Ineficiente</v>
      </c>
      <c r="EV83" s="33" t="str">
        <f>IF(VLOOKUP(BR83,Fundamentus!A:U,16,FALSE)&lt;0.1,"Oper. Ineficiente",IF(VLOOKUP(BR83,Fundamentus!A:U,16,FALSE)&gt;0.1,"Oper.Eficiente","n/a"))</f>
        <v>Oper. Ineficiente</v>
      </c>
      <c r="EW83" s="34">
        <f>VLOOKUP(BR83,Fundamentus!A:U,14,FALSE)</f>
        <v>1.2500000000000001E-2</v>
      </c>
      <c r="EX83" s="17" t="str">
        <f>IF(VLOOKUP(BR83,Fundamentus!A:U,21,FALSE)&lt;0,"Negativo",IF(VLOOKUP(BR83,Fundamentus!A:U,21,FALSE)&lt;0.05,"Fraco",IF(VLOOKUP(BR83,Fundamentus!A:U,21,FALSE)&lt;0.1,"Bom",IF(VLOOKUP(BR83,Fundamentus!A:U,21,FALSE)&gt;0.1,"Muito bom","n/a"))))</f>
        <v>Muito bom</v>
      </c>
      <c r="EZ83" s="29" t="str">
        <f>IF(VLOOKUP(BR83,Fundamentus!A:U,15,FALSE)&gt;1,"Bom",IF(VLOOKUP(BR83,Fundamentus!A:U,15,FALSE)&lt;1,"Ruim","n/a"))</f>
        <v>Bom</v>
      </c>
      <c r="FA83" s="17" t="str">
        <f>IF(VLOOKUP(BR83,Fundamentus!A:U,20,FALSE)&lt;0.5,"Baixa",IF(VLOOKUP(BR83,Fundamentus!A:U,20,FALSE)&lt;1,"Moderada",IF(VLOOKUP(BR83,Fundamentus!A:U,20,FALSE)&lt;2,"Alerta",IF(VLOOKUP(BR83,Fundamentus!A:U,20,FALSE)&gt;2,"Alta","n/a"))))</f>
        <v>Moderada</v>
      </c>
      <c r="FB83" s="10"/>
    </row>
    <row r="84" spans="1:158" s="2" customFormat="1" ht="11.25"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5">
        <v>36.81</v>
      </c>
      <c r="BC84" s="52">
        <v>36.99</v>
      </c>
      <c r="BD84" s="52">
        <v>36.29</v>
      </c>
      <c r="BE84" s="52">
        <v>36.65</v>
      </c>
      <c r="BF84" s="52">
        <v>36.25</v>
      </c>
      <c r="BG84" s="67">
        <v>36.4</v>
      </c>
      <c r="BH84" s="52">
        <v>35.93</v>
      </c>
      <c r="BI84" s="52">
        <v>35.28</v>
      </c>
      <c r="BJ84" s="52">
        <v>36.07</v>
      </c>
      <c r="BK84" s="52">
        <v>34.340000000000003</v>
      </c>
      <c r="BL84" s="52">
        <v>34.22</v>
      </c>
      <c r="BM84" s="52">
        <v>33.880000000000003</v>
      </c>
      <c r="BN84" s="52">
        <v>34.33</v>
      </c>
      <c r="BO84" s="52">
        <v>35.69</v>
      </c>
      <c r="BP84" s="52">
        <v>35.9</v>
      </c>
      <c r="BQ84" s="52" cm="1">
        <f t="array" aca="1" ref="BQ84" ca="1">_FV(EE84,"Preço")</f>
        <v>35.9</v>
      </c>
      <c r="BR84" s="69" t="s">
        <v>81</v>
      </c>
      <c r="BS84" s="36" cm="1">
        <f t="array" aca="1" ref="BS84" ca="1">_FV(EE84,"Média de volume",TRUE)</f>
        <v>7586360</v>
      </c>
      <c r="BT84" s="36">
        <v>5579200</v>
      </c>
      <c r="BU84" s="36" cm="1">
        <f t="array" aca="1" ref="BU84" ca="1">_FV(EE84,"Volume")</f>
        <v>5579200</v>
      </c>
      <c r="BV84" s="24" cm="1">
        <f t="array" aca="1" ref="BV84" ca="1">_FV(EE84,"Beta")</f>
        <v>0.8972</v>
      </c>
      <c r="BW84" s="71" cm="1">
        <f t="array" aca="1" ref="BW84" ca="1">_FV(EE84,"Variação (%)",TRUE)</f>
        <v>1.1268E-2</v>
      </c>
      <c r="BY84" s="17" cm="1">
        <f t="array" aca="1" ref="BY84" ca="1">_FV(EE84,"Baixo")</f>
        <v>35.03</v>
      </c>
      <c r="BZ84" s="17" cm="1">
        <f t="array" aca="1" ref="BZ84" ca="1">_FV(EE84,"Alto")</f>
        <v>35.9</v>
      </c>
      <c r="CA84" s="24"/>
      <c r="CB84" s="63">
        <f ca="1">SQRT(22.5*(BQ84/VLOOKUP(BR84,Fundamentus!A:U,3,FALSE))*(BQ84/VLOOKUP(BR84,Fundamentus!A:U,4,FALSE)))</f>
        <v>35.680878615625389</v>
      </c>
      <c r="CD84" s="62">
        <f t="shared" ca="1" si="112"/>
        <v>0</v>
      </c>
      <c r="CE84" s="8"/>
      <c r="CF84" s="61">
        <f t="shared" si="113"/>
        <v>26.24</v>
      </c>
      <c r="CG84" s="61">
        <f t="shared" si="114"/>
        <v>36.99</v>
      </c>
      <c r="CH84" s="61">
        <f t="shared" si="115"/>
        <v>32.527720588235297</v>
      </c>
      <c r="CI84" s="14"/>
      <c r="CJ84" s="35">
        <f t="shared" si="98"/>
        <v>35.561430942810468</v>
      </c>
      <c r="CK84" s="15">
        <f t="shared" si="116"/>
        <v>36.805000000000291</v>
      </c>
      <c r="CL84" s="35">
        <f t="shared" si="99"/>
        <v>38.048569057190115</v>
      </c>
      <c r="CN84" s="14"/>
      <c r="CO84" s="17">
        <f t="shared" si="100"/>
        <v>18.346666666666653</v>
      </c>
      <c r="CP84" s="17">
        <f t="shared" si="101"/>
        <v>22.293333333333326</v>
      </c>
      <c r="CQ84" s="17">
        <f t="shared" si="102"/>
        <v>29.096666666666657</v>
      </c>
      <c r="CR84" s="38">
        <f t="shared" si="117"/>
        <v>33.043333333333329</v>
      </c>
      <c r="CS84" s="17">
        <f t="shared" si="103"/>
        <v>39.846666666666664</v>
      </c>
      <c r="CT84" s="17">
        <f t="shared" si="104"/>
        <v>43.793333333333337</v>
      </c>
      <c r="CU84" s="17">
        <f t="shared" si="105"/>
        <v>50.596666666666664</v>
      </c>
      <c r="CV84" s="2" cm="1">
        <f t="array" aca="1" ref="CV84" ca="1">MAX(_xlfn._xlws.FILTER(CO84:CU84,CO84:CU84&lt;BQ84))</f>
        <v>33.043333333333329</v>
      </c>
      <c r="CW84" s="2" cm="1">
        <f t="array" aca="1" ref="CW84" ca="1">MIN(_xlfn._xlws.FILTER($CO84:$CU84,$CO84:$CU84&gt;BQ84))</f>
        <v>39.846666666666664</v>
      </c>
      <c r="CX84" s="16">
        <f t="shared" ca="1" si="119"/>
        <v>0.20589125390900853</v>
      </c>
      <c r="CY84" s="20">
        <f t="shared" ca="1" si="120"/>
        <v>-0.10294562695450427</v>
      </c>
      <c r="CZ84" s="20">
        <f t="shared" ca="1" si="121"/>
        <v>-6.863041796966951E-2</v>
      </c>
      <c r="DA84" s="20">
        <f t="shared" ca="1" si="122"/>
        <v>-4.1178250781801706E-2</v>
      </c>
      <c r="DB84" s="20">
        <f t="shared" ca="1" si="123"/>
        <v>-2.2876805989889837E-2</v>
      </c>
      <c r="DC84" s="20">
        <f t="shared" ca="1" si="124"/>
        <v>-1.2111250229941679E-2</v>
      </c>
      <c r="DD84" s="20">
        <f t="shared" ca="1" si="125"/>
        <v>-6.2391289063335915E-3</v>
      </c>
      <c r="DE84" s="20">
        <f t="shared" ca="1" si="126"/>
        <v>-3.1675577524462851E-3</v>
      </c>
      <c r="DF84" s="21">
        <f t="shared" ca="1" si="127"/>
        <v>3.1675577524462851E-3</v>
      </c>
      <c r="DG84" s="21">
        <f t="shared" ca="1" si="128"/>
        <v>6.2391289063335915E-3</v>
      </c>
      <c r="DH84" s="21">
        <f t="shared" ca="1" si="129"/>
        <v>1.2111250229941679E-2</v>
      </c>
      <c r="DI84" s="21">
        <f t="shared" ca="1" si="130"/>
        <v>2.2876805989889837E-2</v>
      </c>
      <c r="DJ84" s="21">
        <f t="shared" ca="1" si="131"/>
        <v>4.1178250781801706E-2</v>
      </c>
      <c r="DK84" s="21">
        <f t="shared" ca="1" si="132"/>
        <v>6.863041796966951E-2</v>
      </c>
      <c r="DL84" s="21">
        <f t="shared" ca="1" si="133"/>
        <v>0.10294562695450427</v>
      </c>
      <c r="DN84" s="16" cm="1">
        <f t="array" aca="1" ref="DN84" ca="1">MAX(_xlfn._xlws.FILTER(CY84:DL84,CY84:DL84&lt;BW84))</f>
        <v>6.2391289063335915E-3</v>
      </c>
      <c r="DO84" s="16" cm="1">
        <f t="array" aca="1" ref="DO84" ca="1">MIN(_xlfn._xlws.FILTER(CY84:DL84,CY84:DL84&gt;BW84))</f>
        <v>1.2111250229941679E-2</v>
      </c>
      <c r="DP84" s="2" cm="1">
        <f t="array" aca="1" ref="DP84" ca="1">_FV(EE84,"Fechamento anterior",TRUE)</f>
        <v>35.5</v>
      </c>
      <c r="DQ84" s="28">
        <f t="shared" ca="1" si="106"/>
        <v>0.85633052356273898</v>
      </c>
      <c r="DR84" s="15">
        <f t="shared" ca="1" si="134"/>
        <v>35.721489076174841</v>
      </c>
      <c r="DS84" s="15">
        <f t="shared" ca="1" si="135"/>
        <v>35.929949383162928</v>
      </c>
      <c r="DT84" s="9"/>
      <c r="DU84" s="9"/>
      <c r="DV84" s="9"/>
      <c r="DW84" s="89">
        <v>1.0677407504314581E-2</v>
      </c>
      <c r="DX84" s="89">
        <f t="shared" ca="1" si="107"/>
        <v>5.8721213236080875E-3</v>
      </c>
      <c r="DY84" s="72">
        <f t="shared" ca="1" si="108"/>
        <v>-0.72774406436694539</v>
      </c>
      <c r="DZ84" s="37"/>
      <c r="EA84" s="35">
        <f t="shared" si="118"/>
        <v>0.62178452859491318</v>
      </c>
      <c r="EB84" s="56"/>
      <c r="EC84" s="56"/>
      <c r="EE84" s="2" t="e" vm="84">
        <v>#VALUE!</v>
      </c>
      <c r="EG84" s="10" cm="1">
        <f t="array" aca="1" ref="EG84" ca="1">_FV(EE84,"Ações em circulação",TRUE)</f>
        <v>1254548000</v>
      </c>
      <c r="EH84" s="18">
        <f>VLOOKUP(BR84,Fundamentus!A:U,5,FALSE)</f>
        <v>0.92</v>
      </c>
      <c r="EI84" s="2">
        <f t="shared" ca="1" si="109"/>
        <v>48954644782.608696</v>
      </c>
      <c r="EJ84" s="17">
        <v>4043653659.0434785</v>
      </c>
      <c r="EK84" s="17">
        <f t="shared" ca="1" si="110"/>
        <v>4043653659.0434785</v>
      </c>
      <c r="EM84" s="16">
        <f t="shared" ca="1" si="97"/>
        <v>0</v>
      </c>
      <c r="EN84" s="32" t="str">
        <f>IF(VLOOKUP(BR84,Fundamentus!A:U,3,FALSE)&lt;15,"Bom",IF(VLOOKUP(BR84,Fundamentus!A:U,3,FALSE)&gt;15,"Ruim","n/a"))</f>
        <v>Bom</v>
      </c>
      <c r="EO84" s="28" t="str">
        <f>IF(VLOOKUP(BR84,Fundamentus!A:U,4,FALSE)&lt;1,"Baixo",IF(VLOOKUP(BR84,Fundamentus!A:U,4,FALSE)&lt;1.5,"Moderado",IF(VLOOKUP(BR84,Fundamentus!A:U,4,FALSE)&gt;1.5,"Alto","n/a")))</f>
        <v>Alto</v>
      </c>
      <c r="EP84" s="17" t="str">
        <f>IF(VLOOKUP(BR84,Fundamentus!A:U,8,FALSE)&lt;0,"Risco elevado",IF(VLOOKUP(BR84,Fundamentus!A:U,8,FALSE)&lt;1,"Saudável",IF(VLOOKUP(BR84,Fundamentus!A:U,8,FALSE)&lt;3,"Estável",IF(VLOOKUP(BR84,Fundamentus!A:U,8,FALSE)&gt;3,"Alerta","n/a"))))</f>
        <v>Alerta</v>
      </c>
      <c r="EQ84" s="28" t="str">
        <f t="shared" si="111"/>
        <v>Ruim</v>
      </c>
      <c r="ER84" s="17" t="str">
        <f>IF(VLOOKUP(BR84,Fundamentus!A:U,12,FALSE)&lt;2,"Subvalorizada",IF(VLOOKUP(BR84,Fundamentus!A:U,12,FALSE)&lt;6,"Muita barata",IF(VLOOKUP(BR84,Fundamentus!A:U,12,FALSE)&lt;6,"Barata",IF(VLOOKUP(BR84,Fundamentus!A:U,12,FALSE)&lt;8,"Atrativa",IF(VLOOKUP(BR84,Fundamentus!A:U,12,FALSE)&gt;8,"Supervalorizada","n/a")))))</f>
        <v>Atrativa</v>
      </c>
      <c r="ET84" s="17" t="str">
        <f>IF(VLOOKUP(BR84,Fundamentus!A:U,17,FALSE)&lt;0.1,"Fraco retorno",IF(VLOOKUP(BR84,Fundamentus!A:U,17,FALSE)&gt;0.1,"Bom retorno","n/a"))</f>
        <v>Bom retorno</v>
      </c>
      <c r="EU84" s="17" t="str">
        <f>IF(VLOOKUP(BR84,Fundamentus!A:U,16,FALSE)&lt;0.1,"Ineficiente",IF(VLOOKUP(BR84,Fundamentus!A:U,16,FALSE)&gt;0.1,"Eficiente","n/a"))</f>
        <v>Ineficiente</v>
      </c>
      <c r="EV84" s="33" t="str">
        <f>IF(VLOOKUP(BR84,Fundamentus!A:U,16,FALSE)&lt;0.1,"Oper. Ineficiente",IF(VLOOKUP(BR84,Fundamentus!A:U,16,FALSE)&gt;0.1,"Oper.Eficiente","n/a"))</f>
        <v>Oper. Ineficiente</v>
      </c>
      <c r="EW84" s="34">
        <f>VLOOKUP(BR84,Fundamentus!A:U,14,FALSE)</f>
        <v>8.2600000000000007E-2</v>
      </c>
      <c r="EX84" s="17" t="str">
        <f>IF(VLOOKUP(BR84,Fundamentus!A:U,21,FALSE)&lt;0,"Negativo",IF(VLOOKUP(BR84,Fundamentus!A:U,21,FALSE)&lt;0.05,"Fraco",IF(VLOOKUP(BR84,Fundamentus!A:U,21,FALSE)&lt;0.1,"Bom",IF(VLOOKUP(BR84,Fundamentus!A:U,21,FALSE)&gt;0.1,"Muito bom","n/a"))))</f>
        <v>Muito bom</v>
      </c>
      <c r="EZ84" s="29" t="str">
        <f>IF(VLOOKUP(BR84,Fundamentus!A:U,15,FALSE)&gt;1,"Bom",IF(VLOOKUP(BR84,Fundamentus!A:U,15,FALSE)&lt;1,"Ruim","n/a"))</f>
        <v>Bom</v>
      </c>
      <c r="FA84" s="17" t="str">
        <f>IF(VLOOKUP(BR84,Fundamentus!A:U,20,FALSE)&lt;0.5,"Baixa",IF(VLOOKUP(BR84,Fundamentus!A:U,20,FALSE)&lt;1,"Moderada",IF(VLOOKUP(BR84,Fundamentus!A:U,20,FALSE)&lt;2,"Alerta",IF(VLOOKUP(BR84,Fundamentus!A:U,20,FALSE)&gt;2,"Alta","n/a"))))</f>
        <v>Alta</v>
      </c>
      <c r="FB84" s="10"/>
    </row>
    <row r="85" spans="1:158" s="2" customFormat="1" ht="11.25"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5">
        <v>22.72</v>
      </c>
      <c r="BC85" s="52">
        <v>23.53</v>
      </c>
      <c r="BD85" s="52">
        <v>24.4</v>
      </c>
      <c r="BE85" s="52">
        <v>25.05</v>
      </c>
      <c r="BF85" s="52">
        <v>24.51</v>
      </c>
      <c r="BG85" s="67">
        <v>24.45</v>
      </c>
      <c r="BH85" s="52">
        <v>24.99</v>
      </c>
      <c r="BI85" s="52">
        <v>24.91</v>
      </c>
      <c r="BJ85" s="52">
        <v>25.96</v>
      </c>
      <c r="BK85" s="52">
        <v>24.23</v>
      </c>
      <c r="BL85" s="52">
        <v>23.5</v>
      </c>
      <c r="BM85" s="52">
        <v>23.8</v>
      </c>
      <c r="BN85" s="52">
        <v>24.76</v>
      </c>
      <c r="BO85" s="52">
        <v>26.8</v>
      </c>
      <c r="BP85" s="52">
        <v>26.7</v>
      </c>
      <c r="BQ85" s="52" cm="1">
        <f t="array" aca="1" ref="BQ85" ca="1">_FV(EE85,"Preço")</f>
        <v>26.7</v>
      </c>
      <c r="BR85" s="69" t="s">
        <v>82</v>
      </c>
      <c r="BS85" s="36" cm="1">
        <f t="array" aca="1" ref="BS85" ca="1">_FV(EE85,"Média de volume",TRUE)</f>
        <v>1546450</v>
      </c>
      <c r="BT85" s="36">
        <v>676100</v>
      </c>
      <c r="BU85" s="36" cm="1">
        <f t="array" aca="1" ref="BU85" ca="1">_FV(EE85,"Volume")</f>
        <v>676100</v>
      </c>
      <c r="BV85" s="24" cm="1">
        <f t="array" aca="1" ref="BV85" ca="1">_FV(EE85,"Beta")</f>
        <v>0.74139999999999995</v>
      </c>
      <c r="BW85" s="71" cm="1">
        <f t="array" aca="1" ref="BW85" ca="1">_FV(EE85,"Variação (%)",TRUE)</f>
        <v>-5.587E-3</v>
      </c>
      <c r="BY85" s="17" cm="1">
        <f t="array" aca="1" ref="BY85" ca="1">_FV(EE85,"Baixo")</f>
        <v>26.7</v>
      </c>
      <c r="BZ85" s="17" cm="1">
        <f t="array" aca="1" ref="BZ85" ca="1">_FV(EE85,"Alto")</f>
        <v>27.15</v>
      </c>
      <c r="CA85" s="24"/>
      <c r="CB85" s="63">
        <f ca="1">SQRT(22.5*(BQ85/VLOOKUP(BR85,Fundamentus!A:U,3,FALSE))*(BQ85/VLOOKUP(BR85,Fundamentus!A:U,4,FALSE)))</f>
        <v>52.721105564352833</v>
      </c>
      <c r="CD85" s="62">
        <f t="shared" ca="1" si="112"/>
        <v>0</v>
      </c>
      <c r="CE85" s="8"/>
      <c r="CF85" s="61">
        <f t="shared" si="113"/>
        <v>18.100000000000001</v>
      </c>
      <c r="CG85" s="61">
        <f t="shared" si="114"/>
        <v>26.8</v>
      </c>
      <c r="CH85" s="61">
        <f t="shared" si="115"/>
        <v>20.613529411764709</v>
      </c>
      <c r="CI85" s="14"/>
      <c r="CJ85" s="35">
        <f t="shared" si="98"/>
        <v>25.858909655738039</v>
      </c>
      <c r="CK85" s="15">
        <f t="shared" si="116"/>
        <v>28.200000000000728</v>
      </c>
      <c r="CL85" s="35">
        <f t="shared" si="99"/>
        <v>30.541090344263417</v>
      </c>
      <c r="CN85" s="14"/>
      <c r="CO85" s="17">
        <f t="shared" si="100"/>
        <v>12.233333333333341</v>
      </c>
      <c r="CP85" s="17">
        <f t="shared" si="101"/>
        <v>15.166666666666671</v>
      </c>
      <c r="CQ85" s="17">
        <f t="shared" si="102"/>
        <v>20.933333333333341</v>
      </c>
      <c r="CR85" s="38">
        <f t="shared" si="117"/>
        <v>23.866666666666671</v>
      </c>
      <c r="CS85" s="17">
        <f t="shared" si="103"/>
        <v>29.63333333333334</v>
      </c>
      <c r="CT85" s="17">
        <f t="shared" si="104"/>
        <v>32.56666666666667</v>
      </c>
      <c r="CU85" s="17">
        <f t="shared" si="105"/>
        <v>38.333333333333343</v>
      </c>
      <c r="CV85" s="2" cm="1">
        <f t="array" aca="1" ref="CV85" ca="1">MAX(_xlfn._xlws.FILTER(CO85:CU85,CO85:CU85&lt;BQ85))</f>
        <v>23.866666666666671</v>
      </c>
      <c r="CW85" s="2" cm="1">
        <f t="array" aca="1" ref="CW85" ca="1">MIN(_xlfn._xlws.FILTER($CO85:$CU85,$CO85:$CU85&gt;BQ85))</f>
        <v>29.63333333333334</v>
      </c>
      <c r="CX85" s="16">
        <f t="shared" ca="1" si="119"/>
        <v>0.24162011173184372</v>
      </c>
      <c r="CY85" s="20">
        <f t="shared" ca="1" si="120"/>
        <v>-0.12081005586592186</v>
      </c>
      <c r="CZ85" s="20">
        <f t="shared" ca="1" si="121"/>
        <v>-8.0540037243947912E-2</v>
      </c>
      <c r="DA85" s="20">
        <f t="shared" ca="1" si="122"/>
        <v>-4.8324022346368747E-2</v>
      </c>
      <c r="DB85" s="20">
        <f t="shared" ca="1" si="123"/>
        <v>-2.684667908131597E-2</v>
      </c>
      <c r="DC85" s="20">
        <f t="shared" ca="1" si="124"/>
        <v>-1.4212947748931984E-2</v>
      </c>
      <c r="DD85" s="20">
        <f t="shared" ca="1" si="125"/>
        <v>-7.3218215676316284E-3</v>
      </c>
      <c r="DE85" s="20">
        <f t="shared" ca="1" si="126"/>
        <v>-3.7172324881822112E-3</v>
      </c>
      <c r="DF85" s="21">
        <f t="shared" ca="1" si="127"/>
        <v>3.7172324881822112E-3</v>
      </c>
      <c r="DG85" s="21">
        <f t="shared" ca="1" si="128"/>
        <v>7.3218215676316284E-3</v>
      </c>
      <c r="DH85" s="21">
        <f t="shared" ca="1" si="129"/>
        <v>1.4212947748931984E-2</v>
      </c>
      <c r="DI85" s="21">
        <f t="shared" ca="1" si="130"/>
        <v>2.684667908131597E-2</v>
      </c>
      <c r="DJ85" s="21">
        <f t="shared" ca="1" si="131"/>
        <v>4.8324022346368747E-2</v>
      </c>
      <c r="DK85" s="21">
        <f t="shared" ca="1" si="132"/>
        <v>8.0540037243947912E-2</v>
      </c>
      <c r="DL85" s="21">
        <f t="shared" ca="1" si="133"/>
        <v>0.12081005586592186</v>
      </c>
      <c r="DN85" s="16" cm="1">
        <f t="array" aca="1" ref="DN85" ca="1">MAX(_xlfn._xlws.FILTER(CY85:DL85,CY85:DL85&lt;BW85))</f>
        <v>-7.3218215676316284E-3</v>
      </c>
      <c r="DO85" s="16" cm="1">
        <f t="array" aca="1" ref="DO85" ca="1">MIN(_xlfn._xlws.FILTER(CY85:DL85,CY85:DL85&gt;BW85))</f>
        <v>-3.7172324881822112E-3</v>
      </c>
      <c r="DP85" s="2" cm="1">
        <f t="array" aca="1" ref="DP85" ca="1">_FV(EE85,"Fechamento anterior",TRUE)</f>
        <v>26.85</v>
      </c>
      <c r="DQ85" s="28">
        <f t="shared" ca="1" si="106"/>
        <v>0.48139450867049177</v>
      </c>
      <c r="DR85" s="15">
        <f t="shared" ca="1" si="134"/>
        <v>26.653409090909093</v>
      </c>
      <c r="DS85" s="15">
        <f t="shared" ca="1" si="135"/>
        <v>26.750192307692309</v>
      </c>
      <c r="DT85" s="9"/>
      <c r="DU85" s="9"/>
      <c r="DV85" s="9"/>
      <c r="DW85" s="89">
        <v>1.2689036563021307E-2</v>
      </c>
      <c r="DX85" s="89">
        <f t="shared" ca="1" si="107"/>
        <v>3.6045890794494172E-3</v>
      </c>
      <c r="DY85" s="72">
        <f t="shared" ca="1" si="108"/>
        <v>-0.64072708841706127</v>
      </c>
      <c r="DZ85" s="37"/>
      <c r="EA85" s="35">
        <f t="shared" si="118"/>
        <v>1.1705451721313451</v>
      </c>
      <c r="EB85" s="56"/>
      <c r="EC85" s="56"/>
      <c r="EE85" s="2" t="e" vm="85">
        <v>#VALUE!</v>
      </c>
      <c r="EG85" s="10" cm="1">
        <f t="array" aca="1" ref="EG85" ca="1">_FV(EE85,"Ações em circulação",TRUE)</f>
        <v>1213797000</v>
      </c>
      <c r="EH85" s="18">
        <f>VLOOKUP(BR85,Fundamentus!A:U,5,FALSE)</f>
        <v>0.58299999999999996</v>
      </c>
      <c r="EI85" s="2">
        <f t="shared" ca="1" si="109"/>
        <v>55588987821.61235</v>
      </c>
      <c r="EJ85" s="17">
        <v>4741740661.1835337</v>
      </c>
      <c r="EK85" s="17">
        <f t="shared" ca="1" si="110"/>
        <v>4741740661.1835337</v>
      </c>
      <c r="EM85" s="16">
        <f t="shared" ca="1" si="97"/>
        <v>0</v>
      </c>
      <c r="EN85" s="32" t="str">
        <f>IF(VLOOKUP(BR85,Fundamentus!A:U,3,FALSE)&lt;15,"Bom",IF(VLOOKUP(BR85,Fundamentus!A:U,3,FALSE)&gt;15,"Ruim","n/a"))</f>
        <v>Bom</v>
      </c>
      <c r="EO85" s="28" t="str">
        <f>IF(VLOOKUP(BR85,Fundamentus!A:U,4,FALSE)&lt;1,"Baixo",IF(VLOOKUP(BR85,Fundamentus!A:U,4,FALSE)&lt;1.5,"Moderado",IF(VLOOKUP(BR85,Fundamentus!A:U,4,FALSE)&gt;1.5,"Alto","n/a")))</f>
        <v>Baixo</v>
      </c>
      <c r="EP85" s="17" t="str">
        <f>IF(VLOOKUP(BR85,Fundamentus!A:U,8,FALSE)&lt;0,"Risco elevado",IF(VLOOKUP(BR85,Fundamentus!A:U,8,FALSE)&lt;1,"Saudável",IF(VLOOKUP(BR85,Fundamentus!A:U,8,FALSE)&lt;3,"Estável",IF(VLOOKUP(BR85,Fundamentus!A:U,8,FALSE)&gt;3,"Alerta","n/a"))))</f>
        <v>Alerta</v>
      </c>
      <c r="EQ85" s="28" t="str">
        <f t="shared" si="111"/>
        <v>Ruim</v>
      </c>
      <c r="ER85" s="17" t="str">
        <f>IF(VLOOKUP(BR85,Fundamentus!A:U,12,FALSE)&lt;2,"Subvalorizada",IF(VLOOKUP(BR85,Fundamentus!A:U,12,FALSE)&lt;6,"Muita barata",IF(VLOOKUP(BR85,Fundamentus!A:U,12,FALSE)&lt;6,"Barata",IF(VLOOKUP(BR85,Fundamentus!A:U,12,FALSE)&lt;8,"Atrativa",IF(VLOOKUP(BR85,Fundamentus!A:U,12,FALSE)&gt;8,"Supervalorizada","n/a")))))</f>
        <v>Muita barata</v>
      </c>
      <c r="ET85" s="17" t="str">
        <f>IF(VLOOKUP(BR85,Fundamentus!A:U,17,FALSE)&lt;0.1,"Fraco retorno",IF(VLOOKUP(BR85,Fundamentus!A:U,17,FALSE)&gt;0.1,"Bom retorno","n/a"))</f>
        <v>Bom retorno</v>
      </c>
      <c r="EU85" s="17" t="str">
        <f>IF(VLOOKUP(BR85,Fundamentus!A:U,16,FALSE)&lt;0.1,"Ineficiente",IF(VLOOKUP(BR85,Fundamentus!A:U,16,FALSE)&gt;0.1,"Eficiente","n/a"))</f>
        <v>Eficiente</v>
      </c>
      <c r="EV85" s="33" t="str">
        <f>IF(VLOOKUP(BR85,Fundamentus!A:U,16,FALSE)&lt;0.1,"Oper. Ineficiente",IF(VLOOKUP(BR85,Fundamentus!A:U,16,FALSE)&gt;0.1,"Oper.Eficiente","n/a"))</f>
        <v>Oper.Eficiente</v>
      </c>
      <c r="EW85" s="34">
        <f>VLOOKUP(BR85,Fundamentus!A:U,14,FALSE)</f>
        <v>8.5300000000000001E-2</v>
      </c>
      <c r="EX85" s="17" t="str">
        <f>IF(VLOOKUP(BR85,Fundamentus!A:U,21,FALSE)&lt;0,"Negativo",IF(VLOOKUP(BR85,Fundamentus!A:U,21,FALSE)&lt;0.05,"Fraco",IF(VLOOKUP(BR85,Fundamentus!A:U,21,FALSE)&lt;0.1,"Bom",IF(VLOOKUP(BR85,Fundamentus!A:U,21,FALSE)&gt;0.1,"Muito bom","n/a"))))</f>
        <v>Bom</v>
      </c>
      <c r="EZ85" s="29" t="str">
        <f>IF(VLOOKUP(BR85,Fundamentus!A:U,15,FALSE)&gt;1,"Bom",IF(VLOOKUP(BR85,Fundamentus!A:U,15,FALSE)&lt;1,"Ruim","n/a"))</f>
        <v>Bom</v>
      </c>
      <c r="FA85" s="17" t="str">
        <f>IF(VLOOKUP(BR85,Fundamentus!A:U,20,FALSE)&lt;0.5,"Baixa",IF(VLOOKUP(BR85,Fundamentus!A:U,20,FALSE)&lt;1,"Moderada",IF(VLOOKUP(BR85,Fundamentus!A:U,20,FALSE)&lt;2,"Alerta",IF(VLOOKUP(BR85,Fundamentus!A:U,20,FALSE)&gt;2,"Alta","n/a"))))</f>
        <v>Alerta</v>
      </c>
      <c r="FB85" s="10"/>
    </row>
    <row r="86" spans="1:158" s="2" customFormat="1" ht="11.25"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5">
        <v>5.61</v>
      </c>
      <c r="BC86" s="52">
        <v>5.12</v>
      </c>
      <c r="BD86" s="52">
        <v>4.93</v>
      </c>
      <c r="BE86" s="52">
        <v>4.72</v>
      </c>
      <c r="BF86" s="52">
        <v>4.42</v>
      </c>
      <c r="BG86" s="67">
        <v>4.46</v>
      </c>
      <c r="BH86" s="52">
        <v>4.28</v>
      </c>
      <c r="BI86" s="52">
        <v>4.41</v>
      </c>
      <c r="BJ86" s="52">
        <v>4.67</v>
      </c>
      <c r="BK86" s="52">
        <v>4.62</v>
      </c>
      <c r="BL86" s="52">
        <v>4.3899999999999997</v>
      </c>
      <c r="BM86" s="52">
        <v>4.2</v>
      </c>
      <c r="BN86" s="52">
        <v>3.97</v>
      </c>
      <c r="BO86" s="52">
        <v>4.08</v>
      </c>
      <c r="BP86" s="52">
        <v>4.07</v>
      </c>
      <c r="BQ86" s="52" cm="1">
        <f t="array" aca="1" ref="BQ86" ca="1">_FV(EE86,"Preço")</f>
        <v>4.07</v>
      </c>
      <c r="BR86" s="69" t="s">
        <v>83</v>
      </c>
      <c r="BS86" s="36" cm="1">
        <f t="array" aca="1" ref="BS86" ca="1">_FV(EE86,"Média de volume",TRUE)</f>
        <v>912700</v>
      </c>
      <c r="BT86" s="36">
        <v>666900</v>
      </c>
      <c r="BU86" s="36" cm="1">
        <f t="array" aca="1" ref="BU86" ca="1">_FV(EE86,"Volume")</f>
        <v>666900</v>
      </c>
      <c r="BV86" s="24" cm="1">
        <f t="array" aca="1" ref="BV86" ca="1">_FV(EE86,"Beta")</f>
        <v>1.8882000000000001</v>
      </c>
      <c r="BW86" s="71" cm="1">
        <f t="array" aca="1" ref="BW86" ca="1">_FV(EE86,"Variação (%)",TRUE)</f>
        <v>-1.6907999999999999E-2</v>
      </c>
      <c r="BY86" s="17" cm="1">
        <f t="array" aca="1" ref="BY86" ca="1">_FV(EE86,"Baixo")</f>
        <v>4.01</v>
      </c>
      <c r="BZ86" s="17" cm="1">
        <f t="array" aca="1" ref="BZ86" ca="1">_FV(EE86,"Alto")</f>
        <v>4.2</v>
      </c>
      <c r="CA86" s="24"/>
      <c r="CB86" s="63">
        <f ca="1">SQRT(22.5*(BQ86/VLOOKUP(BR86,Fundamentus!A:U,3,FALSE))*(BQ86/VLOOKUP(BR86,Fundamentus!A:U,4,FALSE)))</f>
        <v>2.1687505304486838</v>
      </c>
      <c r="CD86" s="62">
        <f t="shared" ca="1" si="112"/>
        <v>0</v>
      </c>
      <c r="CE86" s="8"/>
      <c r="CF86" s="61">
        <f t="shared" si="113"/>
        <v>3.97</v>
      </c>
      <c r="CG86" s="61">
        <f t="shared" si="114"/>
        <v>10.01</v>
      </c>
      <c r="CH86" s="61">
        <f t="shared" si="115"/>
        <v>6.0247794117647056</v>
      </c>
      <c r="CI86" s="14"/>
      <c r="CJ86" s="35">
        <f t="shared" si="98"/>
        <v>3.5484547692804291</v>
      </c>
      <c r="CK86" s="15">
        <f t="shared" si="116"/>
        <v>4.0100000000000193</v>
      </c>
      <c r="CL86" s="35">
        <f t="shared" si="99"/>
        <v>4.4715452307196095</v>
      </c>
      <c r="CN86" s="14"/>
      <c r="CO86" s="17">
        <f t="shared" si="100"/>
        <v>-4.0166666666666657</v>
      </c>
      <c r="CP86" s="17">
        <f t="shared" si="101"/>
        <v>-2.333333333333254E-2</v>
      </c>
      <c r="CQ86" s="17">
        <f t="shared" si="102"/>
        <v>2.0233333333333334</v>
      </c>
      <c r="CR86" s="38">
        <f t="shared" si="117"/>
        <v>6.0166666666666666</v>
      </c>
      <c r="CS86" s="17">
        <f t="shared" si="103"/>
        <v>8.0633333333333326</v>
      </c>
      <c r="CT86" s="17">
        <f t="shared" si="104"/>
        <v>12.056666666666665</v>
      </c>
      <c r="CU86" s="17">
        <f t="shared" si="105"/>
        <v>14.103333333333332</v>
      </c>
      <c r="CV86" s="2" cm="1">
        <f t="array" aca="1" ref="CV86" ca="1">MAX(_xlfn._xlws.FILTER(CO86:CU86,CO86:CU86&lt;BQ86))</f>
        <v>2.0233333333333334</v>
      </c>
      <c r="CW86" s="2" cm="1">
        <f t="array" aca="1" ref="CW86" ca="1">MIN(_xlfn._xlws.FILTER($CO86:$CU86,$CO86:$CU86&gt;BQ86))</f>
        <v>6.0166666666666666</v>
      </c>
      <c r="CX86" s="16">
        <f t="shared" ca="1" si="119"/>
        <v>1.9736408566721582</v>
      </c>
      <c r="CY86" s="20">
        <f t="shared" ca="1" si="120"/>
        <v>-0.98682042833607908</v>
      </c>
      <c r="CZ86" s="20">
        <f t="shared" ca="1" si="121"/>
        <v>-0.65788028555738609</v>
      </c>
      <c r="DA86" s="20">
        <f t="shared" ca="1" si="122"/>
        <v>-0.39472817133443161</v>
      </c>
      <c r="DB86" s="20">
        <f t="shared" ca="1" si="123"/>
        <v>-0.2192934285191287</v>
      </c>
      <c r="DC86" s="20">
        <f t="shared" ca="1" si="124"/>
        <v>-0.11609652098071518</v>
      </c>
      <c r="DD86" s="20">
        <f t="shared" ca="1" si="125"/>
        <v>-5.9807298687035097E-2</v>
      </c>
      <c r="DE86" s="20">
        <f t="shared" ca="1" si="126"/>
        <v>-3.036370548726397E-2</v>
      </c>
      <c r="DF86" s="21">
        <f t="shared" ca="1" si="127"/>
        <v>3.036370548726397E-2</v>
      </c>
      <c r="DG86" s="21">
        <f t="shared" ca="1" si="128"/>
        <v>5.9807298687035097E-2</v>
      </c>
      <c r="DH86" s="21">
        <f t="shared" ca="1" si="129"/>
        <v>0.11609652098071518</v>
      </c>
      <c r="DI86" s="21">
        <f t="shared" ca="1" si="130"/>
        <v>0.2192934285191287</v>
      </c>
      <c r="DJ86" s="21">
        <f t="shared" ca="1" si="131"/>
        <v>0.39472817133443161</v>
      </c>
      <c r="DK86" s="21">
        <f t="shared" ca="1" si="132"/>
        <v>0.65788028555738609</v>
      </c>
      <c r="DL86" s="21">
        <f t="shared" ca="1" si="133"/>
        <v>0.98682042833607908</v>
      </c>
      <c r="DN86" s="16" cm="1">
        <f t="array" aca="1" ref="DN86" ca="1">MAX(_xlfn._xlws.FILTER(CY86:DL86,CY86:DL86&lt;BW86))</f>
        <v>-3.036370548726397E-2</v>
      </c>
      <c r="DO86" s="16" cm="1">
        <f t="array" aca="1" ref="DO86" ca="1">MIN(_xlfn._xlws.FILTER(CY86:DL86,CY86:DL86&gt;BW86))</f>
        <v>3.036370548726397E-2</v>
      </c>
      <c r="DP86" s="2" cm="1">
        <f t="array" aca="1" ref="DP86" ca="1">_FV(EE86,"Fechamento anterior",TRUE)</f>
        <v>4.1399999999999997</v>
      </c>
      <c r="DQ86" s="28">
        <f t="shared" ca="1" si="106"/>
        <v>0.22157198390232039</v>
      </c>
      <c r="DR86" s="15">
        <f t="shared" ca="1" si="134"/>
        <v>4.0142942592827264</v>
      </c>
      <c r="DS86" s="15">
        <f t="shared" ca="1" si="135"/>
        <v>4.2657057407172729</v>
      </c>
      <c r="DT86" s="9"/>
      <c r="DU86" s="9"/>
      <c r="DV86" s="9"/>
      <c r="DW86" s="89">
        <v>6.0477453580901806E-2</v>
      </c>
      <c r="DX86" s="89">
        <f t="shared" ca="1" si="107"/>
        <v>6.072741097452794E-2</v>
      </c>
      <c r="DY86" s="72">
        <f t="shared" ca="1" si="108"/>
        <v>0.12999809337523779</v>
      </c>
      <c r="DZ86" s="37"/>
      <c r="EA86" s="35">
        <f t="shared" si="118"/>
        <v>0.23077261535979518</v>
      </c>
      <c r="EB86" s="56"/>
      <c r="EC86" s="56"/>
      <c r="EE86" s="2" t="e" vm="86">
        <v>#VALUE!</v>
      </c>
      <c r="EG86" s="10" cm="1">
        <f t="array" aca="1" ref="EG86" ca="1">_FV(EE86,"Ações em circulação",TRUE)</f>
        <v>141800000</v>
      </c>
      <c r="EH86" s="18">
        <f>VLOOKUP(BR86,Fundamentus!A:U,5,FALSE)</f>
        <v>0.17899999999999999</v>
      </c>
      <c r="EI86" s="2">
        <f t="shared" ca="1" si="109"/>
        <v>3224167597.7653632</v>
      </c>
      <c r="EJ86" s="17">
        <v>7738002.2346368711</v>
      </c>
      <c r="EK86" s="17">
        <f t="shared" ca="1" si="110"/>
        <v>7738002.2346368711</v>
      </c>
      <c r="EM86" s="16">
        <f t="shared" ca="1" si="97"/>
        <v>0</v>
      </c>
      <c r="EN86" s="32" t="str">
        <f>IF(VLOOKUP(BR86,Fundamentus!A:U,3,FALSE)&lt;15,"Bom",IF(VLOOKUP(BR86,Fundamentus!A:U,3,FALSE)&gt;15,"Ruim","n/a"))</f>
        <v>Ruim</v>
      </c>
      <c r="EO86" s="28" t="str">
        <f>IF(VLOOKUP(BR86,Fundamentus!A:U,4,FALSE)&lt;1,"Baixo",IF(VLOOKUP(BR86,Fundamentus!A:U,4,FALSE)&lt;1.5,"Moderado",IF(VLOOKUP(BR86,Fundamentus!A:U,4,FALSE)&gt;1.5,"Alto","n/a")))</f>
        <v>Baixo</v>
      </c>
      <c r="EP86" s="17" t="str">
        <f>IF(VLOOKUP(BR86,Fundamentus!A:U,8,FALSE)&lt;0,"Risco elevado",IF(VLOOKUP(BR86,Fundamentus!A:U,8,FALSE)&lt;1,"Saudável",IF(VLOOKUP(BR86,Fundamentus!A:U,8,FALSE)&lt;3,"Estável",IF(VLOOKUP(BR86,Fundamentus!A:U,8,FALSE)&gt;3,"Alerta","n/a"))))</f>
        <v>Saudável</v>
      </c>
      <c r="EQ86" s="28" t="str">
        <f t="shared" si="111"/>
        <v>Ruim</v>
      </c>
      <c r="ER86" s="17" t="str">
        <f>IF(VLOOKUP(BR86,Fundamentus!A:U,12,FALSE)&lt;2,"Subvalorizada",IF(VLOOKUP(BR86,Fundamentus!A:U,12,FALSE)&lt;6,"Muita barata",IF(VLOOKUP(BR86,Fundamentus!A:U,12,FALSE)&lt;6,"Barata",IF(VLOOKUP(BR86,Fundamentus!A:U,12,FALSE)&lt;8,"Atrativa",IF(VLOOKUP(BR86,Fundamentus!A:U,12,FALSE)&gt;8,"Supervalorizada","n/a")))))</f>
        <v>Muita barata</v>
      </c>
      <c r="ET86" s="17" t="str">
        <f>IF(VLOOKUP(BR86,Fundamentus!A:U,17,FALSE)&lt;0.1,"Fraco retorno",IF(VLOOKUP(BR86,Fundamentus!A:U,17,FALSE)&gt;0.1,"Bom retorno","n/a"))</f>
        <v>Fraco retorno</v>
      </c>
      <c r="EU86" s="17" t="str">
        <f>IF(VLOOKUP(BR86,Fundamentus!A:U,16,FALSE)&lt;0.1,"Ineficiente",IF(VLOOKUP(BR86,Fundamentus!A:U,16,FALSE)&gt;0.1,"Eficiente","n/a"))</f>
        <v>Ineficiente</v>
      </c>
      <c r="EV86" s="33" t="str">
        <f>IF(VLOOKUP(BR86,Fundamentus!A:U,16,FALSE)&lt;0.1,"Oper. Ineficiente",IF(VLOOKUP(BR86,Fundamentus!A:U,16,FALSE)&gt;0.1,"Oper.Eficiente","n/a"))</f>
        <v>Oper. Ineficiente</v>
      </c>
      <c r="EW86" s="34">
        <f>VLOOKUP(BR86,Fundamentus!A:U,14,FALSE)</f>
        <v>2.3999999999999998E-3</v>
      </c>
      <c r="EX86" s="17" t="str">
        <f>IF(VLOOKUP(BR86,Fundamentus!A:U,21,FALSE)&lt;0,"Negativo",IF(VLOOKUP(BR86,Fundamentus!A:U,21,FALSE)&lt;0.05,"Fraco",IF(VLOOKUP(BR86,Fundamentus!A:U,21,FALSE)&lt;0.1,"Bom",IF(VLOOKUP(BR86,Fundamentus!A:U,21,FALSE)&gt;0.1,"Muito bom","n/a"))))</f>
        <v>Bom</v>
      </c>
      <c r="EZ86" s="29" t="str">
        <f>IF(VLOOKUP(BR86,Fundamentus!A:U,15,FALSE)&gt;1,"Bom",IF(VLOOKUP(BR86,Fundamentus!A:U,15,FALSE)&lt;1,"Ruim","n/a"))</f>
        <v>Bom</v>
      </c>
      <c r="FA86" s="17" t="str">
        <f>IF(VLOOKUP(BR86,Fundamentus!A:U,20,FALSE)&lt;0.5,"Baixa",IF(VLOOKUP(BR86,Fundamentus!A:U,20,FALSE)&lt;1,"Moderada",IF(VLOOKUP(BR86,Fundamentus!A:U,20,FALSE)&lt;2,"Alerta",IF(VLOOKUP(BR86,Fundamentus!A:U,20,FALSE)&gt;2,"Alta","n/a"))))</f>
        <v>Moderada</v>
      </c>
      <c r="FB86" s="10"/>
    </row>
    <row r="87" spans="1:158" s="2" customFormat="1" ht="11.25"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5">
        <v>4.8</v>
      </c>
      <c r="BC87" s="52">
        <v>4.67</v>
      </c>
      <c r="BD87" s="52">
        <v>4.33</v>
      </c>
      <c r="BE87" s="52">
        <v>4.3600000000000003</v>
      </c>
      <c r="BF87" s="52">
        <v>4.2</v>
      </c>
      <c r="BG87" s="67">
        <v>4.25</v>
      </c>
      <c r="BH87" s="52">
        <v>4.24</v>
      </c>
      <c r="BI87" s="52">
        <v>3.6</v>
      </c>
      <c r="BJ87" s="52">
        <v>3.67</v>
      </c>
      <c r="BK87" s="52">
        <v>3.57</v>
      </c>
      <c r="BL87" s="52">
        <v>3.63</v>
      </c>
      <c r="BM87" s="52">
        <v>3.58</v>
      </c>
      <c r="BN87" s="52">
        <v>4.24</v>
      </c>
      <c r="BO87" s="52">
        <v>4.8</v>
      </c>
      <c r="BP87" s="52">
        <v>4.43</v>
      </c>
      <c r="BQ87" s="52" cm="1">
        <f t="array" aca="1" ref="BQ87" ca="1">_FV(EE87,"Preço")</f>
        <v>4.43</v>
      </c>
      <c r="BR87" s="69" t="s">
        <v>84</v>
      </c>
      <c r="BS87" s="36" cm="1">
        <f t="array" aca="1" ref="BS87" ca="1">_FV(EE87,"Média de volume",TRUE)</f>
        <v>12040</v>
      </c>
      <c r="BT87" s="36">
        <v>200</v>
      </c>
      <c r="BU87" s="36" cm="1">
        <f t="array" aca="1" ref="BU87" ca="1">_FV(EE87,"Volume")</f>
        <v>200</v>
      </c>
      <c r="BV87" s="24" cm="1">
        <f t="array" aca="1" ref="BV87" ca="1">_FV(EE87,"Beta")</f>
        <v>1.1249</v>
      </c>
      <c r="BW87" s="71" cm="1">
        <f t="array" aca="1" ref="BW87" ca="1">_FV(EE87,"Variação (%)",TRUE)</f>
        <v>-1.7738E-2</v>
      </c>
      <c r="BY87" s="17" cm="1">
        <f t="array" aca="1" ref="BY87" ca="1">_FV(EE87,"Baixo")</f>
        <v>4.43</v>
      </c>
      <c r="BZ87" s="17" cm="1">
        <f t="array" aca="1" ref="BZ87" ca="1">_FV(EE87,"Alto")</f>
        <v>4.43</v>
      </c>
      <c r="CA87" s="24"/>
      <c r="CB87" s="63" t="e">
        <f ca="1">SQRT(22.5*(BQ87/VLOOKUP(BR87,Fundamentus!A:U,3,FALSE))*(BQ87/VLOOKUP(BR87,Fundamentus!A:U,4,FALSE)))</f>
        <v>#NUM!</v>
      </c>
      <c r="CD87" s="62">
        <f t="shared" ca="1" si="112"/>
        <v>0</v>
      </c>
      <c r="CE87" s="8"/>
      <c r="CF87" s="61">
        <f t="shared" si="113"/>
        <v>0.5</v>
      </c>
      <c r="CG87" s="61">
        <f t="shared" si="114"/>
        <v>5.5</v>
      </c>
      <c r="CH87" s="61">
        <f t="shared" si="115"/>
        <v>2.547352941176471</v>
      </c>
      <c r="CI87" s="14"/>
      <c r="CJ87" s="35">
        <f t="shared" si="98"/>
        <v>4.0645739392449736</v>
      </c>
      <c r="CK87" s="15">
        <f t="shared" si="116"/>
        <v>5.0399999999999636</v>
      </c>
      <c r="CL87" s="35">
        <f t="shared" si="99"/>
        <v>6.0154260607549537</v>
      </c>
      <c r="CN87" s="14"/>
      <c r="CO87" s="17">
        <f t="shared" si="100"/>
        <v>-3.5466666666666669</v>
      </c>
      <c r="CP87" s="17">
        <f t="shared" si="101"/>
        <v>-1.5233333333333334</v>
      </c>
      <c r="CQ87" s="17">
        <f t="shared" si="102"/>
        <v>1.4533333333333331</v>
      </c>
      <c r="CR87" s="38">
        <f t="shared" si="117"/>
        <v>3.4766666666666666</v>
      </c>
      <c r="CS87" s="17">
        <f t="shared" si="103"/>
        <v>6.4533333333333331</v>
      </c>
      <c r="CT87" s="17">
        <f t="shared" si="104"/>
        <v>8.4766666666666666</v>
      </c>
      <c r="CU87" s="17">
        <f t="shared" si="105"/>
        <v>11.453333333333333</v>
      </c>
      <c r="CV87" s="2" cm="1">
        <f t="array" aca="1" ref="CV87" ca="1">MAX(_xlfn._xlws.FILTER(CO87:CU87,CO87:CU87&lt;BQ87))</f>
        <v>3.4766666666666666</v>
      </c>
      <c r="CW87" s="2" cm="1">
        <f t="array" aca="1" ref="CW87" ca="1">MIN(_xlfn._xlws.FILTER($CO87:$CU87,$CO87:$CU87&gt;BQ87))</f>
        <v>6.4533333333333331</v>
      </c>
      <c r="CX87" s="16">
        <f t="shared" ca="1" si="119"/>
        <v>0.85618408437200388</v>
      </c>
      <c r="CY87" s="20">
        <f t="shared" ca="1" si="120"/>
        <v>-0.42809204218600194</v>
      </c>
      <c r="CZ87" s="20">
        <f t="shared" ca="1" si="121"/>
        <v>-0.28539469479066798</v>
      </c>
      <c r="DA87" s="20">
        <f t="shared" ca="1" si="122"/>
        <v>-0.17123681687440079</v>
      </c>
      <c r="DB87" s="20">
        <f t="shared" ca="1" si="123"/>
        <v>-9.5131564930222651E-2</v>
      </c>
      <c r="DC87" s="20">
        <f t="shared" ca="1" si="124"/>
        <v>-5.0363769668941405E-2</v>
      </c>
      <c r="DD87" s="20">
        <f t="shared" ca="1" si="125"/>
        <v>-2.5944972253697088E-2</v>
      </c>
      <c r="DE87" s="20">
        <f t="shared" ca="1" si="126"/>
        <v>-1.3172062836492367E-2</v>
      </c>
      <c r="DF87" s="21">
        <f t="shared" ca="1" si="127"/>
        <v>1.3172062836492367E-2</v>
      </c>
      <c r="DG87" s="21">
        <f t="shared" ca="1" si="128"/>
        <v>2.5944972253697088E-2</v>
      </c>
      <c r="DH87" s="21">
        <f t="shared" ca="1" si="129"/>
        <v>5.0363769668941405E-2</v>
      </c>
      <c r="DI87" s="21">
        <f t="shared" ca="1" si="130"/>
        <v>9.5131564930222651E-2</v>
      </c>
      <c r="DJ87" s="21">
        <f t="shared" ca="1" si="131"/>
        <v>0.17123681687440079</v>
      </c>
      <c r="DK87" s="21">
        <f t="shared" ca="1" si="132"/>
        <v>0.28539469479066798</v>
      </c>
      <c r="DL87" s="21">
        <f t="shared" ca="1" si="133"/>
        <v>0.42809204218600194</v>
      </c>
      <c r="DN87" s="16" cm="1">
        <f t="array" aca="1" ref="DN87" ca="1">MAX(_xlfn._xlws.FILTER(CY87:DL87,CY87:DL87&lt;BW87))</f>
        <v>-2.5944972253697088E-2</v>
      </c>
      <c r="DO87" s="16" cm="1">
        <f t="array" aca="1" ref="DO87" ca="1">MIN(_xlfn._xlws.FILTER(CY87:DL87,CY87:DL87&gt;BW87))</f>
        <v>-1.3172062836492367E-2</v>
      </c>
      <c r="DP87" s="2" cm="1">
        <f t="array" aca="1" ref="DP87" ca="1">_FV(EE87,"Fechamento anterior",TRUE)</f>
        <v>4.51</v>
      </c>
      <c r="DQ87" s="28">
        <f t="shared" ca="1" si="106"/>
        <v>0.64250146805779296</v>
      </c>
      <c r="DR87" s="15">
        <f t="shared" ca="1" si="134"/>
        <v>4.3929881751358257</v>
      </c>
      <c r="DS87" s="15">
        <f t="shared" ca="1" si="135"/>
        <v>4.4505939966074193</v>
      </c>
      <c r="DT87" s="9"/>
      <c r="DU87" s="9"/>
      <c r="DV87" s="9"/>
      <c r="DW87" s="89">
        <v>4.502541757443719E-2</v>
      </c>
      <c r="DX87" s="89">
        <f t="shared" ca="1" si="107"/>
        <v>1.2772909417204721E-2</v>
      </c>
      <c r="DY87" s="72">
        <f t="shared" ca="1" si="108"/>
        <v>-0.625367749071434</v>
      </c>
      <c r="DZ87" s="37"/>
      <c r="EA87" s="35">
        <f t="shared" si="118"/>
        <v>0.48771303037749519</v>
      </c>
      <c r="EB87" s="56"/>
      <c r="EC87" s="56"/>
      <c r="EE87" s="2" t="e" vm="87">
        <v>#VALUE!</v>
      </c>
      <c r="EG87" s="10" cm="1">
        <f t="array" aca="1" ref="EG87" ca="1">_FV(EE87,"Ações em circulação",TRUE)</f>
        <v>11109350</v>
      </c>
      <c r="EH87" s="18">
        <f>VLOOKUP(BR87,Fundamentus!A:U,5,FALSE)</f>
        <v>0.25600000000000001</v>
      </c>
      <c r="EI87" s="2">
        <f t="shared" ca="1" si="109"/>
        <v>192243830.078125</v>
      </c>
      <c r="EJ87" s="17">
        <v>-23511420.41855469</v>
      </c>
      <c r="EK87" s="17">
        <f t="shared" ca="1" si="110"/>
        <v>-23511420.41855469</v>
      </c>
      <c r="EM87" s="16">
        <f t="shared" ca="1" si="97"/>
        <v>0</v>
      </c>
      <c r="EN87" s="32" t="str">
        <f>IF(VLOOKUP(BR87,Fundamentus!A:U,3,FALSE)&lt;15,"Bom",IF(VLOOKUP(BR87,Fundamentus!A:U,3,FALSE)&gt;15,"Ruim","n/a"))</f>
        <v>Bom</v>
      </c>
      <c r="EO87" s="28" t="str">
        <f>IF(VLOOKUP(BR87,Fundamentus!A:U,4,FALSE)&lt;1,"Baixo",IF(VLOOKUP(BR87,Fundamentus!A:U,4,FALSE)&lt;1.5,"Moderado",IF(VLOOKUP(BR87,Fundamentus!A:U,4,FALSE)&gt;1.5,"Alto","n/a")))</f>
        <v>Baixo</v>
      </c>
      <c r="EP87" s="17" t="str">
        <f>IF(VLOOKUP(BR87,Fundamentus!A:U,8,FALSE)&lt;0,"Risco elevado",IF(VLOOKUP(BR87,Fundamentus!A:U,8,FALSE)&lt;1,"Saudável",IF(VLOOKUP(BR87,Fundamentus!A:U,8,FALSE)&lt;3,"Estável",IF(VLOOKUP(BR87,Fundamentus!A:U,8,FALSE)&gt;3,"Alerta","n/a"))))</f>
        <v>Saudável</v>
      </c>
      <c r="EQ87" s="28" t="str">
        <f t="shared" si="111"/>
        <v>Ruim</v>
      </c>
      <c r="ER87" s="17" t="str">
        <f>IF(VLOOKUP(BR87,Fundamentus!A:U,12,FALSE)&lt;2,"Subvalorizada",IF(VLOOKUP(BR87,Fundamentus!A:U,12,FALSE)&lt;6,"Muita barata",IF(VLOOKUP(BR87,Fundamentus!A:U,12,FALSE)&lt;6,"Barata",IF(VLOOKUP(BR87,Fundamentus!A:U,12,FALSE)&lt;8,"Atrativa",IF(VLOOKUP(BR87,Fundamentus!A:U,12,FALSE)&gt;8,"Supervalorizada","n/a")))))</f>
        <v>Muita barata</v>
      </c>
      <c r="ET87" s="17" t="str">
        <f>IF(VLOOKUP(BR87,Fundamentus!A:U,17,FALSE)&lt;0.1,"Fraco retorno",IF(VLOOKUP(BR87,Fundamentus!A:U,17,FALSE)&gt;0.1,"Bom retorno","n/a"))</f>
        <v>Fraco retorno</v>
      </c>
      <c r="EU87" s="17" t="str">
        <f>IF(VLOOKUP(BR87,Fundamentus!A:U,16,FALSE)&lt;0.1,"Ineficiente",IF(VLOOKUP(BR87,Fundamentus!A:U,16,FALSE)&gt;0.1,"Eficiente","n/a"))</f>
        <v>Ineficiente</v>
      </c>
      <c r="EV87" s="33" t="str">
        <f>IF(VLOOKUP(BR87,Fundamentus!A:U,16,FALSE)&lt;0.1,"Oper. Ineficiente",IF(VLOOKUP(BR87,Fundamentus!A:U,16,FALSE)&gt;0.1,"Oper.Eficiente","n/a"))</f>
        <v>Oper. Ineficiente</v>
      </c>
      <c r="EW87" s="34">
        <f>VLOOKUP(BR87,Fundamentus!A:U,14,FALSE)</f>
        <v>-0.12230000000000001</v>
      </c>
      <c r="EX87" s="17" t="str">
        <f>IF(VLOOKUP(BR87,Fundamentus!A:U,21,FALSE)&lt;0,"Negativo",IF(VLOOKUP(BR87,Fundamentus!A:U,21,FALSE)&lt;0.05,"Fraco",IF(VLOOKUP(BR87,Fundamentus!A:U,21,FALSE)&lt;0.1,"Bom",IF(VLOOKUP(BR87,Fundamentus!A:U,21,FALSE)&gt;0.1,"Muito bom","n/a"))))</f>
        <v>Negativo</v>
      </c>
      <c r="EZ87" s="29" t="str">
        <f>IF(VLOOKUP(BR87,Fundamentus!A:U,15,FALSE)&gt;1,"Bom",IF(VLOOKUP(BR87,Fundamentus!A:U,15,FALSE)&lt;1,"Ruim","n/a"))</f>
        <v>Bom</v>
      </c>
      <c r="FA87" s="17" t="str">
        <f>IF(VLOOKUP(BR87,Fundamentus!A:U,20,FALSE)&lt;0.5,"Baixa",IF(VLOOKUP(BR87,Fundamentus!A:U,20,FALSE)&lt;1,"Moderada",IF(VLOOKUP(BR87,Fundamentus!A:U,20,FALSE)&lt;2,"Alerta",IF(VLOOKUP(BR87,Fundamentus!A:U,20,FALSE)&gt;2,"Alta","n/a"))))</f>
        <v>Baixa</v>
      </c>
      <c r="FB87" s="10"/>
    </row>
    <row r="88" spans="1:158" s="2" customFormat="1" ht="11.25"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5">
        <v>23.56</v>
      </c>
      <c r="BC88" s="52">
        <v>23.97</v>
      </c>
      <c r="BD88" s="52">
        <v>23.61</v>
      </c>
      <c r="BE88" s="52">
        <v>23.78</v>
      </c>
      <c r="BF88" s="52">
        <v>23.5</v>
      </c>
      <c r="BG88" s="67">
        <v>23.11</v>
      </c>
      <c r="BH88" s="52">
        <v>23.33</v>
      </c>
      <c r="BI88" s="52">
        <v>23.9</v>
      </c>
      <c r="BJ88" s="52">
        <v>24.44</v>
      </c>
      <c r="BK88" s="52">
        <v>26.75</v>
      </c>
      <c r="BL88" s="52">
        <v>24.73</v>
      </c>
      <c r="BM88" s="52">
        <v>25.51</v>
      </c>
      <c r="BN88" s="52">
        <v>24.17</v>
      </c>
      <c r="BO88" s="52">
        <v>24.8</v>
      </c>
      <c r="BP88" s="52">
        <v>28.98</v>
      </c>
      <c r="BQ88" s="52" cm="1">
        <f t="array" aca="1" ref="BQ88" ca="1">_FV(EE88,"Preço")</f>
        <v>28.98</v>
      </c>
      <c r="BR88" s="69" t="s">
        <v>85</v>
      </c>
      <c r="BS88" s="36" cm="1">
        <f t="array" aca="1" ref="BS88" ca="1">_FV(EE88,"Média de volume",TRUE)</f>
        <v>825130</v>
      </c>
      <c r="BT88" s="36">
        <v>545500</v>
      </c>
      <c r="BU88" s="36" cm="1">
        <f t="array" aca="1" ref="BU88" ca="1">_FV(EE88,"Volume")</f>
        <v>545500</v>
      </c>
      <c r="BV88" s="24" cm="1">
        <f t="array" aca="1" ref="BV88" ca="1">_FV(EE88,"Beta")</f>
        <v>0.91290000000000004</v>
      </c>
      <c r="BW88" s="71" cm="1">
        <f t="array" aca="1" ref="BW88" ca="1">_FV(EE88,"Variação (%)",TRUE)</f>
        <v>5.5520000000000005E-3</v>
      </c>
      <c r="BY88" s="17" cm="1">
        <f t="array" aca="1" ref="BY88" ca="1">_FV(EE88,"Baixo")</f>
        <v>28.72</v>
      </c>
      <c r="BZ88" s="17" cm="1">
        <f t="array" aca="1" ref="BZ88" ca="1">_FV(EE88,"Alto")</f>
        <v>29.54</v>
      </c>
      <c r="CA88" s="24"/>
      <c r="CB88" s="63">
        <f ca="1">SQRT(22.5*(BQ88/VLOOKUP(BR88,Fundamentus!A:U,3,FALSE))*(BQ88/VLOOKUP(BR88,Fundamentus!A:U,4,FALSE)))</f>
        <v>34.041231876324105</v>
      </c>
      <c r="CD88" s="62">
        <f t="shared" ca="1" si="112"/>
        <v>0</v>
      </c>
      <c r="CE88" s="8"/>
      <c r="CF88" s="61">
        <f t="shared" si="113"/>
        <v>19.28</v>
      </c>
      <c r="CG88" s="61">
        <f t="shared" si="114"/>
        <v>35.57</v>
      </c>
      <c r="CH88" s="61">
        <f t="shared" si="115"/>
        <v>25.495073529411759</v>
      </c>
      <c r="CI88" s="14"/>
      <c r="CJ88" s="35">
        <f t="shared" si="98"/>
        <v>26.849594694161361</v>
      </c>
      <c r="CK88" s="15">
        <f t="shared" si="116"/>
        <v>28.625</v>
      </c>
      <c r="CL88" s="35">
        <f t="shared" si="99"/>
        <v>30.400405305838639</v>
      </c>
      <c r="CN88" s="14"/>
      <c r="CO88" s="17">
        <f t="shared" si="100"/>
        <v>4.0266666666666637</v>
      </c>
      <c r="CP88" s="17">
        <f t="shared" si="101"/>
        <v>11.653333333333332</v>
      </c>
      <c r="CQ88" s="17">
        <f t="shared" si="102"/>
        <v>20.316666666666663</v>
      </c>
      <c r="CR88" s="38">
        <f t="shared" si="117"/>
        <v>27.943333333333332</v>
      </c>
      <c r="CS88" s="17">
        <f t="shared" si="103"/>
        <v>36.606666666666662</v>
      </c>
      <c r="CT88" s="17">
        <f t="shared" si="104"/>
        <v>44.233333333333334</v>
      </c>
      <c r="CU88" s="17">
        <f t="shared" si="105"/>
        <v>52.896666666666661</v>
      </c>
      <c r="CV88" s="2" cm="1">
        <f t="array" aca="1" ref="CV88" ca="1">MAX(_xlfn._xlws.FILTER(CO88:CU88,CO88:CU88&lt;BQ88))</f>
        <v>27.943333333333332</v>
      </c>
      <c r="CW88" s="2" cm="1">
        <f t="array" aca="1" ref="CW88" ca="1">MIN(_xlfn._xlws.FILTER($CO88:$CU88,$CO88:$CU88&gt;BQ88))</f>
        <v>36.606666666666662</v>
      </c>
      <c r="CX88" s="16">
        <f t="shared" ca="1" si="119"/>
        <v>0.31003220804008103</v>
      </c>
      <c r="CY88" s="20">
        <f t="shared" ca="1" si="120"/>
        <v>-0.15501610402004051</v>
      </c>
      <c r="CZ88" s="20">
        <f t="shared" ca="1" si="121"/>
        <v>-0.10334406934669367</v>
      </c>
      <c r="DA88" s="20">
        <f t="shared" ca="1" si="122"/>
        <v>-6.2006441608016202E-2</v>
      </c>
      <c r="DB88" s="20">
        <f t="shared" ca="1" si="123"/>
        <v>-3.4448023115564559E-2</v>
      </c>
      <c r="DC88" s="20">
        <f t="shared" ca="1" si="124"/>
        <v>-1.8237188708240062E-2</v>
      </c>
      <c r="DD88" s="20">
        <f t="shared" ca="1" si="125"/>
        <v>-9.3949153951539705E-3</v>
      </c>
      <c r="DE88" s="20">
        <f t="shared" ca="1" si="126"/>
        <v>-4.7697262775397084E-3</v>
      </c>
      <c r="DF88" s="21">
        <f t="shared" ca="1" si="127"/>
        <v>4.7697262775397084E-3</v>
      </c>
      <c r="DG88" s="21">
        <f t="shared" ca="1" si="128"/>
        <v>9.3949153951539705E-3</v>
      </c>
      <c r="DH88" s="21">
        <f t="shared" ca="1" si="129"/>
        <v>1.8237188708240062E-2</v>
      </c>
      <c r="DI88" s="21">
        <f t="shared" ca="1" si="130"/>
        <v>3.4448023115564559E-2</v>
      </c>
      <c r="DJ88" s="21">
        <f t="shared" ca="1" si="131"/>
        <v>6.2006441608016202E-2</v>
      </c>
      <c r="DK88" s="21">
        <f t="shared" ca="1" si="132"/>
        <v>0.10334406934669367</v>
      </c>
      <c r="DL88" s="21">
        <f t="shared" ca="1" si="133"/>
        <v>0.15501610402004051</v>
      </c>
      <c r="DN88" s="16" cm="1">
        <f t="array" aca="1" ref="DN88" ca="1">MAX(_xlfn._xlws.FILTER(CY88:DL88,CY88:DL88&lt;BW88))</f>
        <v>4.7697262775397084E-3</v>
      </c>
      <c r="DO88" s="16" cm="1">
        <f t="array" aca="1" ref="DO88" ca="1">MIN(_xlfn._xlws.FILTER(CY88:DL88,CY88:DL88&gt;BW88))</f>
        <v>9.3949153951539705E-3</v>
      </c>
      <c r="DP88" s="2" cm="1">
        <f t="array" aca="1" ref="DP88" ca="1">_FV(EE88,"Fechamento anterior",TRUE)</f>
        <v>28.82</v>
      </c>
      <c r="DQ88" s="28">
        <f t="shared" ca="1" si="106"/>
        <v>0.16906853120255935</v>
      </c>
      <c r="DR88" s="15">
        <f t="shared" ca="1" si="134"/>
        <v>28.957463511318693</v>
      </c>
      <c r="DS88" s="15">
        <f t="shared" ca="1" si="135"/>
        <v>29.090761461688338</v>
      </c>
      <c r="DT88" s="9"/>
      <c r="DU88" s="9"/>
      <c r="DV88" s="9"/>
      <c r="DW88" s="89">
        <v>1.4675122758744113E-2</v>
      </c>
      <c r="DX88" s="89">
        <f t="shared" ca="1" si="107"/>
        <v>4.6251891176142621E-3</v>
      </c>
      <c r="DY88" s="72">
        <f t="shared" ca="1" si="108"/>
        <v>0.19995434216206248</v>
      </c>
      <c r="DZ88" s="37"/>
      <c r="EA88" s="35">
        <f t="shared" si="118"/>
        <v>0.88770265291932038</v>
      </c>
      <c r="EB88" s="56"/>
      <c r="EC88" s="56"/>
      <c r="EE88" s="2" t="e" vm="88">
        <v>#VALUE!</v>
      </c>
      <c r="EG88" s="10" cm="1">
        <f t="array" aca="1" ref="EG88" ca="1">_FV(EE88,"Ações em circulação",TRUE)</f>
        <v>339000000</v>
      </c>
      <c r="EH88" s="18">
        <f>VLOOKUP(BR88,Fundamentus!A:U,5,FALSE)</f>
        <v>0.878</v>
      </c>
      <c r="EI88" s="2">
        <f t="shared" ca="1" si="109"/>
        <v>11189316628.701595</v>
      </c>
      <c r="EJ88" s="17">
        <v>644504637.81321192</v>
      </c>
      <c r="EK88" s="17">
        <f t="shared" ca="1" si="110"/>
        <v>644504637.81321192</v>
      </c>
      <c r="EM88" s="16">
        <f t="shared" ca="1" si="97"/>
        <v>0</v>
      </c>
      <c r="EN88" s="32" t="str">
        <f>IF(VLOOKUP(BR88,Fundamentus!A:U,3,FALSE)&lt;15,"Bom",IF(VLOOKUP(BR88,Fundamentus!A:U,3,FALSE)&gt;15,"Ruim","n/a"))</f>
        <v>Ruim</v>
      </c>
      <c r="EO88" s="28" t="str">
        <f>IF(VLOOKUP(BR88,Fundamentus!A:U,4,FALSE)&lt;1,"Baixo",IF(VLOOKUP(BR88,Fundamentus!A:U,4,FALSE)&lt;1.5,"Moderado",IF(VLOOKUP(BR88,Fundamentus!A:U,4,FALSE)&gt;1.5,"Alto","n/a")))</f>
        <v>Moderado</v>
      </c>
      <c r="EP88" s="17" t="str">
        <f>IF(VLOOKUP(BR88,Fundamentus!A:U,8,FALSE)&lt;0,"Risco elevado",IF(VLOOKUP(BR88,Fundamentus!A:U,8,FALSE)&lt;1,"Saudável",IF(VLOOKUP(BR88,Fundamentus!A:U,8,FALSE)&lt;3,"Estável",IF(VLOOKUP(BR88,Fundamentus!A:U,8,FALSE)&gt;3,"Alerta","n/a"))))</f>
        <v>Estável</v>
      </c>
      <c r="EQ88" s="28" t="str">
        <f t="shared" si="111"/>
        <v>Ruim</v>
      </c>
      <c r="ER88" s="17" t="str">
        <f>IF(VLOOKUP(BR88,Fundamentus!A:U,12,FALSE)&lt;2,"Subvalorizada",IF(VLOOKUP(BR88,Fundamentus!A:U,12,FALSE)&lt;6,"Muita barata",IF(VLOOKUP(BR88,Fundamentus!A:U,12,FALSE)&lt;6,"Barata",IF(VLOOKUP(BR88,Fundamentus!A:U,12,FALSE)&lt;8,"Atrativa",IF(VLOOKUP(BR88,Fundamentus!A:U,12,FALSE)&gt;8,"Supervalorizada","n/a")))))</f>
        <v>Atrativa</v>
      </c>
      <c r="ET88" s="17" t="str">
        <f>IF(VLOOKUP(BR88,Fundamentus!A:U,17,FALSE)&lt;0.1,"Fraco retorno",IF(VLOOKUP(BR88,Fundamentus!A:U,17,FALSE)&gt;0.1,"Bom retorno","n/a"))</f>
        <v>Fraco retorno</v>
      </c>
      <c r="EU88" s="17" t="str">
        <f>IF(VLOOKUP(BR88,Fundamentus!A:U,16,FALSE)&lt;0.1,"Ineficiente",IF(VLOOKUP(BR88,Fundamentus!A:U,16,FALSE)&gt;0.1,"Eficiente","n/a"))</f>
        <v>Ineficiente</v>
      </c>
      <c r="EV88" s="33" t="str">
        <f>IF(VLOOKUP(BR88,Fundamentus!A:U,16,FALSE)&lt;0.1,"Oper. Ineficiente",IF(VLOOKUP(BR88,Fundamentus!A:U,16,FALSE)&gt;0.1,"Oper.Eficiente","n/a"))</f>
        <v>Oper. Ineficiente</v>
      </c>
      <c r="EW88" s="34">
        <f>VLOOKUP(BR88,Fundamentus!A:U,14,FALSE)</f>
        <v>5.7599999999999998E-2</v>
      </c>
      <c r="EX88" s="17" t="str">
        <f>IF(VLOOKUP(BR88,Fundamentus!A:U,21,FALSE)&lt;0,"Negativo",IF(VLOOKUP(BR88,Fundamentus!A:U,21,FALSE)&lt;0.05,"Fraco",IF(VLOOKUP(BR88,Fundamentus!A:U,21,FALSE)&lt;0.1,"Bom",IF(VLOOKUP(BR88,Fundamentus!A:U,21,FALSE)&gt;0.1,"Muito bom","n/a"))))</f>
        <v>Bom</v>
      </c>
      <c r="EZ88" s="29" t="str">
        <f>IF(VLOOKUP(BR88,Fundamentus!A:U,15,FALSE)&gt;1,"Bom",IF(VLOOKUP(BR88,Fundamentus!A:U,15,FALSE)&lt;1,"Ruim","n/a"))</f>
        <v>Bom</v>
      </c>
      <c r="FA88" s="17" t="str">
        <f>IF(VLOOKUP(BR88,Fundamentus!A:U,20,FALSE)&lt;0.5,"Baixa",IF(VLOOKUP(BR88,Fundamentus!A:U,20,FALSE)&lt;1,"Moderada",IF(VLOOKUP(BR88,Fundamentus!A:U,20,FALSE)&lt;2,"Alerta",IF(VLOOKUP(BR88,Fundamentus!A:U,20,FALSE)&gt;2,"Alta","n/a"))))</f>
        <v>Baixa</v>
      </c>
      <c r="FB88" s="10"/>
    </row>
    <row r="89" spans="1:158" s="2" customFormat="1" ht="11.25"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5">
        <v>15.08</v>
      </c>
      <c r="BC89" s="52">
        <v>15.35</v>
      </c>
      <c r="BD89" s="52">
        <v>15.64</v>
      </c>
      <c r="BE89" s="52">
        <v>16.2</v>
      </c>
      <c r="BF89" s="52">
        <v>15.96</v>
      </c>
      <c r="BG89" s="67">
        <v>16.29</v>
      </c>
      <c r="BH89" s="52">
        <v>16.62</v>
      </c>
      <c r="BI89" s="52">
        <v>16.57</v>
      </c>
      <c r="BJ89" s="52">
        <v>16.670000000000002</v>
      </c>
      <c r="BK89" s="52">
        <v>16.05</v>
      </c>
      <c r="BL89" s="52">
        <v>15.67</v>
      </c>
      <c r="BM89" s="52">
        <v>15.56</v>
      </c>
      <c r="BN89" s="52">
        <v>15.56</v>
      </c>
      <c r="BO89" s="52">
        <v>15.97</v>
      </c>
      <c r="BP89" s="52">
        <v>16.03</v>
      </c>
      <c r="BQ89" s="52" cm="1">
        <f t="array" aca="1" ref="BQ89" ca="1">_FV(EE89,"Preço")</f>
        <v>16.03</v>
      </c>
      <c r="BR89" s="69" t="s">
        <v>110</v>
      </c>
      <c r="BS89" s="36" cm="1">
        <f t="array" aca="1" ref="BS89" ca="1">_FV(EE89,"Média de volume",TRUE)</f>
        <v>26874860</v>
      </c>
      <c r="BT89" s="36">
        <v>20239500</v>
      </c>
      <c r="BU89" s="36" cm="1">
        <f t="array" aca="1" ref="BU89" ca="1">_FV(EE89,"Volume")</f>
        <v>20239500</v>
      </c>
      <c r="BV89" s="24" cm="1">
        <f t="array" aca="1" ref="BV89" ca="1">_FV(EE89,"Beta")</f>
        <v>1.4984999999999999</v>
      </c>
      <c r="BW89" s="71" cm="1">
        <f t="array" aca="1" ref="BW89" ca="1">_FV(EE89,"Variação (%)",TRUE)</f>
        <v>1.2489999999999999E-3</v>
      </c>
      <c r="BY89" s="17" cm="1">
        <f t="array" aca="1" ref="BY89" ca="1">_FV(EE89,"Baixo")</f>
        <v>15.88</v>
      </c>
      <c r="BZ89" s="17" cm="1">
        <f t="array" aca="1" ref="BZ89" ca="1">_FV(EE89,"Alto")</f>
        <v>16.09</v>
      </c>
      <c r="CA89" s="24"/>
      <c r="CB89" s="63">
        <f ca="1">SQRT(22.5*(BQ89/VLOOKUP(BR89,Fundamentus!A:U,3,FALSE))*(BQ89/VLOOKUP(BR89,Fundamentus!A:U,4,FALSE)))</f>
        <v>26.404589659977418</v>
      </c>
      <c r="CD89" s="62">
        <f t="shared" ca="1" si="112"/>
        <v>0</v>
      </c>
      <c r="CE89" s="8"/>
      <c r="CF89" s="61">
        <f t="shared" si="113"/>
        <v>11.18</v>
      </c>
      <c r="CG89" s="61">
        <f t="shared" si="114"/>
        <v>16.670000000000002</v>
      </c>
      <c r="CH89" s="61">
        <f t="shared" si="115"/>
        <v>13.740661764705886</v>
      </c>
      <c r="CI89" s="14"/>
      <c r="CJ89" s="35">
        <f t="shared" si="98"/>
        <v>15.819038463316518</v>
      </c>
      <c r="CK89" s="15">
        <f t="shared" si="116"/>
        <v>16.2349999999999</v>
      </c>
      <c r="CL89" s="35">
        <f t="shared" si="99"/>
        <v>16.650961536683283</v>
      </c>
      <c r="CN89" s="14"/>
      <c r="CO89" s="17">
        <f t="shared" si="100"/>
        <v>7.0933333333333302</v>
      </c>
      <c r="CP89" s="17">
        <f t="shared" si="101"/>
        <v>9.1366666666666649</v>
      </c>
      <c r="CQ89" s="17">
        <f t="shared" si="102"/>
        <v>12.583333333333332</v>
      </c>
      <c r="CR89" s="38">
        <f t="shared" si="117"/>
        <v>14.626666666666667</v>
      </c>
      <c r="CS89" s="17">
        <f t="shared" si="103"/>
        <v>18.073333333333334</v>
      </c>
      <c r="CT89" s="17">
        <f t="shared" si="104"/>
        <v>20.116666666666667</v>
      </c>
      <c r="CU89" s="17">
        <f t="shared" si="105"/>
        <v>23.563333333333336</v>
      </c>
      <c r="CV89" s="2" cm="1">
        <f t="array" aca="1" ref="CV89" ca="1">MAX(_xlfn._xlws.FILTER(CO89:CU89,CO89:CU89&lt;BQ89))</f>
        <v>14.626666666666667</v>
      </c>
      <c r="CW89" s="2" cm="1">
        <f t="array" aca="1" ref="CW89" ca="1">MIN(_xlfn._xlws.FILTER($CO89:$CU89,$CO89:$CU89&gt;BQ89))</f>
        <v>18.073333333333334</v>
      </c>
      <c r="CX89" s="16">
        <f t="shared" ca="1" si="119"/>
        <v>0.23564266180492255</v>
      </c>
      <c r="CY89" s="20">
        <f t="shared" ca="1" si="120"/>
        <v>-0.11782133090246127</v>
      </c>
      <c r="CZ89" s="20">
        <f t="shared" ca="1" si="121"/>
        <v>-7.8547553934974187E-2</v>
      </c>
      <c r="DA89" s="20">
        <f t="shared" ca="1" si="122"/>
        <v>-4.7128532360984507E-2</v>
      </c>
      <c r="DB89" s="20">
        <f t="shared" ca="1" si="123"/>
        <v>-2.6182517978324729E-2</v>
      </c>
      <c r="DC89" s="20">
        <f t="shared" ca="1" si="124"/>
        <v>-1.3861333047348386E-2</v>
      </c>
      <c r="DD89" s="20">
        <f t="shared" ca="1" si="125"/>
        <v>-7.1406867213612895E-3</v>
      </c>
      <c r="DE89" s="20">
        <f t="shared" ca="1" si="126"/>
        <v>-3.6252717200757315E-3</v>
      </c>
      <c r="DF89" s="21">
        <f t="shared" ca="1" si="127"/>
        <v>3.6252717200757315E-3</v>
      </c>
      <c r="DG89" s="21">
        <f t="shared" ca="1" si="128"/>
        <v>7.1406867213612895E-3</v>
      </c>
      <c r="DH89" s="21">
        <f t="shared" ca="1" si="129"/>
        <v>1.3861333047348386E-2</v>
      </c>
      <c r="DI89" s="21">
        <f t="shared" ca="1" si="130"/>
        <v>2.6182517978324729E-2</v>
      </c>
      <c r="DJ89" s="21">
        <f t="shared" ca="1" si="131"/>
        <v>4.7128532360984507E-2</v>
      </c>
      <c r="DK89" s="21">
        <f t="shared" ca="1" si="132"/>
        <v>7.8547553934974187E-2</v>
      </c>
      <c r="DL89" s="21">
        <f t="shared" ca="1" si="133"/>
        <v>0.11782133090246127</v>
      </c>
      <c r="DN89" s="16" cm="1">
        <f t="array" aca="1" ref="DN89" ca="1">MAX(_xlfn._xlws.FILTER(CY89:DL89,CY89:DL89&lt;BW89))</f>
        <v>-3.6252717200757315E-3</v>
      </c>
      <c r="DO89" s="16" cm="1">
        <f t="array" aca="1" ref="DO89" ca="1">MIN(_xlfn._xlws.FILTER(CY89:DL89,CY89:DL89&gt;BW89))</f>
        <v>3.6252717200757315E-3</v>
      </c>
      <c r="DP89" s="2" cm="1">
        <f t="array" aca="1" ref="DP89" ca="1">_FV(EE89,"Fechamento anterior",TRUE)</f>
        <v>16.010000000000002</v>
      </c>
      <c r="DQ89" s="28">
        <f t="shared" ca="1" si="106"/>
        <v>0.67229318716419939</v>
      </c>
      <c r="DR89" s="15">
        <f t="shared" ca="1" si="134"/>
        <v>15.95195939976159</v>
      </c>
      <c r="DS89" s="15">
        <f t="shared" ca="1" si="135"/>
        <v>16.068040600238415</v>
      </c>
      <c r="DT89" s="9"/>
      <c r="DU89" s="9"/>
      <c r="DV89" s="9"/>
      <c r="DW89" s="89">
        <v>6.6907971437195294E-3</v>
      </c>
      <c r="DX89" s="89">
        <f t="shared" ca="1" si="107"/>
        <v>7.2505434401514629E-3</v>
      </c>
      <c r="DY89" s="72">
        <f t="shared" ca="1" si="108"/>
        <v>-0.49283402892113837</v>
      </c>
      <c r="DZ89" s="37"/>
      <c r="EA89" s="35">
        <f t="shared" si="118"/>
        <v>0.2079807683416908</v>
      </c>
      <c r="EB89" s="56"/>
      <c r="EC89" s="56"/>
      <c r="EE89" s="2" t="e" vm="89">
        <v>#VALUE!</v>
      </c>
      <c r="EG89" s="10" cm="1">
        <f t="array" aca="1" ref="EG89" ca="1">_FV(EE89,"Ações em circulação",TRUE)</f>
        <v>10592010000</v>
      </c>
      <c r="EH89" s="18">
        <f>VLOOKUP(BR89,Fundamentus!A:U,5,FALSE)</f>
        <v>0</v>
      </c>
      <c r="EI89" s="2" t="e">
        <f t="shared" ca="1" si="109"/>
        <v>#DIV/0!</v>
      </c>
      <c r="EJ89" s="17" t="e">
        <v>#DIV/0!</v>
      </c>
      <c r="EK89" s="17" t="e">
        <f t="shared" ca="1" si="110"/>
        <v>#DIV/0!</v>
      </c>
      <c r="EM89" s="16" t="e">
        <f t="shared" ca="1" si="97"/>
        <v>#DIV/0!</v>
      </c>
      <c r="EN89" s="32" t="str">
        <f>IF(VLOOKUP(BR89,Fundamentus!A:U,3,FALSE)&lt;15,"Bom",IF(VLOOKUP(BR89,Fundamentus!A:U,3,FALSE)&gt;15,"Ruim","n/a"))</f>
        <v>Bom</v>
      </c>
      <c r="EO89" s="28" t="str">
        <f>IF(VLOOKUP(BR89,Fundamentus!A:U,4,FALSE)&lt;1,"Baixo",IF(VLOOKUP(BR89,Fundamentus!A:U,4,FALSE)&lt;1.5,"Moderado",IF(VLOOKUP(BR89,Fundamentus!A:U,4,FALSE)&gt;1.5,"Alto","n/a")))</f>
        <v>Moderado</v>
      </c>
      <c r="EP89" s="17" t="str">
        <f>IF(VLOOKUP(BR89,Fundamentus!A:U,8,FALSE)&lt;0,"Risco elevado",IF(VLOOKUP(BR89,Fundamentus!A:U,8,FALSE)&lt;1,"Saudável",IF(VLOOKUP(BR89,Fundamentus!A:U,8,FALSE)&lt;3,"Estável",IF(VLOOKUP(BR89,Fundamentus!A:U,8,FALSE)&gt;3,"Alerta","n/a"))))</f>
        <v>Saudável</v>
      </c>
      <c r="EQ89" s="28" t="str">
        <f t="shared" si="111"/>
        <v>Ruim</v>
      </c>
      <c r="ER89" s="17" t="str">
        <f>IF(VLOOKUP(BR89,Fundamentus!A:U,12,FALSE)&lt;2,"Subvalorizada",IF(VLOOKUP(BR89,Fundamentus!A:U,12,FALSE)&lt;6,"Muita barata",IF(VLOOKUP(BR89,Fundamentus!A:U,12,FALSE)&lt;6,"Barata",IF(VLOOKUP(BR89,Fundamentus!A:U,12,FALSE)&lt;8,"Atrativa",IF(VLOOKUP(BR89,Fundamentus!A:U,12,FALSE)&gt;8,"Supervalorizada","n/a")))))</f>
        <v>Subvalorizada</v>
      </c>
      <c r="ET89" s="17" t="str">
        <f>IF(VLOOKUP(BR89,Fundamentus!A:U,17,FALSE)&lt;0.1,"Fraco retorno",IF(VLOOKUP(BR89,Fundamentus!A:U,17,FALSE)&gt;0.1,"Bom retorno","n/a"))</f>
        <v>Bom retorno</v>
      </c>
      <c r="EU89" s="17" t="str">
        <f>IF(VLOOKUP(BR89,Fundamentus!A:U,16,FALSE)&lt;0.1,"Ineficiente",IF(VLOOKUP(BR89,Fundamentus!A:U,16,FALSE)&gt;0.1,"Eficiente","n/a"))</f>
        <v>Ineficiente</v>
      </c>
      <c r="EV89" s="33" t="str">
        <f>IF(VLOOKUP(BR89,Fundamentus!A:U,16,FALSE)&lt;0.1,"Oper. Ineficiente",IF(VLOOKUP(BR89,Fundamentus!A:U,16,FALSE)&gt;0.1,"Oper.Eficiente","n/a"))</f>
        <v>Oper. Ineficiente</v>
      </c>
      <c r="EW89" s="34">
        <f>VLOOKUP(BR89,Fundamentus!A:U,14,FALSE)</f>
        <v>0</v>
      </c>
      <c r="EX89" s="17" t="str">
        <f>IF(VLOOKUP(BR89,Fundamentus!A:U,21,FALSE)&lt;0,"Negativo",IF(VLOOKUP(BR89,Fundamentus!A:U,21,FALSE)&lt;0.05,"Fraco",IF(VLOOKUP(BR89,Fundamentus!A:U,21,FALSE)&lt;0.1,"Bom",IF(VLOOKUP(BR89,Fundamentus!A:U,21,FALSE)&gt;0.1,"Muito bom","n/a"))))</f>
        <v>Negativo</v>
      </c>
      <c r="EZ89" s="29" t="str">
        <f>IF(VLOOKUP(BR89,Fundamentus!A:U,15,FALSE)&gt;1,"Bom",IF(VLOOKUP(BR89,Fundamentus!A:U,15,FALSE)&lt;1,"Ruim","n/a"))</f>
        <v>Ruim</v>
      </c>
      <c r="FA89" s="17" t="str">
        <f>IF(VLOOKUP(BR89,Fundamentus!A:U,20,FALSE)&lt;0.5,"Baixa",IF(VLOOKUP(BR89,Fundamentus!A:U,20,FALSE)&lt;1,"Moderada",IF(VLOOKUP(BR89,Fundamentus!A:U,20,FALSE)&lt;2,"Alerta",IF(VLOOKUP(BR89,Fundamentus!A:U,20,FALSE)&gt;2,"Alta","n/a"))))</f>
        <v>Baixa</v>
      </c>
      <c r="FB89" s="10">
        <v>2</v>
      </c>
    </row>
    <row r="90" spans="1:158"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5">
        <v>44.15</v>
      </c>
      <c r="BC90" s="52">
        <v>47.59</v>
      </c>
      <c r="BD90" s="52">
        <v>49.5</v>
      </c>
      <c r="BE90" s="52">
        <v>52.07</v>
      </c>
      <c r="BF90" s="52">
        <v>52.51</v>
      </c>
      <c r="BG90" s="67">
        <v>52.99</v>
      </c>
      <c r="BH90" s="52">
        <v>53.5</v>
      </c>
      <c r="BI90" s="52">
        <v>54.18</v>
      </c>
      <c r="BJ90" s="52">
        <v>56.66</v>
      </c>
      <c r="BK90" s="52">
        <v>52.35</v>
      </c>
      <c r="BL90" s="52">
        <v>51.81</v>
      </c>
      <c r="BM90" s="52">
        <v>51.3</v>
      </c>
      <c r="BN90" s="52">
        <v>52.27</v>
      </c>
      <c r="BO90" s="52">
        <v>53.55</v>
      </c>
      <c r="BP90" s="52">
        <v>52.36</v>
      </c>
      <c r="BQ90" s="52" cm="1">
        <f t="array" aca="1" ref="BQ90" ca="1">_FV(EE90,"Preço")</f>
        <v>52.36</v>
      </c>
      <c r="BR90" s="66" t="s">
        <v>16</v>
      </c>
      <c r="BS90" s="36" cm="1">
        <f t="array" aca="1" ref="BS90" ca="1">_FV(EE90,"Média de volume",TRUE)</f>
        <v>2824500</v>
      </c>
      <c r="BT90" s="36">
        <v>1690100</v>
      </c>
      <c r="BU90" s="36" cm="1">
        <f t="array" aca="1" ref="BU90" ca="1">_FV(EE90,"Volume")</f>
        <v>1690100</v>
      </c>
      <c r="BV90" s="24" cm="1">
        <f t="array" aca="1" ref="BV90" ca="1">_FV(EE90,"Beta")</f>
        <v>0.83930000000000005</v>
      </c>
      <c r="BW90" s="71" cm="1">
        <f t="array" aca="1" ref="BW90" ca="1">_FV(EE90,"Variação (%)",TRUE)</f>
        <v>-1.8189E-2</v>
      </c>
      <c r="BY90" s="17" cm="1">
        <f t="array" aca="1" ref="BY90" ca="1">_FV(EE90,"Baixo")</f>
        <v>52.16</v>
      </c>
      <c r="BZ90" s="17" cm="1">
        <f t="array" aca="1" ref="BZ90" ca="1">_FV(EE90,"Alto")</f>
        <v>53.3</v>
      </c>
      <c r="CA90" s="24"/>
      <c r="CB90" s="63">
        <f ca="1">SQRT(22.5*(BQ90/VLOOKUP(BR90,Fundamentus!A:U,3,FALSE))*(BQ90/VLOOKUP(BR90,Fundamentus!A:U,4,FALSE)))</f>
        <v>46.14765449523285</v>
      </c>
      <c r="CD90" s="62">
        <f t="shared" ca="1" si="112"/>
        <v>0</v>
      </c>
      <c r="CE90" s="8"/>
      <c r="CF90" s="61">
        <f t="shared" si="113"/>
        <v>28.77</v>
      </c>
      <c r="CG90" s="61">
        <f t="shared" si="114"/>
        <v>56.66</v>
      </c>
      <c r="CH90" s="61">
        <f t="shared" si="115"/>
        <v>39.319117647058832</v>
      </c>
      <c r="CI90" s="14"/>
      <c r="CJ90" s="35">
        <f t="shared" si="98"/>
        <v>51.989320890029894</v>
      </c>
      <c r="CK90" s="15">
        <f t="shared" si="116"/>
        <v>53.484999999999673</v>
      </c>
      <c r="CL90" s="35">
        <f t="shared" si="99"/>
        <v>54.980679109969451</v>
      </c>
      <c r="CN90" s="14"/>
      <c r="CO90" s="17">
        <f t="shared" si="100"/>
        <v>7.3100000000000058</v>
      </c>
      <c r="CP90" s="17">
        <f t="shared" si="101"/>
        <v>18.040000000000003</v>
      </c>
      <c r="CQ90" s="17">
        <f t="shared" si="102"/>
        <v>35.200000000000003</v>
      </c>
      <c r="CR90" s="38">
        <f t="shared" si="117"/>
        <v>45.93</v>
      </c>
      <c r="CS90" s="17">
        <f t="shared" si="103"/>
        <v>63.09</v>
      </c>
      <c r="CT90" s="17">
        <f t="shared" si="104"/>
        <v>73.819999999999993</v>
      </c>
      <c r="CU90" s="17">
        <f t="shared" si="105"/>
        <v>90.97999999999999</v>
      </c>
      <c r="CV90" s="2" cm="1">
        <f t="array" aca="1" ref="CV90" ca="1">MAX(_xlfn._xlws.FILTER(CO90:CU90,CO90:CU90&lt;BQ90))</f>
        <v>45.93</v>
      </c>
      <c r="CW90" s="2" cm="1">
        <f t="array" aca="1" ref="CW90" ca="1">MIN(_xlfn._xlws.FILTER($CO90:$CU90,$CO90:$CU90&gt;BQ90))</f>
        <v>63.09</v>
      </c>
      <c r="CX90" s="16">
        <f t="shared" ca="1" si="119"/>
        <v>0.37361201828870039</v>
      </c>
      <c r="CY90" s="20">
        <f t="shared" ca="1" si="120"/>
        <v>-0.18680600914435019</v>
      </c>
      <c r="CZ90" s="20">
        <f t="shared" ca="1" si="121"/>
        <v>-0.1245373394295668</v>
      </c>
      <c r="DA90" s="20">
        <f t="shared" ca="1" si="122"/>
        <v>-7.4722403657740077E-2</v>
      </c>
      <c r="DB90" s="20">
        <f t="shared" ca="1" si="123"/>
        <v>-4.1512446476522268E-2</v>
      </c>
      <c r="DC90" s="20">
        <f t="shared" ca="1" si="124"/>
        <v>-2.1977177546394139E-2</v>
      </c>
      <c r="DD90" s="20">
        <f t="shared" ca="1" si="125"/>
        <v>-1.1321576311778799E-2</v>
      </c>
      <c r="DE90" s="20">
        <f t="shared" ca="1" si="126"/>
        <v>-5.7478772044415446E-3</v>
      </c>
      <c r="DF90" s="21">
        <f t="shared" ca="1" si="127"/>
        <v>5.7478772044415446E-3</v>
      </c>
      <c r="DG90" s="21">
        <f t="shared" ca="1" si="128"/>
        <v>1.1321576311778799E-2</v>
      </c>
      <c r="DH90" s="21">
        <f t="shared" ca="1" si="129"/>
        <v>2.1977177546394139E-2</v>
      </c>
      <c r="DI90" s="21">
        <f t="shared" ca="1" si="130"/>
        <v>4.1512446476522268E-2</v>
      </c>
      <c r="DJ90" s="21">
        <f t="shared" ca="1" si="131"/>
        <v>7.4722403657740077E-2</v>
      </c>
      <c r="DK90" s="21">
        <f t="shared" ca="1" si="132"/>
        <v>0.1245373394295668</v>
      </c>
      <c r="DL90" s="21">
        <f t="shared" ca="1" si="133"/>
        <v>0.18680600914435019</v>
      </c>
      <c r="DN90" s="16" cm="1">
        <f t="array" aca="1" ref="DN90" ca="1">MAX(_xlfn._xlws.FILTER(CY90:DL90,CY90:DL90&lt;BW90))</f>
        <v>-2.1977177546394139E-2</v>
      </c>
      <c r="DO90" s="16" cm="1">
        <f t="array" aca="1" ref="DO90" ca="1">MIN(_xlfn._xlws.FILTER(CY90:DL90,CY90:DL90&gt;BW90))</f>
        <v>-1.1321576311778799E-2</v>
      </c>
      <c r="DP90" s="2" cm="1">
        <f t="array" aca="1" ref="DP90" ca="1">_FV(EE90,"Fechamento anterior",TRUE)</f>
        <v>53.33</v>
      </c>
      <c r="DQ90" s="28">
        <f t="shared" ca="1" si="106"/>
        <v>0.35554453223038096</v>
      </c>
      <c r="DR90" s="15">
        <f t="shared" ca="1" si="134"/>
        <v>52.157957121450799</v>
      </c>
      <c r="DS90" s="15">
        <f t="shared" ca="1" si="135"/>
        <v>52.726220335292837</v>
      </c>
      <c r="DT90" s="9"/>
      <c r="DU90" s="9"/>
      <c r="DV90" s="9"/>
      <c r="DW90" s="89">
        <v>1.0808567333839697E-2</v>
      </c>
      <c r="DX90" s="89">
        <f t="shared" ca="1" si="107"/>
        <v>1.065560123461534E-2</v>
      </c>
      <c r="DY90" s="72">
        <f t="shared" ca="1" si="108"/>
        <v>-0.75216668635721273</v>
      </c>
      <c r="DZ90" s="37"/>
      <c r="EA90" s="35">
        <f t="shared" si="118"/>
        <v>0.74783955498489063</v>
      </c>
      <c r="EB90" s="56"/>
      <c r="EC90" s="56"/>
      <c r="EE90" s="2" t="e" vm="90">
        <v>#VALUE!</v>
      </c>
      <c r="EG90" s="10" cm="1">
        <f t="array" aca="1" ref="EG90" ca="1">_FV(EE90,"Ações em circulação",TRUE)</f>
        <v>646586100</v>
      </c>
      <c r="EH90" s="18">
        <f>VLOOKUP(BR90,Fundamentus!A:U,5,FALSE)</f>
        <v>0.92900000000000005</v>
      </c>
      <c r="EI90" s="2">
        <f t="shared" ca="1" si="109"/>
        <v>36442678359.526367</v>
      </c>
      <c r="EJ90" s="17">
        <v>2886260126.0744886</v>
      </c>
      <c r="EK90" s="17">
        <f t="shared" ca="1" si="110"/>
        <v>2886260126.0744886</v>
      </c>
      <c r="EM90" s="16">
        <f t="shared" ca="1" si="97"/>
        <v>0</v>
      </c>
      <c r="EN90" s="32" t="str">
        <f>IF(VLOOKUP(BR90,Fundamentus!A:U,3,FALSE)&lt;15,"Bom",IF(VLOOKUP(BR90,Fundamentus!A:U,3,FALSE)&gt;15,"Ruim","n/a"))</f>
        <v>Bom</v>
      </c>
      <c r="EO90" s="28" t="str">
        <f>IF(VLOOKUP(BR90,Fundamentus!A:U,4,FALSE)&lt;1,"Baixo",IF(VLOOKUP(BR90,Fundamentus!A:U,4,FALSE)&lt;1.5,"Moderado",IF(VLOOKUP(BR90,Fundamentus!A:U,4,FALSE)&gt;1.5,"Alto","n/a")))</f>
        <v>Alto</v>
      </c>
      <c r="EP90" s="17" t="str">
        <f>IF(VLOOKUP(BR90,Fundamentus!A:U,8,FALSE)&lt;0,"Risco elevado",IF(VLOOKUP(BR90,Fundamentus!A:U,8,FALSE)&lt;1,"Saudável",IF(VLOOKUP(BR90,Fundamentus!A:U,8,FALSE)&lt;3,"Estável",IF(VLOOKUP(BR90,Fundamentus!A:U,8,FALSE)&gt;3,"Alerta","n/a"))))</f>
        <v>Alerta</v>
      </c>
      <c r="EQ90" s="28" t="str">
        <f t="shared" si="111"/>
        <v>Ruim</v>
      </c>
      <c r="ER90" s="17" t="str">
        <f>IF(VLOOKUP(BR90,Fundamentus!A:U,12,FALSE)&lt;2,"Subvalorizada",IF(VLOOKUP(BR90,Fundamentus!A:U,12,FALSE)&lt;6,"Muita barata",IF(VLOOKUP(BR90,Fundamentus!A:U,12,FALSE)&lt;6,"Barata",IF(VLOOKUP(BR90,Fundamentus!A:U,12,FALSE)&lt;8,"Atrativa",IF(VLOOKUP(BR90,Fundamentus!A:U,12,FALSE)&gt;8,"Supervalorizada","n/a")))))</f>
        <v>Subvalorizada</v>
      </c>
      <c r="ET90" s="17" t="str">
        <f>IF(VLOOKUP(BR90,Fundamentus!A:U,17,FALSE)&lt;0.1,"Fraco retorno",IF(VLOOKUP(BR90,Fundamentus!A:U,17,FALSE)&gt;0.1,"Bom retorno","n/a"))</f>
        <v>Bom retorno</v>
      </c>
      <c r="EU90" s="17" t="str">
        <f>IF(VLOOKUP(BR90,Fundamentus!A:U,16,FALSE)&lt;0.1,"Ineficiente",IF(VLOOKUP(BR90,Fundamentus!A:U,16,FALSE)&gt;0.1,"Eficiente","n/a"))</f>
        <v>Eficiente</v>
      </c>
      <c r="EV90" s="33" t="str">
        <f>IF(VLOOKUP(BR90,Fundamentus!A:U,16,FALSE)&lt;0.1,"Oper. Ineficiente",IF(VLOOKUP(BR90,Fundamentus!A:U,16,FALSE)&gt;0.1,"Oper.Eficiente","n/a"))</f>
        <v>Oper.Eficiente</v>
      </c>
      <c r="EW90" s="34">
        <f>VLOOKUP(BR90,Fundamentus!A:U,14,FALSE)</f>
        <v>7.9200000000000007E-2</v>
      </c>
      <c r="EX90" s="17" t="str">
        <f>IF(VLOOKUP(BR90,Fundamentus!A:U,21,FALSE)&lt;0,"Negativo",IF(VLOOKUP(BR90,Fundamentus!A:U,21,FALSE)&lt;0.05,"Fraco",IF(VLOOKUP(BR90,Fundamentus!A:U,21,FALSE)&lt;0.1,"Bom",IF(VLOOKUP(BR90,Fundamentus!A:U,21,FALSE)&gt;0.1,"Muito bom","n/a"))))</f>
        <v>Muito bom</v>
      </c>
      <c r="EZ90" s="29" t="str">
        <f>IF(VLOOKUP(BR90,Fundamentus!A:U,15,FALSE)&gt;1,"Bom",IF(VLOOKUP(BR90,Fundamentus!A:U,15,FALSE)&lt;1,"Ruim","n/a"))</f>
        <v>Bom</v>
      </c>
      <c r="FA90" s="17" t="str">
        <f>IF(VLOOKUP(BR90,Fundamentus!A:U,20,FALSE)&lt;0.5,"Baixa",IF(VLOOKUP(BR90,Fundamentus!A:U,20,FALSE)&lt;1,"Moderada",IF(VLOOKUP(BR90,Fundamentus!A:U,20,FALSE)&lt;2,"Alerta",IF(VLOOKUP(BR90,Fundamentus!A:U,20,FALSE)&gt;2,"Alta","n/a"))))</f>
        <v>Baixa</v>
      </c>
      <c r="FB90" s="10">
        <v>4</v>
      </c>
    </row>
    <row r="91" spans="1:158" s="2" customFormat="1" ht="11.25"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5">
        <v>0.83</v>
      </c>
      <c r="BC91" s="52">
        <v>0.86</v>
      </c>
      <c r="BD91" s="52">
        <v>0.84</v>
      </c>
      <c r="BE91" s="52">
        <v>0.84</v>
      </c>
      <c r="BF91" s="52">
        <v>1.26</v>
      </c>
      <c r="BG91" s="67">
        <v>1.1200000000000001</v>
      </c>
      <c r="BH91" s="52">
        <v>1.1100000000000001</v>
      </c>
      <c r="BI91" s="52">
        <v>0.88</v>
      </c>
      <c r="BJ91" s="52">
        <v>0.95</v>
      </c>
      <c r="BK91" s="52">
        <v>0.99</v>
      </c>
      <c r="BL91" s="52">
        <v>1.31</v>
      </c>
      <c r="BM91" s="52">
        <v>1.1499999999999999</v>
      </c>
      <c r="BN91" s="52">
        <v>1.1499999999999999</v>
      </c>
      <c r="BO91" s="52">
        <v>0.99</v>
      </c>
      <c r="BP91" s="52">
        <v>1.01</v>
      </c>
      <c r="BQ91" s="52" cm="1">
        <f t="array" aca="1" ref="BQ91" ca="1">_FV(EE91,"Preço")</f>
        <v>1.01</v>
      </c>
      <c r="BR91" s="69" t="s">
        <v>88</v>
      </c>
      <c r="BS91" s="36" cm="1">
        <f t="array" aca="1" ref="BS91" ca="1">_FV(EE91,"Média de volume",TRUE)</f>
        <v>36900</v>
      </c>
      <c r="BT91" s="36">
        <v>13600</v>
      </c>
      <c r="BU91" s="36" cm="1">
        <f t="array" aca="1" ref="BU91" ca="1">_FV(EE91,"Volume")</f>
        <v>13600</v>
      </c>
      <c r="BV91" s="24" cm="1">
        <f t="array" aca="1" ref="BV91" ca="1">_FV(EE91,"Beta")</f>
        <v>1.2155</v>
      </c>
      <c r="BW91" s="71" cm="1">
        <f t="array" aca="1" ref="BW91" ca="1">_FV(EE91,"Variação (%)",TRUE)</f>
        <v>0</v>
      </c>
      <c r="BY91" s="17" cm="1">
        <f t="array" aca="1" ref="BY91" ca="1">_FV(EE91,"Baixo")</f>
        <v>1</v>
      </c>
      <c r="BZ91" s="17" cm="1">
        <f t="array" aca="1" ref="BZ91" ca="1">_FV(EE91,"Alto")</f>
        <v>1.03</v>
      </c>
      <c r="CA91" s="24"/>
      <c r="CB91" s="63" t="e">
        <f ca="1">SQRT(22.5*(BQ91/VLOOKUP(BR91,Fundamentus!A:U,3,FALSE))*(BQ91/VLOOKUP(BR91,Fundamentus!A:U,4,FALSE)))</f>
        <v>#NUM!</v>
      </c>
      <c r="CD91" s="62">
        <f t="shared" ca="1" si="112"/>
        <v>0</v>
      </c>
      <c r="CE91" s="8"/>
      <c r="CF91" s="61">
        <f t="shared" si="113"/>
        <v>0.82</v>
      </c>
      <c r="CG91" s="61">
        <f t="shared" si="114"/>
        <v>1.31</v>
      </c>
      <c r="CH91" s="61">
        <f t="shared" si="115"/>
        <v>0.97573529411764692</v>
      </c>
      <c r="CI91" s="14"/>
      <c r="CJ91" s="35">
        <f t="shared" si="98"/>
        <v>0.69053392724647356</v>
      </c>
      <c r="CK91" s="15">
        <f t="shared" si="116"/>
        <v>0.93000000000000682</v>
      </c>
      <c r="CL91" s="35">
        <f t="shared" si="99"/>
        <v>1.1694660727535402</v>
      </c>
      <c r="CN91" s="14"/>
      <c r="CO91" s="17">
        <f t="shared" si="100"/>
        <v>0.29333333333333311</v>
      </c>
      <c r="CP91" s="17">
        <f t="shared" si="101"/>
        <v>0.55666666666666653</v>
      </c>
      <c r="CQ91" s="17">
        <f t="shared" si="102"/>
        <v>0.78333333333333321</v>
      </c>
      <c r="CR91" s="38">
        <f t="shared" si="117"/>
        <v>1.0466666666666666</v>
      </c>
      <c r="CS91" s="17">
        <f t="shared" si="103"/>
        <v>1.2733333333333334</v>
      </c>
      <c r="CT91" s="17">
        <f t="shared" si="104"/>
        <v>1.5366666666666666</v>
      </c>
      <c r="CU91" s="17">
        <f t="shared" si="105"/>
        <v>1.7633333333333334</v>
      </c>
      <c r="CV91" s="2" cm="1">
        <f t="array" aca="1" ref="CV91" ca="1">MAX(_xlfn._xlws.FILTER(CO91:CU91,CO91:CU91&lt;BQ91))</f>
        <v>0.78333333333333321</v>
      </c>
      <c r="CW91" s="2" cm="1">
        <f t="array" aca="1" ref="CW91" ca="1">MIN(_xlfn._xlws.FILTER($CO91:$CU91,$CO91:$CU91&gt;BQ91))</f>
        <v>1.0466666666666666</v>
      </c>
      <c r="CX91" s="16">
        <f t="shared" ca="1" si="119"/>
        <v>0.3361702127659576</v>
      </c>
      <c r="CY91" s="20">
        <f t="shared" ca="1" si="120"/>
        <v>-0.1680851063829788</v>
      </c>
      <c r="CZ91" s="20">
        <f t="shared" ca="1" si="121"/>
        <v>-0.11205673758865253</v>
      </c>
      <c r="DA91" s="20">
        <f t="shared" ca="1" si="122"/>
        <v>-6.7234042553191514E-2</v>
      </c>
      <c r="DB91" s="20">
        <f t="shared" ca="1" si="123"/>
        <v>-3.735224586288418E-2</v>
      </c>
      <c r="DC91" s="20">
        <f t="shared" ca="1" si="124"/>
        <v>-1.9774718397997507E-2</v>
      </c>
      <c r="DD91" s="20">
        <f t="shared" ca="1" si="125"/>
        <v>-1.0186976144422958E-2</v>
      </c>
      <c r="DE91" s="20">
        <f t="shared" ca="1" si="126"/>
        <v>-5.1718494271685784E-3</v>
      </c>
      <c r="DF91" s="21">
        <f t="shared" ca="1" si="127"/>
        <v>5.1718494271685784E-3</v>
      </c>
      <c r="DG91" s="21">
        <f t="shared" ca="1" si="128"/>
        <v>1.0186976144422958E-2</v>
      </c>
      <c r="DH91" s="21">
        <f t="shared" ca="1" si="129"/>
        <v>1.9774718397997507E-2</v>
      </c>
      <c r="DI91" s="21">
        <f t="shared" ca="1" si="130"/>
        <v>3.735224586288418E-2</v>
      </c>
      <c r="DJ91" s="21">
        <f t="shared" ca="1" si="131"/>
        <v>6.7234042553191514E-2</v>
      </c>
      <c r="DK91" s="21">
        <f t="shared" ca="1" si="132"/>
        <v>0.11205673758865253</v>
      </c>
      <c r="DL91" s="21">
        <f t="shared" ca="1" si="133"/>
        <v>0.1680851063829788</v>
      </c>
      <c r="DN91" s="16" cm="1">
        <f t="array" aca="1" ref="DN91" ca="1">MAX(_xlfn._xlws.FILTER(CY91:DL91,CY91:DL91&lt;BW91))</f>
        <v>-5.1718494271685784E-3</v>
      </c>
      <c r="DO91" s="16" cm="1">
        <f t="array" aca="1" ref="DO91" ca="1">MIN(_xlfn._xlws.FILTER(CY91:DL91,CY91:DL91&gt;BW91))</f>
        <v>5.1718494271685784E-3</v>
      </c>
      <c r="DP91" s="2" cm="1">
        <f t="array" aca="1" ref="DP91" ca="1">_FV(EE91,"Fechamento anterior",TRUE)</f>
        <v>1.01</v>
      </c>
      <c r="DQ91" s="28">
        <f t="shared" ca="1" si="106"/>
        <v>0.5</v>
      </c>
      <c r="DR91" s="15">
        <f t="shared" ca="1" si="134"/>
        <v>1.0047764320785597</v>
      </c>
      <c r="DS91" s="15">
        <f t="shared" ca="1" si="135"/>
        <v>1.0152235679214403</v>
      </c>
      <c r="DT91" s="9"/>
      <c r="DU91" s="9"/>
      <c r="DV91" s="9"/>
      <c r="DW91" s="89">
        <v>5.2311325038597771E-3</v>
      </c>
      <c r="DX91" s="89">
        <f t="shared" ca="1" si="107"/>
        <v>1.0343698854337157E-2</v>
      </c>
      <c r="DY91" s="72">
        <f t="shared" ca="1" si="108"/>
        <v>0.3340765523905006</v>
      </c>
      <c r="DZ91" s="37"/>
      <c r="EA91" s="35">
        <f t="shared" si="118"/>
        <v>0.11973303637676665</v>
      </c>
      <c r="EB91" s="56"/>
      <c r="EC91" s="56"/>
      <c r="EE91" s="2" t="e" vm="91">
        <v>#VALUE!</v>
      </c>
      <c r="EG91" s="10" cm="1">
        <f t="array" aca="1" ref="EG91" ca="1">_FV(EE91,"Ações em circulação",TRUE)</f>
        <v>124398500</v>
      </c>
      <c r="EH91" s="18">
        <f>VLOOKUP(BR91,Fundamentus!A:U,5,FALSE)</f>
        <v>1.609</v>
      </c>
      <c r="EI91" s="2">
        <f t="shared" ca="1" si="109"/>
        <v>78087311.995027974</v>
      </c>
      <c r="EJ91" s="17">
        <v>-29259315.80453698</v>
      </c>
      <c r="EK91" s="17">
        <f t="shared" ca="1" si="110"/>
        <v>-29259315.80453698</v>
      </c>
      <c r="EM91" s="16">
        <f t="shared" ca="1" si="97"/>
        <v>0</v>
      </c>
      <c r="EN91" s="32" t="str">
        <f>IF(VLOOKUP(BR91,Fundamentus!A:U,3,FALSE)&lt;15,"Bom",IF(VLOOKUP(BR91,Fundamentus!A:U,3,FALSE)&gt;15,"Ruim","n/a"))</f>
        <v>Bom</v>
      </c>
      <c r="EO91" s="28" t="str">
        <f>IF(VLOOKUP(BR91,Fundamentus!A:U,4,FALSE)&lt;1,"Baixo",IF(VLOOKUP(BR91,Fundamentus!A:U,4,FALSE)&lt;1.5,"Moderado",IF(VLOOKUP(BR91,Fundamentus!A:U,4,FALSE)&gt;1.5,"Alto","n/a")))</f>
        <v>Baixo</v>
      </c>
      <c r="EP91" s="17" t="str">
        <f>IF(VLOOKUP(BR91,Fundamentus!A:U,8,FALSE)&lt;0,"Risco elevado",IF(VLOOKUP(BR91,Fundamentus!A:U,8,FALSE)&lt;1,"Saudável",IF(VLOOKUP(BR91,Fundamentus!A:U,8,FALSE)&lt;3,"Estável",IF(VLOOKUP(BR91,Fundamentus!A:U,8,FALSE)&gt;3,"Alerta","n/a"))))</f>
        <v>Risco elevado</v>
      </c>
      <c r="EQ91" s="28" t="str">
        <f t="shared" si="111"/>
        <v>Bom</v>
      </c>
      <c r="ER91" s="17" t="str">
        <f>IF(VLOOKUP(BR91,Fundamentus!A:U,12,FALSE)&lt;2,"Subvalorizada",IF(VLOOKUP(BR91,Fundamentus!A:U,12,FALSE)&lt;6,"Muita barata",IF(VLOOKUP(BR91,Fundamentus!A:U,12,FALSE)&lt;6,"Barata",IF(VLOOKUP(BR91,Fundamentus!A:U,12,FALSE)&lt;8,"Atrativa",IF(VLOOKUP(BR91,Fundamentus!A:U,12,FALSE)&gt;8,"Supervalorizada","n/a")))))</f>
        <v>Supervalorizada</v>
      </c>
      <c r="ET91" s="17" t="str">
        <f>IF(VLOOKUP(BR91,Fundamentus!A:U,17,FALSE)&lt;0.1,"Fraco retorno",IF(VLOOKUP(BR91,Fundamentus!A:U,17,FALSE)&gt;0.1,"Bom retorno","n/a"))</f>
        <v>Fraco retorno</v>
      </c>
      <c r="EU91" s="17" t="str">
        <f>IF(VLOOKUP(BR91,Fundamentus!A:U,16,FALSE)&lt;0.1,"Ineficiente",IF(VLOOKUP(BR91,Fundamentus!A:U,16,FALSE)&gt;0.1,"Eficiente","n/a"))</f>
        <v>Ineficiente</v>
      </c>
      <c r="EV91" s="33" t="str">
        <f>IF(VLOOKUP(BR91,Fundamentus!A:U,16,FALSE)&lt;0.1,"Oper. Ineficiente",IF(VLOOKUP(BR91,Fundamentus!A:U,16,FALSE)&gt;0.1,"Oper.Eficiente","n/a"))</f>
        <v>Oper. Ineficiente</v>
      </c>
      <c r="EW91" s="34">
        <f>VLOOKUP(BR91,Fundamentus!A:U,14,FALSE)</f>
        <v>-0.37469999999999998</v>
      </c>
      <c r="EX91" s="17" t="str">
        <f>IF(VLOOKUP(BR91,Fundamentus!A:U,21,FALSE)&lt;0,"Negativo",IF(VLOOKUP(BR91,Fundamentus!A:U,21,FALSE)&lt;0.05,"Fraco",IF(VLOOKUP(BR91,Fundamentus!A:U,21,FALSE)&lt;0.1,"Bom",IF(VLOOKUP(BR91,Fundamentus!A:U,21,FALSE)&gt;0.1,"Muito bom","n/a"))))</f>
        <v>Muito bom</v>
      </c>
      <c r="EZ91" s="29" t="str">
        <f>IF(VLOOKUP(BR91,Fundamentus!A:U,15,FALSE)&gt;1,"Bom",IF(VLOOKUP(BR91,Fundamentus!A:U,15,FALSE)&lt;1,"Ruim","n/a"))</f>
        <v>Ruim</v>
      </c>
      <c r="FA91" s="17" t="str">
        <f>IF(VLOOKUP(BR91,Fundamentus!A:U,20,FALSE)&lt;0.5,"Baixa",IF(VLOOKUP(BR91,Fundamentus!A:U,20,FALSE)&lt;1,"Moderada",IF(VLOOKUP(BR91,Fundamentus!A:U,20,FALSE)&lt;2,"Alerta",IF(VLOOKUP(BR91,Fundamentus!A:U,20,FALSE)&gt;2,"Alta","n/a"))))</f>
        <v>Alerta</v>
      </c>
      <c r="FB91" s="10"/>
    </row>
    <row r="92" spans="1:158" s="2" customFormat="1" ht="11.25"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5">
        <v>55.14</v>
      </c>
      <c r="BC92" s="52">
        <v>57.54</v>
      </c>
      <c r="BD92" s="52">
        <v>61</v>
      </c>
      <c r="BE92" s="52">
        <v>60.1</v>
      </c>
      <c r="BF92" s="52">
        <v>60.17</v>
      </c>
      <c r="BG92" s="67">
        <v>59.11</v>
      </c>
      <c r="BH92" s="52">
        <v>58.1</v>
      </c>
      <c r="BI92" s="52">
        <v>57.84</v>
      </c>
      <c r="BJ92" s="52">
        <v>59.74</v>
      </c>
      <c r="BK92" s="52">
        <v>58.9</v>
      </c>
      <c r="BL92" s="52">
        <v>56.17</v>
      </c>
      <c r="BM92" s="52">
        <v>55.17</v>
      </c>
      <c r="BN92" s="52">
        <v>55.13</v>
      </c>
      <c r="BO92" s="52">
        <v>59.74</v>
      </c>
      <c r="BP92" s="52">
        <v>57.47</v>
      </c>
      <c r="BQ92" s="52" cm="1">
        <f t="array" aca="1" ref="BQ92" ca="1">_FV(EE92,"Preço")</f>
        <v>57.47</v>
      </c>
      <c r="BR92" s="69" t="s">
        <v>151</v>
      </c>
      <c r="BS92" s="36" cm="1">
        <f t="array" aca="1" ref="BS92" ca="1">_FV(EE92,"Média de volume",TRUE)</f>
        <v>214070</v>
      </c>
      <c r="BT92" s="36">
        <v>107400</v>
      </c>
      <c r="BU92" s="36" cm="1">
        <f t="array" aca="1" ref="BU92" ca="1">_FV(EE92,"Volume")</f>
        <v>107400</v>
      </c>
      <c r="BV92" s="24" cm="1">
        <f t="array" aca="1" ref="BV92" ca="1">_FV(EE92,"Beta")</f>
        <v>1.2863</v>
      </c>
      <c r="BW92" s="71" cm="1">
        <f t="array" aca="1" ref="BW92" ca="1">_FV(EE92,"Variação (%)",TRUE)</f>
        <v>-6.3970000000000008E-3</v>
      </c>
      <c r="BY92" s="17" cm="1">
        <f t="array" aca="1" ref="BY92" ca="1">_FV(EE92,"Baixo")</f>
        <v>56.67</v>
      </c>
      <c r="BZ92" s="17" cm="1">
        <f t="array" aca="1" ref="BZ92" ca="1">_FV(EE92,"Alto")</f>
        <v>57.96</v>
      </c>
      <c r="CA92" s="24"/>
      <c r="CB92" s="63">
        <f ca="1">SQRT(22.5*(BQ92/VLOOKUP(BR92,Fundamentus!A:U,3,FALSE))*(BQ92/VLOOKUP(BR92,Fundamentus!A:U,4,FALSE)))</f>
        <v>57.061756953574516</v>
      </c>
      <c r="CD92" s="62">
        <f t="shared" ca="1" si="112"/>
        <v>0</v>
      </c>
      <c r="CE92" s="8"/>
      <c r="CF92" s="61">
        <f t="shared" si="113"/>
        <v>44.14</v>
      </c>
      <c r="CG92" s="61">
        <f t="shared" si="114"/>
        <v>61</v>
      </c>
      <c r="CH92" s="61">
        <f t="shared" si="115"/>
        <v>51.313897058823521</v>
      </c>
      <c r="CI92" s="14"/>
      <c r="CJ92" s="35">
        <f t="shared" si="98"/>
        <v>55.892370843582555</v>
      </c>
      <c r="CK92" s="15">
        <f t="shared" si="116"/>
        <v>59.7549999999992</v>
      </c>
      <c r="CL92" s="35">
        <f t="shared" si="99"/>
        <v>63.617629156415845</v>
      </c>
      <c r="CN92" s="14"/>
      <c r="CO92" s="17">
        <f t="shared" si="100"/>
        <v>30.546666666666681</v>
      </c>
      <c r="CP92" s="17">
        <f t="shared" si="101"/>
        <v>37.343333333333341</v>
      </c>
      <c r="CQ92" s="17">
        <f t="shared" si="102"/>
        <v>47.40666666666668</v>
      </c>
      <c r="CR92" s="38">
        <f t="shared" si="117"/>
        <v>54.20333333333334</v>
      </c>
      <c r="CS92" s="17">
        <f t="shared" si="103"/>
        <v>64.26666666666668</v>
      </c>
      <c r="CT92" s="17">
        <f t="shared" si="104"/>
        <v>71.063333333333333</v>
      </c>
      <c r="CU92" s="17">
        <f t="shared" si="105"/>
        <v>81.126666666666679</v>
      </c>
      <c r="CV92" s="2" cm="1">
        <f t="array" aca="1" ref="CV92" ca="1">MAX(_xlfn._xlws.FILTER(CO92:CU92,CO92:CU92&lt;BQ92))</f>
        <v>54.20333333333334</v>
      </c>
      <c r="CW92" s="2" cm="1">
        <f t="array" aca="1" ref="CW92" ca="1">MIN(_xlfn._xlws.FILTER($CO92:$CU92,$CO92:$CU92&gt;BQ92))</f>
        <v>64.26666666666668</v>
      </c>
      <c r="CX92" s="16">
        <f t="shared" ca="1" si="119"/>
        <v>0.18565893856466409</v>
      </c>
      <c r="CY92" s="20">
        <f t="shared" ca="1" si="120"/>
        <v>-9.2829469282332044E-2</v>
      </c>
      <c r="CZ92" s="20">
        <f t="shared" ca="1" si="121"/>
        <v>-6.1886312854888027E-2</v>
      </c>
      <c r="DA92" s="20">
        <f t="shared" ca="1" si="122"/>
        <v>-3.7131787712932816E-2</v>
      </c>
      <c r="DB92" s="20">
        <f t="shared" ca="1" si="123"/>
        <v>-2.0628770951629342E-2</v>
      </c>
      <c r="DC92" s="20">
        <f t="shared" ca="1" si="124"/>
        <v>-1.0921114033215535E-2</v>
      </c>
      <c r="DD92" s="20">
        <f t="shared" ca="1" si="125"/>
        <v>-5.6260284413534572E-3</v>
      </c>
      <c r="DE92" s="20">
        <f t="shared" ca="1" si="126"/>
        <v>-2.8562913625332937E-3</v>
      </c>
      <c r="DF92" s="21">
        <f t="shared" ca="1" si="127"/>
        <v>2.8562913625332937E-3</v>
      </c>
      <c r="DG92" s="21">
        <f t="shared" ca="1" si="128"/>
        <v>5.6260284413534572E-3</v>
      </c>
      <c r="DH92" s="21">
        <f t="shared" ca="1" si="129"/>
        <v>1.0921114033215535E-2</v>
      </c>
      <c r="DI92" s="21">
        <f t="shared" ca="1" si="130"/>
        <v>2.0628770951629342E-2</v>
      </c>
      <c r="DJ92" s="21">
        <f t="shared" ca="1" si="131"/>
        <v>3.7131787712932816E-2</v>
      </c>
      <c r="DK92" s="21">
        <f t="shared" ca="1" si="132"/>
        <v>6.1886312854888027E-2</v>
      </c>
      <c r="DL92" s="21">
        <f t="shared" ca="1" si="133"/>
        <v>9.2829469282332044E-2</v>
      </c>
      <c r="DN92" s="16" cm="1">
        <f t="array" aca="1" ref="DN92" ca="1">MAX(_xlfn._xlws.FILTER(CY92:DL92,CY92:DL92&lt;BW92))</f>
        <v>-1.0921114033215535E-2</v>
      </c>
      <c r="DO92" s="16" cm="1">
        <f t="array" aca="1" ref="DO92" ca="1">MIN(_xlfn._xlws.FILTER(CY92:DL92,CY92:DL92&gt;BW92))</f>
        <v>-5.6260284413534572E-3</v>
      </c>
      <c r="DP92" s="2" cm="1">
        <f t="array" aca="1" ref="DP92" ca="1">_FV(EE92,"Fechamento anterior",TRUE)</f>
        <v>57.84</v>
      </c>
      <c r="DQ92" s="28">
        <f t="shared" ca="1" si="106"/>
        <v>0.85440675729026361</v>
      </c>
      <c r="DR92" s="15">
        <f t="shared" ca="1" si="134"/>
        <v>57.208322764318815</v>
      </c>
      <c r="DS92" s="15">
        <f t="shared" ca="1" si="135"/>
        <v>57.514590514952118</v>
      </c>
      <c r="DT92" s="9"/>
      <c r="DU92" s="9"/>
      <c r="DV92" s="9"/>
      <c r="DW92" s="89">
        <v>3.2811741872877234E-2</v>
      </c>
      <c r="DX92" s="89">
        <f t="shared" ca="1" si="107"/>
        <v>5.2950855918620782E-3</v>
      </c>
      <c r="DY92" s="72">
        <f t="shared" ca="1" si="108"/>
        <v>-0.59156597940636679</v>
      </c>
      <c r="DZ92" s="37"/>
      <c r="EA92" s="35">
        <f t="shared" si="118"/>
        <v>1.9313145782083241</v>
      </c>
      <c r="EB92" s="56"/>
      <c r="EC92" s="56"/>
      <c r="EE92" s="2" t="e" vm="92">
        <v>#VALUE!</v>
      </c>
      <c r="EG92" s="10" cm="1">
        <f t="array" aca="1" ref="EG92" ca="1">_FV(EE92,"Ações em circulação",TRUE)</f>
        <v>113173300</v>
      </c>
      <c r="EH92" s="18">
        <f>VLOOKUP(BR92,Fundamentus!A:U,5,FALSE)</f>
        <v>1.1120000000000001</v>
      </c>
      <c r="EI92" s="2">
        <f t="shared" ca="1" si="109"/>
        <v>5848983409.1726618</v>
      </c>
      <c r="EJ92" s="17">
        <v>676142482.10035968</v>
      </c>
      <c r="EK92" s="17">
        <f t="shared" ca="1" si="110"/>
        <v>676142482.10035968</v>
      </c>
      <c r="EM92" s="16">
        <f t="shared" ca="1" si="97"/>
        <v>0</v>
      </c>
      <c r="EN92" s="32" t="str">
        <f>IF(VLOOKUP(BR92,Fundamentus!A:U,3,FALSE)&lt;15,"Bom",IF(VLOOKUP(BR92,Fundamentus!A:U,3,FALSE)&gt;15,"Ruim","n/a"))</f>
        <v>Bom</v>
      </c>
      <c r="EO92" s="28" t="str">
        <f>IF(VLOOKUP(BR92,Fundamentus!A:U,4,FALSE)&lt;1,"Baixo",IF(VLOOKUP(BR92,Fundamentus!A:U,4,FALSE)&lt;1.5,"Moderado",IF(VLOOKUP(BR92,Fundamentus!A:U,4,FALSE)&gt;1.5,"Alto","n/a")))</f>
        <v>Alto</v>
      </c>
      <c r="EP92" s="17" t="str">
        <f>IF(VLOOKUP(BR92,Fundamentus!A:U,8,FALSE)&lt;0,"Risco elevado",IF(VLOOKUP(BR92,Fundamentus!A:U,8,FALSE)&lt;1,"Saudável",IF(VLOOKUP(BR92,Fundamentus!A:U,8,FALSE)&lt;3,"Estável",IF(VLOOKUP(BR92,Fundamentus!A:U,8,FALSE)&gt;3,"Alerta","n/a"))))</f>
        <v>Alerta</v>
      </c>
      <c r="EQ92" s="28" t="str">
        <f t="shared" si="111"/>
        <v>Bom</v>
      </c>
      <c r="ER92" s="17" t="str">
        <f>IF(VLOOKUP(BR92,Fundamentus!A:U,12,FALSE)&lt;2,"Subvalorizada",IF(VLOOKUP(BR92,Fundamentus!A:U,12,FALSE)&lt;6,"Muita barata",IF(VLOOKUP(BR92,Fundamentus!A:U,12,FALSE)&lt;6,"Barata",IF(VLOOKUP(BR92,Fundamentus!A:U,12,FALSE)&lt;8,"Atrativa",IF(VLOOKUP(BR92,Fundamentus!A:U,12,FALSE)&gt;8,"Supervalorizada","n/a")))))</f>
        <v>Atrativa</v>
      </c>
      <c r="ET92" s="17" t="str">
        <f>IF(VLOOKUP(BR92,Fundamentus!A:U,17,FALSE)&lt;0.1,"Fraco retorno",IF(VLOOKUP(BR92,Fundamentus!A:U,17,FALSE)&gt;0.1,"Bom retorno","n/a"))</f>
        <v>Bom retorno</v>
      </c>
      <c r="EU92" s="17" t="str">
        <f>IF(VLOOKUP(BR92,Fundamentus!A:U,16,FALSE)&lt;0.1,"Ineficiente",IF(VLOOKUP(BR92,Fundamentus!A:U,16,FALSE)&gt;0.1,"Eficiente","n/a"))</f>
        <v>Eficiente</v>
      </c>
      <c r="EV92" s="33" t="str">
        <f>IF(VLOOKUP(BR92,Fundamentus!A:U,16,FALSE)&lt;0.1,"Oper. Ineficiente",IF(VLOOKUP(BR92,Fundamentus!A:U,16,FALSE)&gt;0.1,"Oper.Eficiente","n/a"))</f>
        <v>Oper.Eficiente</v>
      </c>
      <c r="EW92" s="34">
        <f>VLOOKUP(BR92,Fundamentus!A:U,14,FALSE)</f>
        <v>0.11559999999999999</v>
      </c>
      <c r="EX92" s="17" t="str">
        <f>IF(VLOOKUP(BR92,Fundamentus!A:U,21,FALSE)&lt;0,"Negativo",IF(VLOOKUP(BR92,Fundamentus!A:U,21,FALSE)&lt;0.05,"Fraco",IF(VLOOKUP(BR92,Fundamentus!A:U,21,FALSE)&lt;0.1,"Bom",IF(VLOOKUP(BR92,Fundamentus!A:U,21,FALSE)&gt;0.1,"Muito bom","n/a"))))</f>
        <v>Fraco</v>
      </c>
      <c r="EZ92" s="29" t="str">
        <f>IF(VLOOKUP(BR92,Fundamentus!A:U,15,FALSE)&gt;1,"Bom",IF(VLOOKUP(BR92,Fundamentus!A:U,15,FALSE)&lt;1,"Ruim","n/a"))</f>
        <v>Bom</v>
      </c>
      <c r="FA92" s="17" t="str">
        <f>IF(VLOOKUP(BR92,Fundamentus!A:U,20,FALSE)&lt;0.5,"Baixa",IF(VLOOKUP(BR92,Fundamentus!A:U,20,FALSE)&lt;1,"Moderada",IF(VLOOKUP(BR92,Fundamentus!A:U,20,FALSE)&lt;2,"Alerta",IF(VLOOKUP(BR92,Fundamentus!A:U,20,FALSE)&gt;2,"Alta","n/a"))))</f>
        <v>Moderada</v>
      </c>
      <c r="FB92" s="10"/>
    </row>
    <row r="93" spans="1:158" s="2" customFormat="1" ht="11.25"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5">
        <v>13.75</v>
      </c>
      <c r="BC93" s="52">
        <v>13.7</v>
      </c>
      <c r="BD93" s="52">
        <v>13.17</v>
      </c>
      <c r="BE93" s="52">
        <v>13.33</v>
      </c>
      <c r="BF93" s="52">
        <v>13.57</v>
      </c>
      <c r="BG93" s="67">
        <v>13.29</v>
      </c>
      <c r="BH93" s="52">
        <v>13.04</v>
      </c>
      <c r="BI93" s="52">
        <v>13.46</v>
      </c>
      <c r="BJ93" s="52">
        <v>14.02</v>
      </c>
      <c r="BK93" s="52">
        <v>13.26</v>
      </c>
      <c r="BL93" s="52">
        <v>13.09</v>
      </c>
      <c r="BM93" s="52">
        <v>13.36</v>
      </c>
      <c r="BN93" s="52">
        <v>14.13</v>
      </c>
      <c r="BO93" s="52">
        <v>14.63</v>
      </c>
      <c r="BP93" s="52">
        <v>14.34</v>
      </c>
      <c r="BQ93" s="52" cm="1">
        <f t="array" aca="1" ref="BQ93" ca="1">_FV(EE93,"Preço")</f>
        <v>14.34</v>
      </c>
      <c r="BR93" s="69" t="s">
        <v>90</v>
      </c>
      <c r="BS93" s="36" cm="1">
        <f t="array" aca="1" ref="BS93" ca="1">_FV(EE93,"Média de volume",TRUE)</f>
        <v>1570200</v>
      </c>
      <c r="BT93" s="36">
        <v>2493400</v>
      </c>
      <c r="BU93" s="36" cm="1">
        <f t="array" aca="1" ref="BU93" ca="1">_FV(EE93,"Volume")</f>
        <v>2493400</v>
      </c>
      <c r="BV93" s="24" cm="1">
        <f t="array" aca="1" ref="BV93" ca="1">_FV(EE93,"Beta")</f>
        <v>1.6400999999999999</v>
      </c>
      <c r="BW93" s="71" cm="1">
        <f t="array" aca="1" ref="BW93" ca="1">_FV(EE93,"Variação (%)",TRUE)</f>
        <v>-6.9249999999999997E-3</v>
      </c>
      <c r="BY93" s="17" cm="1">
        <f t="array" aca="1" ref="BY93" ca="1">_FV(EE93,"Baixo")</f>
        <v>14.2</v>
      </c>
      <c r="BZ93" s="17" cm="1">
        <f t="array" aca="1" ref="BZ93" ca="1">_FV(EE93,"Alto")</f>
        <v>14.63</v>
      </c>
      <c r="CA93" s="24"/>
      <c r="CB93" s="63">
        <f ca="1">SQRT(22.5*(BQ93/VLOOKUP(BR93,Fundamentus!A:U,3,FALSE))*(BQ93/VLOOKUP(BR93,Fundamentus!A:U,4,FALSE)))</f>
        <v>34.104212130877229</v>
      </c>
      <c r="CD93" s="62">
        <f t="shared" ca="1" si="112"/>
        <v>0</v>
      </c>
      <c r="CE93" s="8"/>
      <c r="CF93" s="61">
        <f t="shared" si="113"/>
        <v>10.59</v>
      </c>
      <c r="CG93" s="61">
        <f t="shared" si="114"/>
        <v>15.64</v>
      </c>
      <c r="CH93" s="61">
        <f t="shared" si="115"/>
        <v>13.507720588235296</v>
      </c>
      <c r="CI93" s="14"/>
      <c r="CJ93" s="35">
        <f t="shared" si="98"/>
        <v>13.798251938603586</v>
      </c>
      <c r="CK93" s="15">
        <f t="shared" si="116"/>
        <v>14.974999999999909</v>
      </c>
      <c r="CL93" s="35">
        <f t="shared" si="99"/>
        <v>16.15174806139623</v>
      </c>
      <c r="CN93" s="14"/>
      <c r="CO93" s="17">
        <f t="shared" si="100"/>
        <v>6.3566666666666656</v>
      </c>
      <c r="CP93" s="17">
        <f t="shared" si="101"/>
        <v>8.4733333333333327</v>
      </c>
      <c r="CQ93" s="17">
        <f t="shared" si="102"/>
        <v>11.406666666666666</v>
      </c>
      <c r="CR93" s="38">
        <f t="shared" si="117"/>
        <v>13.523333333333333</v>
      </c>
      <c r="CS93" s="17">
        <f t="shared" si="103"/>
        <v>16.456666666666667</v>
      </c>
      <c r="CT93" s="17">
        <f t="shared" si="104"/>
        <v>18.573333333333334</v>
      </c>
      <c r="CU93" s="17">
        <f t="shared" si="105"/>
        <v>21.506666666666668</v>
      </c>
      <c r="CV93" s="2" cm="1">
        <f t="array" aca="1" ref="CV93" ca="1">MAX(_xlfn._xlws.FILTER(CO93:CU93,CO93:CU93&lt;BQ93))</f>
        <v>13.523333333333333</v>
      </c>
      <c r="CW93" s="2" cm="1">
        <f t="array" aca="1" ref="CW93" ca="1">MIN(_xlfn._xlws.FILTER($CO93:$CU93,$CO93:$CU93&gt;BQ93))</f>
        <v>16.456666666666667</v>
      </c>
      <c r="CX93" s="16">
        <f t="shared" ca="1" si="119"/>
        <v>0.21690904609317241</v>
      </c>
      <c r="CY93" s="20">
        <f t="shared" ca="1" si="120"/>
        <v>-0.1084545230465862</v>
      </c>
      <c r="CZ93" s="20">
        <f t="shared" ca="1" si="121"/>
        <v>-7.2303015364390807E-2</v>
      </c>
      <c r="DA93" s="20">
        <f t="shared" ca="1" si="122"/>
        <v>-4.3381809218634479E-2</v>
      </c>
      <c r="DB93" s="20">
        <f t="shared" ca="1" si="123"/>
        <v>-2.4101005121463601E-2</v>
      </c>
      <c r="DC93" s="20">
        <f t="shared" ca="1" si="124"/>
        <v>-1.2759355652539554E-2</v>
      </c>
      <c r="DD93" s="20">
        <f t="shared" ca="1" si="125"/>
        <v>-6.5730013967627999E-3</v>
      </c>
      <c r="DE93" s="20">
        <f t="shared" ca="1" si="126"/>
        <v>-3.337062247587268E-3</v>
      </c>
      <c r="DF93" s="21">
        <f t="shared" ca="1" si="127"/>
        <v>3.337062247587268E-3</v>
      </c>
      <c r="DG93" s="21">
        <f t="shared" ca="1" si="128"/>
        <v>6.5730013967627999E-3</v>
      </c>
      <c r="DH93" s="21">
        <f t="shared" ca="1" si="129"/>
        <v>1.2759355652539554E-2</v>
      </c>
      <c r="DI93" s="21">
        <f t="shared" ca="1" si="130"/>
        <v>2.4101005121463601E-2</v>
      </c>
      <c r="DJ93" s="21">
        <f t="shared" ca="1" si="131"/>
        <v>4.3381809218634479E-2</v>
      </c>
      <c r="DK93" s="21">
        <f t="shared" ca="1" si="132"/>
        <v>7.2303015364390807E-2</v>
      </c>
      <c r="DL93" s="21">
        <f t="shared" ca="1" si="133"/>
        <v>0.1084545230465862</v>
      </c>
      <c r="DN93" s="16" cm="1">
        <f t="array" aca="1" ref="DN93" ca="1">MAX(_xlfn._xlws.FILTER(CY93:DL93,CY93:DL93&lt;BW93))</f>
        <v>-1.2759355652539554E-2</v>
      </c>
      <c r="DO93" s="16" cm="1">
        <f t="array" aca="1" ref="DO93" ca="1">MIN(_xlfn._xlws.FILTER(CY93:DL93,CY93:DL93&gt;BW93))</f>
        <v>-6.5730013967627999E-3</v>
      </c>
      <c r="DP93" s="2" cm="1">
        <f t="array" aca="1" ref="DP93" ca="1">_FV(EE93,"Fechamento anterior",TRUE)</f>
        <v>14.44</v>
      </c>
      <c r="DQ93" s="28">
        <f t="shared" ca="1" si="106"/>
        <v>0.94306721779779068</v>
      </c>
      <c r="DR93" s="15">
        <f t="shared" ca="1" si="134"/>
        <v>14.255754904377328</v>
      </c>
      <c r="DS93" s="15">
        <f t="shared" ca="1" si="135"/>
        <v>14.345085859830744</v>
      </c>
      <c r="DT93" s="9"/>
      <c r="DU93" s="9"/>
      <c r="DV93" s="9"/>
      <c r="DW93" s="89">
        <v>3.3188544201760068E-3</v>
      </c>
      <c r="DX93" s="89">
        <f t="shared" ca="1" si="107"/>
        <v>6.1863542557767538E-3</v>
      </c>
      <c r="DY93" s="72">
        <f t="shared" ca="1" si="108"/>
        <v>-0.53962272879924844</v>
      </c>
      <c r="DZ93" s="37"/>
      <c r="EA93" s="35">
        <f t="shared" si="118"/>
        <v>0.58837403069816108</v>
      </c>
      <c r="EB93" s="56"/>
      <c r="EC93" s="56"/>
      <c r="EE93" s="2" t="e" vm="93">
        <v>#VALUE!</v>
      </c>
      <c r="EG93" s="10" cm="1">
        <f t="array" aca="1" ref="EG93" ca="1">_FV(EE93,"Ações em circulação",TRUE)</f>
        <v>220989100</v>
      </c>
      <c r="EH93" s="18">
        <f>VLOOKUP(BR93,Fundamentus!A:U,5,FALSE)</f>
        <v>1.796</v>
      </c>
      <c r="EI93" s="2">
        <f t="shared" ca="1" si="109"/>
        <v>1764467535.6347439</v>
      </c>
      <c r="EJ93" s="17">
        <v>507284416.49498886</v>
      </c>
      <c r="EK93" s="17">
        <f t="shared" ca="1" si="110"/>
        <v>507284416.49498886</v>
      </c>
      <c r="EM93" s="16">
        <f t="shared" ca="1" si="97"/>
        <v>0</v>
      </c>
      <c r="EN93" s="32" t="str">
        <f>IF(VLOOKUP(BR93,Fundamentus!A:U,3,FALSE)&lt;15,"Bom",IF(VLOOKUP(BR93,Fundamentus!A:U,3,FALSE)&gt;15,"Ruim","n/a"))</f>
        <v>Bom</v>
      </c>
      <c r="EO93" s="28" t="str">
        <f>IF(VLOOKUP(BR93,Fundamentus!A:U,4,FALSE)&lt;1,"Baixo",IF(VLOOKUP(BR93,Fundamentus!A:U,4,FALSE)&lt;1.5,"Moderado",IF(VLOOKUP(BR93,Fundamentus!A:U,4,FALSE)&gt;1.5,"Alto","n/a")))</f>
        <v>Baixo</v>
      </c>
      <c r="EP93" s="17" t="str">
        <f>IF(VLOOKUP(BR93,Fundamentus!A:U,8,FALSE)&lt;0,"Risco elevado",IF(VLOOKUP(BR93,Fundamentus!A:U,8,FALSE)&lt;1,"Saudável",IF(VLOOKUP(BR93,Fundamentus!A:U,8,FALSE)&lt;3,"Estável",IF(VLOOKUP(BR93,Fundamentus!A:U,8,FALSE)&gt;3,"Alerta","n/a"))))</f>
        <v>Estável</v>
      </c>
      <c r="EQ93" s="28" t="str">
        <f t="shared" si="111"/>
        <v>Bom</v>
      </c>
      <c r="ER93" s="17" t="str">
        <f>IF(VLOOKUP(BR93,Fundamentus!A:U,12,FALSE)&lt;2,"Subvalorizada",IF(VLOOKUP(BR93,Fundamentus!A:U,12,FALSE)&lt;6,"Muita barata",IF(VLOOKUP(BR93,Fundamentus!A:U,12,FALSE)&lt;6,"Barata",IF(VLOOKUP(BR93,Fundamentus!A:U,12,FALSE)&lt;8,"Atrativa",IF(VLOOKUP(BR93,Fundamentus!A:U,12,FALSE)&gt;8,"Supervalorizada","n/a")))))</f>
        <v>Supervalorizada</v>
      </c>
      <c r="ET93" s="17" t="str">
        <f>IF(VLOOKUP(BR93,Fundamentus!A:U,17,FALSE)&lt;0.1,"Fraco retorno",IF(VLOOKUP(BR93,Fundamentus!A:U,17,FALSE)&gt;0.1,"Bom retorno","n/a"))</f>
        <v>Fraco retorno</v>
      </c>
      <c r="EU93" s="17" t="str">
        <f>IF(VLOOKUP(BR93,Fundamentus!A:U,16,FALSE)&lt;0.1,"Ineficiente",IF(VLOOKUP(BR93,Fundamentus!A:U,16,FALSE)&gt;0.1,"Eficiente","n/a"))</f>
        <v>Ineficiente</v>
      </c>
      <c r="EV93" s="33" t="str">
        <f>IF(VLOOKUP(BR93,Fundamentus!A:U,16,FALSE)&lt;0.1,"Oper. Ineficiente",IF(VLOOKUP(BR93,Fundamentus!A:U,16,FALSE)&gt;0.1,"Oper.Eficiente","n/a"))</f>
        <v>Oper. Ineficiente</v>
      </c>
      <c r="EW93" s="34">
        <f>VLOOKUP(BR93,Fundamentus!A:U,14,FALSE)</f>
        <v>0.28749999999999998</v>
      </c>
      <c r="EX93" s="17" t="str">
        <f>IF(VLOOKUP(BR93,Fundamentus!A:U,21,FALSE)&lt;0,"Negativo",IF(VLOOKUP(BR93,Fundamentus!A:U,21,FALSE)&lt;0.05,"Fraco",IF(VLOOKUP(BR93,Fundamentus!A:U,21,FALSE)&lt;0.1,"Bom",IF(VLOOKUP(BR93,Fundamentus!A:U,21,FALSE)&gt;0.1,"Muito bom","n/a"))))</f>
        <v>Muito bom</v>
      </c>
      <c r="EZ93" s="29" t="str">
        <f>IF(VLOOKUP(BR93,Fundamentus!A:U,15,FALSE)&gt;1,"Bom",IF(VLOOKUP(BR93,Fundamentus!A:U,15,FALSE)&lt;1,"Ruim","n/a"))</f>
        <v>Bom</v>
      </c>
      <c r="FA93" s="17" t="str">
        <f>IF(VLOOKUP(BR93,Fundamentus!A:U,20,FALSE)&lt;0.5,"Baixa",IF(VLOOKUP(BR93,Fundamentus!A:U,20,FALSE)&lt;1,"Moderada",IF(VLOOKUP(BR93,Fundamentus!A:U,20,FALSE)&lt;2,"Alerta",IF(VLOOKUP(BR93,Fundamentus!A:U,20,FALSE)&gt;2,"Alta","n/a"))))</f>
        <v>Baixa</v>
      </c>
      <c r="FB93" s="10"/>
    </row>
    <row r="94" spans="1:158" s="2" customFormat="1" ht="11.25"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5">
        <v>51.47</v>
      </c>
      <c r="BC94" s="52">
        <v>53.82</v>
      </c>
      <c r="BD94" s="52">
        <v>52.96</v>
      </c>
      <c r="BE94" s="52">
        <v>49.65</v>
      </c>
      <c r="BF94" s="52">
        <v>53.42</v>
      </c>
      <c r="BG94" s="67">
        <v>54.11</v>
      </c>
      <c r="BH94" s="52">
        <v>51.87</v>
      </c>
      <c r="BI94" s="52">
        <v>51.15</v>
      </c>
      <c r="BJ94" s="52">
        <v>51.95</v>
      </c>
      <c r="BK94" s="52">
        <v>49.74</v>
      </c>
      <c r="BL94" s="52">
        <v>50.61</v>
      </c>
      <c r="BM94" s="52">
        <v>52.57</v>
      </c>
      <c r="BN94" s="52">
        <v>51.74</v>
      </c>
      <c r="BO94" s="52">
        <v>54.52</v>
      </c>
      <c r="BP94" s="52">
        <v>53.33</v>
      </c>
      <c r="BQ94" s="52" cm="1">
        <f t="array" aca="1" ref="BQ94" ca="1">_FV(EE94,"Preço")</f>
        <v>53.33</v>
      </c>
      <c r="BR94" s="69" t="s">
        <v>91</v>
      </c>
      <c r="BS94" s="36" cm="1">
        <f t="array" aca="1" ref="BS94" ca="1">_FV(EE94,"Média de volume",TRUE)</f>
        <v>4663700</v>
      </c>
      <c r="BT94" s="36">
        <v>5945100</v>
      </c>
      <c r="BU94" s="36" cm="1">
        <f t="array" aca="1" ref="BU94" ca="1">_FV(EE94,"Volume")</f>
        <v>5945100</v>
      </c>
      <c r="BV94" s="24" cm="1">
        <f t="array" aca="1" ref="BV94" ca="1">_FV(EE94,"Beta")</f>
        <v>0.39069999999999999</v>
      </c>
      <c r="BW94" s="71" cm="1">
        <f t="array" aca="1" ref="BW94" ca="1">_FV(EE94,"Variação (%)",TRUE)</f>
        <v>-1.0759000000000001E-2</v>
      </c>
      <c r="BY94" s="17" cm="1">
        <f t="array" aca="1" ref="BY94" ca="1">_FV(EE94,"Baixo")</f>
        <v>53.23</v>
      </c>
      <c r="BZ94" s="17" cm="1">
        <f t="array" aca="1" ref="BZ94" ca="1">_FV(EE94,"Alto")</f>
        <v>54.67</v>
      </c>
      <c r="CA94" s="24"/>
      <c r="CB94" s="63" t="e">
        <f ca="1">SQRT(22.5*(BQ94/VLOOKUP(BR94,Fundamentus!A:U,3,FALSE))*(BQ94/VLOOKUP(BR94,Fundamentus!A:U,4,FALSE)))</f>
        <v>#NUM!</v>
      </c>
      <c r="CD94" s="62">
        <f t="shared" ca="1" si="112"/>
        <v>0</v>
      </c>
      <c r="CE94" s="8"/>
      <c r="CF94" s="61">
        <f t="shared" si="113"/>
        <v>48.65</v>
      </c>
      <c r="CG94" s="61">
        <f t="shared" si="114"/>
        <v>65.430000000000007</v>
      </c>
      <c r="CH94" s="61">
        <f t="shared" si="115"/>
        <v>55.066029411764717</v>
      </c>
      <c r="CI94" s="14"/>
      <c r="CJ94" s="35">
        <f t="shared" si="98"/>
        <v>51.000685245016584</v>
      </c>
      <c r="CK94" s="15">
        <f t="shared" si="116"/>
        <v>54.304999999999836</v>
      </c>
      <c r="CL94" s="35">
        <f t="shared" si="99"/>
        <v>57.609314754983089</v>
      </c>
      <c r="CN94" s="14"/>
      <c r="CO94" s="17">
        <f t="shared" si="100"/>
        <v>29.396666666666668</v>
      </c>
      <c r="CP94" s="17">
        <f t="shared" si="101"/>
        <v>39.023333333333333</v>
      </c>
      <c r="CQ94" s="17">
        <f t="shared" si="102"/>
        <v>46.176666666666677</v>
      </c>
      <c r="CR94" s="38">
        <f t="shared" si="117"/>
        <v>55.803333333333342</v>
      </c>
      <c r="CS94" s="17">
        <f t="shared" si="103"/>
        <v>62.956666666666685</v>
      </c>
      <c r="CT94" s="17">
        <f t="shared" si="104"/>
        <v>72.583333333333343</v>
      </c>
      <c r="CU94" s="17">
        <f t="shared" si="105"/>
        <v>79.736666666666693</v>
      </c>
      <c r="CV94" s="2" cm="1">
        <f t="array" aca="1" ref="CV94" ca="1">MAX(_xlfn._xlws.FILTER(CO94:CU94,CO94:CU94&lt;BQ94))</f>
        <v>46.176666666666677</v>
      </c>
      <c r="CW94" s="2" cm="1">
        <f t="array" aca="1" ref="CW94" ca="1">MIN(_xlfn._xlws.FILTER($CO94:$CU94,$CO94:$CU94&gt;BQ94))</f>
        <v>55.803333333333342</v>
      </c>
      <c r="CX94" s="16">
        <f t="shared" ca="1" si="119"/>
        <v>0.20847469862123713</v>
      </c>
      <c r="CY94" s="20">
        <f t="shared" ca="1" si="120"/>
        <v>-0.10423734931061857</v>
      </c>
      <c r="CZ94" s="20">
        <f t="shared" ca="1" si="121"/>
        <v>-6.9491566207079039E-2</v>
      </c>
      <c r="DA94" s="20">
        <f t="shared" ca="1" si="122"/>
        <v>-4.1694939724247426E-2</v>
      </c>
      <c r="DB94" s="20">
        <f t="shared" ca="1" si="123"/>
        <v>-2.3163855402359681E-2</v>
      </c>
      <c r="DC94" s="20">
        <f t="shared" ca="1" si="124"/>
        <v>-1.2263217565955125E-2</v>
      </c>
      <c r="DD94" s="20">
        <f t="shared" ca="1" si="125"/>
        <v>-6.3174151097344583E-3</v>
      </c>
      <c r="DE94" s="20">
        <f t="shared" ca="1" si="126"/>
        <v>-3.2073030557113404E-3</v>
      </c>
      <c r="DF94" s="21">
        <f t="shared" ca="1" si="127"/>
        <v>3.2073030557113404E-3</v>
      </c>
      <c r="DG94" s="21">
        <f t="shared" ca="1" si="128"/>
        <v>6.3174151097344583E-3</v>
      </c>
      <c r="DH94" s="21">
        <f t="shared" ca="1" si="129"/>
        <v>1.2263217565955125E-2</v>
      </c>
      <c r="DI94" s="21">
        <f t="shared" ca="1" si="130"/>
        <v>2.3163855402359681E-2</v>
      </c>
      <c r="DJ94" s="21">
        <f t="shared" ca="1" si="131"/>
        <v>4.1694939724247426E-2</v>
      </c>
      <c r="DK94" s="21">
        <f t="shared" ca="1" si="132"/>
        <v>6.9491566207079039E-2</v>
      </c>
      <c r="DL94" s="21">
        <f t="shared" ca="1" si="133"/>
        <v>0.10423734931061857</v>
      </c>
      <c r="DN94" s="16" cm="1">
        <f t="array" aca="1" ref="DN94" ca="1">MAX(_xlfn._xlws.FILTER(CY94:DL94,CY94:DL94&lt;BW94))</f>
        <v>-1.2263217565955125E-2</v>
      </c>
      <c r="DO94" s="16" cm="1">
        <f t="array" aca="1" ref="DO94" ca="1">MIN(_xlfn._xlws.FILTER(CY94:DL94,CY94:DL94&gt;BW94))</f>
        <v>-6.3174151097344583E-3</v>
      </c>
      <c r="DP94" s="2" cm="1">
        <f t="array" aca="1" ref="DP94" ca="1">_FV(EE94,"Fechamento anterior",TRUE)</f>
        <v>53.91</v>
      </c>
      <c r="DQ94" s="28">
        <f t="shared" ca="1" si="106"/>
        <v>0.25304333881338453</v>
      </c>
      <c r="DR94" s="15">
        <f t="shared" ca="1" si="134"/>
        <v>53.248889941019357</v>
      </c>
      <c r="DS94" s="15">
        <f t="shared" ca="1" si="135"/>
        <v>53.569428151434209</v>
      </c>
      <c r="DT94" s="9"/>
      <c r="DU94" s="9"/>
      <c r="DV94" s="9"/>
      <c r="DW94" s="89">
        <v>5.6045179215162494E-3</v>
      </c>
      <c r="DX94" s="89">
        <f t="shared" ca="1" si="107"/>
        <v>5.9458024562206663E-3</v>
      </c>
      <c r="DY94" s="72">
        <f t="shared" ca="1" si="108"/>
        <v>-0.29506874262793398</v>
      </c>
      <c r="DZ94" s="37"/>
      <c r="EA94" s="35">
        <f t="shared" si="118"/>
        <v>1.6521573774916245</v>
      </c>
      <c r="EB94" s="56"/>
      <c r="EC94" s="56"/>
      <c r="EE94" s="2" t="e" vm="94">
        <v>#VALUE!</v>
      </c>
      <c r="EG94" s="10" cm="1">
        <f t="array" aca="1" ref="EG94" ca="1">_FV(EE94,"Ações em circulação",TRUE)</f>
        <v>1264118000</v>
      </c>
      <c r="EH94" s="18">
        <f>VLOOKUP(BR94,Fundamentus!A:U,5,FALSE)</f>
        <v>1.3220000000000001</v>
      </c>
      <c r="EI94" s="2">
        <f t="shared" ca="1" si="109"/>
        <v>50995017352.496216</v>
      </c>
      <c r="EJ94" s="17">
        <v>-943407821.02117991</v>
      </c>
      <c r="EK94" s="17">
        <f t="shared" ca="1" si="110"/>
        <v>-943407821.02117991</v>
      </c>
      <c r="EM94" s="16">
        <f t="shared" ca="1" si="97"/>
        <v>0</v>
      </c>
      <c r="EN94" s="32" t="str">
        <f>IF(VLOOKUP(BR94,Fundamentus!A:U,3,FALSE)&lt;15,"Bom",IF(VLOOKUP(BR94,Fundamentus!A:U,3,FALSE)&gt;15,"Ruim","n/a"))</f>
        <v>Bom</v>
      </c>
      <c r="EO94" s="28" t="str">
        <f>IF(VLOOKUP(BR94,Fundamentus!A:U,4,FALSE)&lt;1,"Baixo",IF(VLOOKUP(BR94,Fundamentus!A:U,4,FALSE)&lt;1.5,"Moderado",IF(VLOOKUP(BR94,Fundamentus!A:U,4,FALSE)&gt;1.5,"Alto","n/a")))</f>
        <v>Alto</v>
      </c>
      <c r="EP94" s="17" t="str">
        <f>IF(VLOOKUP(BR94,Fundamentus!A:U,8,FALSE)&lt;0,"Risco elevado",IF(VLOOKUP(BR94,Fundamentus!A:U,8,FALSE)&lt;1,"Saudável",IF(VLOOKUP(BR94,Fundamentus!A:U,8,FALSE)&lt;3,"Estável",IF(VLOOKUP(BR94,Fundamentus!A:U,8,FALSE)&gt;3,"Alerta","n/a"))))</f>
        <v>Alerta</v>
      </c>
      <c r="EQ94" s="28" t="str">
        <f t="shared" si="111"/>
        <v>Bom</v>
      </c>
      <c r="ER94" s="17" t="str">
        <f>IF(VLOOKUP(BR94,Fundamentus!A:U,12,FALSE)&lt;2,"Subvalorizada",IF(VLOOKUP(BR94,Fundamentus!A:U,12,FALSE)&lt;6,"Muita barata",IF(VLOOKUP(BR94,Fundamentus!A:U,12,FALSE)&lt;6,"Barata",IF(VLOOKUP(BR94,Fundamentus!A:U,12,FALSE)&lt;8,"Atrativa",IF(VLOOKUP(BR94,Fundamentus!A:U,12,FALSE)&gt;8,"Supervalorizada","n/a")))))</f>
        <v>Muita barata</v>
      </c>
      <c r="ET94" s="17" t="str">
        <f>IF(VLOOKUP(BR94,Fundamentus!A:U,17,FALSE)&lt;0.1,"Fraco retorno",IF(VLOOKUP(BR94,Fundamentus!A:U,17,FALSE)&gt;0.1,"Bom retorno","n/a"))</f>
        <v>Fraco retorno</v>
      </c>
      <c r="EU94" s="17" t="str">
        <f>IF(VLOOKUP(BR94,Fundamentus!A:U,16,FALSE)&lt;0.1,"Ineficiente",IF(VLOOKUP(BR94,Fundamentus!A:U,16,FALSE)&gt;0.1,"Eficiente","n/a"))</f>
        <v>Eficiente</v>
      </c>
      <c r="EV94" s="33" t="str">
        <f>IF(VLOOKUP(BR94,Fundamentus!A:U,16,FALSE)&lt;0.1,"Oper. Ineficiente",IF(VLOOKUP(BR94,Fundamentus!A:U,16,FALSE)&gt;0.1,"Oper.Eficiente","n/a"))</f>
        <v>Oper.Eficiente</v>
      </c>
      <c r="EW94" s="34">
        <f>VLOOKUP(BR94,Fundamentus!A:U,14,FALSE)</f>
        <v>-1.8499999999999999E-2</v>
      </c>
      <c r="EX94" s="17" t="str">
        <f>IF(VLOOKUP(BR94,Fundamentus!A:U,21,FALSE)&lt;0,"Negativo",IF(VLOOKUP(BR94,Fundamentus!A:U,21,FALSE)&lt;0.05,"Fraco",IF(VLOOKUP(BR94,Fundamentus!A:U,21,FALSE)&lt;0.1,"Bom",IF(VLOOKUP(BR94,Fundamentus!A:U,21,FALSE)&gt;0.1,"Muito bom","n/a"))))</f>
        <v>Bom</v>
      </c>
      <c r="EZ94" s="29" t="str">
        <f>IF(VLOOKUP(BR94,Fundamentus!A:U,15,FALSE)&gt;1,"Bom",IF(VLOOKUP(BR94,Fundamentus!A:U,15,FALSE)&lt;1,"Ruim","n/a"))</f>
        <v>Bom</v>
      </c>
      <c r="FA94" s="17" t="str">
        <f>IF(VLOOKUP(BR94,Fundamentus!A:U,20,FALSE)&lt;0.5,"Baixa",IF(VLOOKUP(BR94,Fundamentus!A:U,20,FALSE)&lt;1,"Moderada",IF(VLOOKUP(BR94,Fundamentus!A:U,20,FALSE)&lt;2,"Alerta",IF(VLOOKUP(BR94,Fundamentus!A:U,20,FALSE)&gt;2,"Alta","n/a"))))</f>
        <v>Alta</v>
      </c>
      <c r="FB94" s="10"/>
    </row>
    <row r="95" spans="1:158" s="2" customFormat="1" ht="11.25"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5">
        <v>33.08</v>
      </c>
      <c r="BC95" s="52">
        <v>37.44</v>
      </c>
      <c r="BD95" s="52">
        <v>39.47</v>
      </c>
      <c r="BE95" s="52">
        <v>39.590000000000003</v>
      </c>
      <c r="BF95" s="52">
        <v>39.68</v>
      </c>
      <c r="BG95" s="67">
        <v>40.6</v>
      </c>
      <c r="BH95" s="52">
        <v>40</v>
      </c>
      <c r="BI95" s="52">
        <v>40.01</v>
      </c>
      <c r="BJ95" s="52">
        <v>39.5</v>
      </c>
      <c r="BK95" s="52">
        <v>39.159999999999997</v>
      </c>
      <c r="BL95" s="52">
        <v>38.61</v>
      </c>
      <c r="BM95" s="52">
        <v>39.130000000000003</v>
      </c>
      <c r="BN95" s="52">
        <v>41.5</v>
      </c>
      <c r="BO95" s="52">
        <v>41.65</v>
      </c>
      <c r="BP95" s="52">
        <v>42.95</v>
      </c>
      <c r="BQ95" s="52" cm="1">
        <f t="array" aca="1" ref="BQ95" ca="1">_FV(EE95,"Preço")</f>
        <v>42.95</v>
      </c>
      <c r="BR95" s="70" t="s">
        <v>92</v>
      </c>
      <c r="BS95" s="36" cm="1">
        <f t="array" aca="1" ref="BS95" ca="1">_FV(EE95,"Média de volume",TRUE)</f>
        <v>15690</v>
      </c>
      <c r="BT95" s="36">
        <v>17900</v>
      </c>
      <c r="BU95" s="36" cm="1">
        <f t="array" aca="1" ref="BU95" ca="1">_FV(EE95,"Volume")</f>
        <v>17900</v>
      </c>
      <c r="BV95" s="24" cm="1">
        <f t="array" aca="1" ref="BV95" ca="1">_FV(EE95,"Beta")</f>
        <v>0.15640000000000001</v>
      </c>
      <c r="BW95" s="71" cm="1">
        <f t="array" aca="1" ref="BW95" ca="1">_FV(EE95,"Variação (%)",TRUE)</f>
        <v>2.9975999999999999E-2</v>
      </c>
      <c r="BY95" s="17" cm="1">
        <f t="array" aca="1" ref="BY95" ca="1">_FV(EE95,"Baixo")</f>
        <v>41.43</v>
      </c>
      <c r="BZ95" s="17" cm="1">
        <f t="array" aca="1" ref="BZ95" ca="1">_FV(EE95,"Alto")</f>
        <v>43.48</v>
      </c>
      <c r="CA95" s="24"/>
      <c r="CB95" s="63">
        <f ca="1">SQRT(22.5*(BQ95/VLOOKUP(BR95,Fundamentus!A:U,3,FALSE))*(BQ95/VLOOKUP(BR95,Fundamentus!A:U,4,FALSE)))</f>
        <v>61.566911478821936</v>
      </c>
      <c r="CD95" s="62">
        <f t="shared" ca="1" si="112"/>
        <v>0</v>
      </c>
      <c r="CE95" s="8"/>
      <c r="CF95" s="61">
        <f t="shared" si="113"/>
        <v>26</v>
      </c>
      <c r="CG95" s="61">
        <f t="shared" si="114"/>
        <v>43.87</v>
      </c>
      <c r="CH95" s="61">
        <f t="shared" si="115"/>
        <v>36.421838235294111</v>
      </c>
      <c r="CI95" s="14"/>
      <c r="CJ95" s="35">
        <f t="shared" si="98"/>
        <v>41.62286258579104</v>
      </c>
      <c r="CK95" s="15">
        <f t="shared" si="116"/>
        <v>44.210000000000036</v>
      </c>
      <c r="CL95" s="35">
        <f t="shared" si="99"/>
        <v>46.797137414209033</v>
      </c>
      <c r="CN95" s="14"/>
      <c r="CO95" s="17">
        <f t="shared" si="100"/>
        <v>13.473333333333343</v>
      </c>
      <c r="CP95" s="17">
        <f t="shared" si="101"/>
        <v>19.736666666666672</v>
      </c>
      <c r="CQ95" s="17">
        <f t="shared" si="102"/>
        <v>31.343333333333341</v>
      </c>
      <c r="CR95" s="38">
        <f t="shared" si="117"/>
        <v>37.606666666666669</v>
      </c>
      <c r="CS95" s="17">
        <f t="shared" si="103"/>
        <v>49.213333333333338</v>
      </c>
      <c r="CT95" s="17">
        <f t="shared" si="104"/>
        <v>55.476666666666667</v>
      </c>
      <c r="CU95" s="17">
        <f t="shared" si="105"/>
        <v>67.083333333333343</v>
      </c>
      <c r="CV95" s="2" cm="1">
        <f t="array" aca="1" ref="CV95" ca="1">MAX(_xlfn._xlws.FILTER(CO95:CU95,CO95:CU95&lt;BQ95))</f>
        <v>37.606666666666669</v>
      </c>
      <c r="CW95" s="2" cm="1">
        <f t="array" aca="1" ref="CW95" ca="1">MIN(_xlfn._xlws.FILTER($CO95:$CU95,$CO95:$CU95&gt;BQ95))</f>
        <v>49.213333333333338</v>
      </c>
      <c r="CX95" s="16">
        <f t="shared" ca="1" si="119"/>
        <v>0.30863322106009572</v>
      </c>
      <c r="CY95" s="20">
        <f t="shared" ca="1" si="120"/>
        <v>-0.15431661053004786</v>
      </c>
      <c r="CZ95" s="20">
        <f t="shared" ca="1" si="121"/>
        <v>-0.10287774035336524</v>
      </c>
      <c r="DA95" s="20">
        <f t="shared" ca="1" si="122"/>
        <v>-6.1726644212019142E-2</v>
      </c>
      <c r="DB95" s="20">
        <f t="shared" ca="1" si="123"/>
        <v>-3.4292580117788414E-2</v>
      </c>
      <c r="DC95" s="20">
        <f t="shared" ca="1" si="124"/>
        <v>-1.8154895356476217E-2</v>
      </c>
      <c r="DD95" s="20">
        <f t="shared" ca="1" si="125"/>
        <v>-9.3525218503059306E-3</v>
      </c>
      <c r="DE95" s="20">
        <f t="shared" ca="1" si="126"/>
        <v>-4.74820340092455E-3</v>
      </c>
      <c r="DF95" s="21">
        <f t="shared" ca="1" si="127"/>
        <v>4.74820340092455E-3</v>
      </c>
      <c r="DG95" s="21">
        <f t="shared" ca="1" si="128"/>
        <v>9.3525218503059306E-3</v>
      </c>
      <c r="DH95" s="21">
        <f t="shared" ca="1" si="129"/>
        <v>1.8154895356476217E-2</v>
      </c>
      <c r="DI95" s="21">
        <f t="shared" ca="1" si="130"/>
        <v>3.4292580117788414E-2</v>
      </c>
      <c r="DJ95" s="21">
        <f t="shared" ca="1" si="131"/>
        <v>6.1726644212019142E-2</v>
      </c>
      <c r="DK95" s="21">
        <f t="shared" ca="1" si="132"/>
        <v>0.10287774035336524</v>
      </c>
      <c r="DL95" s="21">
        <f t="shared" ca="1" si="133"/>
        <v>0.15431661053004786</v>
      </c>
      <c r="DN95" s="16" cm="1">
        <f t="array" aca="1" ref="DN95" ca="1">MAX(_xlfn._xlws.FILTER(CY95:DL95,CY95:DL95&lt;BW95))</f>
        <v>1.8154895356476217E-2</v>
      </c>
      <c r="DO95" s="16" cm="1">
        <f t="array" aca="1" ref="DO95" ca="1">MIN(_xlfn._xlws.FILTER(CY95:DL95,CY95:DL95&gt;BW95))</f>
        <v>3.4292580117788414E-2</v>
      </c>
      <c r="DP95" s="2" cm="1">
        <f t="array" aca="1" ref="DP95" ca="1">_FV(EE95,"Fechamento anterior",TRUE)</f>
        <v>41.7</v>
      </c>
      <c r="DQ95" s="28">
        <f t="shared" ca="1" si="106"/>
        <v>0.73251671494510606</v>
      </c>
      <c r="DR95" s="15">
        <f t="shared" ca="1" si="134"/>
        <v>42.457059136365061</v>
      </c>
      <c r="DS95" s="15">
        <f t="shared" ca="1" si="135"/>
        <v>43.130000590911777</v>
      </c>
      <c r="DT95" s="9"/>
      <c r="DU95" s="9"/>
      <c r="DV95" s="9"/>
      <c r="DW95" s="89">
        <v>2.6717678941495314E-2</v>
      </c>
      <c r="DX95" s="89">
        <f t="shared" ca="1" si="107"/>
        <v>1.6137684761312197E-2</v>
      </c>
      <c r="DY95" s="72">
        <f t="shared" ca="1" si="108"/>
        <v>-0.48702476841001968</v>
      </c>
      <c r="DZ95" s="37"/>
      <c r="EA95" s="35">
        <f t="shared" si="118"/>
        <v>1.293568707104497</v>
      </c>
      <c r="EB95" s="56"/>
      <c r="EC95" s="56"/>
      <c r="EE95" s="2" t="e" vm="95">
        <v>#VALUE!</v>
      </c>
      <c r="EG95" s="10" cm="1">
        <f t="array" aca="1" ref="EG95" ca="1">_FV(EE95,"Ações em circulação",TRUE)</f>
        <v>104831600</v>
      </c>
      <c r="EH95" s="18">
        <f>VLOOKUP(BR95,Fundamentus!A:U,5,FALSE)</f>
        <v>0</v>
      </c>
      <c r="EI95" s="2" t="e">
        <f t="shared" ca="1" si="109"/>
        <v>#DIV/0!</v>
      </c>
      <c r="EJ95" s="17" t="e">
        <v>#DIV/0!</v>
      </c>
      <c r="EK95" s="17" t="e">
        <f t="shared" ca="1" si="110"/>
        <v>#DIV/0!</v>
      </c>
      <c r="EM95" s="16" t="e">
        <f t="shared" ca="1" si="97"/>
        <v>#DIV/0!</v>
      </c>
      <c r="EN95" s="32" t="str">
        <f>IF(VLOOKUP(BR95,Fundamentus!A:U,3,FALSE)&lt;15,"Bom",IF(VLOOKUP(BR95,Fundamentus!A:U,3,FALSE)&gt;15,"Ruim","n/a"))</f>
        <v>Bom</v>
      </c>
      <c r="EO95" s="28" t="str">
        <f>IF(VLOOKUP(BR95,Fundamentus!A:U,4,FALSE)&lt;1,"Baixo",IF(VLOOKUP(BR95,Fundamentus!A:U,4,FALSE)&lt;1.5,"Moderado",IF(VLOOKUP(BR95,Fundamentus!A:U,4,FALSE)&gt;1.5,"Alto","n/a")))</f>
        <v>Alto</v>
      </c>
      <c r="EP95" s="17" t="str">
        <f>IF(VLOOKUP(BR95,Fundamentus!A:U,8,FALSE)&lt;0,"Risco elevado",IF(VLOOKUP(BR95,Fundamentus!A:U,8,FALSE)&lt;1,"Saudável",IF(VLOOKUP(BR95,Fundamentus!A:U,8,FALSE)&lt;3,"Estável",IF(VLOOKUP(BR95,Fundamentus!A:U,8,FALSE)&gt;3,"Alerta","n/a"))))</f>
        <v>Saudável</v>
      </c>
      <c r="EQ95" s="28" t="str">
        <f t="shared" si="111"/>
        <v>Ruim</v>
      </c>
      <c r="ER95" s="17" t="str">
        <f>IF(VLOOKUP(BR95,Fundamentus!A:U,12,FALSE)&lt;2,"Subvalorizada",IF(VLOOKUP(BR95,Fundamentus!A:U,12,FALSE)&lt;6,"Muita barata",IF(VLOOKUP(BR95,Fundamentus!A:U,12,FALSE)&lt;6,"Barata",IF(VLOOKUP(BR95,Fundamentus!A:U,12,FALSE)&lt;8,"Atrativa",IF(VLOOKUP(BR95,Fundamentus!A:U,12,FALSE)&gt;8,"Supervalorizada","n/a")))))</f>
        <v>Subvalorizada</v>
      </c>
      <c r="ET95" s="17" t="str">
        <f>IF(VLOOKUP(BR95,Fundamentus!A:U,17,FALSE)&lt;0.1,"Fraco retorno",IF(VLOOKUP(BR95,Fundamentus!A:U,17,FALSE)&gt;0.1,"Bom retorno","n/a"))</f>
        <v>Bom retorno</v>
      </c>
      <c r="EU95" s="17" t="str">
        <f>IF(VLOOKUP(BR95,Fundamentus!A:U,16,FALSE)&lt;0.1,"Ineficiente",IF(VLOOKUP(BR95,Fundamentus!A:U,16,FALSE)&gt;0.1,"Eficiente","n/a"))</f>
        <v>Ineficiente</v>
      </c>
      <c r="EV95" s="33" t="str">
        <f>IF(VLOOKUP(BR95,Fundamentus!A:U,16,FALSE)&lt;0.1,"Oper. Ineficiente",IF(VLOOKUP(BR95,Fundamentus!A:U,16,FALSE)&gt;0.1,"Oper.Eficiente","n/a"))</f>
        <v>Oper. Ineficiente</v>
      </c>
      <c r="EW95" s="34">
        <f>VLOOKUP(BR95,Fundamentus!A:U,14,FALSE)</f>
        <v>0</v>
      </c>
      <c r="EX95" s="17" t="str">
        <f>IF(VLOOKUP(BR95,Fundamentus!A:U,21,FALSE)&lt;0,"Negativo",IF(VLOOKUP(BR95,Fundamentus!A:U,21,FALSE)&lt;0.05,"Fraco",IF(VLOOKUP(BR95,Fundamentus!A:U,21,FALSE)&lt;0.1,"Bom",IF(VLOOKUP(BR95,Fundamentus!A:U,21,FALSE)&gt;0.1,"Muito bom","n/a"))))</f>
        <v>Muito bom</v>
      </c>
      <c r="EZ95" s="29" t="str">
        <f>IF(VLOOKUP(BR95,Fundamentus!A:U,15,FALSE)&gt;1,"Bom",IF(VLOOKUP(BR95,Fundamentus!A:U,15,FALSE)&lt;1,"Ruim","n/a"))</f>
        <v>Ruim</v>
      </c>
      <c r="FA95" s="17" t="str">
        <f>IF(VLOOKUP(BR95,Fundamentus!A:U,20,FALSE)&lt;0.5,"Baixa",IF(VLOOKUP(BR95,Fundamentus!A:U,20,FALSE)&lt;1,"Moderada",IF(VLOOKUP(BR95,Fundamentus!A:U,20,FALSE)&lt;2,"Alerta",IF(VLOOKUP(BR95,Fundamentus!A:U,20,FALSE)&gt;2,"Alta","n/a"))))</f>
        <v>Baixa</v>
      </c>
      <c r="FB95" s="10"/>
    </row>
    <row r="96" spans="1:158" s="2" customFormat="1" ht="11.25"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5">
        <v>10.99</v>
      </c>
      <c r="BC96" s="52">
        <v>11.48</v>
      </c>
      <c r="BD96" s="52">
        <v>11.44</v>
      </c>
      <c r="BE96" s="52">
        <v>11.66</v>
      </c>
      <c r="BF96" s="52">
        <v>11.51</v>
      </c>
      <c r="BG96" s="67">
        <v>11.56</v>
      </c>
      <c r="BH96" s="52">
        <v>11.66</v>
      </c>
      <c r="BI96" s="52">
        <v>11.43</v>
      </c>
      <c r="BJ96" s="52">
        <v>11.55</v>
      </c>
      <c r="BK96" s="52">
        <v>11.21</v>
      </c>
      <c r="BL96" s="52">
        <v>11.11</v>
      </c>
      <c r="BM96" s="52">
        <v>10.89</v>
      </c>
      <c r="BN96" s="52">
        <v>11.18</v>
      </c>
      <c r="BO96" s="52">
        <v>11.47</v>
      </c>
      <c r="BP96" s="52">
        <v>11.29</v>
      </c>
      <c r="BQ96" s="52" cm="1">
        <f t="array" aca="1" ref="BQ96" ca="1">_FV(EE96,"Preço")</f>
        <v>11.29</v>
      </c>
      <c r="BR96" s="69" t="s">
        <v>93</v>
      </c>
      <c r="BS96" s="36" cm="1">
        <f t="array" aca="1" ref="BS96" ca="1">_FV(EE96,"Média de volume",TRUE)</f>
        <v>15887970</v>
      </c>
      <c r="BT96" s="36">
        <v>3703800</v>
      </c>
      <c r="BU96" s="36" cm="1">
        <f t="array" aca="1" ref="BU96" ca="1">_FV(EE96,"Volume")</f>
        <v>3703800</v>
      </c>
      <c r="BV96" s="24" cm="1">
        <f t="array" aca="1" ref="BV96" ca="1">_FV(EE96,"Beta")</f>
        <v>0.84260000000000002</v>
      </c>
      <c r="BW96" s="71" cm="1">
        <f t="array" aca="1" ref="BW96" ca="1">_FV(EE96,"Variação (%)",TRUE)</f>
        <v>-4.4089999999999997E-3</v>
      </c>
      <c r="BY96" s="17" cm="1">
        <f t="array" aca="1" ref="BY96" ca="1">_FV(EE96,"Baixo")</f>
        <v>11.19</v>
      </c>
      <c r="BZ96" s="17" cm="1">
        <f t="array" aca="1" ref="BZ96" ca="1">_FV(EE96,"Alto")</f>
        <v>11.38</v>
      </c>
      <c r="CA96" s="24"/>
      <c r="CB96" s="63">
        <f ca="1">SQRT(22.5*(BQ96/VLOOKUP(BR96,Fundamentus!A:U,3,FALSE))*(BQ96/VLOOKUP(BR96,Fundamentus!A:U,4,FALSE)))</f>
        <v>14.224063000913917</v>
      </c>
      <c r="CD96" s="62">
        <f t="shared" ca="1" si="112"/>
        <v>0</v>
      </c>
      <c r="CE96" s="8"/>
      <c r="CF96" s="61">
        <f t="shared" si="113"/>
        <v>7.93</v>
      </c>
      <c r="CG96" s="61">
        <f t="shared" si="114"/>
        <v>11.66</v>
      </c>
      <c r="CH96" s="61">
        <f t="shared" si="115"/>
        <v>9.4414705882352923</v>
      </c>
      <c r="CI96" s="14"/>
      <c r="CJ96" s="35">
        <f t="shared" si="98"/>
        <v>11.207248071768944</v>
      </c>
      <c r="CK96" s="15">
        <f t="shared" si="116"/>
        <v>11.580000000000041</v>
      </c>
      <c r="CL96" s="35">
        <f t="shared" si="99"/>
        <v>11.952751928231137</v>
      </c>
      <c r="CN96" s="14"/>
      <c r="CO96" s="17">
        <f t="shared" si="100"/>
        <v>5.1966666666666654</v>
      </c>
      <c r="CP96" s="17">
        <f t="shared" si="101"/>
        <v>6.5633333333333326</v>
      </c>
      <c r="CQ96" s="17">
        <f t="shared" si="102"/>
        <v>8.9266666666666659</v>
      </c>
      <c r="CR96" s="38">
        <f t="shared" si="117"/>
        <v>10.293333333333333</v>
      </c>
      <c r="CS96" s="17">
        <f t="shared" si="103"/>
        <v>12.656666666666666</v>
      </c>
      <c r="CT96" s="17">
        <f t="shared" si="104"/>
        <v>14.023333333333333</v>
      </c>
      <c r="CU96" s="17">
        <f t="shared" si="105"/>
        <v>16.386666666666667</v>
      </c>
      <c r="CV96" s="2" cm="1">
        <f t="array" aca="1" ref="CV96" ca="1">MAX(_xlfn._xlws.FILTER(CO96:CU96,CO96:CU96&lt;BQ96))</f>
        <v>10.293333333333333</v>
      </c>
      <c r="CW96" s="2" cm="1">
        <f t="array" aca="1" ref="CW96" ca="1">MIN(_xlfn._xlws.FILTER($CO96:$CU96,$CO96:$CU96&gt;BQ96))</f>
        <v>12.656666666666666</v>
      </c>
      <c r="CX96" s="16">
        <f t="shared" ca="1" si="119"/>
        <v>0.22959844559585485</v>
      </c>
      <c r="CY96" s="20">
        <f t="shared" ca="1" si="120"/>
        <v>-0.11479922279792742</v>
      </c>
      <c r="CZ96" s="20">
        <f t="shared" ca="1" si="121"/>
        <v>-7.6532815198618279E-2</v>
      </c>
      <c r="DA96" s="20">
        <f t="shared" ca="1" si="122"/>
        <v>-4.5919689119170971E-2</v>
      </c>
      <c r="DB96" s="20">
        <f t="shared" ca="1" si="123"/>
        <v>-2.5510938399539426E-2</v>
      </c>
      <c r="DC96" s="20">
        <f t="shared" ca="1" si="124"/>
        <v>-1.3505790917403226E-2</v>
      </c>
      <c r="DD96" s="20">
        <f t="shared" ca="1" si="125"/>
        <v>-6.957528654419844E-3</v>
      </c>
      <c r="DE96" s="20">
        <f t="shared" ca="1" si="126"/>
        <v>-3.532283778397767E-3</v>
      </c>
      <c r="DF96" s="21">
        <f t="shared" ca="1" si="127"/>
        <v>3.532283778397767E-3</v>
      </c>
      <c r="DG96" s="21">
        <f t="shared" ca="1" si="128"/>
        <v>6.957528654419844E-3</v>
      </c>
      <c r="DH96" s="21">
        <f t="shared" ca="1" si="129"/>
        <v>1.3505790917403226E-2</v>
      </c>
      <c r="DI96" s="21">
        <f t="shared" ca="1" si="130"/>
        <v>2.5510938399539426E-2</v>
      </c>
      <c r="DJ96" s="21">
        <f t="shared" ca="1" si="131"/>
        <v>4.5919689119170971E-2</v>
      </c>
      <c r="DK96" s="21">
        <f t="shared" ca="1" si="132"/>
        <v>7.6532815198618279E-2</v>
      </c>
      <c r="DL96" s="21">
        <f t="shared" ca="1" si="133"/>
        <v>0.11479922279792742</v>
      </c>
      <c r="DN96" s="16" cm="1">
        <f t="array" aca="1" ref="DN96" ca="1">MAX(_xlfn._xlws.FILTER(CY96:DL96,CY96:DL96&lt;BW96))</f>
        <v>-6.957528654419844E-3</v>
      </c>
      <c r="DO96" s="16" cm="1">
        <f t="array" aca="1" ref="DO96" ca="1">MIN(_xlfn._xlws.FILTER(CY96:DL96,CY96:DL96&gt;BW96))</f>
        <v>-3.532283778397767E-3</v>
      </c>
      <c r="DP96" s="2" cm="1">
        <f t="array" aca="1" ref="DP96" ca="1">_FV(EE96,"Fechamento anterior",TRUE)</f>
        <v>11.34</v>
      </c>
      <c r="DQ96" s="28">
        <f t="shared" ca="1" si="106"/>
        <v>0.74399281535208761</v>
      </c>
      <c r="DR96" s="15">
        <f t="shared" ca="1" si="134"/>
        <v>11.261101625058879</v>
      </c>
      <c r="DS96" s="15">
        <f t="shared" ca="1" si="135"/>
        <v>11.29994390195297</v>
      </c>
      <c r="DT96" s="9"/>
      <c r="DU96" s="9"/>
      <c r="DV96" s="9"/>
      <c r="DW96" s="89">
        <v>3.4918504976457331E-3</v>
      </c>
      <c r="DX96" s="89">
        <f t="shared" ca="1" si="107"/>
        <v>3.425244876022077E-3</v>
      </c>
      <c r="DY96" s="72">
        <f t="shared" ca="1" si="108"/>
        <v>-0.777997316811328</v>
      </c>
      <c r="DZ96" s="37"/>
      <c r="EA96" s="35">
        <f t="shared" si="118"/>
        <v>0.18637596411554799</v>
      </c>
      <c r="EB96" s="56"/>
      <c r="EC96" s="56"/>
      <c r="EE96" s="2" t="e" vm="96">
        <v>#VALUE!</v>
      </c>
      <c r="EG96" s="10" cm="1">
        <f t="array" aca="1" ref="EG96" ca="1">_FV(EE96,"Ações em circulação",TRUE)</f>
        <v>2982811000</v>
      </c>
      <c r="EH96" s="18">
        <f>VLOOKUP(BR96,Fundamentus!A:U,5,FALSE)</f>
        <v>1.4319999999999999</v>
      </c>
      <c r="EI96" s="2">
        <f t="shared" ca="1" si="109"/>
        <v>23516715216.480446</v>
      </c>
      <c r="EJ96" s="17">
        <v>2979567817.9280725</v>
      </c>
      <c r="EK96" s="17">
        <f t="shared" ca="1" si="110"/>
        <v>2979567817.9280725</v>
      </c>
      <c r="EM96" s="16">
        <f t="shared" ca="1" si="97"/>
        <v>0</v>
      </c>
      <c r="EN96" s="32" t="str">
        <f>IF(VLOOKUP(BR96,Fundamentus!A:U,3,FALSE)&lt;15,"Bom",IF(VLOOKUP(BR96,Fundamentus!A:U,3,FALSE)&gt;15,"Ruim","n/a"))</f>
        <v>Bom</v>
      </c>
      <c r="EO96" s="28" t="str">
        <f>IF(VLOOKUP(BR96,Fundamentus!A:U,4,FALSE)&lt;1,"Baixo",IF(VLOOKUP(BR96,Fundamentus!A:U,4,FALSE)&lt;1.5,"Moderado",IF(VLOOKUP(BR96,Fundamentus!A:U,4,FALSE)&gt;1.5,"Alto","n/a")))</f>
        <v>Moderado</v>
      </c>
      <c r="EP96" s="17" t="str">
        <f>IF(VLOOKUP(BR96,Fundamentus!A:U,8,FALSE)&lt;0,"Risco elevado",IF(VLOOKUP(BR96,Fundamentus!A:U,8,FALSE)&lt;1,"Saudável",IF(VLOOKUP(BR96,Fundamentus!A:U,8,FALSE)&lt;3,"Estável",IF(VLOOKUP(BR96,Fundamentus!A:U,8,FALSE)&gt;3,"Alerta","n/a"))))</f>
        <v>Alerta</v>
      </c>
      <c r="EQ96" s="28" t="str">
        <f t="shared" si="111"/>
        <v>Bom</v>
      </c>
      <c r="ER96" s="17" t="str">
        <f>IF(VLOOKUP(BR96,Fundamentus!A:U,12,FALSE)&lt;2,"Subvalorizada",IF(VLOOKUP(BR96,Fundamentus!A:U,12,FALSE)&lt;6,"Muita barata",IF(VLOOKUP(BR96,Fundamentus!A:U,12,FALSE)&lt;6,"Barata",IF(VLOOKUP(BR96,Fundamentus!A:U,12,FALSE)&lt;8,"Atrativa",IF(VLOOKUP(BR96,Fundamentus!A:U,12,FALSE)&gt;8,"Supervalorizada","n/a")))))</f>
        <v>Supervalorizada</v>
      </c>
      <c r="ET96" s="17" t="str">
        <f>IF(VLOOKUP(BR96,Fundamentus!A:U,17,FALSE)&lt;0.1,"Fraco retorno",IF(VLOOKUP(BR96,Fundamentus!A:U,17,FALSE)&gt;0.1,"Bom retorno","n/a"))</f>
        <v>Bom retorno</v>
      </c>
      <c r="EU96" s="17" t="str">
        <f>IF(VLOOKUP(BR96,Fundamentus!A:U,16,FALSE)&lt;0.1,"Ineficiente",IF(VLOOKUP(BR96,Fundamentus!A:U,16,FALSE)&gt;0.1,"Eficiente","n/a"))</f>
        <v>Ineficiente</v>
      </c>
      <c r="EV96" s="33" t="str">
        <f>IF(VLOOKUP(BR96,Fundamentus!A:U,16,FALSE)&lt;0.1,"Oper. Ineficiente",IF(VLOOKUP(BR96,Fundamentus!A:U,16,FALSE)&gt;0.1,"Oper.Eficiente","n/a"))</f>
        <v>Oper. Ineficiente</v>
      </c>
      <c r="EW96" s="34">
        <f>VLOOKUP(BR96,Fundamentus!A:U,14,FALSE)</f>
        <v>0.12670000000000001</v>
      </c>
      <c r="EX96" s="17" t="str">
        <f>IF(VLOOKUP(BR96,Fundamentus!A:U,21,FALSE)&lt;0,"Negativo",IF(VLOOKUP(BR96,Fundamentus!A:U,21,FALSE)&lt;0.05,"Fraco",IF(VLOOKUP(BR96,Fundamentus!A:U,21,FALSE)&lt;0.1,"Bom",IF(VLOOKUP(BR96,Fundamentus!A:U,21,FALSE)&gt;0.1,"Muito bom","n/a"))))</f>
        <v>Fraco</v>
      </c>
      <c r="EZ96" s="29" t="str">
        <f>IF(VLOOKUP(BR96,Fundamentus!A:U,15,FALSE)&gt;1,"Bom",IF(VLOOKUP(BR96,Fundamentus!A:U,15,FALSE)&lt;1,"Ruim","n/a"))</f>
        <v>Bom</v>
      </c>
      <c r="FA96" s="17" t="str">
        <f>IF(VLOOKUP(BR96,Fundamentus!A:U,20,FALSE)&lt;0.5,"Baixa",IF(VLOOKUP(BR96,Fundamentus!A:U,20,FALSE)&lt;1,"Moderada",IF(VLOOKUP(BR96,Fundamentus!A:U,20,FALSE)&lt;2,"Alerta",IF(VLOOKUP(BR96,Fundamentus!A:U,20,FALSE)&gt;2,"Alta","n/a"))))</f>
        <v>Moderada</v>
      </c>
      <c r="FB96" s="10"/>
    </row>
    <row r="97" spans="1:158" s="2" customFormat="1" ht="11.25"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5">
        <v>33.03</v>
      </c>
      <c r="BC97" s="52">
        <v>34.19</v>
      </c>
      <c r="BD97" s="52">
        <v>33.479999999999997</v>
      </c>
      <c r="BE97" s="52">
        <v>32.909999999999997</v>
      </c>
      <c r="BF97" s="52">
        <v>31.57</v>
      </c>
      <c r="BG97" s="67">
        <v>34.979999999999997</v>
      </c>
      <c r="BH97" s="52">
        <v>35.909999999999997</v>
      </c>
      <c r="BI97" s="52">
        <v>33.799999999999997</v>
      </c>
      <c r="BJ97" s="52">
        <v>35.15</v>
      </c>
      <c r="BK97" s="52">
        <v>35.54</v>
      </c>
      <c r="BL97" s="52">
        <v>33.64</v>
      </c>
      <c r="BM97" s="52">
        <v>35.04</v>
      </c>
      <c r="BN97" s="52">
        <v>35.28</v>
      </c>
      <c r="BO97" s="52">
        <v>32.840000000000003</v>
      </c>
      <c r="BP97" s="52">
        <v>32.6</v>
      </c>
      <c r="BQ97" s="52" cm="1">
        <f t="array" aca="1" ref="BQ97" ca="1">_FV(EE97,"Preço")</f>
        <v>32.6</v>
      </c>
      <c r="BR97" s="69" t="s">
        <v>94</v>
      </c>
      <c r="BS97" s="36" cm="1">
        <f t="array" aca="1" ref="BS97" ca="1">_FV(EE97,"Média de volume",TRUE)</f>
        <v>36759460</v>
      </c>
      <c r="BT97" s="36">
        <v>8741300</v>
      </c>
      <c r="BU97" s="36" cm="1">
        <f t="array" aca="1" ref="BU97" ca="1">_FV(EE97,"Volume")</f>
        <v>8741300</v>
      </c>
      <c r="BV97" s="24" cm="1">
        <f t="array" aca="1" ref="BV97" ca="1">_FV(EE97,"Beta")</f>
        <v>1.0041</v>
      </c>
      <c r="BW97" s="71" cm="1">
        <f t="array" aca="1" ref="BW97" ca="1">_FV(EE97,"Variação (%)",TRUE)</f>
        <v>-9.193999999999999E-4</v>
      </c>
      <c r="BY97" s="17" cm="1">
        <f t="array" aca="1" ref="BY97" ca="1">_FV(EE97,"Baixo")</f>
        <v>32.200000000000003</v>
      </c>
      <c r="BZ97" s="17" cm="1">
        <f t="array" aca="1" ref="BZ97" ca="1">_FV(EE97,"Alto")</f>
        <v>32.619999999999997</v>
      </c>
      <c r="CA97" s="24"/>
      <c r="CB97" s="63">
        <f ca="1">SQRT(22.5*(BQ97/VLOOKUP(BR97,Fundamentus!A:U,3,FALSE))*(BQ97/VLOOKUP(BR97,Fundamentus!A:U,4,FALSE)))</f>
        <v>47.624323050642168</v>
      </c>
      <c r="CD97" s="62">
        <f t="shared" ca="1" si="112"/>
        <v>0</v>
      </c>
      <c r="CE97" s="8"/>
      <c r="CF97" s="61">
        <f t="shared" si="113"/>
        <v>31.57</v>
      </c>
      <c r="CG97" s="61">
        <f t="shared" si="114"/>
        <v>44.47</v>
      </c>
      <c r="CH97" s="61">
        <f t="shared" si="115"/>
        <v>38.45764705882354</v>
      </c>
      <c r="CI97" s="14"/>
      <c r="CJ97" s="35">
        <f t="shared" si="98"/>
        <v>29.407789685523944</v>
      </c>
      <c r="CK97" s="15">
        <f t="shared" si="116"/>
        <v>31.5</v>
      </c>
      <c r="CL97" s="35">
        <f t="shared" si="99"/>
        <v>33.592210314476056</v>
      </c>
      <c r="CN97" s="14"/>
      <c r="CO97" s="17">
        <f t="shared" si="100"/>
        <v>15.056666666666665</v>
      </c>
      <c r="CP97" s="17">
        <f t="shared" si="101"/>
        <v>23.313333333333333</v>
      </c>
      <c r="CQ97" s="17">
        <f t="shared" si="102"/>
        <v>27.956666666666663</v>
      </c>
      <c r="CR97" s="38">
        <f t="shared" si="117"/>
        <v>36.213333333333331</v>
      </c>
      <c r="CS97" s="17">
        <f t="shared" si="103"/>
        <v>40.856666666666662</v>
      </c>
      <c r="CT97" s="17">
        <f t="shared" si="104"/>
        <v>49.11333333333333</v>
      </c>
      <c r="CU97" s="17">
        <f t="shared" si="105"/>
        <v>53.756666666666661</v>
      </c>
      <c r="CV97" s="2" cm="1">
        <f t="array" aca="1" ref="CV97" ca="1">MAX(_xlfn._xlws.FILTER(CO97:CU97,CO97:CU97&lt;BQ97))</f>
        <v>27.956666666666663</v>
      </c>
      <c r="CW97" s="2" cm="1">
        <f t="array" aca="1" ref="CW97" ca="1">MIN(_xlfn._xlws.FILTER($CO97:$CU97,$CO97:$CU97&gt;BQ97))</f>
        <v>36.213333333333331</v>
      </c>
      <c r="CX97" s="16">
        <f t="shared" ca="1" si="119"/>
        <v>0.2953380231310363</v>
      </c>
      <c r="CY97" s="20">
        <f t="shared" ca="1" si="120"/>
        <v>-0.14766901156551815</v>
      </c>
      <c r="CZ97" s="20">
        <f t="shared" ca="1" si="121"/>
        <v>-9.8446007710345437E-2</v>
      </c>
      <c r="DA97" s="20">
        <f t="shared" ca="1" si="122"/>
        <v>-5.9067604626207262E-2</v>
      </c>
      <c r="DB97" s="20">
        <f t="shared" ca="1" si="123"/>
        <v>-3.2815335903448477E-2</v>
      </c>
      <c r="DC97" s="20">
        <f t="shared" ca="1" si="124"/>
        <v>-1.7372824890060957E-2</v>
      </c>
      <c r="DD97" s="20">
        <f t="shared" ca="1" si="125"/>
        <v>-8.9496370645768576E-3</v>
      </c>
      <c r="DE97" s="20">
        <f t="shared" ca="1" si="126"/>
        <v>-4.5436618943236352E-3</v>
      </c>
      <c r="DF97" s="21">
        <f t="shared" ca="1" si="127"/>
        <v>4.5436618943236352E-3</v>
      </c>
      <c r="DG97" s="21">
        <f t="shared" ca="1" si="128"/>
        <v>8.9496370645768576E-3</v>
      </c>
      <c r="DH97" s="21">
        <f t="shared" ca="1" si="129"/>
        <v>1.7372824890060957E-2</v>
      </c>
      <c r="DI97" s="21">
        <f t="shared" ca="1" si="130"/>
        <v>3.2815335903448477E-2</v>
      </c>
      <c r="DJ97" s="21">
        <f t="shared" ca="1" si="131"/>
        <v>5.9067604626207262E-2</v>
      </c>
      <c r="DK97" s="21">
        <f t="shared" ca="1" si="132"/>
        <v>9.8446007710345437E-2</v>
      </c>
      <c r="DL97" s="21">
        <f t="shared" ca="1" si="133"/>
        <v>0.14766901156551815</v>
      </c>
      <c r="DN97" s="16" cm="1">
        <f t="array" aca="1" ref="DN97" ca="1">MAX(_xlfn._xlws.FILTER(CY97:DL97,CY97:DL97&lt;BW97))</f>
        <v>-4.5436618943236352E-3</v>
      </c>
      <c r="DO97" s="16" cm="1">
        <f t="array" aca="1" ref="DO97" ca="1">MIN(_xlfn._xlws.FILTER(CY97:DL97,CY97:DL97&gt;BW97))</f>
        <v>4.5436618943236352E-3</v>
      </c>
      <c r="DP97" s="2" cm="1">
        <f t="array" aca="1" ref="DP97" ca="1">_FV(EE97,"Fechamento anterior",TRUE)</f>
        <v>32.630000000000003</v>
      </c>
      <c r="DQ97" s="28">
        <f t="shared" ca="1" si="106"/>
        <v>0.39882617290224842</v>
      </c>
      <c r="DR97" s="15">
        <f t="shared" ca="1" si="134"/>
        <v>32.481740312388226</v>
      </c>
      <c r="DS97" s="15">
        <f t="shared" ca="1" si="135"/>
        <v>32.778259687611779</v>
      </c>
      <c r="DT97" s="9"/>
      <c r="DU97" s="9"/>
      <c r="DV97" s="9"/>
      <c r="DW97" s="89">
        <v>3.877494566291248E-2</v>
      </c>
      <c r="DX97" s="89">
        <f t="shared" ca="1" si="107"/>
        <v>9.0873237886472703E-3</v>
      </c>
      <c r="DY97" s="72">
        <f t="shared" ca="1" si="108"/>
        <v>0.52575976343729591</v>
      </c>
      <c r="DZ97" s="37"/>
      <c r="EA97" s="35">
        <f t="shared" si="118"/>
        <v>1.0461051572380271</v>
      </c>
      <c r="EB97" s="56"/>
      <c r="EC97" s="56"/>
      <c r="EE97" s="2" t="e" vm="97">
        <v>#VALUE!</v>
      </c>
      <c r="EG97" s="10" cm="1">
        <f t="array" aca="1" ref="EG97" ca="1">_FV(EE97,"Ações em circulação",TRUE)</f>
        <v>12888730000</v>
      </c>
      <c r="EH97" s="18">
        <f>VLOOKUP(BR97,Fundamentus!A:U,5,FALSE)</f>
        <v>0.90500000000000003</v>
      </c>
      <c r="EI97" s="2">
        <f t="shared" ca="1" si="109"/>
        <v>464279113812.15466</v>
      </c>
      <c r="EJ97" s="17">
        <v>45406497330.828728</v>
      </c>
      <c r="EK97" s="17">
        <f t="shared" ca="1" si="110"/>
        <v>45406497330.828728</v>
      </c>
      <c r="EM97" s="16">
        <f t="shared" ca="1" si="97"/>
        <v>0</v>
      </c>
      <c r="EN97" s="32" t="str">
        <f>IF(VLOOKUP(BR97,Fundamentus!A:U,3,FALSE)&lt;15,"Bom",IF(VLOOKUP(BR97,Fundamentus!A:U,3,FALSE)&gt;15,"Ruim","n/a"))</f>
        <v>Bom</v>
      </c>
      <c r="EO97" s="28" t="str">
        <f>IF(VLOOKUP(BR97,Fundamentus!A:U,4,FALSE)&lt;1,"Baixo",IF(VLOOKUP(BR97,Fundamentus!A:U,4,FALSE)&lt;1.5,"Moderado",IF(VLOOKUP(BR97,Fundamentus!A:U,4,FALSE)&gt;1.5,"Alto","n/a")))</f>
        <v>Moderado</v>
      </c>
      <c r="EP97" s="17" t="str">
        <f>IF(VLOOKUP(BR97,Fundamentus!A:U,8,FALSE)&lt;0,"Risco elevado",IF(VLOOKUP(BR97,Fundamentus!A:U,8,FALSE)&lt;1,"Saudável",IF(VLOOKUP(BR97,Fundamentus!A:U,8,FALSE)&lt;3,"Estável",IF(VLOOKUP(BR97,Fundamentus!A:U,8,FALSE)&gt;3,"Alerta","n/a"))))</f>
        <v>Risco elevado</v>
      </c>
      <c r="EQ97" s="28" t="str">
        <f t="shared" si="111"/>
        <v>Ruim</v>
      </c>
      <c r="ER97" s="17" t="str">
        <f>IF(VLOOKUP(BR97,Fundamentus!A:U,12,FALSE)&lt;2,"Subvalorizada",IF(VLOOKUP(BR97,Fundamentus!A:U,12,FALSE)&lt;6,"Muita barata",IF(VLOOKUP(BR97,Fundamentus!A:U,12,FALSE)&lt;6,"Barata",IF(VLOOKUP(BR97,Fundamentus!A:U,12,FALSE)&lt;8,"Atrativa",IF(VLOOKUP(BR97,Fundamentus!A:U,12,FALSE)&gt;8,"Supervalorizada","n/a")))))</f>
        <v>Muita barata</v>
      </c>
      <c r="ET97" s="17" t="str">
        <f>IF(VLOOKUP(BR97,Fundamentus!A:U,17,FALSE)&lt;0.1,"Fraco retorno",IF(VLOOKUP(BR97,Fundamentus!A:U,17,FALSE)&gt;0.1,"Bom retorno","n/a"))</f>
        <v>Bom retorno</v>
      </c>
      <c r="EU97" s="17" t="str">
        <f>IF(VLOOKUP(BR97,Fundamentus!A:U,16,FALSE)&lt;0.1,"Ineficiente",IF(VLOOKUP(BR97,Fundamentus!A:U,16,FALSE)&gt;0.1,"Eficiente","n/a"))</f>
        <v>Eficiente</v>
      </c>
      <c r="EV97" s="33" t="str">
        <f>IF(VLOOKUP(BR97,Fundamentus!A:U,16,FALSE)&lt;0.1,"Oper. Ineficiente",IF(VLOOKUP(BR97,Fundamentus!A:U,16,FALSE)&gt;0.1,"Oper.Eficiente","n/a"))</f>
        <v>Oper.Eficiente</v>
      </c>
      <c r="EW97" s="34">
        <f>VLOOKUP(BR97,Fundamentus!A:U,14,FALSE)</f>
        <v>9.7799999999999998E-2</v>
      </c>
      <c r="EX97" s="17" t="str">
        <f>IF(VLOOKUP(BR97,Fundamentus!A:U,21,FALSE)&lt;0,"Negativo",IF(VLOOKUP(BR97,Fundamentus!A:U,21,FALSE)&lt;0.05,"Fraco",IF(VLOOKUP(BR97,Fundamentus!A:U,21,FALSE)&lt;0.1,"Bom",IF(VLOOKUP(BR97,Fundamentus!A:U,21,FALSE)&gt;0.1,"Muito bom","n/a"))))</f>
        <v>Muito bom</v>
      </c>
      <c r="EZ97" s="29" t="str">
        <f>IF(VLOOKUP(BR97,Fundamentus!A:U,15,FALSE)&gt;1,"Bom",IF(VLOOKUP(BR97,Fundamentus!A:U,15,FALSE)&lt;1,"Ruim","n/a"))</f>
        <v>Ruim</v>
      </c>
      <c r="FA97" s="17" t="str">
        <f>IF(VLOOKUP(BR97,Fundamentus!A:U,20,FALSE)&lt;0.5,"Baixa",IF(VLOOKUP(BR97,Fundamentus!A:U,20,FALSE)&lt;1,"Moderada",IF(VLOOKUP(BR97,Fundamentus!A:U,20,FALSE)&lt;2,"Alerta",IF(VLOOKUP(BR97,Fundamentus!A:U,20,FALSE)&gt;2,"Alta","n/a"))))</f>
        <v>Moderada</v>
      </c>
      <c r="FB97" s="10"/>
    </row>
    <row r="98" spans="1:158" s="2" customFormat="1" ht="11.25"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5">
        <v>13.4</v>
      </c>
      <c r="BC98" s="52">
        <v>13.4</v>
      </c>
      <c r="BD98" s="52">
        <v>13.53</v>
      </c>
      <c r="BE98" s="52">
        <v>13.98</v>
      </c>
      <c r="BF98" s="52">
        <v>13.78</v>
      </c>
      <c r="BG98" s="67">
        <v>14.11</v>
      </c>
      <c r="BH98" s="52">
        <v>14.29</v>
      </c>
      <c r="BI98" s="52">
        <v>14.28</v>
      </c>
      <c r="BJ98" s="52">
        <v>14.41</v>
      </c>
      <c r="BK98" s="52">
        <v>13.83</v>
      </c>
      <c r="BL98" s="52">
        <v>13.45</v>
      </c>
      <c r="BM98" s="52">
        <v>13.38</v>
      </c>
      <c r="BN98" s="52">
        <v>13.38</v>
      </c>
      <c r="BO98" s="52">
        <v>13.73</v>
      </c>
      <c r="BP98" s="52">
        <v>13.79</v>
      </c>
      <c r="BQ98" s="52" cm="1">
        <f t="array" aca="1" ref="BQ98" ca="1">_FV(EE98,"Preço")</f>
        <v>13.79</v>
      </c>
      <c r="BR98" s="69" t="s">
        <v>95</v>
      </c>
      <c r="BS98" s="36" cm="1">
        <f t="array" aca="1" ref="BS98" ca="1">_FV(EE98,"Média de volume",TRUE)</f>
        <v>26874860</v>
      </c>
      <c r="BT98" s="36">
        <v>6868000</v>
      </c>
      <c r="BU98" s="36" cm="1">
        <f t="array" aca="1" ref="BU98" ca="1">_FV(EE98,"Volume")</f>
        <v>6868000</v>
      </c>
      <c r="BV98" s="24" cm="1">
        <f t="array" aca="1" ref="BV98" ca="1">_FV(EE98,"Beta")</f>
        <v>1.4984999999999999</v>
      </c>
      <c r="BW98" s="71" cm="1">
        <f t="array" aca="1" ref="BW98" ca="1">_FV(EE98,"Variação (%)",TRUE)</f>
        <v>-7.2459999999999994E-4</v>
      </c>
      <c r="BY98" s="17" cm="1">
        <f t="array" aca="1" ref="BY98" ca="1">_FV(EE98,"Baixo")</f>
        <v>13.66</v>
      </c>
      <c r="BZ98" s="17" cm="1">
        <f t="array" aca="1" ref="BZ98" ca="1">_FV(EE98,"Alto")</f>
        <v>13.82</v>
      </c>
      <c r="CA98" s="24"/>
      <c r="CB98" s="63">
        <f ca="1">SQRT(22.5*(BQ98/VLOOKUP(BR98,Fundamentus!A:U,3,FALSE))*(BQ98/VLOOKUP(BR98,Fundamentus!A:U,4,FALSE)))</f>
        <v>26.392861445030494</v>
      </c>
      <c r="CD98" s="62">
        <f t="shared" ca="1" si="112"/>
        <v>0</v>
      </c>
      <c r="CE98" s="8"/>
      <c r="CF98" s="61">
        <f t="shared" si="113"/>
        <v>10.31</v>
      </c>
      <c r="CG98" s="61">
        <f t="shared" si="114"/>
        <v>14.41</v>
      </c>
      <c r="CH98" s="61">
        <f t="shared" si="115"/>
        <v>12.240294117647055</v>
      </c>
      <c r="CI98" s="14"/>
      <c r="CJ98" s="35">
        <f t="shared" si="98"/>
        <v>13.587089957794218</v>
      </c>
      <c r="CK98" s="15">
        <f t="shared" si="116"/>
        <v>13.965000000000032</v>
      </c>
      <c r="CL98" s="35">
        <f t="shared" si="99"/>
        <v>14.342910042205846</v>
      </c>
      <c r="CN98" s="14"/>
      <c r="CO98" s="17">
        <f t="shared" si="100"/>
        <v>7.1633333333333322</v>
      </c>
      <c r="CP98" s="17">
        <f t="shared" si="101"/>
        <v>8.7366666666666664</v>
      </c>
      <c r="CQ98" s="17">
        <f t="shared" si="102"/>
        <v>11.263333333333332</v>
      </c>
      <c r="CR98" s="38">
        <f t="shared" si="117"/>
        <v>12.836666666666666</v>
      </c>
      <c r="CS98" s="17">
        <f t="shared" si="103"/>
        <v>15.363333333333332</v>
      </c>
      <c r="CT98" s="17">
        <f t="shared" si="104"/>
        <v>16.936666666666667</v>
      </c>
      <c r="CU98" s="17">
        <f t="shared" si="105"/>
        <v>19.463333333333331</v>
      </c>
      <c r="CV98" s="2" cm="1">
        <f t="array" aca="1" ref="CV98" ca="1">MAX(_xlfn._xlws.FILTER(CO98:CU98,CO98:CU98&lt;BQ98))</f>
        <v>12.836666666666666</v>
      </c>
      <c r="CW98" s="2" cm="1">
        <f t="array" aca="1" ref="CW98" ca="1">MIN(_xlfn._xlws.FILTER($CO98:$CU98,$CO98:$CU98&gt;BQ98))</f>
        <v>15.363333333333332</v>
      </c>
      <c r="CX98" s="16">
        <f t="shared" ca="1" si="119"/>
        <v>0.19683199169046994</v>
      </c>
      <c r="CY98" s="20">
        <f t="shared" ca="1" si="120"/>
        <v>-9.8415995845234971E-2</v>
      </c>
      <c r="CZ98" s="20">
        <f t="shared" ca="1" si="121"/>
        <v>-6.561066389682331E-2</v>
      </c>
      <c r="DA98" s="20">
        <f t="shared" ca="1" si="122"/>
        <v>-3.9366398338093987E-2</v>
      </c>
      <c r="DB98" s="20">
        <f t="shared" ca="1" si="123"/>
        <v>-2.1870221298941103E-2</v>
      </c>
      <c r="DC98" s="20">
        <f t="shared" ca="1" si="124"/>
        <v>-1.1578352452380584E-2</v>
      </c>
      <c r="DD98" s="20">
        <f t="shared" ca="1" si="125"/>
        <v>-5.9646058088021195E-3</v>
      </c>
      <c r="DE98" s="20">
        <f t="shared" ca="1" si="126"/>
        <v>-3.0281844875456915E-3</v>
      </c>
      <c r="DF98" s="21">
        <f t="shared" ca="1" si="127"/>
        <v>3.0281844875456915E-3</v>
      </c>
      <c r="DG98" s="21">
        <f t="shared" ca="1" si="128"/>
        <v>5.9646058088021195E-3</v>
      </c>
      <c r="DH98" s="21">
        <f t="shared" ca="1" si="129"/>
        <v>1.1578352452380584E-2</v>
      </c>
      <c r="DI98" s="21">
        <f t="shared" ca="1" si="130"/>
        <v>2.1870221298941103E-2</v>
      </c>
      <c r="DJ98" s="21">
        <f t="shared" ca="1" si="131"/>
        <v>3.9366398338093987E-2</v>
      </c>
      <c r="DK98" s="21">
        <f t="shared" ca="1" si="132"/>
        <v>6.561066389682331E-2</v>
      </c>
      <c r="DL98" s="21">
        <f t="shared" ca="1" si="133"/>
        <v>9.8415995845234971E-2</v>
      </c>
      <c r="DN98" s="16" cm="1">
        <f t="array" aca="1" ref="DN98" ca="1">MAX(_xlfn._xlws.FILTER(CY98:DL98,CY98:DL98&lt;BW98))</f>
        <v>-3.0281844875456915E-3</v>
      </c>
      <c r="DO98" s="16" cm="1">
        <f t="array" aca="1" ref="DO98" ca="1">MIN(_xlfn._xlws.FILTER(CY98:DL98,CY98:DL98&gt;BW98))</f>
        <v>3.0281844875456915E-3</v>
      </c>
      <c r="DP98" s="2" cm="1">
        <f t="array" aca="1" ref="DP98" ca="1">_FV(EE98,"Fechamento anterior",TRUE)</f>
        <v>13.8</v>
      </c>
      <c r="DQ98" s="28">
        <f t="shared" ca="1" si="106"/>
        <v>0.38035113379983687</v>
      </c>
      <c r="DR98" s="15">
        <f t="shared" ca="1" si="134"/>
        <v>13.75821105407187</v>
      </c>
      <c r="DS98" s="15">
        <f t="shared" ca="1" si="135"/>
        <v>13.841788945928132</v>
      </c>
      <c r="DT98" s="9"/>
      <c r="DU98" s="9"/>
      <c r="DV98" s="9"/>
      <c r="DW98" s="89">
        <v>5.578001386155597E-3</v>
      </c>
      <c r="DX98" s="89">
        <f t="shared" ca="1" si="107"/>
        <v>6.056368975091383E-3</v>
      </c>
      <c r="DY98" s="72">
        <f t="shared" ca="1" si="108"/>
        <v>-0.46307316677423932</v>
      </c>
      <c r="DZ98" s="37"/>
      <c r="EA98" s="35">
        <f t="shared" si="118"/>
        <v>0.18895502110290682</v>
      </c>
      <c r="EB98" s="56"/>
      <c r="EC98" s="56"/>
      <c r="EE98" s="2" t="e" vm="98">
        <v>#VALUE!</v>
      </c>
      <c r="EG98" s="10" cm="1">
        <f t="array" aca="1" ref="EG98" ca="1">_FV(EE98,"Ações em circulação",TRUE)</f>
        <v>10592010000</v>
      </c>
      <c r="EH98" s="18">
        <f>VLOOKUP(BR98,Fundamentus!A:U,5,FALSE)</f>
        <v>0</v>
      </c>
      <c r="EI98" s="2" t="e">
        <f t="shared" ca="1" si="109"/>
        <v>#DIV/0!</v>
      </c>
      <c r="EJ98" s="17" t="e">
        <v>#DIV/0!</v>
      </c>
      <c r="EK98" s="17" t="e">
        <f t="shared" ca="1" si="110"/>
        <v>#DIV/0!</v>
      </c>
      <c r="EM98" s="16" t="e">
        <f t="shared" ca="1" si="97"/>
        <v>#DIV/0!</v>
      </c>
      <c r="EN98" s="32" t="str">
        <f>IF(VLOOKUP(BR98,Fundamentus!A:U,3,FALSE)&lt;15,"Bom",IF(VLOOKUP(BR98,Fundamentus!A:U,3,FALSE)&gt;15,"Ruim","n/a"))</f>
        <v>Bom</v>
      </c>
      <c r="EO98" s="28" t="str">
        <f>IF(VLOOKUP(BR98,Fundamentus!A:U,4,FALSE)&lt;1,"Baixo",IF(VLOOKUP(BR98,Fundamentus!A:U,4,FALSE)&lt;1.5,"Moderado",IF(VLOOKUP(BR98,Fundamentus!A:U,4,FALSE)&gt;1.5,"Alto","n/a")))</f>
        <v>Baixo</v>
      </c>
      <c r="EP98" s="17" t="str">
        <f>IF(VLOOKUP(BR98,Fundamentus!A:U,8,FALSE)&lt;0,"Risco elevado",IF(VLOOKUP(BR98,Fundamentus!A:U,8,FALSE)&lt;1,"Saudável",IF(VLOOKUP(BR98,Fundamentus!A:U,8,FALSE)&lt;3,"Estável",IF(VLOOKUP(BR98,Fundamentus!A:U,8,FALSE)&gt;3,"Alerta","n/a"))))</f>
        <v>Saudável</v>
      </c>
      <c r="EQ98" s="28" t="str">
        <f t="shared" si="111"/>
        <v>Ruim</v>
      </c>
      <c r="ER98" s="17" t="str">
        <f>IF(VLOOKUP(BR98,Fundamentus!A:U,12,FALSE)&lt;2,"Subvalorizada",IF(VLOOKUP(BR98,Fundamentus!A:U,12,FALSE)&lt;6,"Muita barata",IF(VLOOKUP(BR98,Fundamentus!A:U,12,FALSE)&lt;6,"Barata",IF(VLOOKUP(BR98,Fundamentus!A:U,12,FALSE)&lt;8,"Atrativa",IF(VLOOKUP(BR98,Fundamentus!A:U,12,FALSE)&gt;8,"Supervalorizada","n/a")))))</f>
        <v>Subvalorizada</v>
      </c>
      <c r="ET98" s="17" t="str">
        <f>IF(VLOOKUP(BR98,Fundamentus!A:U,17,FALSE)&lt;0.1,"Fraco retorno",IF(VLOOKUP(BR98,Fundamentus!A:U,17,FALSE)&gt;0.1,"Bom retorno","n/a"))</f>
        <v>Bom retorno</v>
      </c>
      <c r="EU98" s="17" t="str">
        <f>IF(VLOOKUP(BR98,Fundamentus!A:U,16,FALSE)&lt;0.1,"Ineficiente",IF(VLOOKUP(BR98,Fundamentus!A:U,16,FALSE)&gt;0.1,"Eficiente","n/a"))</f>
        <v>Ineficiente</v>
      </c>
      <c r="EV98" s="33" t="str">
        <f>IF(VLOOKUP(BR98,Fundamentus!A:U,16,FALSE)&lt;0.1,"Oper. Ineficiente",IF(VLOOKUP(BR98,Fundamentus!A:U,16,FALSE)&gt;0.1,"Oper.Eficiente","n/a"))</f>
        <v>Oper. Ineficiente</v>
      </c>
      <c r="EW98" s="34">
        <f>VLOOKUP(BR98,Fundamentus!A:U,14,FALSE)</f>
        <v>0</v>
      </c>
      <c r="EX98" s="17" t="str">
        <f>IF(VLOOKUP(BR98,Fundamentus!A:U,21,FALSE)&lt;0,"Negativo",IF(VLOOKUP(BR98,Fundamentus!A:U,21,FALSE)&lt;0.05,"Fraco",IF(VLOOKUP(BR98,Fundamentus!A:U,21,FALSE)&lt;0.1,"Bom",IF(VLOOKUP(BR98,Fundamentus!A:U,21,FALSE)&gt;0.1,"Muito bom","n/a"))))</f>
        <v>Negativo</v>
      </c>
      <c r="EZ98" s="29" t="str">
        <f>IF(VLOOKUP(BR98,Fundamentus!A:U,15,FALSE)&gt;1,"Bom",IF(VLOOKUP(BR98,Fundamentus!A:U,15,FALSE)&lt;1,"Ruim","n/a"))</f>
        <v>Ruim</v>
      </c>
      <c r="FA98" s="17" t="str">
        <f>IF(VLOOKUP(BR98,Fundamentus!A:U,20,FALSE)&lt;0.5,"Baixa",IF(VLOOKUP(BR98,Fundamentus!A:U,20,FALSE)&lt;1,"Moderada",IF(VLOOKUP(BR98,Fundamentus!A:U,20,FALSE)&lt;2,"Alerta",IF(VLOOKUP(BR98,Fundamentus!A:U,20,FALSE)&gt;2,"Alta","n/a"))))</f>
        <v>Baixa</v>
      </c>
      <c r="FB98" s="10"/>
    </row>
    <row r="99" spans="1:158" s="2" customFormat="1" ht="11.25"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5">
        <v>6.79</v>
      </c>
      <c r="BC99" s="52">
        <v>7.18</v>
      </c>
      <c r="BD99" s="52">
        <v>6.95</v>
      </c>
      <c r="BE99" s="52">
        <v>7.25</v>
      </c>
      <c r="BF99" s="52">
        <v>7.33</v>
      </c>
      <c r="BG99" s="67">
        <v>7.58</v>
      </c>
      <c r="BH99" s="52">
        <v>7.57</v>
      </c>
      <c r="BI99" s="52">
        <v>7.89</v>
      </c>
      <c r="BJ99" s="52">
        <v>8.15</v>
      </c>
      <c r="BK99" s="52">
        <v>8.0299999999999994</v>
      </c>
      <c r="BL99" s="52">
        <v>8.15</v>
      </c>
      <c r="BM99" s="52">
        <v>8.41</v>
      </c>
      <c r="BN99" s="52">
        <v>8.89</v>
      </c>
      <c r="BO99" s="52">
        <v>8.9</v>
      </c>
      <c r="BP99" s="52">
        <v>9.02</v>
      </c>
      <c r="BQ99" s="52" cm="1">
        <f t="array" aca="1" ref="BQ99" ca="1">_FV(EE99,"Preço")</f>
        <v>9.02</v>
      </c>
      <c r="BR99" s="69" t="s">
        <v>96</v>
      </c>
      <c r="BS99" s="36" cm="1">
        <f t="array" aca="1" ref="BS99" ca="1">_FV(EE99,"Média de volume",TRUE)</f>
        <v>10709580</v>
      </c>
      <c r="BT99" s="36">
        <v>3901500</v>
      </c>
      <c r="BU99" s="36" cm="1">
        <f t="array" aca="1" ref="BU99" ca="1">_FV(EE99,"Volume")</f>
        <v>3901500</v>
      </c>
      <c r="BV99" s="24" cm="1">
        <f t="array" aca="1" ref="BV99" ca="1">_FV(EE99,"Beta")</f>
        <v>0.80320000000000003</v>
      </c>
      <c r="BW99" s="71" cm="1">
        <f t="array" aca="1" ref="BW99" ca="1">_FV(EE99,"Variação (%)",TRUE)</f>
        <v>5.574E-3</v>
      </c>
      <c r="BY99" s="17" cm="1">
        <f t="array" aca="1" ref="BY99" ca="1">_FV(EE99,"Baixo")</f>
        <v>8.89</v>
      </c>
      <c r="BZ99" s="17" cm="1">
        <f t="array" aca="1" ref="BZ99" ca="1">_FV(EE99,"Alto")</f>
        <v>9.02</v>
      </c>
      <c r="CA99" s="24"/>
      <c r="CB99" s="63">
        <f ca="1">SQRT(22.5*(BQ99/VLOOKUP(BR99,Fundamentus!A:U,3,FALSE))*(BQ99/VLOOKUP(BR99,Fundamentus!A:U,4,FALSE)))</f>
        <v>9.5291142220640239</v>
      </c>
      <c r="CD99" s="62">
        <f t="shared" ca="1" si="112"/>
        <v>0</v>
      </c>
      <c r="CE99" s="8"/>
      <c r="CF99" s="61">
        <f t="shared" si="113"/>
        <v>6.02</v>
      </c>
      <c r="CG99" s="61">
        <f t="shared" si="114"/>
        <v>9.56</v>
      </c>
      <c r="CH99" s="61">
        <f t="shared" si="115"/>
        <v>7.5161029411764693</v>
      </c>
      <c r="CI99" s="14"/>
      <c r="CJ99" s="35">
        <f t="shared" si="98"/>
        <v>8.5379676760969598</v>
      </c>
      <c r="CK99" s="15">
        <f t="shared" si="116"/>
        <v>9.2650000000001</v>
      </c>
      <c r="CL99" s="35">
        <f t="shared" si="99"/>
        <v>9.9920323239032403</v>
      </c>
      <c r="CN99" s="14"/>
      <c r="CO99" s="17">
        <f t="shared" si="100"/>
        <v>3.3000000000000007</v>
      </c>
      <c r="CP99" s="17">
        <f t="shared" si="101"/>
        <v>4.66</v>
      </c>
      <c r="CQ99" s="17">
        <f t="shared" si="102"/>
        <v>6.8400000000000016</v>
      </c>
      <c r="CR99" s="38">
        <f t="shared" si="117"/>
        <v>8.2000000000000011</v>
      </c>
      <c r="CS99" s="17">
        <f t="shared" si="103"/>
        <v>10.380000000000003</v>
      </c>
      <c r="CT99" s="17">
        <f t="shared" si="104"/>
        <v>11.740000000000002</v>
      </c>
      <c r="CU99" s="17">
        <f t="shared" si="105"/>
        <v>13.920000000000003</v>
      </c>
      <c r="CV99" s="2" cm="1">
        <f t="array" aca="1" ref="CV99" ca="1">MAX(_xlfn._xlws.FILTER(CO99:CU99,CO99:CU99&lt;BQ99))</f>
        <v>8.2000000000000011</v>
      </c>
      <c r="CW99" s="2" cm="1">
        <f t="array" aca="1" ref="CW99" ca="1">MIN(_xlfn._xlws.FILTER($CO99:$CU99,$CO99:$CU99&gt;BQ99))</f>
        <v>10.380000000000003</v>
      </c>
      <c r="CX99" s="16">
        <f t="shared" ca="1" si="119"/>
        <v>0.2658536585365856</v>
      </c>
      <c r="CY99" s="20">
        <f t="shared" ca="1" si="120"/>
        <v>-0.1329268292682928</v>
      </c>
      <c r="CZ99" s="20">
        <f t="shared" ca="1" si="121"/>
        <v>-8.8617886178861863E-2</v>
      </c>
      <c r="DA99" s="20">
        <f t="shared" ca="1" si="122"/>
        <v>-5.317073170731712E-2</v>
      </c>
      <c r="DB99" s="20">
        <f t="shared" ca="1" si="123"/>
        <v>-2.9539295392953954E-2</v>
      </c>
      <c r="DC99" s="20">
        <f t="shared" ca="1" si="124"/>
        <v>-1.5638450502152096E-2</v>
      </c>
      <c r="DD99" s="20">
        <f t="shared" ca="1" si="125"/>
        <v>-8.0561714708056245E-3</v>
      </c>
      <c r="DE99" s="20">
        <f t="shared" ca="1" si="126"/>
        <v>-4.0900562851782403E-3</v>
      </c>
      <c r="DF99" s="21">
        <f t="shared" ca="1" si="127"/>
        <v>4.0900562851782403E-3</v>
      </c>
      <c r="DG99" s="21">
        <f t="shared" ca="1" si="128"/>
        <v>8.0561714708056245E-3</v>
      </c>
      <c r="DH99" s="21">
        <f t="shared" ca="1" si="129"/>
        <v>1.5638450502152096E-2</v>
      </c>
      <c r="DI99" s="21">
        <f t="shared" ca="1" si="130"/>
        <v>2.9539295392953954E-2</v>
      </c>
      <c r="DJ99" s="21">
        <f t="shared" ca="1" si="131"/>
        <v>5.317073170731712E-2</v>
      </c>
      <c r="DK99" s="21">
        <f t="shared" ca="1" si="132"/>
        <v>8.8617886178861863E-2</v>
      </c>
      <c r="DL99" s="21">
        <f t="shared" ca="1" si="133"/>
        <v>0.1329268292682928</v>
      </c>
      <c r="DN99" s="16" cm="1">
        <f t="array" aca="1" ref="DN99" ca="1">MAX(_xlfn._xlws.FILTER(CY99:DL99,CY99:DL99&lt;BW99))</f>
        <v>4.0900562851782403E-3</v>
      </c>
      <c r="DO99" s="16" cm="1">
        <f t="array" aca="1" ref="DO99" ca="1">MIN(_xlfn._xlws.FILTER(CY99:DL99,CY99:DL99&gt;BW99))</f>
        <v>8.0561714708056245E-3</v>
      </c>
      <c r="DP99" s="2" cm="1">
        <f t="array" aca="1" ref="DP99" ca="1">_FV(EE99,"Fechamento anterior",TRUE)</f>
        <v>8.9700000000000006</v>
      </c>
      <c r="DQ99" s="28">
        <f t="shared" ca="1" si="106"/>
        <v>0.3741897686477445</v>
      </c>
      <c r="DR99" s="15">
        <f t="shared" ca="1" si="134"/>
        <v>9.0066878048780499</v>
      </c>
      <c r="DS99" s="15">
        <f t="shared" ca="1" si="135"/>
        <v>9.0422638580931274</v>
      </c>
      <c r="DT99" s="9"/>
      <c r="DU99" s="9"/>
      <c r="DV99" s="9"/>
      <c r="DW99" s="89">
        <v>1.371267461232859E-2</v>
      </c>
      <c r="DX99" s="89">
        <f t="shared" ca="1" si="107"/>
        <v>3.9661151856273842E-3</v>
      </c>
      <c r="DY99" s="72">
        <f t="shared" ca="1" si="108"/>
        <v>-0.33698639241346978</v>
      </c>
      <c r="DZ99" s="37"/>
      <c r="EA99" s="35">
        <f t="shared" si="118"/>
        <v>0.36351616195157022</v>
      </c>
      <c r="EB99" s="56"/>
      <c r="EC99" s="56"/>
      <c r="EE99" s="2" t="e" vm="99">
        <v>#VALUE!</v>
      </c>
      <c r="EG99" s="10" cm="1">
        <f t="array" aca="1" ref="EG99" ca="1">_FV(EE99,"Ações em circulação",TRUE)</f>
        <v>1136271000</v>
      </c>
      <c r="EH99" s="18">
        <f>VLOOKUP(BR99,Fundamentus!A:U,5,FALSE)</f>
        <v>1.1040000000000001</v>
      </c>
      <c r="EI99" s="2">
        <f t="shared" ca="1" si="109"/>
        <v>9283663423.9130421</v>
      </c>
      <c r="EJ99" s="17">
        <v>1237512334.4076085</v>
      </c>
      <c r="EK99" s="17">
        <f t="shared" ca="1" si="110"/>
        <v>1237512334.4076085</v>
      </c>
      <c r="EM99" s="16">
        <f t="shared" ca="1" si="97"/>
        <v>0</v>
      </c>
      <c r="EN99" s="32" t="str">
        <f>IF(VLOOKUP(BR99,Fundamentus!A:U,3,FALSE)&lt;15,"Bom",IF(VLOOKUP(BR99,Fundamentus!A:U,3,FALSE)&gt;15,"Ruim","n/a"))</f>
        <v>Bom</v>
      </c>
      <c r="EO99" s="28" t="str">
        <f>IF(VLOOKUP(BR99,Fundamentus!A:U,4,FALSE)&lt;1,"Baixo",IF(VLOOKUP(BR99,Fundamentus!A:U,4,FALSE)&lt;1.5,"Moderado",IF(VLOOKUP(BR99,Fundamentus!A:U,4,FALSE)&gt;1.5,"Alto","n/a")))</f>
        <v>Alto</v>
      </c>
      <c r="EP99" s="17" t="str">
        <f>IF(VLOOKUP(BR99,Fundamentus!A:U,8,FALSE)&lt;0,"Risco elevado",IF(VLOOKUP(BR99,Fundamentus!A:U,8,FALSE)&lt;1,"Saudável",IF(VLOOKUP(BR99,Fundamentus!A:U,8,FALSE)&lt;3,"Estável",IF(VLOOKUP(BR99,Fundamentus!A:U,8,FALSE)&gt;3,"Alerta","n/a"))))</f>
        <v>Alerta</v>
      </c>
      <c r="EQ99" s="28" t="str">
        <f t="shared" si="111"/>
        <v>Bom</v>
      </c>
      <c r="ER99" s="17" t="str">
        <f>IF(VLOOKUP(BR99,Fundamentus!A:U,12,FALSE)&lt;2,"Subvalorizada",IF(VLOOKUP(BR99,Fundamentus!A:U,12,FALSE)&lt;6,"Muita barata",IF(VLOOKUP(BR99,Fundamentus!A:U,12,FALSE)&lt;6,"Barata",IF(VLOOKUP(BR99,Fundamentus!A:U,12,FALSE)&lt;8,"Atrativa",IF(VLOOKUP(BR99,Fundamentus!A:U,12,FALSE)&gt;8,"Supervalorizada","n/a")))))</f>
        <v>Atrativa</v>
      </c>
      <c r="ET99" s="17" t="str">
        <f>IF(VLOOKUP(BR99,Fundamentus!A:U,17,FALSE)&lt;0.1,"Fraco retorno",IF(VLOOKUP(BR99,Fundamentus!A:U,17,FALSE)&gt;0.1,"Bom retorno","n/a"))</f>
        <v>Bom retorno</v>
      </c>
      <c r="EU99" s="17" t="str">
        <f>IF(VLOOKUP(BR99,Fundamentus!A:U,16,FALSE)&lt;0.1,"Ineficiente",IF(VLOOKUP(BR99,Fundamentus!A:U,16,FALSE)&gt;0.1,"Eficiente","n/a"))</f>
        <v>Eficiente</v>
      </c>
      <c r="EV99" s="33" t="str">
        <f>IF(VLOOKUP(BR99,Fundamentus!A:U,16,FALSE)&lt;0.1,"Oper. Ineficiente",IF(VLOOKUP(BR99,Fundamentus!A:U,16,FALSE)&gt;0.1,"Oper.Eficiente","n/a"))</f>
        <v>Oper.Eficiente</v>
      </c>
      <c r="EW99" s="34">
        <f>VLOOKUP(BR99,Fundamentus!A:U,14,FALSE)</f>
        <v>0.1333</v>
      </c>
      <c r="EX99" s="17" t="str">
        <f>IF(VLOOKUP(BR99,Fundamentus!A:U,21,FALSE)&lt;0,"Negativo",IF(VLOOKUP(BR99,Fundamentus!A:U,21,FALSE)&lt;0.05,"Fraco",IF(VLOOKUP(BR99,Fundamentus!A:U,21,FALSE)&lt;0.1,"Bom",IF(VLOOKUP(BR99,Fundamentus!A:U,21,FALSE)&gt;0.1,"Muito bom","n/a"))))</f>
        <v>Muito bom</v>
      </c>
      <c r="EZ99" s="29" t="str">
        <f>IF(VLOOKUP(BR99,Fundamentus!A:U,15,FALSE)&gt;1,"Bom",IF(VLOOKUP(BR99,Fundamentus!A:U,15,FALSE)&lt;1,"Ruim","n/a"))</f>
        <v>Bom</v>
      </c>
      <c r="FA99" s="17" t="str">
        <f>IF(VLOOKUP(BR99,Fundamentus!A:U,20,FALSE)&lt;0.5,"Baixa",IF(VLOOKUP(BR99,Fundamentus!A:U,20,FALSE)&lt;1,"Moderada",IF(VLOOKUP(BR99,Fundamentus!A:U,20,FALSE)&lt;2,"Alerta",IF(VLOOKUP(BR99,Fundamentus!A:U,20,FALSE)&gt;2,"Alta","n/a"))))</f>
        <v>Moderada</v>
      </c>
      <c r="FB99" s="10"/>
    </row>
    <row r="100" spans="1:158" s="2" customFormat="1" ht="11.25"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5">
        <v>52.74</v>
      </c>
      <c r="BC100" s="52">
        <v>55.45</v>
      </c>
      <c r="BD100" s="52">
        <v>54.32</v>
      </c>
      <c r="BE100" s="52">
        <v>52.1</v>
      </c>
      <c r="BF100" s="52">
        <v>52.98</v>
      </c>
      <c r="BG100" s="67">
        <v>52.13</v>
      </c>
      <c r="BH100" s="52">
        <v>49.92</v>
      </c>
      <c r="BI100" s="52">
        <v>53</v>
      </c>
      <c r="BJ100" s="52">
        <v>55.2</v>
      </c>
      <c r="BK100" s="52">
        <v>56</v>
      </c>
      <c r="BL100" s="52">
        <v>54.56</v>
      </c>
      <c r="BM100" s="52">
        <v>55.7</v>
      </c>
      <c r="BN100" s="52">
        <v>53.75</v>
      </c>
      <c r="BO100" s="52">
        <v>55.4</v>
      </c>
      <c r="BP100" s="52">
        <v>53.32</v>
      </c>
      <c r="BQ100" s="52" cm="1">
        <f t="array" aca="1" ref="BQ100" ca="1">_FV(EE100,"Preço")</f>
        <v>53.32</v>
      </c>
      <c r="BR100" s="69" t="s">
        <v>97</v>
      </c>
      <c r="BS100" s="36" cm="1">
        <f t="array" aca="1" ref="BS100" ca="1">_FV(EE100,"Média de volume",TRUE)</f>
        <v>25058780</v>
      </c>
      <c r="BT100" s="36">
        <v>32470800</v>
      </c>
      <c r="BU100" s="36" cm="1">
        <f t="array" aca="1" ref="BU100" ca="1">_FV(EE100,"Volume")</f>
        <v>32470800</v>
      </c>
      <c r="BV100" s="24" cm="1">
        <f t="array" aca="1" ref="BV100" ca="1">_FV(EE100,"Beta")</f>
        <v>0.77859999999999996</v>
      </c>
      <c r="BW100" s="71" cm="1">
        <f t="array" aca="1" ref="BW100" ca="1">_FV(EE100,"Variação (%)",TRUE)</f>
        <v>-1.872E-3</v>
      </c>
      <c r="BY100" s="17" cm="1">
        <f t="array" aca="1" ref="BY100" ca="1">_FV(EE100,"Baixo")</f>
        <v>53</v>
      </c>
      <c r="BZ100" s="17" cm="1">
        <f t="array" aca="1" ref="BZ100" ca="1">_FV(EE100,"Alto")</f>
        <v>53.58</v>
      </c>
      <c r="CA100" s="24"/>
      <c r="CB100" s="63">
        <f ca="1">SQRT(22.5*(BQ100/VLOOKUP(BR100,Fundamentus!A:U,3,FALSE))*(BQ100/VLOOKUP(BR100,Fundamentus!A:U,4,FALSE)))</f>
        <v>77.387599650784793</v>
      </c>
      <c r="CD100" s="62">
        <f t="shared" ca="1" si="112"/>
        <v>0</v>
      </c>
      <c r="CE100" s="8"/>
      <c r="CF100" s="61">
        <f t="shared" si="113"/>
        <v>49.92</v>
      </c>
      <c r="CG100" s="61">
        <f t="shared" si="114"/>
        <v>66.180000000000007</v>
      </c>
      <c r="CH100" s="61">
        <f t="shared" si="115"/>
        <v>57.322205882352918</v>
      </c>
      <c r="CI100" s="14"/>
      <c r="CJ100" s="35">
        <f t="shared" si="98"/>
        <v>51.527445891302278</v>
      </c>
      <c r="CK100" s="15">
        <f t="shared" si="116"/>
        <v>53.170000000000073</v>
      </c>
      <c r="CL100" s="35">
        <f t="shared" si="99"/>
        <v>54.812554108697867</v>
      </c>
      <c r="CN100" s="14"/>
      <c r="CO100" s="17">
        <f t="shared" si="100"/>
        <v>30.506666666666661</v>
      </c>
      <c r="CP100" s="17">
        <f t="shared" si="101"/>
        <v>40.213333333333331</v>
      </c>
      <c r="CQ100" s="17">
        <f t="shared" si="102"/>
        <v>46.766666666666666</v>
      </c>
      <c r="CR100" s="38">
        <f t="shared" si="117"/>
        <v>56.473333333333336</v>
      </c>
      <c r="CS100" s="17">
        <f t="shared" si="103"/>
        <v>63.026666666666671</v>
      </c>
      <c r="CT100" s="17">
        <f t="shared" si="104"/>
        <v>72.733333333333348</v>
      </c>
      <c r="CU100" s="17">
        <f t="shared" si="105"/>
        <v>79.286666666666676</v>
      </c>
      <c r="CV100" s="2" cm="1">
        <f t="array" aca="1" ref="CV100" ca="1">MAX(_xlfn._xlws.FILTER(CO100:CU100,CO100:CU100&lt;BQ100))</f>
        <v>46.766666666666666</v>
      </c>
      <c r="CW100" s="2" cm="1">
        <f t="array" aca="1" ref="CW100" ca="1">MIN(_xlfn._xlws.FILTER($CO100:$CU100,$CO100:$CU100&gt;BQ100))</f>
        <v>56.473333333333336</v>
      </c>
      <c r="CX100" s="16">
        <f t="shared" ca="1" si="119"/>
        <v>0.20755523877405557</v>
      </c>
      <c r="CY100" s="20">
        <f t="shared" ca="1" si="120"/>
        <v>-0.10377761938702779</v>
      </c>
      <c r="CZ100" s="20">
        <f t="shared" ca="1" si="121"/>
        <v>-6.9185079591351853E-2</v>
      </c>
      <c r="DA100" s="20">
        <f t="shared" ca="1" si="122"/>
        <v>-4.1511047754811112E-2</v>
      </c>
      <c r="DB100" s="20">
        <f t="shared" ca="1" si="123"/>
        <v>-2.3061693197117285E-2</v>
      </c>
      <c r="DC100" s="20">
        <f t="shared" ca="1" si="124"/>
        <v>-1.2209131692591505E-2</v>
      </c>
      <c r="DD100" s="20">
        <f t="shared" ca="1" si="125"/>
        <v>-6.2895526901228958E-3</v>
      </c>
      <c r="DE100" s="20">
        <f t="shared" ca="1" si="126"/>
        <v>-3.1931575196008548E-3</v>
      </c>
      <c r="DF100" s="21">
        <f t="shared" ca="1" si="127"/>
        <v>3.1931575196008548E-3</v>
      </c>
      <c r="DG100" s="21">
        <f t="shared" ca="1" si="128"/>
        <v>6.2895526901228958E-3</v>
      </c>
      <c r="DH100" s="21">
        <f t="shared" ca="1" si="129"/>
        <v>1.2209131692591505E-2</v>
      </c>
      <c r="DI100" s="21">
        <f t="shared" ca="1" si="130"/>
        <v>2.3061693197117285E-2</v>
      </c>
      <c r="DJ100" s="21">
        <f t="shared" ca="1" si="131"/>
        <v>4.1511047754811112E-2</v>
      </c>
      <c r="DK100" s="21">
        <f t="shared" ca="1" si="132"/>
        <v>6.9185079591351853E-2</v>
      </c>
      <c r="DL100" s="21">
        <f t="shared" ca="1" si="133"/>
        <v>0.10377761938702779</v>
      </c>
      <c r="DN100" s="16" cm="1">
        <f t="array" aca="1" ref="DN100" ca="1">MAX(_xlfn._xlws.FILTER(CY100:DL100,CY100:DL100&lt;BW100))</f>
        <v>-3.1931575196008548E-3</v>
      </c>
      <c r="DO100" s="16" cm="1">
        <f t="array" aca="1" ref="DO100" ca="1">MIN(_xlfn._xlws.FILTER(CY100:DL100,CY100:DL100&gt;BW100))</f>
        <v>3.1931575196008548E-3</v>
      </c>
      <c r="DP100" s="2" cm="1">
        <f t="array" aca="1" ref="DP100" ca="1">_FV(EE100,"Fechamento anterior",TRUE)</f>
        <v>53.42</v>
      </c>
      <c r="DQ100" s="28">
        <f t="shared" ca="1" si="106"/>
        <v>0.2068797801786392</v>
      </c>
      <c r="DR100" s="15">
        <f t="shared" ca="1" si="134"/>
        <v>53.249421525302921</v>
      </c>
      <c r="DS100" s="15">
        <f t="shared" ca="1" si="135"/>
        <v>53.590578474697082</v>
      </c>
      <c r="DT100" s="9"/>
      <c r="DU100" s="9"/>
      <c r="DV100" s="9"/>
      <c r="DW100" s="89">
        <v>1.6638208192963844E-2</v>
      </c>
      <c r="DX100" s="89">
        <f t="shared" ca="1" si="107"/>
        <v>6.3863150392017096E-3</v>
      </c>
      <c r="DY100" s="72">
        <f t="shared" ca="1" si="108"/>
        <v>9.1321192529143835E-2</v>
      </c>
      <c r="DZ100" s="37"/>
      <c r="EA100" s="35">
        <f t="shared" si="118"/>
        <v>0.82127705434889642</v>
      </c>
      <c r="EB100" s="56"/>
      <c r="EC100" s="56"/>
      <c r="EE100" s="2" t="e" vm="100">
        <v>#VALUE!</v>
      </c>
      <c r="EG100" s="10" cm="1">
        <f t="array" aca="1" ref="EG100" ca="1">_FV(EE100,"Ações em circulação",TRUE)</f>
        <v>4539008000</v>
      </c>
      <c r="EH100" s="18">
        <f>VLOOKUP(BR100,Fundamentus!A:U,5,FALSE)</f>
        <v>1.232</v>
      </c>
      <c r="EI100" s="2">
        <f t="shared" ca="1" si="109"/>
        <v>196444729350.64935</v>
      </c>
      <c r="EJ100" s="17">
        <v>28111240770.077923</v>
      </c>
      <c r="EK100" s="17">
        <f t="shared" ca="1" si="110"/>
        <v>28111240770.077923</v>
      </c>
      <c r="EM100" s="16">
        <f t="shared" ca="1" si="97"/>
        <v>0</v>
      </c>
      <c r="EN100" s="32" t="str">
        <f>IF(VLOOKUP(BR100,Fundamentus!A:U,3,FALSE)&lt;15,"Bom",IF(VLOOKUP(BR100,Fundamentus!A:U,3,FALSE)&gt;15,"Ruim","n/a"))</f>
        <v>Bom</v>
      </c>
      <c r="EO100" s="28" t="str">
        <f>IF(VLOOKUP(BR100,Fundamentus!A:U,4,FALSE)&lt;1,"Baixo",IF(VLOOKUP(BR100,Fundamentus!A:U,4,FALSE)&lt;1.5,"Moderado",IF(VLOOKUP(BR100,Fundamentus!A:U,4,FALSE)&gt;1.5,"Alto","n/a")))</f>
        <v>Moderado</v>
      </c>
      <c r="EP100" s="17" t="str">
        <f>IF(VLOOKUP(BR100,Fundamentus!A:U,8,FALSE)&lt;0,"Risco elevado",IF(VLOOKUP(BR100,Fundamentus!A:U,8,FALSE)&lt;1,"Saudável",IF(VLOOKUP(BR100,Fundamentus!A:U,8,FALSE)&lt;3,"Estável",IF(VLOOKUP(BR100,Fundamentus!A:U,8,FALSE)&gt;3,"Alerta","n/a"))))</f>
        <v>Alerta</v>
      </c>
      <c r="EQ100" s="28" t="str">
        <f t="shared" si="111"/>
        <v>Bom</v>
      </c>
      <c r="ER100" s="17" t="str">
        <f>IF(VLOOKUP(BR100,Fundamentus!A:U,12,FALSE)&lt;2,"Subvalorizada",IF(VLOOKUP(BR100,Fundamentus!A:U,12,FALSE)&lt;6,"Muita barata",IF(VLOOKUP(BR100,Fundamentus!A:U,12,FALSE)&lt;6,"Barata",IF(VLOOKUP(BR100,Fundamentus!A:U,12,FALSE)&lt;8,"Atrativa",IF(VLOOKUP(BR100,Fundamentus!A:U,12,FALSE)&gt;8,"Supervalorizada","n/a")))))</f>
        <v>Muita barata</v>
      </c>
      <c r="ET100" s="17" t="str">
        <f>IF(VLOOKUP(BR100,Fundamentus!A:U,17,FALSE)&lt;0.1,"Fraco retorno",IF(VLOOKUP(BR100,Fundamentus!A:U,17,FALSE)&gt;0.1,"Bom retorno","n/a"))</f>
        <v>Bom retorno</v>
      </c>
      <c r="EU100" s="17" t="str">
        <f>IF(VLOOKUP(BR100,Fundamentus!A:U,16,FALSE)&lt;0.1,"Ineficiente",IF(VLOOKUP(BR100,Fundamentus!A:U,16,FALSE)&gt;0.1,"Eficiente","n/a"))</f>
        <v>Eficiente</v>
      </c>
      <c r="EV100" s="33" t="str">
        <f>IF(VLOOKUP(BR100,Fundamentus!A:U,16,FALSE)&lt;0.1,"Oper. Ineficiente",IF(VLOOKUP(BR100,Fundamentus!A:U,16,FALSE)&gt;0.1,"Oper.Eficiente","n/a"))</f>
        <v>Oper.Eficiente</v>
      </c>
      <c r="EW100" s="34">
        <f>VLOOKUP(BR100,Fundamentus!A:U,14,FALSE)</f>
        <v>0.1431</v>
      </c>
      <c r="EX100" s="17" t="str">
        <f>IF(VLOOKUP(BR100,Fundamentus!A:U,21,FALSE)&lt;0,"Negativo",IF(VLOOKUP(BR100,Fundamentus!A:U,21,FALSE)&lt;0.05,"Fraco",IF(VLOOKUP(BR100,Fundamentus!A:U,21,FALSE)&lt;0.1,"Bom",IF(VLOOKUP(BR100,Fundamentus!A:U,21,FALSE)&gt;0.1,"Muito bom","n/a"))))</f>
        <v>Negativo</v>
      </c>
      <c r="EZ100" s="29" t="str">
        <f>IF(VLOOKUP(BR100,Fundamentus!A:U,15,FALSE)&gt;1,"Bom",IF(VLOOKUP(BR100,Fundamentus!A:U,15,FALSE)&lt;1,"Ruim","n/a"))</f>
        <v>Bom</v>
      </c>
      <c r="FA100" s="17" t="str">
        <f>IF(VLOOKUP(BR100,Fundamentus!A:U,20,FALSE)&lt;0.5,"Baixa",IF(VLOOKUP(BR100,Fundamentus!A:U,20,FALSE)&lt;1,"Moderada",IF(VLOOKUP(BR100,Fundamentus!A:U,20,FALSE)&lt;2,"Alerta",IF(VLOOKUP(BR100,Fundamentus!A:U,20,FALSE)&gt;2,"Alta","n/a"))))</f>
        <v>Baixa</v>
      </c>
      <c r="FB100" s="10"/>
    </row>
    <row r="101" spans="1:158" s="2" customFormat="1" ht="11.25"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5">
        <v>16.309999999999999</v>
      </c>
      <c r="BC101" s="52">
        <v>15.3</v>
      </c>
      <c r="BD101" s="52">
        <v>14.67</v>
      </c>
      <c r="BE101" s="52">
        <v>14.85</v>
      </c>
      <c r="BF101" s="52">
        <v>15.15</v>
      </c>
      <c r="BG101" s="67">
        <v>13.88</v>
      </c>
      <c r="BH101" s="52">
        <v>14</v>
      </c>
      <c r="BI101" s="52">
        <v>14.99</v>
      </c>
      <c r="BJ101" s="52">
        <v>15.3</v>
      </c>
      <c r="BK101" s="52">
        <v>13.76</v>
      </c>
      <c r="BL101" s="52">
        <v>13.53</v>
      </c>
      <c r="BM101" s="52">
        <v>14.04</v>
      </c>
      <c r="BN101" s="52">
        <v>13.7</v>
      </c>
      <c r="BO101" s="52">
        <v>17.68</v>
      </c>
      <c r="BP101" s="52">
        <v>17.47</v>
      </c>
      <c r="BQ101" s="52" cm="1">
        <f t="array" aca="1" ref="BQ101" ca="1">_FV(EE101,"Preço")</f>
        <v>17.47</v>
      </c>
      <c r="BR101" s="69" t="s">
        <v>98</v>
      </c>
      <c r="BS101" s="36" cm="1">
        <f t="array" aca="1" ref="BS101" ca="1">_FV(EE101,"Média de volume",TRUE)</f>
        <v>17224020</v>
      </c>
      <c r="BT101" s="36">
        <v>7679900</v>
      </c>
      <c r="BU101" s="36" cm="1">
        <f t="array" aca="1" ref="BU101" ca="1">_FV(EE101,"Volume")</f>
        <v>7679900</v>
      </c>
      <c r="BV101" s="24" cm="1">
        <f t="array" aca="1" ref="BV101" ca="1">_FV(EE101,"Beta")</f>
        <v>0.80300000000000005</v>
      </c>
      <c r="BW101" s="71" cm="1">
        <f t="array" aca="1" ref="BW101" ca="1">_FV(EE101,"Variação (%)",TRUE)</f>
        <v>-6.2570000000000004E-3</v>
      </c>
      <c r="BY101" s="17" cm="1">
        <f t="array" aca="1" ref="BY101" ca="1">_FV(EE101,"Baixo")</f>
        <v>17.14</v>
      </c>
      <c r="BZ101" s="17" cm="1">
        <f t="array" aca="1" ref="BZ101" ca="1">_FV(EE101,"Alto")</f>
        <v>17.88</v>
      </c>
      <c r="CA101" s="24"/>
      <c r="CB101" s="63">
        <f ca="1">SQRT(22.5*(BQ101/VLOOKUP(BR101,Fundamentus!A:U,3,FALSE))*(BQ101/VLOOKUP(BR101,Fundamentus!A:U,4,FALSE)))</f>
        <v>9.4055318289561516</v>
      </c>
      <c r="CD101" s="62">
        <f t="shared" ca="1" si="112"/>
        <v>0</v>
      </c>
      <c r="CE101" s="8"/>
      <c r="CF101" s="61">
        <f t="shared" si="113"/>
        <v>13.53</v>
      </c>
      <c r="CG101" s="61">
        <f t="shared" si="114"/>
        <v>29.5</v>
      </c>
      <c r="CH101" s="61">
        <f t="shared" si="115"/>
        <v>21.869558823529413</v>
      </c>
      <c r="CI101" s="14"/>
      <c r="CJ101" s="35">
        <f t="shared" si="98"/>
        <v>16.134854361522152</v>
      </c>
      <c r="CK101" s="15">
        <f t="shared" si="116"/>
        <v>19.289999999999054</v>
      </c>
      <c r="CL101" s="35">
        <f t="shared" si="99"/>
        <v>22.445145638475957</v>
      </c>
      <c r="CN101" s="14"/>
      <c r="CO101" s="17">
        <f t="shared" si="100"/>
        <v>-5.1366666666666649</v>
      </c>
      <c r="CP101" s="17">
        <f t="shared" si="101"/>
        <v>4.1966666666666672</v>
      </c>
      <c r="CQ101" s="17">
        <f t="shared" si="102"/>
        <v>10.833333333333336</v>
      </c>
      <c r="CR101" s="38">
        <f t="shared" si="117"/>
        <v>20.166666666666668</v>
      </c>
      <c r="CS101" s="17">
        <f t="shared" si="103"/>
        <v>26.803333333333335</v>
      </c>
      <c r="CT101" s="17">
        <f t="shared" si="104"/>
        <v>36.13666666666667</v>
      </c>
      <c r="CU101" s="17">
        <f t="shared" si="105"/>
        <v>42.773333333333341</v>
      </c>
      <c r="CV101" s="2" cm="1">
        <f t="array" aca="1" ref="CV101" ca="1">MAX(_xlfn._xlws.FILTER(CO101:CU101,CO101:CU101&lt;BQ101))</f>
        <v>10.833333333333336</v>
      </c>
      <c r="CW101" s="2" cm="1">
        <f t="array" aca="1" ref="CW101" ca="1">MIN(_xlfn._xlws.FILTER($CO101:$CU101,$CO101:$CU101&gt;BQ101))</f>
        <v>20.166666666666668</v>
      </c>
      <c r="CX101" s="16">
        <f t="shared" ca="1" si="119"/>
        <v>0.86153846153846114</v>
      </c>
      <c r="CY101" s="20">
        <f t="shared" ca="1" si="120"/>
        <v>-0.43076923076923057</v>
      </c>
      <c r="CZ101" s="20">
        <f t="shared" ca="1" si="121"/>
        <v>-0.28717948717948705</v>
      </c>
      <c r="DA101" s="20">
        <f t="shared" ca="1" si="122"/>
        <v>-0.17230769230769222</v>
      </c>
      <c r="DB101" s="20">
        <f t="shared" ca="1" si="123"/>
        <v>-9.5726495726495678E-2</v>
      </c>
      <c r="DC101" s="20">
        <f t="shared" ca="1" si="124"/>
        <v>-5.0678733031674188E-2</v>
      </c>
      <c r="DD101" s="20">
        <f t="shared" ca="1" si="125"/>
        <v>-2.6107226107226097E-2</v>
      </c>
      <c r="DE101" s="20">
        <f t="shared" ca="1" si="126"/>
        <v>-1.3254437869822479E-2</v>
      </c>
      <c r="DF101" s="21">
        <f t="shared" ca="1" si="127"/>
        <v>1.3254437869822479E-2</v>
      </c>
      <c r="DG101" s="21">
        <f t="shared" ca="1" si="128"/>
        <v>2.6107226107226097E-2</v>
      </c>
      <c r="DH101" s="21">
        <f t="shared" ca="1" si="129"/>
        <v>5.0678733031674188E-2</v>
      </c>
      <c r="DI101" s="21">
        <f t="shared" ca="1" si="130"/>
        <v>9.5726495726495678E-2</v>
      </c>
      <c r="DJ101" s="21">
        <f t="shared" ca="1" si="131"/>
        <v>0.17230769230769222</v>
      </c>
      <c r="DK101" s="21">
        <f t="shared" ca="1" si="132"/>
        <v>0.28717948717948705</v>
      </c>
      <c r="DL101" s="21">
        <f t="shared" ca="1" si="133"/>
        <v>0.43076923076923057</v>
      </c>
      <c r="DN101" s="16" cm="1">
        <f t="array" aca="1" ref="DN101" ca="1">MAX(_xlfn._xlws.FILTER(CY101:DL101,CY101:DL101&lt;BW101))</f>
        <v>-1.3254437869822479E-2</v>
      </c>
      <c r="DO101" s="16" cm="1">
        <f t="array" aca="1" ref="DO101" ca="1">MIN(_xlfn._xlws.FILTER(CY101:DL101,CY101:DL101&gt;BW101))</f>
        <v>1.3254437869822479E-2</v>
      </c>
      <c r="DP101" s="2" cm="1">
        <f t="array" aca="1" ref="DP101" ca="1">_FV(EE101,"Fechamento anterior",TRUE)</f>
        <v>17.579999999999998</v>
      </c>
      <c r="DQ101" s="28">
        <f t="shared" ca="1" si="106"/>
        <v>0.26396168535673664</v>
      </c>
      <c r="DR101" s="15">
        <f t="shared" ca="1" si="134"/>
        <v>17.34698698224852</v>
      </c>
      <c r="DS101" s="15">
        <f t="shared" ca="1" si="135"/>
        <v>17.813013017751476</v>
      </c>
      <c r="DT101" s="9"/>
      <c r="DU101" s="9"/>
      <c r="DV101" s="9"/>
      <c r="DW101" s="89">
        <v>2.5974390129918673E-2</v>
      </c>
      <c r="DX101" s="89">
        <f t="shared" ca="1" si="107"/>
        <v>2.6508875739644958E-2</v>
      </c>
      <c r="DY101" s="72">
        <f t="shared" ca="1" si="108"/>
        <v>-0.57683549621425145</v>
      </c>
      <c r="DZ101" s="37"/>
      <c r="EA101" s="35">
        <f t="shared" si="118"/>
        <v>1.5775728192384508</v>
      </c>
      <c r="EB101" s="56"/>
      <c r="EC101" s="56"/>
      <c r="EE101" s="2" t="e" vm="101">
        <v>#VALUE!</v>
      </c>
      <c r="EG101" s="10" cm="1">
        <f t="array" aca="1" ref="EG101" ca="1">_FV(EE101,"Ações em circulação",TRUE)</f>
        <v>1718007000</v>
      </c>
      <c r="EH101" s="18">
        <f>VLOOKUP(BR101,Fundamentus!A:U,5,FALSE)</f>
        <v>0.61099999999999999</v>
      </c>
      <c r="EI101" s="2">
        <f t="shared" ca="1" si="109"/>
        <v>49122065941.080193</v>
      </c>
      <c r="EJ101" s="17">
        <v>1458925358.4500818</v>
      </c>
      <c r="EK101" s="17">
        <f t="shared" ca="1" si="110"/>
        <v>1458925358.4500818</v>
      </c>
      <c r="EM101" s="16">
        <f t="shared" ca="1" si="97"/>
        <v>0</v>
      </c>
      <c r="EN101" s="32" t="str">
        <f>IF(VLOOKUP(BR101,Fundamentus!A:U,3,FALSE)&lt;15,"Bom",IF(VLOOKUP(BR101,Fundamentus!A:U,3,FALSE)&gt;15,"Ruim","n/a"))</f>
        <v>Ruim</v>
      </c>
      <c r="EO101" s="28" t="str">
        <f>IF(VLOOKUP(BR101,Fundamentus!A:U,4,FALSE)&lt;1,"Baixo",IF(VLOOKUP(BR101,Fundamentus!A:U,4,FALSE)&lt;1.5,"Moderado",IF(VLOOKUP(BR101,Fundamentus!A:U,4,FALSE)&gt;1.5,"Alto","n/a")))</f>
        <v>Alto</v>
      </c>
      <c r="EP101" s="17" t="str">
        <f>IF(VLOOKUP(BR101,Fundamentus!A:U,8,FALSE)&lt;0,"Risco elevado",IF(VLOOKUP(BR101,Fundamentus!A:U,8,FALSE)&lt;1,"Saudável",IF(VLOOKUP(BR101,Fundamentus!A:U,8,FALSE)&lt;3,"Estável",IF(VLOOKUP(BR101,Fundamentus!A:U,8,FALSE)&gt;3,"Alerta","n/a"))))</f>
        <v>Alerta</v>
      </c>
      <c r="EQ101" s="28" t="str">
        <f t="shared" si="111"/>
        <v>Ruim</v>
      </c>
      <c r="ER101" s="17" t="str">
        <f>IF(VLOOKUP(BR101,Fundamentus!A:U,12,FALSE)&lt;2,"Subvalorizada",IF(VLOOKUP(BR101,Fundamentus!A:U,12,FALSE)&lt;6,"Muita barata",IF(VLOOKUP(BR101,Fundamentus!A:U,12,FALSE)&lt;6,"Barata",IF(VLOOKUP(BR101,Fundamentus!A:U,12,FALSE)&lt;8,"Atrativa",IF(VLOOKUP(BR101,Fundamentus!A:U,12,FALSE)&gt;8,"Supervalorizada","n/a")))))</f>
        <v>Atrativa</v>
      </c>
      <c r="ET101" s="17" t="str">
        <f>IF(VLOOKUP(BR101,Fundamentus!A:U,17,FALSE)&lt;0.1,"Fraco retorno",IF(VLOOKUP(BR101,Fundamentus!A:U,17,FALSE)&gt;0.1,"Bom retorno","n/a"))</f>
        <v>Bom retorno</v>
      </c>
      <c r="EU101" s="17" t="str">
        <f>IF(VLOOKUP(BR101,Fundamentus!A:U,16,FALSE)&lt;0.1,"Ineficiente",IF(VLOOKUP(BR101,Fundamentus!A:U,16,FALSE)&gt;0.1,"Eficiente","n/a"))</f>
        <v>Eficiente</v>
      </c>
      <c r="EV101" s="33" t="str">
        <f>IF(VLOOKUP(BR101,Fundamentus!A:U,16,FALSE)&lt;0.1,"Oper. Ineficiente",IF(VLOOKUP(BR101,Fundamentus!A:U,16,FALSE)&gt;0.1,"Oper.Eficiente","n/a"))</f>
        <v>Oper.Eficiente</v>
      </c>
      <c r="EW101" s="34">
        <f>VLOOKUP(BR101,Fundamentus!A:U,14,FALSE)</f>
        <v>2.9700000000000001E-2</v>
      </c>
      <c r="EX101" s="17" t="str">
        <f>IF(VLOOKUP(BR101,Fundamentus!A:U,21,FALSE)&lt;0,"Negativo",IF(VLOOKUP(BR101,Fundamentus!A:U,21,FALSE)&lt;0.05,"Fraco",IF(VLOOKUP(BR101,Fundamentus!A:U,21,FALSE)&lt;0.1,"Bom",IF(VLOOKUP(BR101,Fundamentus!A:U,21,FALSE)&gt;0.1,"Muito bom","n/a"))))</f>
        <v>Muito bom</v>
      </c>
      <c r="EZ101" s="29" t="str">
        <f>IF(VLOOKUP(BR101,Fundamentus!A:U,15,FALSE)&gt;1,"Bom",IF(VLOOKUP(BR101,Fundamentus!A:U,15,FALSE)&lt;1,"Ruim","n/a"))</f>
        <v>Bom</v>
      </c>
      <c r="FA101" s="17" t="str">
        <f>IF(VLOOKUP(BR101,Fundamentus!A:U,20,FALSE)&lt;0.5,"Baixa",IF(VLOOKUP(BR101,Fundamentus!A:U,20,FALSE)&lt;1,"Moderada",IF(VLOOKUP(BR101,Fundamentus!A:U,20,FALSE)&lt;2,"Alerta",IF(VLOOKUP(BR101,Fundamentus!A:U,20,FALSE)&gt;2,"Alta","n/a"))))</f>
        <v>Baixa</v>
      </c>
      <c r="FB101" s="10"/>
    </row>
    <row r="102" spans="1:158" s="2" customFormat="1" ht="11.25"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5">
        <v>15.15</v>
      </c>
      <c r="BC102" s="52">
        <v>15.55</v>
      </c>
      <c r="BD102" s="52">
        <v>14.83</v>
      </c>
      <c r="BE102" s="52">
        <v>15</v>
      </c>
      <c r="BF102" s="52">
        <v>15.08</v>
      </c>
      <c r="BG102" s="67">
        <v>14.85</v>
      </c>
      <c r="BH102" s="52">
        <v>15.05</v>
      </c>
      <c r="BI102" s="52">
        <v>15.17</v>
      </c>
      <c r="BJ102" s="52">
        <v>16.41</v>
      </c>
      <c r="BK102" s="52">
        <v>15.71</v>
      </c>
      <c r="BL102" s="52">
        <v>15.13</v>
      </c>
      <c r="BM102" s="52">
        <v>14.52</v>
      </c>
      <c r="BN102" s="52">
        <v>14.33</v>
      </c>
      <c r="BO102" s="52">
        <v>14.42</v>
      </c>
      <c r="BP102" s="52">
        <v>16.29</v>
      </c>
      <c r="BQ102" s="52" cm="1">
        <f t="array" aca="1" ref="BQ102" ca="1">_FV(EE102,"Preço")</f>
        <v>16.29</v>
      </c>
      <c r="BR102" s="69" t="s">
        <v>99</v>
      </c>
      <c r="BS102" s="36" cm="1">
        <f t="array" aca="1" ref="BS102" ca="1">_FV(EE102,"Média de volume",TRUE)</f>
        <v>2655610</v>
      </c>
      <c r="BT102" s="36">
        <v>1629200</v>
      </c>
      <c r="BU102" s="36" cm="1">
        <f t="array" aca="1" ref="BU102" ca="1">_FV(EE102,"Volume")</f>
        <v>1629200</v>
      </c>
      <c r="BV102" s="24" cm="1">
        <f t="array" aca="1" ref="BV102" ca="1">_FV(EE102,"Beta")</f>
        <v>1.3241000000000001</v>
      </c>
      <c r="BW102" s="71" cm="1">
        <f t="array" aca="1" ref="BW102" ca="1">_FV(EE102,"Variação (%)",TRUE)</f>
        <v>9.2940000000000002E-3</v>
      </c>
      <c r="BY102" s="17" cm="1">
        <f t="array" aca="1" ref="BY102" ca="1">_FV(EE102,"Baixo")</f>
        <v>16.14</v>
      </c>
      <c r="BZ102" s="17" cm="1">
        <f t="array" aca="1" ref="BZ102" ca="1">_FV(EE102,"Alto")</f>
        <v>16.53</v>
      </c>
      <c r="CA102" s="24"/>
      <c r="CB102" s="63">
        <f ca="1">SQRT(22.5*(BQ102/VLOOKUP(BR102,Fundamentus!A:U,3,FALSE))*(BQ102/VLOOKUP(BR102,Fundamentus!A:U,4,FALSE)))</f>
        <v>12.054876622409379</v>
      </c>
      <c r="CD102" s="62">
        <f t="shared" ca="1" si="112"/>
        <v>0</v>
      </c>
      <c r="CE102" s="8"/>
      <c r="CF102" s="61">
        <f t="shared" si="113"/>
        <v>13.1</v>
      </c>
      <c r="CG102" s="61">
        <f t="shared" si="114"/>
        <v>19.100000000000001</v>
      </c>
      <c r="CH102" s="61">
        <f t="shared" si="115"/>
        <v>16.114779411764708</v>
      </c>
      <c r="CI102" s="14"/>
      <c r="CJ102" s="35">
        <f t="shared" si="98"/>
        <v>15.189940954040935</v>
      </c>
      <c r="CK102" s="15">
        <f t="shared" si="116"/>
        <v>16.239999999999782</v>
      </c>
      <c r="CL102" s="35">
        <f t="shared" si="99"/>
        <v>17.290059045958628</v>
      </c>
      <c r="CN102" s="14"/>
      <c r="CO102" s="17">
        <f t="shared" si="100"/>
        <v>7.2266666666666648</v>
      </c>
      <c r="CP102" s="17">
        <f t="shared" si="101"/>
        <v>10.163333333333332</v>
      </c>
      <c r="CQ102" s="17">
        <f t="shared" si="102"/>
        <v>13.226666666666667</v>
      </c>
      <c r="CR102" s="38">
        <f t="shared" si="117"/>
        <v>16.163333333333334</v>
      </c>
      <c r="CS102" s="17">
        <f t="shared" si="103"/>
        <v>19.226666666666667</v>
      </c>
      <c r="CT102" s="17">
        <f t="shared" si="104"/>
        <v>22.163333333333334</v>
      </c>
      <c r="CU102" s="17">
        <f t="shared" si="105"/>
        <v>25.22666666666667</v>
      </c>
      <c r="CV102" s="2" cm="1">
        <f t="array" aca="1" ref="CV102" ca="1">MAX(_xlfn._xlws.FILTER(CO102:CU102,CO102:CU102&lt;BQ102))</f>
        <v>16.163333333333334</v>
      </c>
      <c r="CW102" s="2" cm="1">
        <f t="array" aca="1" ref="CW102" ca="1">MIN(_xlfn._xlws.FILTER($CO102:$CU102,$CO102:$CU102&gt;BQ102))</f>
        <v>19.226666666666667</v>
      </c>
      <c r="CX102" s="16">
        <f t="shared" ca="1" si="119"/>
        <v>0.18952361311610644</v>
      </c>
      <c r="CY102" s="20">
        <f t="shared" ca="1" si="120"/>
        <v>-9.4761806558053219E-2</v>
      </c>
      <c r="CZ102" s="20">
        <f t="shared" ca="1" si="121"/>
        <v>-6.3174537705368808E-2</v>
      </c>
      <c r="DA102" s="20">
        <f t="shared" ca="1" si="122"/>
        <v>-3.7904722623221289E-2</v>
      </c>
      <c r="DB102" s="20">
        <f t="shared" ca="1" si="123"/>
        <v>-2.1058179235122938E-2</v>
      </c>
      <c r="DC102" s="20">
        <f t="shared" ca="1" si="124"/>
        <v>-1.1148447830359202E-2</v>
      </c>
      <c r="DD102" s="20">
        <f t="shared" ca="1" si="125"/>
        <v>-5.7431397913971644E-3</v>
      </c>
      <c r="DE102" s="20">
        <f t="shared" ca="1" si="126"/>
        <v>-2.9157478940939454E-3</v>
      </c>
      <c r="DF102" s="21">
        <f t="shared" ca="1" si="127"/>
        <v>2.9157478940939454E-3</v>
      </c>
      <c r="DG102" s="21">
        <f t="shared" ca="1" si="128"/>
        <v>5.7431397913971644E-3</v>
      </c>
      <c r="DH102" s="21">
        <f t="shared" ca="1" si="129"/>
        <v>1.1148447830359202E-2</v>
      </c>
      <c r="DI102" s="21">
        <f t="shared" ca="1" si="130"/>
        <v>2.1058179235122938E-2</v>
      </c>
      <c r="DJ102" s="21">
        <f t="shared" ca="1" si="131"/>
        <v>3.7904722623221289E-2</v>
      </c>
      <c r="DK102" s="21">
        <f t="shared" ca="1" si="132"/>
        <v>6.3174537705368808E-2</v>
      </c>
      <c r="DL102" s="21">
        <f t="shared" ca="1" si="133"/>
        <v>9.4761806558053219E-2</v>
      </c>
      <c r="DN102" s="16" cm="1">
        <f t="array" aca="1" ref="DN102" ca="1">MAX(_xlfn._xlws.FILTER(CY102:DL102,CY102:DL102&lt;BW102))</f>
        <v>5.7431397913971644E-3</v>
      </c>
      <c r="DO102" s="16" cm="1">
        <f t="array" aca="1" ref="DO102" ca="1">MIN(_xlfn._xlws.FILTER(CY102:DL102,CY102:DL102&gt;BW102))</f>
        <v>1.1148447830359202E-2</v>
      </c>
      <c r="DP102" s="2" cm="1">
        <f t="array" aca="1" ref="DP102" ca="1">_FV(EE102,"Fechamento anterior",TRUE)</f>
        <v>16.14</v>
      </c>
      <c r="DQ102" s="28">
        <f t="shared" ca="1" si="106"/>
        <v>0.65686182552553607</v>
      </c>
      <c r="DR102" s="15">
        <f t="shared" ca="1" si="134"/>
        <v>16.232694276233151</v>
      </c>
      <c r="DS102" s="15">
        <f t="shared" ca="1" si="135"/>
        <v>16.319935947982</v>
      </c>
      <c r="DT102" s="9"/>
      <c r="DU102" s="9"/>
      <c r="DV102" s="9"/>
      <c r="DW102" s="89">
        <v>8.4752067468359307E-3</v>
      </c>
      <c r="DX102" s="89">
        <f t="shared" ca="1" si="107"/>
        <v>5.4053080389620378E-3</v>
      </c>
      <c r="DY102" s="72">
        <f t="shared" ca="1" si="108"/>
        <v>4.761636994856859E-2</v>
      </c>
      <c r="DZ102" s="37"/>
      <c r="EA102" s="35">
        <f t="shared" si="118"/>
        <v>0.52502952297942296</v>
      </c>
      <c r="EB102" s="56"/>
      <c r="EC102" s="56"/>
      <c r="EE102" s="2" t="e" vm="102">
        <v>#VALUE!</v>
      </c>
      <c r="EG102" s="10" cm="1">
        <f t="array" aca="1" ref="EG102" ca="1">_FV(EE102,"Ações em circulação",TRUE)</f>
        <v>677280700</v>
      </c>
      <c r="EH102" s="18">
        <f>VLOOKUP(BR102,Fundamentus!A:U,5,FALSE)</f>
        <v>0.63400000000000001</v>
      </c>
      <c r="EI102" s="2">
        <f t="shared" ca="1" si="109"/>
        <v>17402054578.864353</v>
      </c>
      <c r="EJ102" s="17">
        <v>743067730.51750791</v>
      </c>
      <c r="EK102" s="17">
        <f t="shared" ca="1" si="110"/>
        <v>743067730.51750791</v>
      </c>
      <c r="EM102" s="16">
        <f t="shared" ca="1" si="97"/>
        <v>0</v>
      </c>
      <c r="EN102" s="32" t="str">
        <f>IF(VLOOKUP(BR102,Fundamentus!A:U,3,FALSE)&lt;15,"Bom",IF(VLOOKUP(BR102,Fundamentus!A:U,3,FALSE)&gt;15,"Ruim","n/a"))</f>
        <v>Ruim</v>
      </c>
      <c r="EO102" s="28" t="str">
        <f>IF(VLOOKUP(BR102,Fundamentus!A:U,4,FALSE)&lt;1,"Baixo",IF(VLOOKUP(BR102,Fundamentus!A:U,4,FALSE)&lt;1.5,"Moderado",IF(VLOOKUP(BR102,Fundamentus!A:U,4,FALSE)&gt;1.5,"Alto","n/a")))</f>
        <v>Alto</v>
      </c>
      <c r="EP102" s="17" t="str">
        <f>IF(VLOOKUP(BR102,Fundamentus!A:U,8,FALSE)&lt;0,"Risco elevado",IF(VLOOKUP(BR102,Fundamentus!A:U,8,FALSE)&lt;1,"Saudável",IF(VLOOKUP(BR102,Fundamentus!A:U,8,FALSE)&lt;3,"Estável",IF(VLOOKUP(BR102,Fundamentus!A:U,8,FALSE)&gt;3,"Alerta","n/a"))))</f>
        <v>Estável</v>
      </c>
      <c r="EQ102" s="28" t="str">
        <f t="shared" si="111"/>
        <v>Ruim</v>
      </c>
      <c r="ER102" s="17" t="str">
        <f>IF(VLOOKUP(BR102,Fundamentus!A:U,12,FALSE)&lt;2,"Subvalorizada",IF(VLOOKUP(BR102,Fundamentus!A:U,12,FALSE)&lt;6,"Muita barata",IF(VLOOKUP(BR102,Fundamentus!A:U,12,FALSE)&lt;6,"Barata",IF(VLOOKUP(BR102,Fundamentus!A:U,12,FALSE)&lt;8,"Atrativa",IF(VLOOKUP(BR102,Fundamentus!A:U,12,FALSE)&gt;8,"Supervalorizada","n/a")))))</f>
        <v>Atrativa</v>
      </c>
      <c r="ET102" s="17" t="str">
        <f>IF(VLOOKUP(BR102,Fundamentus!A:U,17,FALSE)&lt;0.1,"Fraco retorno",IF(VLOOKUP(BR102,Fundamentus!A:U,17,FALSE)&gt;0.1,"Bom retorno","n/a"))</f>
        <v>Bom retorno</v>
      </c>
      <c r="EU102" s="17" t="str">
        <f>IF(VLOOKUP(BR102,Fundamentus!A:U,16,FALSE)&lt;0.1,"Ineficiente",IF(VLOOKUP(BR102,Fundamentus!A:U,16,FALSE)&gt;0.1,"Eficiente","n/a"))</f>
        <v>Eficiente</v>
      </c>
      <c r="EV102" s="33" t="str">
        <f>IF(VLOOKUP(BR102,Fundamentus!A:U,16,FALSE)&lt;0.1,"Oper. Ineficiente",IF(VLOOKUP(BR102,Fundamentus!A:U,16,FALSE)&gt;0.1,"Oper.Eficiente","n/a"))</f>
        <v>Oper.Eficiente</v>
      </c>
      <c r="EW102" s="34">
        <f>VLOOKUP(BR102,Fundamentus!A:U,14,FALSE)</f>
        <v>4.2700000000000002E-2</v>
      </c>
      <c r="EX102" s="17" t="str">
        <f>IF(VLOOKUP(BR102,Fundamentus!A:U,21,FALSE)&lt;0,"Negativo",IF(VLOOKUP(BR102,Fundamentus!A:U,21,FALSE)&lt;0.05,"Fraco",IF(VLOOKUP(BR102,Fundamentus!A:U,21,FALSE)&lt;0.1,"Bom",IF(VLOOKUP(BR102,Fundamentus!A:U,21,FALSE)&gt;0.1,"Muito bom","n/a"))))</f>
        <v>Muito bom</v>
      </c>
      <c r="EZ102" s="29" t="str">
        <f>IF(VLOOKUP(BR102,Fundamentus!A:U,15,FALSE)&gt;1,"Bom",IF(VLOOKUP(BR102,Fundamentus!A:U,15,FALSE)&lt;1,"Ruim","n/a"))</f>
        <v>Bom</v>
      </c>
      <c r="FA102" s="17" t="str">
        <f>IF(VLOOKUP(BR102,Fundamentus!A:U,20,FALSE)&lt;0.5,"Baixa",IF(VLOOKUP(BR102,Fundamentus!A:U,20,FALSE)&lt;1,"Moderada",IF(VLOOKUP(BR102,Fundamentus!A:U,20,FALSE)&lt;2,"Alerta",IF(VLOOKUP(BR102,Fundamentus!A:U,20,FALSE)&gt;2,"Alta","n/a"))))</f>
        <v>Alerta</v>
      </c>
      <c r="FB102" s="10"/>
    </row>
    <row r="103" spans="1:158" s="2" customFormat="1" ht="11.25"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5">
        <v>2.95</v>
      </c>
      <c r="BC103" s="52">
        <v>2.85</v>
      </c>
      <c r="BD103" s="52">
        <v>2.95</v>
      </c>
      <c r="BE103" s="52">
        <v>3.18</v>
      </c>
      <c r="BF103" s="52">
        <v>3.3</v>
      </c>
      <c r="BG103" s="67">
        <v>3.7</v>
      </c>
      <c r="BH103" s="52">
        <v>3.7</v>
      </c>
      <c r="BI103" s="52">
        <v>3.61</v>
      </c>
      <c r="BJ103" s="52">
        <v>3.53</v>
      </c>
      <c r="BK103" s="52">
        <v>3.47</v>
      </c>
      <c r="BL103" s="52">
        <v>3.62</v>
      </c>
      <c r="BM103" s="52">
        <v>3.75</v>
      </c>
      <c r="BN103" s="52">
        <v>3.59</v>
      </c>
      <c r="BO103" s="52">
        <v>3.59</v>
      </c>
      <c r="BP103" s="52">
        <v>3.66</v>
      </c>
      <c r="BQ103" s="52" cm="1">
        <f t="array" aca="1" ref="BQ103" ca="1">_FV(EE103,"Preço")</f>
        <v>3.66</v>
      </c>
      <c r="BR103" s="69" t="s">
        <v>100</v>
      </c>
      <c r="BS103" s="36" cm="1">
        <f t="array" aca="1" ref="BS103" ca="1">_FV(EE103,"Média de volume",TRUE)</f>
        <v>2554360</v>
      </c>
      <c r="BT103" s="36">
        <v>2617300</v>
      </c>
      <c r="BU103" s="36" cm="1">
        <f t="array" aca="1" ref="BU103" ca="1">_FV(EE103,"Volume")</f>
        <v>2617300</v>
      </c>
      <c r="BV103" s="24" cm="1">
        <f t="array" aca="1" ref="BV103" ca="1">_FV(EE103,"Beta")</f>
        <v>1.2269000000000001</v>
      </c>
      <c r="BW103" s="71" cm="1">
        <f t="array" aca="1" ref="BW103" ca="1">_FV(EE103,"Variação (%)",TRUE)</f>
        <v>-1.8766999999999999E-2</v>
      </c>
      <c r="BY103" s="17" cm="1">
        <f t="array" aca="1" ref="BY103" ca="1">_FV(EE103,"Baixo")</f>
        <v>3.64</v>
      </c>
      <c r="BZ103" s="17" cm="1">
        <f t="array" aca="1" ref="BZ103" ca="1">_FV(EE103,"Alto")</f>
        <v>3.83</v>
      </c>
      <c r="CA103" s="24"/>
      <c r="CB103" s="63" t="e">
        <f ca="1">SQRT(22.5*(BQ103/VLOOKUP(BR103,Fundamentus!A:U,3,FALSE))*(BQ103/VLOOKUP(BR103,Fundamentus!A:U,4,FALSE)))</f>
        <v>#NUM!</v>
      </c>
      <c r="CD103" s="62">
        <f t="shared" ca="1" si="112"/>
        <v>0</v>
      </c>
      <c r="CE103" s="8"/>
      <c r="CF103" s="61">
        <f t="shared" si="113"/>
        <v>1.98</v>
      </c>
      <c r="CG103" s="61">
        <f t="shared" si="114"/>
        <v>4.45</v>
      </c>
      <c r="CH103" s="61">
        <f t="shared" si="115"/>
        <v>3.2322794117647056</v>
      </c>
      <c r="CI103" s="14"/>
      <c r="CJ103" s="35">
        <f t="shared" si="98"/>
        <v>3.4012935367705031</v>
      </c>
      <c r="CK103" s="15">
        <f t="shared" si="116"/>
        <v>3.5800000000000125</v>
      </c>
      <c r="CL103" s="35">
        <f t="shared" si="99"/>
        <v>3.758706463229522</v>
      </c>
      <c r="CN103" s="14"/>
      <c r="CO103" s="17">
        <f t="shared" si="100"/>
        <v>-0.1933333333333338</v>
      </c>
      <c r="CP103" s="17">
        <f t="shared" si="101"/>
        <v>0.89333333333333309</v>
      </c>
      <c r="CQ103" s="17">
        <f t="shared" si="102"/>
        <v>2.2766666666666664</v>
      </c>
      <c r="CR103" s="38">
        <f t="shared" si="117"/>
        <v>3.3633333333333333</v>
      </c>
      <c r="CS103" s="17">
        <f t="shared" si="103"/>
        <v>4.7466666666666661</v>
      </c>
      <c r="CT103" s="17">
        <f t="shared" si="104"/>
        <v>5.8333333333333339</v>
      </c>
      <c r="CU103" s="17">
        <f t="shared" si="105"/>
        <v>7.2166666666666668</v>
      </c>
      <c r="CV103" s="2" cm="1">
        <f t="array" aca="1" ref="CV103" ca="1">MAX(_xlfn._xlws.FILTER(CO103:CU103,CO103:CU103&lt;BQ103))</f>
        <v>3.3633333333333333</v>
      </c>
      <c r="CW103" s="2" cm="1">
        <f t="array" aca="1" ref="CW103" ca="1">MIN(_xlfn._xlws.FILTER($CO103:$CU103,$CO103:$CU103&gt;BQ103))</f>
        <v>4.7466666666666661</v>
      </c>
      <c r="CX103" s="16">
        <f t="shared" ca="1" si="119"/>
        <v>0.41129831516352811</v>
      </c>
      <c r="CY103" s="20">
        <f t="shared" ca="1" si="120"/>
        <v>-0.20564915758176405</v>
      </c>
      <c r="CZ103" s="20">
        <f t="shared" ca="1" si="121"/>
        <v>-0.13709943838784269</v>
      </c>
      <c r="DA103" s="20">
        <f t="shared" ca="1" si="122"/>
        <v>-8.2259663032705627E-2</v>
      </c>
      <c r="DB103" s="20">
        <f t="shared" ca="1" si="123"/>
        <v>-4.5699812795947564E-2</v>
      </c>
      <c r="DC103" s="20">
        <f t="shared" ca="1" si="124"/>
        <v>-2.4194018539031064E-2</v>
      </c>
      <c r="DD103" s="20">
        <f t="shared" ca="1" si="125"/>
        <v>-1.24635853079857E-2</v>
      </c>
      <c r="DE103" s="20">
        <f t="shared" ca="1" si="126"/>
        <v>-6.3276663871312012E-3</v>
      </c>
      <c r="DF103" s="21">
        <f t="shared" ca="1" si="127"/>
        <v>6.3276663871312012E-3</v>
      </c>
      <c r="DG103" s="21">
        <f t="shared" ca="1" si="128"/>
        <v>1.24635853079857E-2</v>
      </c>
      <c r="DH103" s="21">
        <f t="shared" ca="1" si="129"/>
        <v>2.4194018539031064E-2</v>
      </c>
      <c r="DI103" s="21">
        <f t="shared" ca="1" si="130"/>
        <v>4.5699812795947564E-2</v>
      </c>
      <c r="DJ103" s="21">
        <f t="shared" ca="1" si="131"/>
        <v>8.2259663032705627E-2</v>
      </c>
      <c r="DK103" s="21">
        <f t="shared" ca="1" si="132"/>
        <v>0.13709943838784269</v>
      </c>
      <c r="DL103" s="21">
        <f t="shared" ca="1" si="133"/>
        <v>0.20564915758176405</v>
      </c>
      <c r="DN103" s="16" cm="1">
        <f t="array" aca="1" ref="DN103" ca="1">MAX(_xlfn._xlws.FILTER(CY103:DL103,CY103:DL103&lt;BW103))</f>
        <v>-2.4194018539031064E-2</v>
      </c>
      <c r="DO103" s="16" cm="1">
        <f t="array" aca="1" ref="DO103" ca="1">MIN(_xlfn._xlws.FILTER(CY103:DL103,CY103:DL103&gt;BW103))</f>
        <v>-1.24635853079857E-2</v>
      </c>
      <c r="DP103" s="2" cm="1">
        <f t="array" aca="1" ref="DP103" ca="1">_FV(EE103,"Fechamento anterior",TRUE)</f>
        <v>3.73</v>
      </c>
      <c r="DQ103" s="28">
        <f t="shared" ca="1" si="106"/>
        <v>0.46266513776285223</v>
      </c>
      <c r="DR103" s="15">
        <f t="shared" ca="1" si="134"/>
        <v>3.639756310849414</v>
      </c>
      <c r="DS103" s="15">
        <f t="shared" ca="1" si="135"/>
        <v>3.6835108268012133</v>
      </c>
      <c r="DT103" s="9"/>
      <c r="DU103" s="9"/>
      <c r="DV103" s="9"/>
      <c r="DW103" s="89">
        <v>2.1290751829673979E-2</v>
      </c>
      <c r="DX103" s="89">
        <f t="shared" ca="1" si="107"/>
        <v>1.1730433231045364E-2</v>
      </c>
      <c r="DY103" s="72">
        <f t="shared" ca="1" si="108"/>
        <v>0.44766148103577597</v>
      </c>
      <c r="DZ103" s="37"/>
      <c r="EA103" s="35">
        <f t="shared" si="118"/>
        <v>8.9353231614754669E-2</v>
      </c>
      <c r="EB103" s="56"/>
      <c r="EC103" s="56"/>
      <c r="EE103" s="2" t="e" vm="103">
        <v>#VALUE!</v>
      </c>
      <c r="EG103" s="10" cm="1">
        <f t="array" aca="1" ref="EG103" ca="1">_FV(EE103,"Ações em circulação",TRUE)</f>
        <v>1360383000</v>
      </c>
      <c r="EH103" s="18">
        <f>VLOOKUP(BR103,Fundamentus!A:U,5,FALSE)</f>
        <v>3.5790000000000002</v>
      </c>
      <c r="EI103" s="2">
        <f t="shared" ca="1" si="109"/>
        <v>1391171215.4233024</v>
      </c>
      <c r="EJ103" s="17">
        <v>-512229241.51885998</v>
      </c>
      <c r="EK103" s="17">
        <f t="shared" ca="1" si="110"/>
        <v>-512229241.51885998</v>
      </c>
      <c r="EM103" s="16">
        <f t="shared" ca="1" si="97"/>
        <v>0</v>
      </c>
      <c r="EN103" s="32" t="str">
        <f>IF(VLOOKUP(BR103,Fundamentus!A:U,3,FALSE)&lt;15,"Bom",IF(VLOOKUP(BR103,Fundamentus!A:U,3,FALSE)&gt;15,"Ruim","n/a"))</f>
        <v>Bom</v>
      </c>
      <c r="EO103" s="28" t="str">
        <f>IF(VLOOKUP(BR103,Fundamentus!A:U,4,FALSE)&lt;1,"Baixo",IF(VLOOKUP(BR103,Fundamentus!A:U,4,FALSE)&lt;1.5,"Moderado",IF(VLOOKUP(BR103,Fundamentus!A:U,4,FALSE)&gt;1.5,"Alto","n/a")))</f>
        <v>Alto</v>
      </c>
      <c r="EP103" s="17" t="str">
        <f>IF(VLOOKUP(BR103,Fundamentus!A:U,8,FALSE)&lt;0,"Risco elevado",IF(VLOOKUP(BR103,Fundamentus!A:U,8,FALSE)&lt;1,"Saudável",IF(VLOOKUP(BR103,Fundamentus!A:U,8,FALSE)&lt;3,"Estável",IF(VLOOKUP(BR103,Fundamentus!A:U,8,FALSE)&gt;3,"Alerta","n/a"))))</f>
        <v>Alerta</v>
      </c>
      <c r="EQ103" s="28" t="str">
        <f t="shared" si="111"/>
        <v>Bom</v>
      </c>
      <c r="ER103" s="17" t="str">
        <f>IF(VLOOKUP(BR103,Fundamentus!A:U,12,FALSE)&lt;2,"Subvalorizada",IF(VLOOKUP(BR103,Fundamentus!A:U,12,FALSE)&lt;6,"Muita barata",IF(VLOOKUP(BR103,Fundamentus!A:U,12,FALSE)&lt;6,"Barata",IF(VLOOKUP(BR103,Fundamentus!A:U,12,FALSE)&lt;8,"Atrativa",IF(VLOOKUP(BR103,Fundamentus!A:U,12,FALSE)&gt;8,"Supervalorizada","n/a")))))</f>
        <v>Supervalorizada</v>
      </c>
      <c r="ET103" s="17" t="str">
        <f>IF(VLOOKUP(BR103,Fundamentus!A:U,17,FALSE)&lt;0.1,"Fraco retorno",IF(VLOOKUP(BR103,Fundamentus!A:U,17,FALSE)&gt;0.1,"Bom retorno","n/a"))</f>
        <v>Fraco retorno</v>
      </c>
      <c r="EU103" s="17" t="str">
        <f>IF(VLOOKUP(BR103,Fundamentus!A:U,16,FALSE)&lt;0.1,"Ineficiente",IF(VLOOKUP(BR103,Fundamentus!A:U,16,FALSE)&gt;0.1,"Eficiente","n/a"))</f>
        <v>Ineficiente</v>
      </c>
      <c r="EV103" s="33" t="str">
        <f>IF(VLOOKUP(BR103,Fundamentus!A:U,16,FALSE)&lt;0.1,"Oper. Ineficiente",IF(VLOOKUP(BR103,Fundamentus!A:U,16,FALSE)&gt;0.1,"Oper.Eficiente","n/a"))</f>
        <v>Oper. Ineficiente</v>
      </c>
      <c r="EW103" s="34">
        <f>VLOOKUP(BR103,Fundamentus!A:U,14,FALSE)</f>
        <v>-0.36820000000000003</v>
      </c>
      <c r="EX103" s="17" t="str">
        <f>IF(VLOOKUP(BR103,Fundamentus!A:U,21,FALSE)&lt;0,"Negativo",IF(VLOOKUP(BR103,Fundamentus!A:U,21,FALSE)&lt;0.05,"Fraco",IF(VLOOKUP(BR103,Fundamentus!A:U,21,FALSE)&lt;0.1,"Bom",IF(VLOOKUP(BR103,Fundamentus!A:U,21,FALSE)&gt;0.1,"Muito bom","n/a"))))</f>
        <v>Fraco</v>
      </c>
      <c r="EZ103" s="29" t="str">
        <f>IF(VLOOKUP(BR103,Fundamentus!A:U,15,FALSE)&gt;1,"Bom",IF(VLOOKUP(BR103,Fundamentus!A:U,15,FALSE)&lt;1,"Ruim","n/a"))</f>
        <v>Bom</v>
      </c>
      <c r="FA103" s="17" t="str">
        <f>IF(VLOOKUP(BR103,Fundamentus!A:U,20,FALSE)&lt;0.5,"Baixa",IF(VLOOKUP(BR103,Fundamentus!A:U,20,FALSE)&lt;1,"Moderada",IF(VLOOKUP(BR103,Fundamentus!A:U,20,FALSE)&lt;2,"Alerta",IF(VLOOKUP(BR103,Fundamentus!A:U,20,FALSE)&gt;2,"Alta","n/a"))))</f>
        <v>Alta</v>
      </c>
      <c r="FB103" s="10"/>
    </row>
    <row r="104" spans="1:158" s="2" customFormat="1" ht="11.25"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5">
        <v>13.4</v>
      </c>
      <c r="BC104" s="52">
        <v>13.24</v>
      </c>
      <c r="BD104" s="52">
        <v>13.47</v>
      </c>
      <c r="BE104" s="52">
        <v>13.48</v>
      </c>
      <c r="BF104" s="52">
        <v>13.35</v>
      </c>
      <c r="BG104" s="67">
        <v>13.37</v>
      </c>
      <c r="BH104" s="52">
        <v>13.51</v>
      </c>
      <c r="BI104" s="52">
        <v>13.51</v>
      </c>
      <c r="BJ104" s="52">
        <v>13.79</v>
      </c>
      <c r="BK104" s="52">
        <v>12.94</v>
      </c>
      <c r="BL104" s="52">
        <v>12.55</v>
      </c>
      <c r="BM104" s="52">
        <v>12.4</v>
      </c>
      <c r="BN104" s="52">
        <v>12.5</v>
      </c>
      <c r="BO104" s="52">
        <v>13</v>
      </c>
      <c r="BP104" s="52">
        <v>13.3</v>
      </c>
      <c r="BQ104" s="52" cm="1">
        <f t="array" aca="1" ref="BQ104" ca="1">_FV(EE104,"Preço")</f>
        <v>13.3</v>
      </c>
      <c r="BR104" s="69" t="s">
        <v>101</v>
      </c>
      <c r="BS104" s="36" cm="1">
        <f t="array" aca="1" ref="BS104" ca="1">_FV(EE104,"Média de volume",TRUE)</f>
        <v>7325800</v>
      </c>
      <c r="BT104" s="36">
        <v>5443500</v>
      </c>
      <c r="BU104" s="36" cm="1">
        <f t="array" aca="1" ref="BU104" ca="1">_FV(EE104,"Volume")</f>
        <v>5443500</v>
      </c>
      <c r="BV104" s="24" cm="1">
        <f t="array" aca="1" ref="BV104" ca="1">_FV(EE104,"Beta")</f>
        <v>1.0510999999999999</v>
      </c>
      <c r="BW104" s="71" cm="1">
        <f t="array" aca="1" ref="BW104" ca="1">_FV(EE104,"Variação (%)",TRUE)</f>
        <v>1.0638000000000002E-2</v>
      </c>
      <c r="BY104" s="17" cm="1">
        <f t="array" aca="1" ref="BY104" ca="1">_FV(EE104,"Baixo")</f>
        <v>13.08</v>
      </c>
      <c r="BZ104" s="17" cm="1">
        <f t="array" aca="1" ref="BZ104" ca="1">_FV(EE104,"Alto")</f>
        <v>13.42</v>
      </c>
      <c r="CA104" s="24"/>
      <c r="CB104" s="63" t="e">
        <f ca="1">SQRT(22.5*(BQ104/VLOOKUP(BR104,Fundamentus!A:U,3,FALSE))*(BQ104/VLOOKUP(BR104,Fundamentus!A:U,4,FALSE)))</f>
        <v>#N/A</v>
      </c>
      <c r="CD104" s="62">
        <f t="shared" ca="1" si="112"/>
        <v>0</v>
      </c>
      <c r="CE104" s="8"/>
      <c r="CF104" s="61">
        <f t="shared" si="113"/>
        <v>10.1</v>
      </c>
      <c r="CG104" s="61">
        <f t="shared" si="114"/>
        <v>13.79</v>
      </c>
      <c r="CH104" s="61">
        <f t="shared" si="115"/>
        <v>12.249117647058826</v>
      </c>
      <c r="CI104" s="14"/>
      <c r="CJ104" s="35">
        <f t="shared" si="98"/>
        <v>13.112000000000364</v>
      </c>
      <c r="CK104" s="15">
        <f t="shared" si="116"/>
        <v>13.600000000000364</v>
      </c>
      <c r="CL104" s="35">
        <f t="shared" si="99"/>
        <v>14.088000000000363</v>
      </c>
      <c r="CN104" s="14"/>
      <c r="CO104" s="17">
        <f t="shared" si="100"/>
        <v>7.3133333333333344</v>
      </c>
      <c r="CP104" s="17">
        <f t="shared" si="101"/>
        <v>8.706666666666667</v>
      </c>
      <c r="CQ104" s="17">
        <f t="shared" si="102"/>
        <v>11.003333333333334</v>
      </c>
      <c r="CR104" s="38">
        <f t="shared" si="117"/>
        <v>12.396666666666667</v>
      </c>
      <c r="CS104" s="17">
        <f t="shared" si="103"/>
        <v>14.693333333333333</v>
      </c>
      <c r="CT104" s="17">
        <f t="shared" si="104"/>
        <v>16.086666666666666</v>
      </c>
      <c r="CU104" s="17">
        <f t="shared" si="105"/>
        <v>18.383333333333333</v>
      </c>
      <c r="CV104" s="2" cm="1">
        <f t="array" aca="1" ref="CV104" ca="1">MAX(_xlfn._xlws.FILTER(CO104:CU104,CO104:CU104&lt;BQ104))</f>
        <v>12.396666666666667</v>
      </c>
      <c r="CW104" s="2" cm="1">
        <f t="array" aca="1" ref="CW104" ca="1">MIN(_xlfn._xlws.FILTER($CO104:$CU104,$CO104:$CU104&gt;BQ104))</f>
        <v>14.693333333333333</v>
      </c>
      <c r="CX104" s="16">
        <f t="shared" ca="1" si="119"/>
        <v>0.1852648561441248</v>
      </c>
      <c r="CY104" s="20">
        <f t="shared" ca="1" si="120"/>
        <v>-9.26324280720624E-2</v>
      </c>
      <c r="CZ104" s="20">
        <f t="shared" ca="1" si="121"/>
        <v>-6.17549520480416E-2</v>
      </c>
      <c r="DA104" s="20">
        <f t="shared" ca="1" si="122"/>
        <v>-3.7052971228824963E-2</v>
      </c>
      <c r="DB104" s="20">
        <f t="shared" ca="1" si="123"/>
        <v>-2.0584984016013868E-2</v>
      </c>
      <c r="DC104" s="20">
        <f t="shared" ca="1" si="124"/>
        <v>-1.0897932714360282E-2</v>
      </c>
      <c r="DD104" s="20">
        <f t="shared" ca="1" si="125"/>
        <v>-5.6140865498219639E-3</v>
      </c>
      <c r="DE104" s="20">
        <f t="shared" ca="1" si="126"/>
        <v>-2.8502285560634585E-3</v>
      </c>
      <c r="DF104" s="21">
        <f t="shared" ca="1" si="127"/>
        <v>2.8502285560634585E-3</v>
      </c>
      <c r="DG104" s="21">
        <f t="shared" ca="1" si="128"/>
        <v>5.6140865498219639E-3</v>
      </c>
      <c r="DH104" s="21">
        <f t="shared" ca="1" si="129"/>
        <v>1.0897932714360282E-2</v>
      </c>
      <c r="DI104" s="21">
        <f t="shared" ca="1" si="130"/>
        <v>2.0584984016013868E-2</v>
      </c>
      <c r="DJ104" s="21">
        <f t="shared" ca="1" si="131"/>
        <v>3.7052971228824963E-2</v>
      </c>
      <c r="DK104" s="21">
        <f t="shared" ca="1" si="132"/>
        <v>6.17549520480416E-2</v>
      </c>
      <c r="DL104" s="21">
        <f t="shared" ca="1" si="133"/>
        <v>9.26324280720624E-2</v>
      </c>
      <c r="DN104" s="16" cm="1">
        <f t="array" aca="1" ref="DN104" ca="1">MAX(_xlfn._xlws.FILTER(CY104:DL104,CY104:DL104&lt;BW104))</f>
        <v>5.6140865498219639E-3</v>
      </c>
      <c r="DO104" s="16" cm="1">
        <f t="array" aca="1" ref="DO104" ca="1">MIN(_xlfn._xlws.FILTER(CY104:DL104,CY104:DL104&gt;BW104))</f>
        <v>1.0897932714360282E-2</v>
      </c>
      <c r="DP104" s="2" cm="1">
        <f t="array" aca="1" ref="DP104" ca="1">_FV(EE104,"Fechamento anterior",TRUE)</f>
        <v>13.16</v>
      </c>
      <c r="DQ104" s="28">
        <f t="shared" ca="1" si="106"/>
        <v>0.95086252817838091</v>
      </c>
      <c r="DR104" s="15">
        <f t="shared" ca="1" si="134"/>
        <v>13.233881378995656</v>
      </c>
      <c r="DS104" s="15">
        <f t="shared" ca="1" si="135"/>
        <v>13.303416794520981</v>
      </c>
      <c r="DT104" s="9"/>
      <c r="DU104" s="9"/>
      <c r="DV104" s="9"/>
      <c r="DW104" s="89">
        <v>9.3406116399754047E-3</v>
      </c>
      <c r="DX104" s="89">
        <f t="shared" ca="1" si="107"/>
        <v>5.2838461645383179E-3</v>
      </c>
      <c r="DY104" s="72">
        <f t="shared" ca="1" si="108"/>
        <v>-0.61475409836140038</v>
      </c>
      <c r="DZ104" s="37"/>
      <c r="EA104" s="35">
        <f t="shared" si="118"/>
        <v>0.24399999999999972</v>
      </c>
      <c r="EB104" s="56"/>
      <c r="EC104" s="56"/>
      <c r="EE104" s="2" t="e" vm="104">
        <v>#VALUE!</v>
      </c>
      <c r="EG104" s="10" cm="1">
        <f t="array" aca="1" ref="EG104" ca="1">_FV(EE104,"Ações em circulação",TRUE)</f>
        <v>2020000000</v>
      </c>
      <c r="EH104" s="18" t="e">
        <f>VLOOKUP(BR104,Fundamentus!A:U,5,FALSE)</f>
        <v>#N/A</v>
      </c>
      <c r="EI104" s="2" t="e">
        <f t="shared" ca="1" si="109"/>
        <v>#N/A</v>
      </c>
      <c r="EJ104" s="17" t="e">
        <v>#N/A</v>
      </c>
      <c r="EK104" s="17" t="e">
        <f t="shared" ca="1" si="110"/>
        <v>#N/A</v>
      </c>
      <c r="EM104" s="16" t="e">
        <f t="shared" ca="1" si="97"/>
        <v>#N/A</v>
      </c>
      <c r="EN104" s="32" t="e">
        <f>IF(VLOOKUP(BR104,Fundamentus!A:U,3,FALSE)&lt;15,"Bom",IF(VLOOKUP(BR104,Fundamentus!A:U,3,FALSE)&gt;15,"Ruim","n/a"))</f>
        <v>#N/A</v>
      </c>
      <c r="EO104" s="28" t="e">
        <f>IF(VLOOKUP(BR104,Fundamentus!A:U,4,FALSE)&lt;1,"Baixo",IF(VLOOKUP(BR104,Fundamentus!A:U,4,FALSE)&lt;1.5,"Moderado",IF(VLOOKUP(BR104,Fundamentus!A:U,4,FALSE)&gt;1.5,"Alto","n/a")))</f>
        <v>#N/A</v>
      </c>
      <c r="EP104" s="17" t="e">
        <f>IF(VLOOKUP(BR104,Fundamentus!A:U,8,FALSE)&lt;0,"Risco elevado",IF(VLOOKUP(BR104,Fundamentus!A:U,8,FALSE)&lt;1,"Saudável",IF(VLOOKUP(BR104,Fundamentus!A:U,8,FALSE)&lt;3,"Estável",IF(VLOOKUP(BR104,Fundamentus!A:U,8,FALSE)&gt;3,"Alerta","n/a"))))</f>
        <v>#N/A</v>
      </c>
      <c r="EQ104" s="28" t="e">
        <f t="shared" si="111"/>
        <v>#N/A</v>
      </c>
      <c r="ER104" s="17" t="e">
        <f>IF(VLOOKUP(BR104,Fundamentus!A:U,12,FALSE)&lt;2,"Subvalorizada",IF(VLOOKUP(BR104,Fundamentus!A:U,12,FALSE)&lt;6,"Muita barata",IF(VLOOKUP(BR104,Fundamentus!A:U,12,FALSE)&lt;6,"Barata",IF(VLOOKUP(BR104,Fundamentus!A:U,12,FALSE)&lt;8,"Atrativa",IF(VLOOKUP(BR104,Fundamentus!A:U,12,FALSE)&gt;8,"Supervalorizada","n/a")))))</f>
        <v>#N/A</v>
      </c>
      <c r="ET104" s="17" t="e">
        <f>IF(VLOOKUP(BR104,Fundamentus!A:U,17,FALSE)&lt;0.1,"Fraco retorno",IF(VLOOKUP(BR104,Fundamentus!A:U,17,FALSE)&gt;0.1,"Bom retorno","n/a"))</f>
        <v>#N/A</v>
      </c>
      <c r="EU104" s="17" t="e">
        <f>IF(VLOOKUP(BR104,Fundamentus!A:U,16,FALSE)&lt;0.1,"Ineficiente",IF(VLOOKUP(BR104,Fundamentus!A:U,16,FALSE)&gt;0.1,"Eficiente","n/a"))</f>
        <v>#N/A</v>
      </c>
      <c r="EV104" s="33" t="e">
        <f>IF(VLOOKUP(BR104,Fundamentus!A:U,16,FALSE)&lt;0.1,"Oper. Ineficiente",IF(VLOOKUP(BR104,Fundamentus!A:U,16,FALSE)&gt;0.1,"Oper.Eficiente","n/a"))</f>
        <v>#N/A</v>
      </c>
      <c r="EW104" s="34" t="e">
        <f>VLOOKUP(BR104,Fundamentus!A:U,14,FALSE)</f>
        <v>#N/A</v>
      </c>
      <c r="EX104" s="17" t="e">
        <f>IF(VLOOKUP(BR104,Fundamentus!A:U,21,FALSE)&lt;0,"Negativo",IF(VLOOKUP(BR104,Fundamentus!A:U,21,FALSE)&lt;0.05,"Fraco",IF(VLOOKUP(BR104,Fundamentus!A:U,21,FALSE)&lt;0.1,"Bom",IF(VLOOKUP(BR104,Fundamentus!A:U,21,FALSE)&gt;0.1,"Muito bom","n/a"))))</f>
        <v>#N/A</v>
      </c>
      <c r="EZ104" s="29" t="e">
        <f>IF(VLOOKUP(BR104,Fundamentus!A:U,15,FALSE)&gt;1,"Bom",IF(VLOOKUP(BR104,Fundamentus!A:U,15,FALSE)&lt;1,"Ruim","n/a"))</f>
        <v>#N/A</v>
      </c>
      <c r="FA104" s="17" t="e">
        <f>IF(VLOOKUP(BR104,Fundamentus!A:U,20,FALSE)&lt;0.5,"Baixa",IF(VLOOKUP(BR104,Fundamentus!A:U,20,FALSE)&lt;1,"Moderada",IF(VLOOKUP(BR104,Fundamentus!A:U,20,FALSE)&lt;2,"Alerta",IF(VLOOKUP(BR104,Fundamentus!A:U,20,FALSE)&gt;2,"Alta","n/a"))))</f>
        <v>#N/A</v>
      </c>
      <c r="FB104" s="10"/>
    </row>
    <row r="105" spans="1:158" s="2" customFormat="1" ht="11.25"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5">
        <v>3.26</v>
      </c>
      <c r="BC105" s="52">
        <v>3.2</v>
      </c>
      <c r="BD105" s="52">
        <v>3.53</v>
      </c>
      <c r="BE105" s="52">
        <v>3.41</v>
      </c>
      <c r="BF105" s="52">
        <v>3.44</v>
      </c>
      <c r="BG105" s="67">
        <v>3.33</v>
      </c>
      <c r="BH105" s="52">
        <v>3.29</v>
      </c>
      <c r="BI105" s="52">
        <v>3.27</v>
      </c>
      <c r="BJ105" s="52">
        <v>3.47</v>
      </c>
      <c r="BK105" s="52">
        <v>3.48</v>
      </c>
      <c r="BL105" s="52">
        <v>3.35</v>
      </c>
      <c r="BM105" s="52">
        <v>3.39</v>
      </c>
      <c r="BN105" s="52">
        <v>3.31</v>
      </c>
      <c r="BO105" s="52">
        <v>3.37</v>
      </c>
      <c r="BP105" s="52">
        <v>3.75</v>
      </c>
      <c r="BQ105" s="52" cm="1">
        <f t="array" aca="1" ref="BQ105" ca="1">_FV(EE105,"Preço")</f>
        <v>3.75</v>
      </c>
      <c r="BR105" s="69" t="s">
        <v>102</v>
      </c>
      <c r="BS105" s="36" cm="1">
        <f t="array" aca="1" ref="BS105" ca="1">_FV(EE105,"Média de volume",TRUE)</f>
        <v>318530</v>
      </c>
      <c r="BT105" s="36">
        <v>835600</v>
      </c>
      <c r="BU105" s="36" cm="1">
        <f t="array" aca="1" ref="BU105" ca="1">_FV(EE105,"Volume")</f>
        <v>835600</v>
      </c>
      <c r="BV105" s="24" cm="1">
        <f t="array" aca="1" ref="BV105" ca="1">_FV(EE105,"Beta")</f>
        <v>0.96140000000000003</v>
      </c>
      <c r="BW105" s="71" cm="1">
        <f t="array" aca="1" ref="BW105" ca="1">_FV(EE105,"Variação (%)",TRUE)</f>
        <v>6.2323000000000003E-2</v>
      </c>
      <c r="BY105" s="17" cm="1">
        <f t="array" aca="1" ref="BY105" ca="1">_FV(EE105,"Baixo")</f>
        <v>3.49</v>
      </c>
      <c r="BZ105" s="17" cm="1">
        <f t="array" aca="1" ref="BZ105" ca="1">_FV(EE105,"Alto")</f>
        <v>3.75</v>
      </c>
      <c r="CA105" s="24"/>
      <c r="CB105" s="63">
        <f ca="1">SQRT(22.5*(BQ105/VLOOKUP(BR105,Fundamentus!A:U,3,FALSE))*(BQ105/VLOOKUP(BR105,Fundamentus!A:U,4,FALSE)))</f>
        <v>6.147632770143387</v>
      </c>
      <c r="CD105" s="62">
        <f t="shared" ca="1" si="112"/>
        <v>0</v>
      </c>
      <c r="CE105" s="8"/>
      <c r="CF105" s="61">
        <f t="shared" si="113"/>
        <v>3.2</v>
      </c>
      <c r="CG105" s="61">
        <f t="shared" si="114"/>
        <v>4.54</v>
      </c>
      <c r="CH105" s="61">
        <f t="shared" si="115"/>
        <v>3.5641911764705889</v>
      </c>
      <c r="CI105" s="14"/>
      <c r="CJ105" s="35">
        <f t="shared" si="98"/>
        <v>3.6268629150101614</v>
      </c>
      <c r="CK105" s="15">
        <f t="shared" si="116"/>
        <v>3.7400000000000091</v>
      </c>
      <c r="CL105" s="35">
        <f t="shared" si="99"/>
        <v>3.8531370849898567</v>
      </c>
      <c r="CN105" s="14"/>
      <c r="CO105" s="17">
        <f t="shared" si="100"/>
        <v>1.7800000000000002</v>
      </c>
      <c r="CP105" s="17">
        <f t="shared" si="101"/>
        <v>2.4900000000000002</v>
      </c>
      <c r="CQ105" s="17">
        <f t="shared" si="102"/>
        <v>3.12</v>
      </c>
      <c r="CR105" s="38">
        <f t="shared" si="117"/>
        <v>3.83</v>
      </c>
      <c r="CS105" s="17">
        <f t="shared" si="103"/>
        <v>4.46</v>
      </c>
      <c r="CT105" s="17">
        <f t="shared" si="104"/>
        <v>5.17</v>
      </c>
      <c r="CU105" s="17">
        <f t="shared" si="105"/>
        <v>5.8</v>
      </c>
      <c r="CV105" s="2" cm="1">
        <f t="array" aca="1" ref="CV105" ca="1">MAX(_xlfn._xlws.FILTER(CO105:CU105,CO105:CU105&lt;BQ105))</f>
        <v>3.12</v>
      </c>
      <c r="CW105" s="2" cm="1">
        <f t="array" aca="1" ref="CW105" ca="1">MIN(_xlfn._xlws.FILTER($CO105:$CU105,$CO105:$CU105&gt;BQ105))</f>
        <v>3.83</v>
      </c>
      <c r="CX105" s="16">
        <f t="shared" ca="1" si="119"/>
        <v>0.22756410256410264</v>
      </c>
      <c r="CY105" s="20">
        <f t="shared" ca="1" si="120"/>
        <v>-0.11378205128205132</v>
      </c>
      <c r="CZ105" s="20">
        <f t="shared" ca="1" si="121"/>
        <v>-7.5854700854700877E-2</v>
      </c>
      <c r="DA105" s="20">
        <f t="shared" ca="1" si="122"/>
        <v>-4.5512820512820532E-2</v>
      </c>
      <c r="DB105" s="20">
        <f t="shared" ca="1" si="123"/>
        <v>-2.5284900284900293E-2</v>
      </c>
      <c r="DC105" s="20">
        <f t="shared" ca="1" si="124"/>
        <v>-1.3386123680241332E-2</v>
      </c>
      <c r="DD105" s="20">
        <f t="shared" ca="1" si="125"/>
        <v>-6.8958818958818986E-3</v>
      </c>
      <c r="DE105" s="20">
        <f t="shared" ca="1" si="126"/>
        <v>-3.5009861932938867E-3</v>
      </c>
      <c r="DF105" s="21">
        <f t="shared" ca="1" si="127"/>
        <v>3.5009861932938867E-3</v>
      </c>
      <c r="DG105" s="21">
        <f t="shared" ca="1" si="128"/>
        <v>6.8958818958818986E-3</v>
      </c>
      <c r="DH105" s="21">
        <f t="shared" ca="1" si="129"/>
        <v>1.3386123680241332E-2</v>
      </c>
      <c r="DI105" s="21">
        <f t="shared" ca="1" si="130"/>
        <v>2.5284900284900293E-2</v>
      </c>
      <c r="DJ105" s="21">
        <f t="shared" ca="1" si="131"/>
        <v>4.5512820512820532E-2</v>
      </c>
      <c r="DK105" s="21">
        <f t="shared" ca="1" si="132"/>
        <v>7.5854700854700877E-2</v>
      </c>
      <c r="DL105" s="21">
        <f t="shared" ca="1" si="133"/>
        <v>0.11378205128205132</v>
      </c>
      <c r="DN105" s="16" cm="1">
        <f t="array" aca="1" ref="DN105" ca="1">MAX(_xlfn._xlws.FILTER(CY105:DL105,CY105:DL105&lt;BW105))</f>
        <v>4.5512820512820532E-2</v>
      </c>
      <c r="DO105" s="16" cm="1">
        <f t="array" aca="1" ref="DO105" ca="1">MIN(_xlfn._xlws.FILTER(CY105:DL105,CY105:DL105&gt;BW105))</f>
        <v>7.5854700854700877E-2</v>
      </c>
      <c r="DP105" s="2" cm="1">
        <f t="array" aca="1" ref="DP105" ca="1">_FV(EE105,"Fechamento anterior",TRUE)</f>
        <v>3.53</v>
      </c>
      <c r="DQ105" s="28">
        <f t="shared" ca="1" si="106"/>
        <v>0.55402385987311975</v>
      </c>
      <c r="DR105" s="15">
        <f t="shared" ca="1" si="134"/>
        <v>3.6906602564102564</v>
      </c>
      <c r="DS105" s="15">
        <f t="shared" ca="1" si="135"/>
        <v>3.797767094017094</v>
      </c>
      <c r="DT105" s="9"/>
      <c r="DU105" s="9"/>
      <c r="DV105" s="9"/>
      <c r="DW105" s="89">
        <v>1.5260677914576696E-2</v>
      </c>
      <c r="DX105" s="89">
        <f t="shared" ca="1" si="107"/>
        <v>3.0341880341880345E-2</v>
      </c>
      <c r="DY105" s="72">
        <f t="shared" ca="1" si="108"/>
        <v>8.8388347648238025E-2</v>
      </c>
      <c r="DZ105" s="37"/>
      <c r="EA105" s="35">
        <f t="shared" si="118"/>
        <v>5.6568542494923775E-2</v>
      </c>
      <c r="EB105" s="56"/>
      <c r="EC105" s="56"/>
      <c r="EE105" s="2" t="e" vm="105">
        <v>#VALUE!</v>
      </c>
      <c r="EG105" s="10" cm="1">
        <f t="array" aca="1" ref="EG105" ca="1">_FV(EE105,"Ações em circulação",TRUE)</f>
        <v>206269300</v>
      </c>
      <c r="EH105" s="18">
        <f>VLOOKUP(BR105,Fundamentus!A:U,5,FALSE)</f>
        <v>0.69499999999999995</v>
      </c>
      <c r="EI105" s="2">
        <f t="shared" ca="1" si="109"/>
        <v>1112963848.9208634</v>
      </c>
      <c r="EJ105" s="17">
        <v>127545657.08633094</v>
      </c>
      <c r="EK105" s="17">
        <f t="shared" ca="1" si="110"/>
        <v>127545657.08633094</v>
      </c>
      <c r="EM105" s="16">
        <f t="shared" ca="1" si="97"/>
        <v>0</v>
      </c>
      <c r="EN105" s="32" t="str">
        <f>IF(VLOOKUP(BR105,Fundamentus!A:U,3,FALSE)&lt;15,"Bom",IF(VLOOKUP(BR105,Fundamentus!A:U,3,FALSE)&gt;15,"Ruim","n/a"))</f>
        <v>Bom</v>
      </c>
      <c r="EO105" s="28" t="str">
        <f>IF(VLOOKUP(BR105,Fundamentus!A:U,4,FALSE)&lt;1,"Baixo",IF(VLOOKUP(BR105,Fundamentus!A:U,4,FALSE)&lt;1.5,"Moderado",IF(VLOOKUP(BR105,Fundamentus!A:U,4,FALSE)&gt;1.5,"Alto","n/a")))</f>
        <v>Baixo</v>
      </c>
      <c r="EP105" s="17" t="str">
        <f>IF(VLOOKUP(BR105,Fundamentus!A:U,8,FALSE)&lt;0,"Risco elevado",IF(VLOOKUP(BR105,Fundamentus!A:U,8,FALSE)&lt;1,"Saudável",IF(VLOOKUP(BR105,Fundamentus!A:U,8,FALSE)&lt;3,"Estável",IF(VLOOKUP(BR105,Fundamentus!A:U,8,FALSE)&gt;3,"Alerta","n/a"))))</f>
        <v>Saudável</v>
      </c>
      <c r="EQ105" s="28" t="str">
        <f t="shared" si="111"/>
        <v>Ruim</v>
      </c>
      <c r="ER105" s="17" t="str">
        <f>IF(VLOOKUP(BR105,Fundamentus!A:U,12,FALSE)&lt;2,"Subvalorizada",IF(VLOOKUP(BR105,Fundamentus!A:U,12,FALSE)&lt;6,"Muita barata",IF(VLOOKUP(BR105,Fundamentus!A:U,12,FALSE)&lt;6,"Barata",IF(VLOOKUP(BR105,Fundamentus!A:U,12,FALSE)&lt;8,"Atrativa",IF(VLOOKUP(BR105,Fundamentus!A:U,12,FALSE)&gt;8,"Supervalorizada","n/a")))))</f>
        <v>Supervalorizada</v>
      </c>
      <c r="ET105" s="17" t="str">
        <f>IF(VLOOKUP(BR105,Fundamentus!A:U,17,FALSE)&lt;0.1,"Fraco retorno",IF(VLOOKUP(BR105,Fundamentus!A:U,17,FALSE)&gt;0.1,"Bom retorno","n/a"))</f>
        <v>Fraco retorno</v>
      </c>
      <c r="EU105" s="17" t="str">
        <f>IF(VLOOKUP(BR105,Fundamentus!A:U,16,FALSE)&lt;0.1,"Ineficiente",IF(VLOOKUP(BR105,Fundamentus!A:U,16,FALSE)&gt;0.1,"Eficiente","n/a"))</f>
        <v>Ineficiente</v>
      </c>
      <c r="EV105" s="33" t="str">
        <f>IF(VLOOKUP(BR105,Fundamentus!A:U,16,FALSE)&lt;0.1,"Oper. Ineficiente",IF(VLOOKUP(BR105,Fundamentus!A:U,16,FALSE)&gt;0.1,"Oper.Eficiente","n/a"))</f>
        <v>Oper. Ineficiente</v>
      </c>
      <c r="EW105" s="34">
        <f>VLOOKUP(BR105,Fundamentus!A:U,14,FALSE)</f>
        <v>0.11459999999999999</v>
      </c>
      <c r="EX105" s="17" t="str">
        <f>IF(VLOOKUP(BR105,Fundamentus!A:U,21,FALSE)&lt;0,"Negativo",IF(VLOOKUP(BR105,Fundamentus!A:U,21,FALSE)&lt;0.05,"Fraco",IF(VLOOKUP(BR105,Fundamentus!A:U,21,FALSE)&lt;0.1,"Bom",IF(VLOOKUP(BR105,Fundamentus!A:U,21,FALSE)&gt;0.1,"Muito bom","n/a"))))</f>
        <v>Muito bom</v>
      </c>
      <c r="EZ105" s="29" t="str">
        <f>IF(VLOOKUP(BR105,Fundamentus!A:U,15,FALSE)&gt;1,"Bom",IF(VLOOKUP(BR105,Fundamentus!A:U,15,FALSE)&lt;1,"Ruim","n/a"))</f>
        <v>Bom</v>
      </c>
      <c r="FA105" s="17" t="str">
        <f>IF(VLOOKUP(BR105,Fundamentus!A:U,20,FALSE)&lt;0.5,"Baixa",IF(VLOOKUP(BR105,Fundamentus!A:U,20,FALSE)&lt;1,"Moderada",IF(VLOOKUP(BR105,Fundamentus!A:U,20,FALSE)&lt;2,"Alerta",IF(VLOOKUP(BR105,Fundamentus!A:U,20,FALSE)&gt;2,"Alta","n/a"))))</f>
        <v>Baixa</v>
      </c>
      <c r="FB105" s="10"/>
    </row>
    <row r="106" spans="1:158" s="2" customFormat="1" ht="11.25"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5">
        <v>38.6</v>
      </c>
      <c r="BC106" s="52">
        <v>39.799999999999997</v>
      </c>
      <c r="BD106" s="52">
        <v>40.590000000000003</v>
      </c>
      <c r="BE106" s="52">
        <v>40.49</v>
      </c>
      <c r="BF106" s="52">
        <v>40.520000000000003</v>
      </c>
      <c r="BG106" s="67">
        <v>40.5</v>
      </c>
      <c r="BH106" s="52">
        <v>40.28</v>
      </c>
      <c r="BI106" s="52">
        <v>40.33</v>
      </c>
      <c r="BJ106" s="52">
        <v>40.98</v>
      </c>
      <c r="BK106" s="52">
        <v>38.06</v>
      </c>
      <c r="BL106" s="52">
        <v>38.18</v>
      </c>
      <c r="BM106" s="52">
        <v>38.200000000000003</v>
      </c>
      <c r="BN106" s="52">
        <v>37.93</v>
      </c>
      <c r="BO106" s="52">
        <v>39.770000000000003</v>
      </c>
      <c r="BP106" s="52">
        <v>39.479999999999997</v>
      </c>
      <c r="BQ106" s="52" cm="1">
        <f t="array" aca="1" ref="BQ106" ca="1">_FV(EE106,"Preço")</f>
        <v>39.479999999999997</v>
      </c>
      <c r="BR106" s="69" t="s">
        <v>103</v>
      </c>
      <c r="BS106" s="36" cm="1">
        <f t="array" aca="1" ref="BS106" ca="1">_FV(EE106,"Média de volume",TRUE)</f>
        <v>1882370</v>
      </c>
      <c r="BT106" s="36">
        <v>1665200</v>
      </c>
      <c r="BU106" s="36" cm="1">
        <f t="array" aca="1" ref="BU106" ca="1">_FV(EE106,"Volume")</f>
        <v>1665200</v>
      </c>
      <c r="BV106" s="24" cm="1">
        <f t="array" aca="1" ref="BV106" ca="1">_FV(EE106,"Beta")</f>
        <v>0.64939999999999998</v>
      </c>
      <c r="BW106" s="71" cm="1">
        <f t="array" aca="1" ref="BW106" ca="1">_FV(EE106,"Variação (%)",TRUE)</f>
        <v>-8.2889999999999995E-3</v>
      </c>
      <c r="BY106" s="17" cm="1">
        <f t="array" aca="1" ref="BY106" ca="1">_FV(EE106,"Baixo")</f>
        <v>39.03</v>
      </c>
      <c r="BZ106" s="17" cm="1">
        <f t="array" aca="1" ref="BZ106" ca="1">_FV(EE106,"Alto")</f>
        <v>40.46</v>
      </c>
      <c r="CA106" s="24"/>
      <c r="CB106" s="63">
        <f ca="1">SQRT(22.5*(BQ106/VLOOKUP(BR106,Fundamentus!A:U,3,FALSE))*(BQ106/VLOOKUP(BR106,Fundamentus!A:U,4,FALSE)))</f>
        <v>46.023559222195459</v>
      </c>
      <c r="CD106" s="62">
        <f t="shared" ca="1" si="112"/>
        <v>0</v>
      </c>
      <c r="CE106" s="8"/>
      <c r="CF106" s="61">
        <f t="shared" si="113"/>
        <v>31</v>
      </c>
      <c r="CG106" s="61">
        <f t="shared" si="114"/>
        <v>40.98</v>
      </c>
      <c r="CH106" s="61">
        <f t="shared" si="115"/>
        <v>35.219926470588227</v>
      </c>
      <c r="CI106" s="14"/>
      <c r="CJ106" s="35">
        <f t="shared" si="98"/>
        <v>38.909159301392549</v>
      </c>
      <c r="CK106" s="15">
        <f t="shared" si="116"/>
        <v>40.264999999999873</v>
      </c>
      <c r="CL106" s="35">
        <f t="shared" si="99"/>
        <v>41.620840698607196</v>
      </c>
      <c r="CN106" s="14"/>
      <c r="CO106" s="17">
        <f t="shared" si="100"/>
        <v>23.346666666666664</v>
      </c>
      <c r="CP106" s="17">
        <f t="shared" si="101"/>
        <v>27.173333333333332</v>
      </c>
      <c r="CQ106" s="17">
        <f t="shared" si="102"/>
        <v>33.326666666666661</v>
      </c>
      <c r="CR106" s="38">
        <f t="shared" si="117"/>
        <v>37.153333333333329</v>
      </c>
      <c r="CS106" s="17">
        <f t="shared" si="103"/>
        <v>43.306666666666658</v>
      </c>
      <c r="CT106" s="17">
        <f t="shared" si="104"/>
        <v>47.133333333333326</v>
      </c>
      <c r="CU106" s="17">
        <f t="shared" si="105"/>
        <v>53.286666666666655</v>
      </c>
      <c r="CV106" s="2" cm="1">
        <f t="array" aca="1" ref="CV106" ca="1">MAX(_xlfn._xlws.FILTER(CO106:CU106,CO106:CU106&lt;BQ106))</f>
        <v>37.153333333333329</v>
      </c>
      <c r="CW106" s="2" cm="1">
        <f t="array" aca="1" ref="CW106" ca="1">MIN(_xlfn._xlws.FILTER($CO106:$CU106,$CO106:$CU106&gt;BQ106))</f>
        <v>43.306666666666658</v>
      </c>
      <c r="CX106" s="16">
        <f t="shared" ca="1" si="119"/>
        <v>0.16561995334649193</v>
      </c>
      <c r="CY106" s="20">
        <f t="shared" ca="1" si="120"/>
        <v>-8.2809976673245966E-2</v>
      </c>
      <c r="CZ106" s="20">
        <f t="shared" ca="1" si="121"/>
        <v>-5.5206651115497309E-2</v>
      </c>
      <c r="DA106" s="20">
        <f t="shared" ca="1" si="122"/>
        <v>-3.3123990669298387E-2</v>
      </c>
      <c r="DB106" s="20">
        <f t="shared" ca="1" si="123"/>
        <v>-1.8402217038499105E-2</v>
      </c>
      <c r="DC106" s="20">
        <f t="shared" ca="1" si="124"/>
        <v>-9.7423501968524669E-3</v>
      </c>
      <c r="DD106" s="20">
        <f t="shared" ca="1" si="125"/>
        <v>-5.0187864650452097E-3</v>
      </c>
      <c r="DE106" s="20">
        <f t="shared" ca="1" si="126"/>
        <v>-2.5479992822537221E-3</v>
      </c>
      <c r="DF106" s="21">
        <f t="shared" ca="1" si="127"/>
        <v>2.5479992822537221E-3</v>
      </c>
      <c r="DG106" s="21">
        <f t="shared" ca="1" si="128"/>
        <v>5.0187864650452097E-3</v>
      </c>
      <c r="DH106" s="21">
        <f t="shared" ca="1" si="129"/>
        <v>9.7423501968524669E-3</v>
      </c>
      <c r="DI106" s="21">
        <f t="shared" ca="1" si="130"/>
        <v>1.8402217038499105E-2</v>
      </c>
      <c r="DJ106" s="21">
        <f t="shared" ca="1" si="131"/>
        <v>3.3123990669298387E-2</v>
      </c>
      <c r="DK106" s="21">
        <f t="shared" ca="1" si="132"/>
        <v>5.5206651115497309E-2</v>
      </c>
      <c r="DL106" s="21">
        <f t="shared" ca="1" si="133"/>
        <v>8.2809976673245966E-2</v>
      </c>
      <c r="DN106" s="16" cm="1">
        <f t="array" aca="1" ref="DN106" ca="1">MAX(_xlfn._xlws.FILTER(CY106:DL106,CY106:DL106&lt;BW106))</f>
        <v>-9.7423501968524669E-3</v>
      </c>
      <c r="DO106" s="16" cm="1">
        <f t="array" aca="1" ref="DO106" ca="1">MIN(_xlfn._xlws.FILTER(CY106:DL106,CY106:DL106&gt;BW106))</f>
        <v>-5.0187864650452097E-3</v>
      </c>
      <c r="DP106" s="2" cm="1">
        <f t="array" aca="1" ref="DP106" ca="1">_FV(EE106,"Fechamento anterior",TRUE)</f>
        <v>39.81</v>
      </c>
      <c r="DQ106" s="28">
        <f t="shared" ca="1" si="106"/>
        <v>0.30760158014923145</v>
      </c>
      <c r="DR106" s="15">
        <f t="shared" ca="1" si="134"/>
        <v>39.422157038663308</v>
      </c>
      <c r="DS106" s="15">
        <f t="shared" ca="1" si="135"/>
        <v>39.610202110826549</v>
      </c>
      <c r="DT106" s="9"/>
      <c r="DU106" s="9"/>
      <c r="DV106" s="9"/>
      <c r="DW106" s="89">
        <v>8.7730841777426891E-3</v>
      </c>
      <c r="DX106" s="89">
        <f t="shared" ca="1" si="107"/>
        <v>4.7235637318072572E-3</v>
      </c>
      <c r="DY106" s="72">
        <f t="shared" ca="1" si="108"/>
        <v>-0.57897657210482234</v>
      </c>
      <c r="DZ106" s="37"/>
      <c r="EA106" s="35">
        <f t="shared" si="118"/>
        <v>0.67792034930366352</v>
      </c>
      <c r="EB106" s="56"/>
      <c r="EC106" s="56"/>
      <c r="EE106" s="2" t="e" vm="106">
        <v>#VALUE!</v>
      </c>
      <c r="EG106" s="10" cm="1">
        <f t="array" aca="1" ref="EG106" ca="1">_FV(EE106,"Ações em circulação",TRUE)</f>
        <v>1152254000</v>
      </c>
      <c r="EH106" s="18">
        <f>VLOOKUP(BR106,Fundamentus!A:U,5,FALSE)</f>
        <v>1.0289999999999999</v>
      </c>
      <c r="EI106" s="2">
        <f t="shared" ca="1" si="109"/>
        <v>44208928979.591843</v>
      </c>
      <c r="EJ106" s="17">
        <v>5764844338.938776</v>
      </c>
      <c r="EK106" s="17">
        <f t="shared" ca="1" si="110"/>
        <v>5764844338.938776</v>
      </c>
      <c r="EM106" s="16">
        <f t="shared" ca="1" si="97"/>
        <v>0</v>
      </c>
      <c r="EN106" s="32" t="str">
        <f>IF(VLOOKUP(BR106,Fundamentus!A:U,3,FALSE)&lt;15,"Bom",IF(VLOOKUP(BR106,Fundamentus!A:U,3,FALSE)&gt;15,"Ruim","n/a"))</f>
        <v>Bom</v>
      </c>
      <c r="EO106" s="28" t="str">
        <f>IF(VLOOKUP(BR106,Fundamentus!A:U,4,FALSE)&lt;1,"Baixo",IF(VLOOKUP(BR106,Fundamentus!A:U,4,FALSE)&lt;1.5,"Moderado",IF(VLOOKUP(BR106,Fundamentus!A:U,4,FALSE)&gt;1.5,"Alto","n/a")))</f>
        <v>Alto</v>
      </c>
      <c r="EP106" s="17" t="str">
        <f>IF(VLOOKUP(BR106,Fundamentus!A:U,8,FALSE)&lt;0,"Risco elevado",IF(VLOOKUP(BR106,Fundamentus!A:U,8,FALSE)&lt;1,"Saudável",IF(VLOOKUP(BR106,Fundamentus!A:U,8,FALSE)&lt;3,"Estável",IF(VLOOKUP(BR106,Fundamentus!A:U,8,FALSE)&gt;3,"Alerta","n/a"))))</f>
        <v>Risco elevado</v>
      </c>
      <c r="EQ106" s="28" t="str">
        <f t="shared" si="111"/>
        <v>Bom</v>
      </c>
      <c r="ER106" s="17" t="str">
        <f>IF(VLOOKUP(BR106,Fundamentus!A:U,12,FALSE)&lt;2,"Subvalorizada",IF(VLOOKUP(BR106,Fundamentus!A:U,12,FALSE)&lt;6,"Muita barata",IF(VLOOKUP(BR106,Fundamentus!A:U,12,FALSE)&lt;6,"Barata",IF(VLOOKUP(BR106,Fundamentus!A:U,12,FALSE)&lt;8,"Atrativa",IF(VLOOKUP(BR106,Fundamentus!A:U,12,FALSE)&gt;8,"Supervalorizada","n/a")))))</f>
        <v>Muita barata</v>
      </c>
      <c r="ET106" s="17" t="str">
        <f>IF(VLOOKUP(BR106,Fundamentus!A:U,17,FALSE)&lt;0.1,"Fraco retorno",IF(VLOOKUP(BR106,Fundamentus!A:U,17,FALSE)&gt;0.1,"Bom retorno","n/a"))</f>
        <v>Bom retorno</v>
      </c>
      <c r="EU106" s="17" t="str">
        <f>IF(VLOOKUP(BR106,Fundamentus!A:U,16,FALSE)&lt;0.1,"Ineficiente",IF(VLOOKUP(BR106,Fundamentus!A:U,16,FALSE)&gt;0.1,"Eficiente","n/a"))</f>
        <v>Eficiente</v>
      </c>
      <c r="EV106" s="33" t="str">
        <f>IF(VLOOKUP(BR106,Fundamentus!A:U,16,FALSE)&lt;0.1,"Oper. Ineficiente",IF(VLOOKUP(BR106,Fundamentus!A:U,16,FALSE)&gt;0.1,"Oper.Eficiente","n/a"))</f>
        <v>Oper.Eficiente</v>
      </c>
      <c r="EW106" s="34">
        <f>VLOOKUP(BR106,Fundamentus!A:U,14,FALSE)</f>
        <v>0.13039999999999999</v>
      </c>
      <c r="EX106" s="17" t="str">
        <f>IF(VLOOKUP(BR106,Fundamentus!A:U,21,FALSE)&lt;0,"Negativo",IF(VLOOKUP(BR106,Fundamentus!A:U,21,FALSE)&lt;0.05,"Fraco",IF(VLOOKUP(BR106,Fundamentus!A:U,21,FALSE)&lt;0.1,"Bom",IF(VLOOKUP(BR106,Fundamentus!A:U,21,FALSE)&gt;0.1,"Muito bom","n/a"))))</f>
        <v>Bom</v>
      </c>
      <c r="EZ106" s="29" t="str">
        <f>IF(VLOOKUP(BR106,Fundamentus!A:U,15,FALSE)&gt;1,"Bom",IF(VLOOKUP(BR106,Fundamentus!A:U,15,FALSE)&lt;1,"Ruim","n/a"))</f>
        <v>Ruim</v>
      </c>
      <c r="FA106" s="17" t="str">
        <f>IF(VLOOKUP(BR106,Fundamentus!A:U,20,FALSE)&lt;0.5,"Baixa",IF(VLOOKUP(BR106,Fundamentus!A:U,20,FALSE)&lt;1,"Moderada",IF(VLOOKUP(BR106,Fundamentus!A:U,20,FALSE)&lt;2,"Alerta",IF(VLOOKUP(BR106,Fundamentus!A:U,20,FALSE)&gt;2,"Alta","n/a"))))</f>
        <v>Alerta</v>
      </c>
      <c r="FB106" s="10"/>
    </row>
    <row r="107" spans="1:158" s="2" customFormat="1" ht="11.25"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5">
        <v>116.21</v>
      </c>
      <c r="BC107" s="52">
        <v>116</v>
      </c>
      <c r="BD107" s="52">
        <v>117.06</v>
      </c>
      <c r="BE107" s="52">
        <v>117.38</v>
      </c>
      <c r="BF107" s="52">
        <v>114.96</v>
      </c>
      <c r="BG107" s="67">
        <v>115.11</v>
      </c>
      <c r="BH107" s="52">
        <v>115.65</v>
      </c>
      <c r="BI107" s="52">
        <v>115.05</v>
      </c>
      <c r="BJ107" s="52">
        <v>117.82</v>
      </c>
      <c r="BK107" s="52">
        <v>111.63</v>
      </c>
      <c r="BL107" s="52">
        <v>110.68</v>
      </c>
      <c r="BM107" s="52">
        <v>107.45</v>
      </c>
      <c r="BN107" s="52">
        <v>108.87</v>
      </c>
      <c r="BO107" s="52">
        <v>111.9</v>
      </c>
      <c r="BP107" s="52">
        <v>116.45</v>
      </c>
      <c r="BQ107" s="52" cm="1">
        <f t="array" aca="1" ref="BQ107" ca="1">_FV(EE107,"Preço")</f>
        <v>116.45</v>
      </c>
      <c r="BR107" s="69" t="s">
        <v>104</v>
      </c>
      <c r="BS107" s="36" cm="1">
        <f t="array" aca="1" ref="BS107" ca="1">_FV(EE107,"Média de volume",TRUE)</f>
        <v>3740370</v>
      </c>
      <c r="BT107" s="36">
        <v>2212300</v>
      </c>
      <c r="BU107" s="36" cm="1">
        <f t="array" aca="1" ref="BU107" ca="1">_FV(EE107,"Volume")</f>
        <v>2212300</v>
      </c>
      <c r="BV107" s="24" cm="1">
        <f t="array" aca="1" ref="BV107" ca="1">_FV(EE107,"Beta")</f>
        <v>0.8417</v>
      </c>
      <c r="BW107" s="71" cm="1">
        <f t="array" aca="1" ref="BW107" ca="1">_FV(EE107,"Variação (%)",TRUE)</f>
        <v>-1.0955999999999999E-2</v>
      </c>
      <c r="BY107" s="17" cm="1">
        <f t="array" aca="1" ref="BY107" ca="1">_FV(EE107,"Baixo")</f>
        <v>116.06</v>
      </c>
      <c r="BZ107" s="17" cm="1">
        <f t="array" aca="1" ref="BZ107" ca="1">_FV(EE107,"Alto")</f>
        <v>118.3</v>
      </c>
      <c r="CA107" s="24"/>
      <c r="CB107" s="63">
        <f ca="1">SQRT(22.5*(BQ107/VLOOKUP(BR107,Fundamentus!A:U,3,FALSE))*(BQ107/VLOOKUP(BR107,Fundamentus!A:U,4,FALSE)))</f>
        <v>144.57344667463789</v>
      </c>
      <c r="CD107" s="62">
        <f t="shared" ca="1" si="112"/>
        <v>0</v>
      </c>
      <c r="CE107" s="8"/>
      <c r="CF107" s="61">
        <f t="shared" si="113"/>
        <v>73.86</v>
      </c>
      <c r="CG107" s="61">
        <f t="shared" si="114"/>
        <v>117.82</v>
      </c>
      <c r="CH107" s="61">
        <f t="shared" si="115"/>
        <v>96.500514705882367</v>
      </c>
      <c r="CI107" s="14"/>
      <c r="CJ107" s="35">
        <f t="shared" si="98"/>
        <v>115.27470354233925</v>
      </c>
      <c r="CK107" s="15">
        <f t="shared" si="116"/>
        <v>118.67500000000291</v>
      </c>
      <c r="CL107" s="35">
        <f t="shared" si="99"/>
        <v>122.07529645766657</v>
      </c>
      <c r="CN107" s="14"/>
      <c r="CO107" s="17">
        <f t="shared" si="100"/>
        <v>43.64</v>
      </c>
      <c r="CP107" s="17">
        <f t="shared" si="101"/>
        <v>58.75</v>
      </c>
      <c r="CQ107" s="17">
        <f t="shared" si="102"/>
        <v>87.6</v>
      </c>
      <c r="CR107" s="38">
        <f t="shared" si="117"/>
        <v>102.71</v>
      </c>
      <c r="CS107" s="17">
        <f t="shared" si="103"/>
        <v>131.56</v>
      </c>
      <c r="CT107" s="17">
        <f t="shared" si="104"/>
        <v>146.66999999999999</v>
      </c>
      <c r="CU107" s="17">
        <f t="shared" si="105"/>
        <v>175.51999999999998</v>
      </c>
      <c r="CV107" s="2" cm="1">
        <f t="array" aca="1" ref="CV107" ca="1">MAX(_xlfn._xlws.FILTER(CO107:CU107,CO107:CU107&lt;BQ107))</f>
        <v>102.71</v>
      </c>
      <c r="CW107" s="2" cm="1">
        <f t="array" aca="1" ref="CW107" ca="1">MIN(_xlfn._xlws.FILTER($CO107:$CU107,$CO107:$CU107&gt;BQ107))</f>
        <v>131.56</v>
      </c>
      <c r="CX107" s="16">
        <f t="shared" ca="1" si="119"/>
        <v>0.28088793690974589</v>
      </c>
      <c r="CY107" s="20">
        <f t="shared" ca="1" si="120"/>
        <v>-0.14044396845487295</v>
      </c>
      <c r="CZ107" s="20">
        <f t="shared" ca="1" si="121"/>
        <v>-9.3629312303248627E-2</v>
      </c>
      <c r="DA107" s="20">
        <f t="shared" ca="1" si="122"/>
        <v>-5.6177587381949182E-2</v>
      </c>
      <c r="DB107" s="20">
        <f t="shared" ca="1" si="123"/>
        <v>-3.1209770767749542E-2</v>
      </c>
      <c r="DC107" s="20">
        <f t="shared" ca="1" si="124"/>
        <v>-1.6522819818220347E-2</v>
      </c>
      <c r="DD107" s="20">
        <f t="shared" ca="1" si="125"/>
        <v>-8.5117556639316937E-3</v>
      </c>
      <c r="DE107" s="20">
        <f t="shared" ca="1" si="126"/>
        <v>-4.3213528755345525E-3</v>
      </c>
      <c r="DF107" s="21">
        <f t="shared" ca="1" si="127"/>
        <v>4.3213528755345525E-3</v>
      </c>
      <c r="DG107" s="21">
        <f t="shared" ca="1" si="128"/>
        <v>8.5117556639316937E-3</v>
      </c>
      <c r="DH107" s="21">
        <f t="shared" ca="1" si="129"/>
        <v>1.6522819818220347E-2</v>
      </c>
      <c r="DI107" s="21">
        <f t="shared" ca="1" si="130"/>
        <v>3.1209770767749542E-2</v>
      </c>
      <c r="DJ107" s="21">
        <f t="shared" ca="1" si="131"/>
        <v>5.6177587381949182E-2</v>
      </c>
      <c r="DK107" s="21">
        <f t="shared" ca="1" si="132"/>
        <v>9.3629312303248627E-2</v>
      </c>
      <c r="DL107" s="21">
        <f t="shared" ca="1" si="133"/>
        <v>0.14044396845487295</v>
      </c>
      <c r="DN107" s="16" cm="1">
        <f t="array" aca="1" ref="DN107" ca="1">MAX(_xlfn._xlws.FILTER(CY107:DL107,CY107:DL107&lt;BW107))</f>
        <v>-1.6522819818220347E-2</v>
      </c>
      <c r="DO107" s="16" cm="1">
        <f t="array" aca="1" ref="DO107" ca="1">MIN(_xlfn._xlws.FILTER(CY107:DL107,CY107:DL107&gt;BW107))</f>
        <v>-8.5117556639316937E-3</v>
      </c>
      <c r="DP107" s="2" cm="1">
        <f t="array" aca="1" ref="DP107" ca="1">_FV(EE107,"Fechamento anterior",TRUE)</f>
        <v>117.74</v>
      </c>
      <c r="DQ107" s="28">
        <f t="shared" ca="1" si="106"/>
        <v>0.69484842751956122</v>
      </c>
      <c r="DR107" s="15">
        <f t="shared" ca="1" si="134"/>
        <v>115.79460319460273</v>
      </c>
      <c r="DS107" s="15">
        <f t="shared" ca="1" si="135"/>
        <v>116.73782588812868</v>
      </c>
      <c r="DT107" s="9"/>
      <c r="DU107" s="9"/>
      <c r="DV107" s="9"/>
      <c r="DW107" s="89">
        <v>8.3110775514754764E-3</v>
      </c>
      <c r="DX107" s="89">
        <f t="shared" ca="1" si="107"/>
        <v>8.0110641542886531E-3</v>
      </c>
      <c r="DY107" s="72">
        <f t="shared" ca="1" si="108"/>
        <v>-0.65435470927488026</v>
      </c>
      <c r="DZ107" s="37"/>
      <c r="EA107" s="35">
        <f t="shared" si="118"/>
        <v>1.7001482288318266</v>
      </c>
      <c r="EB107" s="56"/>
      <c r="EC107" s="56"/>
      <c r="EE107" s="2" t="e" vm="107">
        <v>#VALUE!</v>
      </c>
      <c r="EG107" s="10" cm="1">
        <f t="array" aca="1" ref="EG107" ca="1">_FV(EE107,"Ações em circulação",TRUE)</f>
        <v>683509900</v>
      </c>
      <c r="EH107" s="18">
        <f>VLOOKUP(BR107,Fundamentus!A:U,5,FALSE)</f>
        <v>1.9950000000000001</v>
      </c>
      <c r="EI107" s="2">
        <f t="shared" ca="1" si="109"/>
        <v>39897106694.235588</v>
      </c>
      <c r="EJ107" s="17">
        <v>10748280543.427067</v>
      </c>
      <c r="EK107" s="17">
        <f t="shared" ca="1" si="110"/>
        <v>10748280543.427067</v>
      </c>
      <c r="EM107" s="16">
        <f t="shared" ca="1" si="97"/>
        <v>0</v>
      </c>
      <c r="EN107" s="32" t="str">
        <f>IF(VLOOKUP(BR107,Fundamentus!A:U,3,FALSE)&lt;15,"Bom",IF(VLOOKUP(BR107,Fundamentus!A:U,3,FALSE)&gt;15,"Ruim","n/a"))</f>
        <v>Bom</v>
      </c>
      <c r="EO107" s="28" t="str">
        <f>IF(VLOOKUP(BR107,Fundamentus!A:U,4,FALSE)&lt;1,"Baixo",IF(VLOOKUP(BR107,Fundamentus!A:U,4,FALSE)&lt;1.5,"Moderado",IF(VLOOKUP(BR107,Fundamentus!A:U,4,FALSE)&gt;1.5,"Alto","n/a")))</f>
        <v>Alto</v>
      </c>
      <c r="EP107" s="17" t="str">
        <f>IF(VLOOKUP(BR107,Fundamentus!A:U,8,FALSE)&lt;0,"Risco elevado",IF(VLOOKUP(BR107,Fundamentus!A:U,8,FALSE)&lt;1,"Saudável",IF(VLOOKUP(BR107,Fundamentus!A:U,8,FALSE)&lt;3,"Estável",IF(VLOOKUP(BR107,Fundamentus!A:U,8,FALSE)&gt;3,"Alerta","n/a"))))</f>
        <v>Alerta</v>
      </c>
      <c r="EQ107" s="28" t="str">
        <f t="shared" si="111"/>
        <v>Bom</v>
      </c>
      <c r="ER107" s="17" t="str">
        <f>IF(VLOOKUP(BR107,Fundamentus!A:U,12,FALSE)&lt;2,"Subvalorizada",IF(VLOOKUP(BR107,Fundamentus!A:U,12,FALSE)&lt;6,"Muita barata",IF(VLOOKUP(BR107,Fundamentus!A:U,12,FALSE)&lt;6,"Barata",IF(VLOOKUP(BR107,Fundamentus!A:U,12,FALSE)&lt;8,"Atrativa",IF(VLOOKUP(BR107,Fundamentus!A:U,12,FALSE)&gt;8,"Supervalorizada","n/a")))))</f>
        <v>Muita barata</v>
      </c>
      <c r="ET107" s="17" t="str">
        <f>IF(VLOOKUP(BR107,Fundamentus!A:U,17,FALSE)&lt;0.1,"Fraco retorno",IF(VLOOKUP(BR107,Fundamentus!A:U,17,FALSE)&gt;0.1,"Bom retorno","n/a"))</f>
        <v>Bom retorno</v>
      </c>
      <c r="EU107" s="17" t="str">
        <f>IF(VLOOKUP(BR107,Fundamentus!A:U,16,FALSE)&lt;0.1,"Ineficiente",IF(VLOOKUP(BR107,Fundamentus!A:U,16,FALSE)&gt;0.1,"Eficiente","n/a"))</f>
        <v>Eficiente</v>
      </c>
      <c r="EV107" s="33" t="str">
        <f>IF(VLOOKUP(BR107,Fundamentus!A:U,16,FALSE)&lt;0.1,"Oper. Ineficiente",IF(VLOOKUP(BR107,Fundamentus!A:U,16,FALSE)&gt;0.1,"Oper.Eficiente","n/a"))</f>
        <v>Oper.Eficiente</v>
      </c>
      <c r="EW107" s="34">
        <f>VLOOKUP(BR107,Fundamentus!A:U,14,FALSE)</f>
        <v>0.26939999999999997</v>
      </c>
      <c r="EX107" s="17" t="str">
        <f>IF(VLOOKUP(BR107,Fundamentus!A:U,21,FALSE)&lt;0,"Negativo",IF(VLOOKUP(BR107,Fundamentus!A:U,21,FALSE)&lt;0.05,"Fraco",IF(VLOOKUP(BR107,Fundamentus!A:U,21,FALSE)&lt;0.1,"Bom",IF(VLOOKUP(BR107,Fundamentus!A:U,21,FALSE)&gt;0.1,"Muito bom","n/a"))))</f>
        <v>Muito bom</v>
      </c>
      <c r="EZ107" s="29" t="str">
        <f>IF(VLOOKUP(BR107,Fundamentus!A:U,15,FALSE)&gt;1,"Bom",IF(VLOOKUP(BR107,Fundamentus!A:U,15,FALSE)&lt;1,"Ruim","n/a"))</f>
        <v>Bom</v>
      </c>
      <c r="FA107" s="17" t="str">
        <f>IF(VLOOKUP(BR107,Fundamentus!A:U,20,FALSE)&lt;0.5,"Baixa",IF(VLOOKUP(BR107,Fundamentus!A:U,20,FALSE)&lt;1,"Moderada",IF(VLOOKUP(BR107,Fundamentus!A:U,20,FALSE)&lt;2,"Alerta",IF(VLOOKUP(BR107,Fundamentus!A:U,20,FALSE)&gt;2,"Alta","n/a"))))</f>
        <v>Moderada</v>
      </c>
      <c r="FB107" s="10"/>
    </row>
    <row r="108" spans="1:158" s="2" customFormat="1" ht="11.25"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5">
        <v>10.29</v>
      </c>
      <c r="BC108" s="52">
        <v>12.05</v>
      </c>
      <c r="BD108" s="52">
        <v>11.7</v>
      </c>
      <c r="BE108" s="52">
        <v>11.2</v>
      </c>
      <c r="BF108" s="52">
        <v>11.33</v>
      </c>
      <c r="BG108" s="67">
        <v>11.42</v>
      </c>
      <c r="BH108" s="52">
        <v>11.53</v>
      </c>
      <c r="BI108" s="52">
        <v>11.42</v>
      </c>
      <c r="BJ108" s="52">
        <v>11.57</v>
      </c>
      <c r="BK108" s="52">
        <v>11.17</v>
      </c>
      <c r="BL108" s="52">
        <v>10.27</v>
      </c>
      <c r="BM108" s="52">
        <v>10.5</v>
      </c>
      <c r="BN108" s="52">
        <v>10.36</v>
      </c>
      <c r="BO108" s="52">
        <v>10.59</v>
      </c>
      <c r="BP108" s="52">
        <v>10.119999999999999</v>
      </c>
      <c r="BQ108" s="52" cm="1">
        <f t="array" aca="1" ref="BQ108" ca="1">_FV(EE108,"Preço")</f>
        <v>10.119999999999999</v>
      </c>
      <c r="BR108" s="69" t="s">
        <v>105</v>
      </c>
      <c r="BS108" s="36" cm="1">
        <f t="array" aca="1" ref="BS108" ca="1">_FV(EE108,"Média de volume",TRUE)</f>
        <v>379120</v>
      </c>
      <c r="BT108" s="36">
        <v>323500</v>
      </c>
      <c r="BU108" s="36" cm="1">
        <f t="array" aca="1" ref="BU108" ca="1">_FV(EE108,"Volume")</f>
        <v>323500</v>
      </c>
      <c r="BV108" s="24" cm="1">
        <f t="array" aca="1" ref="BV108" ca="1">_FV(EE108,"Beta")</f>
        <v>0.64739999999999998</v>
      </c>
      <c r="BW108" s="71" cm="1">
        <f t="array" aca="1" ref="BW108" ca="1">_FV(EE108,"Variação (%)",TRUE)</f>
        <v>2.9729999999999999E-3</v>
      </c>
      <c r="BY108" s="17" cm="1">
        <f t="array" aca="1" ref="BY108" ca="1">_FV(EE108,"Baixo")</f>
        <v>10.06</v>
      </c>
      <c r="BZ108" s="17" cm="1">
        <f t="array" aca="1" ref="BZ108" ca="1">_FV(EE108,"Alto")</f>
        <v>10.29</v>
      </c>
      <c r="CA108" s="24"/>
      <c r="CB108" s="63">
        <f ca="1">SQRT(22.5*(BQ108/VLOOKUP(BR108,Fundamentus!A:U,3,FALSE))*(BQ108/VLOOKUP(BR108,Fundamentus!A:U,4,FALSE)))</f>
        <v>12.351264062130348</v>
      </c>
      <c r="CD108" s="62">
        <f t="shared" ca="1" si="112"/>
        <v>0</v>
      </c>
      <c r="CE108" s="8"/>
      <c r="CF108" s="61">
        <f t="shared" si="113"/>
        <v>9.8699999999999992</v>
      </c>
      <c r="CG108" s="61">
        <f t="shared" si="114"/>
        <v>18.8</v>
      </c>
      <c r="CH108" s="61">
        <f t="shared" si="115"/>
        <v>12.15389705882353</v>
      </c>
      <c r="CI108" s="14"/>
      <c r="CJ108" s="35">
        <f t="shared" si="98"/>
        <v>9.5331265949575794</v>
      </c>
      <c r="CK108" s="15">
        <f t="shared" si="116"/>
        <v>10.165000000000077</v>
      </c>
      <c r="CL108" s="35">
        <f t="shared" si="99"/>
        <v>10.796873405042575</v>
      </c>
      <c r="CN108" s="14"/>
      <c r="CO108" s="17">
        <f t="shared" si="100"/>
        <v>-1.8700000000000028</v>
      </c>
      <c r="CP108" s="17">
        <f t="shared" si="101"/>
        <v>3.9999999999999982</v>
      </c>
      <c r="CQ108" s="17">
        <f t="shared" si="102"/>
        <v>7.0599999999999987</v>
      </c>
      <c r="CR108" s="38">
        <f t="shared" si="117"/>
        <v>12.93</v>
      </c>
      <c r="CS108" s="17">
        <f t="shared" si="103"/>
        <v>15.99</v>
      </c>
      <c r="CT108" s="17">
        <f t="shared" si="104"/>
        <v>21.86</v>
      </c>
      <c r="CU108" s="17">
        <f t="shared" si="105"/>
        <v>24.92</v>
      </c>
      <c r="CV108" s="2" cm="1">
        <f t="array" aca="1" ref="CV108" ca="1">MAX(_xlfn._xlws.FILTER(CO108:CU108,CO108:CU108&lt;BQ108))</f>
        <v>7.0599999999999987</v>
      </c>
      <c r="CW108" s="2" cm="1">
        <f t="array" aca="1" ref="CW108" ca="1">MIN(_xlfn._xlws.FILTER($CO108:$CU108,$CO108:$CU108&gt;BQ108))</f>
        <v>12.93</v>
      </c>
      <c r="CX108" s="16">
        <f t="shared" ca="1" si="119"/>
        <v>0.83144475920679906</v>
      </c>
      <c r="CY108" s="20">
        <f t="shared" ca="1" si="120"/>
        <v>-0.41572237960339953</v>
      </c>
      <c r="CZ108" s="20">
        <f t="shared" ca="1" si="121"/>
        <v>-0.27714825306893304</v>
      </c>
      <c r="DA108" s="20">
        <f t="shared" ca="1" si="122"/>
        <v>-0.16628895184135981</v>
      </c>
      <c r="DB108" s="20">
        <f t="shared" ca="1" si="123"/>
        <v>-9.2382751022977674E-2</v>
      </c>
      <c r="DC108" s="20">
        <f t="shared" ca="1" si="124"/>
        <v>-4.8908515247458768E-2</v>
      </c>
      <c r="DD108" s="20">
        <f t="shared" ca="1" si="125"/>
        <v>-2.5195295733539364E-2</v>
      </c>
      <c r="DE108" s="20">
        <f t="shared" ca="1" si="126"/>
        <v>-1.2791457833950755E-2</v>
      </c>
      <c r="DF108" s="21">
        <f t="shared" ca="1" si="127"/>
        <v>1.2791457833950755E-2</v>
      </c>
      <c r="DG108" s="21">
        <f t="shared" ca="1" si="128"/>
        <v>2.5195295733539364E-2</v>
      </c>
      <c r="DH108" s="21">
        <f t="shared" ca="1" si="129"/>
        <v>4.8908515247458768E-2</v>
      </c>
      <c r="DI108" s="21">
        <f t="shared" ca="1" si="130"/>
        <v>9.2382751022977674E-2</v>
      </c>
      <c r="DJ108" s="21">
        <f t="shared" ca="1" si="131"/>
        <v>0.16628895184135981</v>
      </c>
      <c r="DK108" s="21">
        <f t="shared" ca="1" si="132"/>
        <v>0.27714825306893304</v>
      </c>
      <c r="DL108" s="21">
        <f t="shared" ca="1" si="133"/>
        <v>0.41572237960339953</v>
      </c>
      <c r="DN108" s="16" cm="1">
        <f t="array" aca="1" ref="DN108" ca="1">MAX(_xlfn._xlws.FILTER(CY108:DL108,CY108:DL108&lt;BW108))</f>
        <v>-1.2791457833950755E-2</v>
      </c>
      <c r="DO108" s="16" cm="1">
        <f t="array" aca="1" ref="DO108" ca="1">MIN(_xlfn._xlws.FILTER(CY108:DL108,CY108:DL108&gt;BW108))</f>
        <v>1.2791457833950755E-2</v>
      </c>
      <c r="DP108" s="2" cm="1">
        <f t="array" aca="1" ref="DP108" ca="1">_FV(EE108,"Fechamento anterior",TRUE)</f>
        <v>10.09</v>
      </c>
      <c r="DQ108" s="28">
        <f t="shared" ca="1" si="106"/>
        <v>0.61621978007134814</v>
      </c>
      <c r="DR108" s="15">
        <f t="shared" ca="1" si="134"/>
        <v>9.9609341904554363</v>
      </c>
      <c r="DS108" s="15">
        <f t="shared" ca="1" si="135"/>
        <v>10.219065809544563</v>
      </c>
      <c r="DT108" s="9"/>
      <c r="DU108" s="9"/>
      <c r="DV108" s="9"/>
      <c r="DW108" s="89">
        <v>2.3841980804006117E-2</v>
      </c>
      <c r="DX108" s="89">
        <f t="shared" ca="1" si="107"/>
        <v>2.558291566790151E-2</v>
      </c>
      <c r="DY108" s="72">
        <f t="shared" ca="1" si="108"/>
        <v>-7.1216796973836122E-2</v>
      </c>
      <c r="DZ108" s="37"/>
      <c r="EA108" s="35">
        <f t="shared" si="118"/>
        <v>0.31593670252124889</v>
      </c>
      <c r="EB108" s="56"/>
      <c r="EC108" s="56"/>
      <c r="EE108" s="2" t="e" vm="108">
        <v>#VALUE!</v>
      </c>
      <c r="EG108" s="10" cm="1">
        <f t="array" aca="1" ref="EG108" ca="1">_FV(EE108,"Ações em circulação",TRUE)</f>
        <v>135322100</v>
      </c>
      <c r="EH108" s="18">
        <f>VLOOKUP(BR108,Fundamentus!A:U,5,FALSE)</f>
        <v>0.749</v>
      </c>
      <c r="EI108" s="2">
        <f t="shared" ca="1" si="109"/>
        <v>1828384048.0640855</v>
      </c>
      <c r="EJ108" s="17">
        <v>162543341.87289721</v>
      </c>
      <c r="EK108" s="17">
        <f t="shared" ca="1" si="110"/>
        <v>162543341.87289721</v>
      </c>
      <c r="EM108" s="16">
        <f t="shared" ca="1" si="97"/>
        <v>0</v>
      </c>
      <c r="EN108" s="32" t="str">
        <f>IF(VLOOKUP(BR108,Fundamentus!A:U,3,FALSE)&lt;15,"Bom",IF(VLOOKUP(BR108,Fundamentus!A:U,3,FALSE)&gt;15,"Ruim","n/a"))</f>
        <v>Bom</v>
      </c>
      <c r="EO108" s="28" t="str">
        <f>IF(VLOOKUP(BR108,Fundamentus!A:U,4,FALSE)&lt;1,"Baixo",IF(VLOOKUP(BR108,Fundamentus!A:U,4,FALSE)&lt;1.5,"Moderado",IF(VLOOKUP(BR108,Fundamentus!A:U,4,FALSE)&gt;1.5,"Alto","n/a")))</f>
        <v>Moderado</v>
      </c>
      <c r="EP108" s="17" t="str">
        <f>IF(VLOOKUP(BR108,Fundamentus!A:U,8,FALSE)&lt;0,"Risco elevado",IF(VLOOKUP(BR108,Fundamentus!A:U,8,FALSE)&lt;1,"Saudável",IF(VLOOKUP(BR108,Fundamentus!A:U,8,FALSE)&lt;3,"Estável",IF(VLOOKUP(BR108,Fundamentus!A:U,8,FALSE)&gt;3,"Alerta","n/a"))))</f>
        <v>Saudável</v>
      </c>
      <c r="EQ108" s="28" t="str">
        <f t="shared" si="111"/>
        <v>Ruim</v>
      </c>
      <c r="ER108" s="17" t="str">
        <f>IF(VLOOKUP(BR108,Fundamentus!A:U,12,FALSE)&lt;2,"Subvalorizada",IF(VLOOKUP(BR108,Fundamentus!A:U,12,FALSE)&lt;6,"Muita barata",IF(VLOOKUP(BR108,Fundamentus!A:U,12,FALSE)&lt;6,"Barata",IF(VLOOKUP(BR108,Fundamentus!A:U,12,FALSE)&lt;8,"Atrativa",IF(VLOOKUP(BR108,Fundamentus!A:U,12,FALSE)&gt;8,"Supervalorizada","n/a")))))</f>
        <v>Atrativa</v>
      </c>
      <c r="ET108" s="17" t="str">
        <f>IF(VLOOKUP(BR108,Fundamentus!A:U,17,FALSE)&lt;0.1,"Fraco retorno",IF(VLOOKUP(BR108,Fundamentus!A:U,17,FALSE)&gt;0.1,"Bom retorno","n/a"))</f>
        <v>Fraco retorno</v>
      </c>
      <c r="EU108" s="17" t="str">
        <f>IF(VLOOKUP(BR108,Fundamentus!A:U,16,FALSE)&lt;0.1,"Ineficiente",IF(VLOOKUP(BR108,Fundamentus!A:U,16,FALSE)&gt;0.1,"Eficiente","n/a"))</f>
        <v>Ineficiente</v>
      </c>
      <c r="EV108" s="33" t="str">
        <f>IF(VLOOKUP(BR108,Fundamentus!A:U,16,FALSE)&lt;0.1,"Oper. Ineficiente",IF(VLOOKUP(BR108,Fundamentus!A:U,16,FALSE)&gt;0.1,"Oper.Eficiente","n/a"))</f>
        <v>Oper. Ineficiente</v>
      </c>
      <c r="EW108" s="34">
        <f>VLOOKUP(BR108,Fundamentus!A:U,14,FALSE)</f>
        <v>8.8900000000000007E-2</v>
      </c>
      <c r="EX108" s="17" t="str">
        <f>IF(VLOOKUP(BR108,Fundamentus!A:U,21,FALSE)&lt;0,"Negativo",IF(VLOOKUP(BR108,Fundamentus!A:U,21,FALSE)&lt;0.05,"Fraco",IF(VLOOKUP(BR108,Fundamentus!A:U,21,FALSE)&lt;0.1,"Bom",IF(VLOOKUP(BR108,Fundamentus!A:U,21,FALSE)&gt;0.1,"Muito bom","n/a"))))</f>
        <v>Muito bom</v>
      </c>
      <c r="EZ108" s="29" t="str">
        <f>IF(VLOOKUP(BR108,Fundamentus!A:U,15,FALSE)&gt;1,"Bom",IF(VLOOKUP(BR108,Fundamentus!A:U,15,FALSE)&lt;1,"Ruim","n/a"))</f>
        <v>Bom</v>
      </c>
      <c r="FA108" s="17" t="str">
        <f>IF(VLOOKUP(BR108,Fundamentus!A:U,20,FALSE)&lt;0.5,"Baixa",IF(VLOOKUP(BR108,Fundamentus!A:U,20,FALSE)&lt;1,"Moderada",IF(VLOOKUP(BR108,Fundamentus!A:U,20,FALSE)&lt;2,"Alerta",IF(VLOOKUP(BR108,Fundamentus!A:U,20,FALSE)&gt;2,"Alta","n/a"))))</f>
        <v>Moderada</v>
      </c>
      <c r="FB108" s="10"/>
    </row>
    <row r="109" spans="1:158" s="2" customFormat="1" ht="11.25"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5">
        <v>5.3</v>
      </c>
      <c r="BC109" s="52">
        <v>5.04</v>
      </c>
      <c r="BD109" s="52">
        <v>4.74</v>
      </c>
      <c r="BE109" s="52">
        <v>4.66</v>
      </c>
      <c r="BF109" s="52">
        <v>4.57</v>
      </c>
      <c r="BG109" s="67">
        <v>4.88</v>
      </c>
      <c r="BH109" s="52">
        <v>4.9000000000000004</v>
      </c>
      <c r="BI109" s="52">
        <v>4.7300000000000004</v>
      </c>
      <c r="BJ109" s="52">
        <v>5.05</v>
      </c>
      <c r="BK109" s="52">
        <v>4.76</v>
      </c>
      <c r="BL109" s="52">
        <v>4.62</v>
      </c>
      <c r="BM109" s="52">
        <v>4.67</v>
      </c>
      <c r="BN109" s="52">
        <v>4.6100000000000003</v>
      </c>
      <c r="BO109" s="52">
        <v>4.7699999999999996</v>
      </c>
      <c r="BP109" s="52">
        <v>4.59</v>
      </c>
      <c r="BQ109" s="52" cm="1">
        <f t="array" aca="1" ref="BQ109" ca="1">_FV(EE109,"Preço")</f>
        <v>4.59</v>
      </c>
      <c r="BR109" s="69" t="s">
        <v>106</v>
      </c>
      <c r="BS109" s="36" cm="1">
        <f t="array" aca="1" ref="BS109" ca="1">_FV(EE109,"Média de volume",TRUE)</f>
        <v>6130</v>
      </c>
      <c r="BT109" s="36">
        <v>3100</v>
      </c>
      <c r="BU109" s="36" cm="1">
        <f t="array" aca="1" ref="BU109" ca="1">_FV(EE109,"Volume")</f>
        <v>3100</v>
      </c>
      <c r="BV109" s="24" cm="1">
        <f t="array" aca="1" ref="BV109" ca="1">_FV(EE109,"Beta")</f>
        <v>0.36170000000000002</v>
      </c>
      <c r="BW109" s="71" cm="1">
        <f t="array" aca="1" ref="BW109" ca="1">_FV(EE109,"Variação (%)",TRUE)</f>
        <v>8.7910000000000002E-3</v>
      </c>
      <c r="BY109" s="17" cm="1">
        <f t="array" aca="1" ref="BY109" ca="1">_FV(EE109,"Baixo")</f>
        <v>4.53</v>
      </c>
      <c r="BZ109" s="17" cm="1">
        <f t="array" aca="1" ref="BZ109" ca="1">_FV(EE109,"Alto")</f>
        <v>4.59</v>
      </c>
      <c r="CA109" s="24"/>
      <c r="CB109" s="63">
        <f ca="1">SQRT(22.5*(BQ109/VLOOKUP(BR109,Fundamentus!A:U,3,FALSE))*(BQ109/VLOOKUP(BR109,Fundamentus!A:U,4,FALSE)))</f>
        <v>12.40913243129854</v>
      </c>
      <c r="CD109" s="62">
        <f t="shared" ca="1" si="112"/>
        <v>0</v>
      </c>
      <c r="CE109" s="8"/>
      <c r="CF109" s="61">
        <f t="shared" si="113"/>
        <v>4.57</v>
      </c>
      <c r="CG109" s="61">
        <f t="shared" si="114"/>
        <v>7.88</v>
      </c>
      <c r="CH109" s="61">
        <f t="shared" si="115"/>
        <v>6.203014705882353</v>
      </c>
      <c r="CI109" s="14"/>
      <c r="CJ109" s="35">
        <f t="shared" si="98"/>
        <v>4.5045895129615081</v>
      </c>
      <c r="CK109" s="15">
        <f t="shared" si="116"/>
        <v>4.6399999999999935</v>
      </c>
      <c r="CL109" s="35">
        <f t="shared" si="99"/>
        <v>4.7754104870384788</v>
      </c>
      <c r="CN109" s="14"/>
      <c r="CO109" s="17">
        <f t="shared" si="100"/>
        <v>0.16999999999999993</v>
      </c>
      <c r="CP109" s="17">
        <f t="shared" si="101"/>
        <v>2.37</v>
      </c>
      <c r="CQ109" s="17">
        <f t="shared" si="102"/>
        <v>3.4799999999999995</v>
      </c>
      <c r="CR109" s="38">
        <f t="shared" si="117"/>
        <v>5.68</v>
      </c>
      <c r="CS109" s="17">
        <f t="shared" si="103"/>
        <v>6.7899999999999991</v>
      </c>
      <c r="CT109" s="17">
        <f t="shared" si="104"/>
        <v>8.9899999999999984</v>
      </c>
      <c r="CU109" s="17">
        <f t="shared" si="105"/>
        <v>10.099999999999998</v>
      </c>
      <c r="CV109" s="2" cm="1">
        <f t="array" aca="1" ref="CV109" ca="1">MAX(_xlfn._xlws.FILTER(CO109:CU109,CO109:CU109&lt;BQ109))</f>
        <v>3.4799999999999995</v>
      </c>
      <c r="CW109" s="2" cm="1">
        <f t="array" aca="1" ref="CW109" ca="1">MIN(_xlfn._xlws.FILTER($CO109:$CU109,$CO109:$CU109&gt;BQ109))</f>
        <v>5.68</v>
      </c>
      <c r="CX109" s="16">
        <f t="shared" ca="1" si="119"/>
        <v>0.63218390804597724</v>
      </c>
      <c r="CY109" s="20">
        <f t="shared" ca="1" si="120"/>
        <v>-0.31609195402298862</v>
      </c>
      <c r="CZ109" s="20">
        <f t="shared" ca="1" si="121"/>
        <v>-0.21072796934865909</v>
      </c>
      <c r="DA109" s="20">
        <f t="shared" ca="1" si="122"/>
        <v>-0.12643678160919544</v>
      </c>
      <c r="DB109" s="20">
        <f t="shared" ca="1" si="123"/>
        <v>-7.024265644955302E-2</v>
      </c>
      <c r="DC109" s="20">
        <f t="shared" ca="1" si="124"/>
        <v>-3.7187288708586896E-2</v>
      </c>
      <c r="DD109" s="20">
        <f t="shared" ca="1" si="125"/>
        <v>-1.915708812260537E-2</v>
      </c>
      <c r="DE109" s="20">
        <f t="shared" ca="1" si="126"/>
        <v>-9.7259062776304198E-3</v>
      </c>
      <c r="DF109" s="21">
        <f t="shared" ca="1" si="127"/>
        <v>9.7259062776304198E-3</v>
      </c>
      <c r="DG109" s="21">
        <f t="shared" ca="1" si="128"/>
        <v>1.915708812260537E-2</v>
      </c>
      <c r="DH109" s="21">
        <f t="shared" ca="1" si="129"/>
        <v>3.7187288708586896E-2</v>
      </c>
      <c r="DI109" s="21">
        <f t="shared" ca="1" si="130"/>
        <v>7.024265644955302E-2</v>
      </c>
      <c r="DJ109" s="21">
        <f t="shared" ca="1" si="131"/>
        <v>0.12643678160919544</v>
      </c>
      <c r="DK109" s="21">
        <f t="shared" ca="1" si="132"/>
        <v>0.21072796934865909</v>
      </c>
      <c r="DL109" s="21">
        <f t="shared" ca="1" si="133"/>
        <v>0.31609195402298862</v>
      </c>
      <c r="DN109" s="16" cm="1">
        <f t="array" aca="1" ref="DN109" ca="1">MAX(_xlfn._xlws.FILTER(CY109:DL109,CY109:DL109&lt;BW109))</f>
        <v>-9.7259062776304198E-3</v>
      </c>
      <c r="DO109" s="16" cm="1">
        <f t="array" aca="1" ref="DO109" ca="1">MIN(_xlfn._xlws.FILTER(CY109:DL109,CY109:DL109&gt;BW109))</f>
        <v>9.7259062776304198E-3</v>
      </c>
      <c r="DP109" s="2" cm="1">
        <f t="array" aca="1" ref="DP109" ca="1">_FV(EE109,"Fechamento anterior",TRUE)</f>
        <v>4.55</v>
      </c>
      <c r="DQ109" s="28">
        <f t="shared" ca="1" si="106"/>
        <v>0.95194805194805243</v>
      </c>
      <c r="DR109" s="15">
        <f t="shared" ca="1" si="134"/>
        <v>4.5057471264367814</v>
      </c>
      <c r="DS109" s="15">
        <f t="shared" ca="1" si="135"/>
        <v>4.5942528735632182</v>
      </c>
      <c r="DT109" s="9"/>
      <c r="DU109" s="9"/>
      <c r="DV109" s="9"/>
      <c r="DW109" s="89">
        <v>1.6953852247969907E-2</v>
      </c>
      <c r="DX109" s="89">
        <f t="shared" ca="1" si="107"/>
        <v>1.945181255526084E-2</v>
      </c>
      <c r="DY109" s="72">
        <f t="shared" ca="1" si="108"/>
        <v>-0.36924761954207419</v>
      </c>
      <c r="DZ109" s="37"/>
      <c r="EA109" s="35">
        <f t="shared" si="118"/>
        <v>6.7705243519242786E-2</v>
      </c>
      <c r="EB109" s="56"/>
      <c r="EC109" s="56"/>
      <c r="EE109" s="2" t="e" vm="109">
        <v>#VALUE!</v>
      </c>
      <c r="EG109" s="10" cm="1">
        <f t="array" aca="1" ref="EG109" ca="1">_FV(EE109,"Ações em circulação",TRUE)</f>
        <v>48046490</v>
      </c>
      <c r="EH109" s="18">
        <f>VLOOKUP(BR109,Fundamentus!A:U,5,FALSE)</f>
        <v>0.27700000000000002</v>
      </c>
      <c r="EI109" s="2">
        <f t="shared" ca="1" si="109"/>
        <v>796149419.13357389</v>
      </c>
      <c r="EJ109" s="17">
        <v>57402373.119530678</v>
      </c>
      <c r="EK109" s="17">
        <f t="shared" ca="1" si="110"/>
        <v>57402373.119530678</v>
      </c>
      <c r="EM109" s="16">
        <f t="shared" ca="1" si="97"/>
        <v>0</v>
      </c>
      <c r="EN109" s="32" t="str">
        <f>IF(VLOOKUP(BR109,Fundamentus!A:U,3,FALSE)&lt;15,"Bom",IF(VLOOKUP(BR109,Fundamentus!A:U,3,FALSE)&gt;15,"Ruim","n/a"))</f>
        <v>Bom</v>
      </c>
      <c r="EO109" s="28" t="str">
        <f>IF(VLOOKUP(BR109,Fundamentus!A:U,4,FALSE)&lt;1,"Baixo",IF(VLOOKUP(BR109,Fundamentus!A:U,4,FALSE)&lt;1.5,"Moderado",IF(VLOOKUP(BR109,Fundamentus!A:U,4,FALSE)&gt;1.5,"Alto","n/a")))</f>
        <v>Baixo</v>
      </c>
      <c r="EP109" s="17" t="str">
        <f>IF(VLOOKUP(BR109,Fundamentus!A:U,8,FALSE)&lt;0,"Risco elevado",IF(VLOOKUP(BR109,Fundamentus!A:U,8,FALSE)&lt;1,"Saudável",IF(VLOOKUP(BR109,Fundamentus!A:U,8,FALSE)&lt;3,"Estável",IF(VLOOKUP(BR109,Fundamentus!A:U,8,FALSE)&gt;3,"Alerta","n/a"))))</f>
        <v>Saudável</v>
      </c>
      <c r="EQ109" s="28" t="str">
        <f t="shared" si="111"/>
        <v>Ruim</v>
      </c>
      <c r="ER109" s="17" t="str">
        <f>IF(VLOOKUP(BR109,Fundamentus!A:U,12,FALSE)&lt;2,"Subvalorizada",IF(VLOOKUP(BR109,Fundamentus!A:U,12,FALSE)&lt;6,"Muita barata",IF(VLOOKUP(BR109,Fundamentus!A:U,12,FALSE)&lt;6,"Barata",IF(VLOOKUP(BR109,Fundamentus!A:U,12,FALSE)&lt;8,"Atrativa",IF(VLOOKUP(BR109,Fundamentus!A:U,12,FALSE)&gt;8,"Supervalorizada","n/a")))))</f>
        <v>Muita barata</v>
      </c>
      <c r="ET109" s="17" t="str">
        <f>IF(VLOOKUP(BR109,Fundamentus!A:U,17,FALSE)&lt;0.1,"Fraco retorno",IF(VLOOKUP(BR109,Fundamentus!A:U,17,FALSE)&gt;0.1,"Bom retorno","n/a"))</f>
        <v>Fraco retorno</v>
      </c>
      <c r="EU109" s="17" t="str">
        <f>IF(VLOOKUP(BR109,Fundamentus!A:U,16,FALSE)&lt;0.1,"Ineficiente",IF(VLOOKUP(BR109,Fundamentus!A:U,16,FALSE)&gt;0.1,"Eficiente","n/a"))</f>
        <v>Ineficiente</v>
      </c>
      <c r="EV109" s="33" t="str">
        <f>IF(VLOOKUP(BR109,Fundamentus!A:U,16,FALSE)&lt;0.1,"Oper. Ineficiente",IF(VLOOKUP(BR109,Fundamentus!A:U,16,FALSE)&gt;0.1,"Oper.Eficiente","n/a"))</f>
        <v>Oper. Ineficiente</v>
      </c>
      <c r="EW109" s="34">
        <f>VLOOKUP(BR109,Fundamentus!A:U,14,FALSE)</f>
        <v>7.2099999999999997E-2</v>
      </c>
      <c r="EX109" s="17" t="str">
        <f>IF(VLOOKUP(BR109,Fundamentus!A:U,21,FALSE)&lt;0,"Negativo",IF(VLOOKUP(BR109,Fundamentus!A:U,21,FALSE)&lt;0.05,"Fraco",IF(VLOOKUP(BR109,Fundamentus!A:U,21,FALSE)&lt;0.1,"Bom",IF(VLOOKUP(BR109,Fundamentus!A:U,21,FALSE)&gt;0.1,"Muito bom","n/a"))))</f>
        <v>Bom</v>
      </c>
      <c r="EZ109" s="29" t="str">
        <f>IF(VLOOKUP(BR109,Fundamentus!A:U,15,FALSE)&gt;1,"Bom",IF(VLOOKUP(BR109,Fundamentus!A:U,15,FALSE)&lt;1,"Ruim","n/a"))</f>
        <v>Bom</v>
      </c>
      <c r="FA109" s="17" t="str">
        <f>IF(VLOOKUP(BR109,Fundamentus!A:U,20,FALSE)&lt;0.5,"Baixa",IF(VLOOKUP(BR109,Fundamentus!A:U,20,FALSE)&lt;1,"Moderada",IF(VLOOKUP(BR109,Fundamentus!A:U,20,FALSE)&lt;2,"Alerta",IF(VLOOKUP(BR109,Fundamentus!A:U,20,FALSE)&gt;2,"Alta","n/a"))))</f>
        <v>Moderada</v>
      </c>
      <c r="FB109" s="10"/>
    </row>
    <row r="110" spans="1:158" s="2" customFormat="1" ht="11.25"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5">
        <v>9.41</v>
      </c>
      <c r="BC110" s="52">
        <v>9.08</v>
      </c>
      <c r="BD110" s="52">
        <v>9.33</v>
      </c>
      <c r="BE110" s="52">
        <v>9.4600000000000009</v>
      </c>
      <c r="BF110" s="52">
        <v>9.36</v>
      </c>
      <c r="BG110" s="67">
        <v>9.5</v>
      </c>
      <c r="BH110" s="52">
        <v>9.73</v>
      </c>
      <c r="BI110" s="52">
        <v>9.4600000000000009</v>
      </c>
      <c r="BJ110" s="52">
        <v>9.51</v>
      </c>
      <c r="BK110" s="52">
        <v>9</v>
      </c>
      <c r="BL110" s="52">
        <v>8.1199999999999992</v>
      </c>
      <c r="BM110" s="52">
        <v>8.18</v>
      </c>
      <c r="BN110" s="52">
        <v>8.1199999999999992</v>
      </c>
      <c r="BO110" s="52">
        <v>7.88</v>
      </c>
      <c r="BP110" s="52">
        <v>7.82</v>
      </c>
      <c r="BQ110" s="52" cm="1">
        <f t="array" aca="1" ref="BQ110" ca="1">_FV(EE110,"Preço")</f>
        <v>7.82</v>
      </c>
      <c r="BR110" s="69" t="s">
        <v>107</v>
      </c>
      <c r="BS110" s="36" cm="1">
        <f t="array" aca="1" ref="BS110" ca="1">_FV(EE110,"Média de volume",TRUE)</f>
        <v>190370</v>
      </c>
      <c r="BT110" s="36">
        <v>55100</v>
      </c>
      <c r="BU110" s="36" cm="1">
        <f t="array" aca="1" ref="BU110" ca="1">_FV(EE110,"Volume")</f>
        <v>55100</v>
      </c>
      <c r="BV110" s="24" cm="1">
        <f t="array" aca="1" ref="BV110" ca="1">_FV(EE110,"Beta")</f>
        <v>1.2522</v>
      </c>
      <c r="BW110" s="71" cm="1">
        <f t="array" aca="1" ref="BW110" ca="1">_FV(EE110,"Variação (%)",TRUE)</f>
        <v>2.5640000000000003E-3</v>
      </c>
      <c r="BY110" s="17" cm="1">
        <f t="array" aca="1" ref="BY110" ca="1">_FV(EE110,"Baixo")</f>
        <v>7.7</v>
      </c>
      <c r="BZ110" s="17" cm="1">
        <f t="array" aca="1" ref="BZ110" ca="1">_FV(EE110,"Alto")</f>
        <v>7.82</v>
      </c>
      <c r="CA110" s="24"/>
      <c r="CB110" s="63">
        <f ca="1">SQRT(22.5*(BQ110/VLOOKUP(BR110,Fundamentus!A:U,3,FALSE))*(BQ110/VLOOKUP(BR110,Fundamentus!A:U,4,FALSE)))</f>
        <v>13.617458470733677</v>
      </c>
      <c r="CD110" s="62">
        <f t="shared" ca="1" si="112"/>
        <v>0</v>
      </c>
      <c r="CE110" s="8"/>
      <c r="CF110" s="61">
        <f t="shared" si="113"/>
        <v>7.82</v>
      </c>
      <c r="CG110" s="61">
        <f t="shared" si="114"/>
        <v>17.14</v>
      </c>
      <c r="CH110" s="61">
        <f t="shared" si="115"/>
        <v>11.831985294117649</v>
      </c>
      <c r="CI110" s="14"/>
      <c r="CJ110" s="35">
        <f t="shared" si="98"/>
        <v>6.9018333514139734</v>
      </c>
      <c r="CK110" s="15">
        <f t="shared" si="116"/>
        <v>7.6700000000000728</v>
      </c>
      <c r="CL110" s="35">
        <f t="shared" si="99"/>
        <v>8.4381666485861722</v>
      </c>
      <c r="CN110" s="14"/>
      <c r="CO110" s="17">
        <f t="shared" si="100"/>
        <v>-4.6066666666666656</v>
      </c>
      <c r="CP110" s="17">
        <f t="shared" si="101"/>
        <v>1.6066666666666674</v>
      </c>
      <c r="CQ110" s="17">
        <f t="shared" si="102"/>
        <v>4.7133333333333347</v>
      </c>
      <c r="CR110" s="38">
        <f t="shared" si="117"/>
        <v>10.926666666666668</v>
      </c>
      <c r="CS110" s="17">
        <f t="shared" si="103"/>
        <v>14.033333333333335</v>
      </c>
      <c r="CT110" s="17">
        <f t="shared" si="104"/>
        <v>20.24666666666667</v>
      </c>
      <c r="CU110" s="17">
        <f t="shared" si="105"/>
        <v>23.353333333333335</v>
      </c>
      <c r="CV110" s="2" cm="1">
        <f t="array" aca="1" ref="CV110" ca="1">MAX(_xlfn._xlws.FILTER(CO110:CU110,CO110:CU110&lt;BQ110))</f>
        <v>4.7133333333333347</v>
      </c>
      <c r="CW110" s="2" cm="1">
        <f t="array" aca="1" ref="CW110" ca="1">MIN(_xlfn._xlws.FILTER($CO110:$CU110,$CO110:$CU110&gt;BQ110))</f>
        <v>10.926666666666668</v>
      </c>
      <c r="CX110" s="16">
        <f t="shared" ca="1" si="119"/>
        <v>1.3182461103253176</v>
      </c>
      <c r="CY110" s="20">
        <f t="shared" ca="1" si="120"/>
        <v>-0.65912305516265879</v>
      </c>
      <c r="CZ110" s="20">
        <f t="shared" ca="1" si="121"/>
        <v>-0.43941537010843917</v>
      </c>
      <c r="DA110" s="20">
        <f t="shared" ca="1" si="122"/>
        <v>-0.26364922206506353</v>
      </c>
      <c r="DB110" s="20">
        <f t="shared" ca="1" si="123"/>
        <v>-0.14647179003614641</v>
      </c>
      <c r="DC110" s="20">
        <f t="shared" ca="1" si="124"/>
        <v>-7.7543888842665734E-2</v>
      </c>
      <c r="DD110" s="20">
        <f t="shared" ca="1" si="125"/>
        <v>-3.9946851828039927E-2</v>
      </c>
      <c r="DE110" s="20">
        <f t="shared" ca="1" si="126"/>
        <v>-2.0280709389620271E-2</v>
      </c>
      <c r="DF110" s="21">
        <f t="shared" ca="1" si="127"/>
        <v>2.0280709389620271E-2</v>
      </c>
      <c r="DG110" s="21">
        <f t="shared" ca="1" si="128"/>
        <v>3.9946851828039927E-2</v>
      </c>
      <c r="DH110" s="21">
        <f t="shared" ca="1" si="129"/>
        <v>7.7543888842665734E-2</v>
      </c>
      <c r="DI110" s="21">
        <f t="shared" ca="1" si="130"/>
        <v>0.14647179003614641</v>
      </c>
      <c r="DJ110" s="21">
        <f t="shared" ca="1" si="131"/>
        <v>0.26364922206506353</v>
      </c>
      <c r="DK110" s="21">
        <f t="shared" ca="1" si="132"/>
        <v>0.43941537010843917</v>
      </c>
      <c r="DL110" s="21">
        <f t="shared" ca="1" si="133"/>
        <v>0.65912305516265879</v>
      </c>
      <c r="DN110" s="16" cm="1">
        <f t="array" aca="1" ref="DN110" ca="1">MAX(_xlfn._xlws.FILTER(CY110:DL110,CY110:DL110&lt;BW110))</f>
        <v>-2.0280709389620271E-2</v>
      </c>
      <c r="DO110" s="16" cm="1">
        <f t="array" aca="1" ref="DO110" ca="1">MIN(_xlfn._xlws.FILTER(CY110:DL110,CY110:DL110&gt;BW110))</f>
        <v>2.0280709389620271E-2</v>
      </c>
      <c r="DP110" s="2" cm="1">
        <f t="array" aca="1" ref="DP110" ca="1">_FV(EE110,"Fechamento anterior",TRUE)</f>
        <v>7.8</v>
      </c>
      <c r="DQ110" s="28">
        <f t="shared" ca="1" si="106"/>
        <v>0.5632153075822619</v>
      </c>
      <c r="DR110" s="15">
        <f t="shared" ca="1" si="134"/>
        <v>7.6418104667609619</v>
      </c>
      <c r="DS110" s="15">
        <f t="shared" ca="1" si="135"/>
        <v>7.9581895332390378</v>
      </c>
      <c r="DT110" s="9"/>
      <c r="DU110" s="9"/>
      <c r="DV110" s="9"/>
      <c r="DW110" s="89">
        <v>1.9213424498542721E-2</v>
      </c>
      <c r="DX110" s="89">
        <f t="shared" ca="1" si="107"/>
        <v>4.0561418779240542E-2</v>
      </c>
      <c r="DY110" s="72">
        <f t="shared" ca="1" si="108"/>
        <v>0.19527012826711507</v>
      </c>
      <c r="DZ110" s="37"/>
      <c r="EA110" s="35">
        <f t="shared" si="118"/>
        <v>0.38408332429304987</v>
      </c>
      <c r="EB110" s="56"/>
      <c r="EC110" s="56"/>
      <c r="EE110" s="2" t="e" vm="110">
        <v>#VALUE!</v>
      </c>
      <c r="EG110" s="10" cm="1">
        <f t="array" aca="1" ref="EG110" ca="1">_FV(EE110,"Ações em circulação",TRUE)</f>
        <v>115907200</v>
      </c>
      <c r="EH110" s="18">
        <f>VLOOKUP(BR110,Fundamentus!A:U,5,FALSE)</f>
        <v>0.82899999999999996</v>
      </c>
      <c r="EI110" s="2">
        <f t="shared" ca="1" si="109"/>
        <v>1093358629.6743064</v>
      </c>
      <c r="EJ110" s="17">
        <v>95450208.370566949</v>
      </c>
      <c r="EK110" s="17">
        <f t="shared" ca="1" si="110"/>
        <v>95450208.370566949</v>
      </c>
      <c r="EM110" s="16">
        <f t="shared" ca="1" si="97"/>
        <v>0</v>
      </c>
      <c r="EN110" s="32" t="str">
        <f>IF(VLOOKUP(BR110,Fundamentus!A:U,3,FALSE)&lt;15,"Bom",IF(VLOOKUP(BR110,Fundamentus!A:U,3,FALSE)&gt;15,"Ruim","n/a"))</f>
        <v>Bom</v>
      </c>
      <c r="EO110" s="28" t="str">
        <f>IF(VLOOKUP(BR110,Fundamentus!A:U,4,FALSE)&lt;1,"Baixo",IF(VLOOKUP(BR110,Fundamentus!A:U,4,FALSE)&lt;1.5,"Moderado",IF(VLOOKUP(BR110,Fundamentus!A:U,4,FALSE)&gt;1.5,"Alto","n/a")))</f>
        <v>Baixo</v>
      </c>
      <c r="EP110" s="17" t="str">
        <f>IF(VLOOKUP(BR110,Fundamentus!A:U,8,FALSE)&lt;0,"Risco elevado",IF(VLOOKUP(BR110,Fundamentus!A:U,8,FALSE)&lt;1,"Saudável",IF(VLOOKUP(BR110,Fundamentus!A:U,8,FALSE)&lt;3,"Estável",IF(VLOOKUP(BR110,Fundamentus!A:U,8,FALSE)&gt;3,"Alerta","n/a"))))</f>
        <v>Alerta</v>
      </c>
      <c r="EQ110" s="28" t="str">
        <f t="shared" si="111"/>
        <v>Ruim</v>
      </c>
      <c r="ER110" s="17" t="str">
        <f>IF(VLOOKUP(BR110,Fundamentus!A:U,12,FALSE)&lt;2,"Subvalorizada",IF(VLOOKUP(BR110,Fundamentus!A:U,12,FALSE)&lt;6,"Muita barata",IF(VLOOKUP(BR110,Fundamentus!A:U,12,FALSE)&lt;6,"Barata",IF(VLOOKUP(BR110,Fundamentus!A:U,12,FALSE)&lt;8,"Atrativa",IF(VLOOKUP(BR110,Fundamentus!A:U,12,FALSE)&gt;8,"Supervalorizada","n/a")))))</f>
        <v>Muita barata</v>
      </c>
      <c r="ET110" s="17" t="str">
        <f>IF(VLOOKUP(BR110,Fundamentus!A:U,17,FALSE)&lt;0.1,"Fraco retorno",IF(VLOOKUP(BR110,Fundamentus!A:U,17,FALSE)&gt;0.1,"Bom retorno","n/a"))</f>
        <v>Fraco retorno</v>
      </c>
      <c r="EU110" s="17" t="str">
        <f>IF(VLOOKUP(BR110,Fundamentus!A:U,16,FALSE)&lt;0.1,"Ineficiente",IF(VLOOKUP(BR110,Fundamentus!A:U,16,FALSE)&gt;0.1,"Eficiente","n/a"))</f>
        <v>Eficiente</v>
      </c>
      <c r="EV110" s="33" t="str">
        <f>IF(VLOOKUP(BR110,Fundamentus!A:U,16,FALSE)&lt;0.1,"Oper. Ineficiente",IF(VLOOKUP(BR110,Fundamentus!A:U,16,FALSE)&gt;0.1,"Oper.Eficiente","n/a"))</f>
        <v>Oper.Eficiente</v>
      </c>
      <c r="EW110" s="34">
        <f>VLOOKUP(BR110,Fundamentus!A:U,14,FALSE)</f>
        <v>8.7300000000000003E-2</v>
      </c>
      <c r="EX110" s="17" t="str">
        <f>IF(VLOOKUP(BR110,Fundamentus!A:U,21,FALSE)&lt;0,"Negativo",IF(VLOOKUP(BR110,Fundamentus!A:U,21,FALSE)&lt;0.05,"Fraco",IF(VLOOKUP(BR110,Fundamentus!A:U,21,FALSE)&lt;0.1,"Bom",IF(VLOOKUP(BR110,Fundamentus!A:U,21,FALSE)&gt;0.1,"Muito bom","n/a"))))</f>
        <v>Muito bom</v>
      </c>
      <c r="EZ110" s="29" t="str">
        <f>IF(VLOOKUP(BR110,Fundamentus!A:U,15,FALSE)&gt;1,"Bom",IF(VLOOKUP(BR110,Fundamentus!A:U,15,FALSE)&lt;1,"Ruim","n/a"))</f>
        <v>Bom</v>
      </c>
      <c r="FA110" s="17" t="str">
        <f>IF(VLOOKUP(BR110,Fundamentus!A:U,20,FALSE)&lt;0.5,"Baixa",IF(VLOOKUP(BR110,Fundamentus!A:U,20,FALSE)&lt;1,"Moderada",IF(VLOOKUP(BR110,Fundamentus!A:U,20,FALSE)&lt;2,"Alerta",IF(VLOOKUP(BR110,Fundamentus!A:U,20,FALSE)&gt;2,"Alta","n/a"))))</f>
        <v>Alerta</v>
      </c>
      <c r="FB110" s="10"/>
    </row>
    <row r="111" spans="1:158" s="2" customFormat="1" ht="11.25"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5">
        <v>2.4700000000000002</v>
      </c>
      <c r="BC111" s="52">
        <v>2.52</v>
      </c>
      <c r="BD111" s="52">
        <v>2.58</v>
      </c>
      <c r="BE111" s="52">
        <v>2.72</v>
      </c>
      <c r="BF111" s="52">
        <v>2.69</v>
      </c>
      <c r="BG111" s="67">
        <v>2.65</v>
      </c>
      <c r="BH111" s="52">
        <v>2.6</v>
      </c>
      <c r="BI111" s="52">
        <v>2.77</v>
      </c>
      <c r="BJ111" s="52">
        <v>2.8</v>
      </c>
      <c r="BK111" s="52">
        <v>2.64</v>
      </c>
      <c r="BL111" s="52">
        <v>2.48</v>
      </c>
      <c r="BM111" s="52">
        <v>2.5</v>
      </c>
      <c r="BN111" s="52">
        <v>2.44</v>
      </c>
      <c r="BO111" s="52">
        <v>2.56</v>
      </c>
      <c r="BP111" s="52">
        <v>2.71</v>
      </c>
      <c r="BQ111" s="52" cm="1">
        <f t="array" aca="1" ref="BQ111" ca="1">_FV(EE111,"Preço")</f>
        <v>2.71</v>
      </c>
      <c r="BR111" s="69" t="s">
        <v>108</v>
      </c>
      <c r="BS111" s="36" cm="1">
        <f t="array" aca="1" ref="BS111" ca="1">_FV(EE111,"Média de volume",TRUE)</f>
        <v>73150</v>
      </c>
      <c r="BT111" s="36">
        <v>36900</v>
      </c>
      <c r="BU111" s="36" cm="1">
        <f t="array" aca="1" ref="BU111" ca="1">_FV(EE111,"Volume")</f>
        <v>36900</v>
      </c>
      <c r="BV111" s="24" cm="1">
        <f t="array" aca="1" ref="BV111" ca="1">_FV(EE111,"Beta")</f>
        <v>1.0430999999999999</v>
      </c>
      <c r="BW111" s="71" cm="1">
        <f t="array" aca="1" ref="BW111" ca="1">_FV(EE111,"Variação (%)",TRUE)</f>
        <v>3.0417999999999997E-2</v>
      </c>
      <c r="BY111" s="17" cm="1">
        <f t="array" aca="1" ref="BY111" ca="1">_FV(EE111,"Baixo")</f>
        <v>2.63</v>
      </c>
      <c r="BZ111" s="17" cm="1">
        <f t="array" aca="1" ref="BZ111" ca="1">_FV(EE111,"Alto")</f>
        <v>2.75</v>
      </c>
      <c r="CA111" s="24"/>
      <c r="CB111" s="63">
        <f ca="1">SQRT(22.5*(BQ111/VLOOKUP(BR111,Fundamentus!A:U,3,FALSE))*(BQ111/VLOOKUP(BR111,Fundamentus!A:U,4,FALSE)))</f>
        <v>3.4468466632130883</v>
      </c>
      <c r="CD111" s="62">
        <f t="shared" ca="1" si="112"/>
        <v>0</v>
      </c>
      <c r="CE111" s="8"/>
      <c r="CF111" s="61">
        <f t="shared" si="113"/>
        <v>2.0499999999999998</v>
      </c>
      <c r="CG111" s="61">
        <f t="shared" si="114"/>
        <v>2.99</v>
      </c>
      <c r="CH111" s="61">
        <f t="shared" si="115"/>
        <v>2.5130882352941173</v>
      </c>
      <c r="CI111" s="14"/>
      <c r="CJ111" s="35">
        <f t="shared" si="98"/>
        <v>2.6005152338067075</v>
      </c>
      <c r="CK111" s="15">
        <f t="shared" si="116"/>
        <v>2.7400000000000091</v>
      </c>
      <c r="CL111" s="35">
        <f t="shared" si="99"/>
        <v>2.8794847661933107</v>
      </c>
      <c r="CN111" s="14"/>
      <c r="CO111" s="17">
        <f t="shared" si="100"/>
        <v>1.2366666666666664</v>
      </c>
      <c r="CP111" s="17">
        <f t="shared" si="101"/>
        <v>1.6433333333333331</v>
      </c>
      <c r="CQ111" s="17">
        <f t="shared" si="102"/>
        <v>2.1766666666666667</v>
      </c>
      <c r="CR111" s="38">
        <f t="shared" si="117"/>
        <v>2.5833333333333335</v>
      </c>
      <c r="CS111" s="17">
        <f t="shared" si="103"/>
        <v>3.1166666666666671</v>
      </c>
      <c r="CT111" s="17">
        <f t="shared" si="104"/>
        <v>3.5233333333333339</v>
      </c>
      <c r="CU111" s="17">
        <f t="shared" si="105"/>
        <v>4.0566666666666675</v>
      </c>
      <c r="CV111" s="2" cm="1">
        <f t="array" aca="1" ref="CV111" ca="1">MAX(_xlfn._xlws.FILTER(CO111:CU111,CO111:CU111&lt;BQ111))</f>
        <v>2.5833333333333335</v>
      </c>
      <c r="CW111" s="2" cm="1">
        <f t="array" aca="1" ref="CW111" ca="1">MIN(_xlfn._xlws.FILTER($CO111:$CU111,$CO111:$CU111&gt;BQ111))</f>
        <v>3.1166666666666671</v>
      </c>
      <c r="CX111" s="16">
        <f t="shared" ca="1" si="119"/>
        <v>0.20645161290322589</v>
      </c>
      <c r="CY111" s="20">
        <f t="shared" ca="1" si="120"/>
        <v>-0.10322580645161294</v>
      </c>
      <c r="CZ111" s="20">
        <f t="shared" ca="1" si="121"/>
        <v>-6.8817204301075297E-2</v>
      </c>
      <c r="DA111" s="20">
        <f t="shared" ca="1" si="122"/>
        <v>-4.1290322580645175E-2</v>
      </c>
      <c r="DB111" s="20">
        <f t="shared" ca="1" si="123"/>
        <v>-2.2939068100358433E-2</v>
      </c>
      <c r="DC111" s="20">
        <f t="shared" ca="1" si="124"/>
        <v>-1.214421252371917E-2</v>
      </c>
      <c r="DD111" s="20">
        <f t="shared" ca="1" si="125"/>
        <v>-6.2561094819159361E-3</v>
      </c>
      <c r="DE111" s="20">
        <f t="shared" ca="1" si="126"/>
        <v>-3.1761786600496291E-3</v>
      </c>
      <c r="DF111" s="21">
        <f t="shared" ca="1" si="127"/>
        <v>3.1761786600496291E-3</v>
      </c>
      <c r="DG111" s="21">
        <f t="shared" ca="1" si="128"/>
        <v>6.2561094819159361E-3</v>
      </c>
      <c r="DH111" s="21">
        <f t="shared" ca="1" si="129"/>
        <v>1.214421252371917E-2</v>
      </c>
      <c r="DI111" s="21">
        <f t="shared" ca="1" si="130"/>
        <v>2.2939068100358433E-2</v>
      </c>
      <c r="DJ111" s="21">
        <f t="shared" ca="1" si="131"/>
        <v>4.1290322580645175E-2</v>
      </c>
      <c r="DK111" s="21">
        <f t="shared" ca="1" si="132"/>
        <v>6.8817204301075297E-2</v>
      </c>
      <c r="DL111" s="21">
        <f t="shared" ca="1" si="133"/>
        <v>0.10322580645161294</v>
      </c>
      <c r="DN111" s="16" cm="1">
        <f t="array" aca="1" ref="DN111" ca="1">MAX(_xlfn._xlws.FILTER(CY111:DL111,CY111:DL111&lt;BW111))</f>
        <v>2.2939068100358433E-2</v>
      </c>
      <c r="DO111" s="16" cm="1">
        <f t="array" aca="1" ref="DO111" ca="1">MIN(_xlfn._xlws.FILTER(CY111:DL111,CY111:DL111&gt;BW111))</f>
        <v>4.1290322580645175E-2</v>
      </c>
      <c r="DP111" s="2" cm="1">
        <f t="array" aca="1" ref="DP111" ca="1">_FV(EE111,"Fechamento anterior",TRUE)</f>
        <v>2.63</v>
      </c>
      <c r="DQ111" s="28">
        <f t="shared" ca="1" si="106"/>
        <v>0.40755703422053086</v>
      </c>
      <c r="DR111" s="15">
        <f t="shared" ca="1" si="134"/>
        <v>2.6903297491039426</v>
      </c>
      <c r="DS111" s="15">
        <f t="shared" ca="1" si="135"/>
        <v>2.7385935483870969</v>
      </c>
      <c r="DT111" s="9"/>
      <c r="DU111" s="9"/>
      <c r="DV111" s="9"/>
      <c r="DW111" s="89">
        <v>5.4414110141664338E-3</v>
      </c>
      <c r="DX111" s="89">
        <f t="shared" ca="1" si="107"/>
        <v>1.8351254480286742E-2</v>
      </c>
      <c r="DY111" s="72">
        <f t="shared" ca="1" si="108"/>
        <v>-0.21507725050371698</v>
      </c>
      <c r="DZ111" s="37"/>
      <c r="EA111" s="35">
        <f t="shared" si="118"/>
        <v>6.9742383096650845E-2</v>
      </c>
      <c r="EB111" s="56"/>
      <c r="EC111" s="56"/>
      <c r="EE111" s="2" t="e" vm="111">
        <v>#VALUE!</v>
      </c>
      <c r="EG111" s="10" cm="1">
        <f t="array" aca="1" ref="EG111" ca="1">_FV(EE111,"Ações em circulação",TRUE)</f>
        <v>1206361000</v>
      </c>
      <c r="EH111" s="18">
        <f>VLOOKUP(BR111,Fundamentus!A:U,5,FALSE)</f>
        <v>4.0279999999999996</v>
      </c>
      <c r="EI111" s="2">
        <f t="shared" ca="1" si="109"/>
        <v>811628180.23833179</v>
      </c>
      <c r="EJ111" s="17">
        <v>272707068.56007951</v>
      </c>
      <c r="EK111" s="17">
        <f t="shared" ca="1" si="110"/>
        <v>272707068.56007951</v>
      </c>
      <c r="EM111" s="16">
        <f t="shared" ca="1" si="97"/>
        <v>0</v>
      </c>
      <c r="EN111" s="32" t="str">
        <f>IF(VLOOKUP(BR111,Fundamentus!A:U,3,FALSE)&lt;15,"Bom",IF(VLOOKUP(BR111,Fundamentus!A:U,3,FALSE)&gt;15,"Ruim","n/a"))</f>
        <v>Bom</v>
      </c>
      <c r="EO111" s="28" t="str">
        <f>IF(VLOOKUP(BR111,Fundamentus!A:U,4,FALSE)&lt;1,"Baixo",IF(VLOOKUP(BR111,Fundamentus!A:U,4,FALSE)&lt;1.5,"Moderado",IF(VLOOKUP(BR111,Fundamentus!A:U,4,FALSE)&gt;1.5,"Alto","n/a")))</f>
        <v>Moderado</v>
      </c>
      <c r="EP111" s="17" t="str">
        <f>IF(VLOOKUP(BR111,Fundamentus!A:U,8,FALSE)&lt;0,"Risco elevado",IF(VLOOKUP(BR111,Fundamentus!A:U,8,FALSE)&lt;1,"Saudável",IF(VLOOKUP(BR111,Fundamentus!A:U,8,FALSE)&lt;3,"Estável",IF(VLOOKUP(BR111,Fundamentus!A:U,8,FALSE)&gt;3,"Alerta","n/a"))))</f>
        <v>Estável</v>
      </c>
      <c r="EQ111" s="28" t="str">
        <f t="shared" si="111"/>
        <v>Bom</v>
      </c>
      <c r="ER111" s="17" t="str">
        <f>IF(VLOOKUP(BR111,Fundamentus!A:U,12,FALSE)&lt;2,"Subvalorizada",IF(VLOOKUP(BR111,Fundamentus!A:U,12,FALSE)&lt;6,"Muita barata",IF(VLOOKUP(BR111,Fundamentus!A:U,12,FALSE)&lt;6,"Barata",IF(VLOOKUP(BR111,Fundamentus!A:U,12,FALSE)&lt;8,"Atrativa",IF(VLOOKUP(BR111,Fundamentus!A:U,12,FALSE)&gt;8,"Supervalorizada","n/a")))))</f>
        <v>Atrativa</v>
      </c>
      <c r="ET111" s="17" t="str">
        <f>IF(VLOOKUP(BR111,Fundamentus!A:U,17,FALSE)&lt;0.1,"Fraco retorno",IF(VLOOKUP(BR111,Fundamentus!A:U,17,FALSE)&gt;0.1,"Bom retorno","n/a"))</f>
        <v>Fraco retorno</v>
      </c>
      <c r="EU111" s="17" t="str">
        <f>IF(VLOOKUP(BR111,Fundamentus!A:U,16,FALSE)&lt;0.1,"Ineficiente",IF(VLOOKUP(BR111,Fundamentus!A:U,16,FALSE)&gt;0.1,"Eficiente","n/a"))</f>
        <v>Eficiente</v>
      </c>
      <c r="EV111" s="33" t="str">
        <f>IF(VLOOKUP(BR111,Fundamentus!A:U,16,FALSE)&lt;0.1,"Oper. Ineficiente",IF(VLOOKUP(BR111,Fundamentus!A:U,16,FALSE)&gt;0.1,"Oper.Eficiente","n/a"))</f>
        <v>Oper.Eficiente</v>
      </c>
      <c r="EW111" s="34">
        <f>VLOOKUP(BR111,Fundamentus!A:U,14,FALSE)</f>
        <v>0.33600000000000002</v>
      </c>
      <c r="EX111" s="17" t="str">
        <f>IF(VLOOKUP(BR111,Fundamentus!A:U,21,FALSE)&lt;0,"Negativo",IF(VLOOKUP(BR111,Fundamentus!A:U,21,FALSE)&lt;0.05,"Fraco",IF(VLOOKUP(BR111,Fundamentus!A:U,21,FALSE)&lt;0.1,"Bom",IF(VLOOKUP(BR111,Fundamentus!A:U,21,FALSE)&gt;0.1,"Muito bom","n/a"))))</f>
        <v>Muito bom</v>
      </c>
      <c r="EZ111" s="29" t="str">
        <f>IF(VLOOKUP(BR111,Fundamentus!A:U,15,FALSE)&gt;1,"Bom",IF(VLOOKUP(BR111,Fundamentus!A:U,15,FALSE)&lt;1,"Ruim","n/a"))</f>
        <v>Bom</v>
      </c>
      <c r="FA111" s="17" t="str">
        <f>IF(VLOOKUP(BR111,Fundamentus!A:U,20,FALSE)&lt;0.5,"Baixa",IF(VLOOKUP(BR111,Fundamentus!A:U,20,FALSE)&lt;1,"Moderada",IF(VLOOKUP(BR111,Fundamentus!A:U,20,FALSE)&lt;2,"Alerta",IF(VLOOKUP(BR111,Fundamentus!A:U,20,FALSE)&gt;2,"Alta","n/a"))))</f>
        <v>Moderada</v>
      </c>
      <c r="FB111" s="10"/>
    </row>
    <row r="112" spans="1:158" s="2" customFormat="1" ht="11.25"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5">
        <v>2.4700000000000002</v>
      </c>
      <c r="BC112" s="52">
        <v>2.52</v>
      </c>
      <c r="BD112" s="52">
        <v>2.58</v>
      </c>
      <c r="BE112" s="52">
        <v>2.72</v>
      </c>
      <c r="BF112" s="52">
        <v>2.69</v>
      </c>
      <c r="BG112" s="67">
        <v>2.65</v>
      </c>
      <c r="BH112" s="52">
        <v>2.6</v>
      </c>
      <c r="BI112" s="52">
        <v>2.77</v>
      </c>
      <c r="BJ112" s="52">
        <v>2.8</v>
      </c>
      <c r="BK112" s="52">
        <v>2.64</v>
      </c>
      <c r="BL112" s="52">
        <v>2.48</v>
      </c>
      <c r="BM112" s="52">
        <v>2.5</v>
      </c>
      <c r="BN112" s="52">
        <v>2.44</v>
      </c>
      <c r="BO112" s="52">
        <v>2.56</v>
      </c>
      <c r="BP112" s="52">
        <v>2.71</v>
      </c>
      <c r="BQ112" s="52" cm="1">
        <f t="array" aca="1" ref="BQ112" ca="1">_FV(EE112,"Preço")</f>
        <v>2.71</v>
      </c>
      <c r="BR112" s="69" t="s">
        <v>108</v>
      </c>
      <c r="BS112" s="36" cm="1">
        <f t="array" aca="1" ref="BS112" ca="1">_FV(EE112,"Média de volume",TRUE)</f>
        <v>73150</v>
      </c>
      <c r="BT112" s="36">
        <v>36900</v>
      </c>
      <c r="BU112" s="36" cm="1">
        <f t="array" aca="1" ref="BU112" ca="1">_FV(EE112,"Volume")</f>
        <v>36900</v>
      </c>
      <c r="BV112" s="24" cm="1">
        <f t="array" aca="1" ref="BV112" ca="1">_FV(EE112,"Beta")</f>
        <v>1.0430999999999999</v>
      </c>
      <c r="BW112" s="71" cm="1">
        <f t="array" aca="1" ref="BW112" ca="1">_FV(EE112,"Variação (%)",TRUE)</f>
        <v>3.0417999999999997E-2</v>
      </c>
      <c r="BY112" s="17" cm="1">
        <f t="array" aca="1" ref="BY112" ca="1">_FV(EE112,"Baixo")</f>
        <v>2.63</v>
      </c>
      <c r="BZ112" s="17" cm="1">
        <f t="array" aca="1" ref="BZ112" ca="1">_FV(EE112,"Alto")</f>
        <v>2.75</v>
      </c>
      <c r="CA112" s="24"/>
      <c r="CB112" s="63">
        <f ca="1">SQRT(22.5*(BQ112/VLOOKUP(BR112,Fundamentus!A:U,3,FALSE))*(BQ112/VLOOKUP(BR112,Fundamentus!A:U,4,FALSE)))</f>
        <v>3.4468466632130883</v>
      </c>
      <c r="CD112" s="62">
        <f t="shared" ca="1" si="112"/>
        <v>0</v>
      </c>
      <c r="CE112" s="8"/>
      <c r="CF112" s="61">
        <f t="shared" si="113"/>
        <v>2.0499999999999998</v>
      </c>
      <c r="CG112" s="61">
        <f t="shared" si="114"/>
        <v>2.99</v>
      </c>
      <c r="CH112" s="61">
        <f t="shared" si="115"/>
        <v>2.5130882352941173</v>
      </c>
      <c r="CI112" s="14"/>
      <c r="CJ112" s="35">
        <f t="shared" si="98"/>
        <v>2.6005152338067075</v>
      </c>
      <c r="CK112" s="15">
        <f t="shared" si="116"/>
        <v>2.7400000000000091</v>
      </c>
      <c r="CL112" s="35">
        <f t="shared" si="99"/>
        <v>2.8794847661933107</v>
      </c>
      <c r="CN112" s="14"/>
      <c r="CO112" s="17">
        <f t="shared" si="100"/>
        <v>1.2366666666666664</v>
      </c>
      <c r="CP112" s="17">
        <f t="shared" si="101"/>
        <v>1.6433333333333331</v>
      </c>
      <c r="CQ112" s="17">
        <f t="shared" si="102"/>
        <v>2.1766666666666667</v>
      </c>
      <c r="CR112" s="38">
        <f t="shared" si="117"/>
        <v>2.5833333333333335</v>
      </c>
      <c r="CS112" s="17">
        <f t="shared" si="103"/>
        <v>3.1166666666666671</v>
      </c>
      <c r="CT112" s="17">
        <f t="shared" si="104"/>
        <v>3.5233333333333339</v>
      </c>
      <c r="CU112" s="17">
        <f t="shared" si="105"/>
        <v>4.0566666666666675</v>
      </c>
      <c r="CV112" s="2" cm="1">
        <f t="array" aca="1" ref="CV112" ca="1">MAX(_xlfn._xlws.FILTER(CO112:CU112,CO112:CU112&lt;BQ112))</f>
        <v>2.5833333333333335</v>
      </c>
      <c r="CW112" s="2" cm="1">
        <f t="array" aca="1" ref="CW112" ca="1">MIN(_xlfn._xlws.FILTER($CO112:$CU112,$CO112:$CU112&gt;BQ112))</f>
        <v>3.1166666666666671</v>
      </c>
      <c r="CX112" s="16">
        <f t="shared" ca="1" si="119"/>
        <v>0.20645161290322589</v>
      </c>
      <c r="CY112" s="20">
        <f t="shared" ca="1" si="120"/>
        <v>-0.10322580645161294</v>
      </c>
      <c r="CZ112" s="20">
        <f t="shared" ca="1" si="121"/>
        <v>-6.8817204301075297E-2</v>
      </c>
      <c r="DA112" s="20">
        <f t="shared" ca="1" si="122"/>
        <v>-4.1290322580645175E-2</v>
      </c>
      <c r="DB112" s="20">
        <f t="shared" ca="1" si="123"/>
        <v>-2.2939068100358433E-2</v>
      </c>
      <c r="DC112" s="20">
        <f t="shared" ca="1" si="124"/>
        <v>-1.214421252371917E-2</v>
      </c>
      <c r="DD112" s="20">
        <f t="shared" ca="1" si="125"/>
        <v>-6.2561094819159361E-3</v>
      </c>
      <c r="DE112" s="20">
        <f t="shared" ca="1" si="126"/>
        <v>-3.1761786600496291E-3</v>
      </c>
      <c r="DF112" s="21">
        <f t="shared" ca="1" si="127"/>
        <v>3.1761786600496291E-3</v>
      </c>
      <c r="DG112" s="21">
        <f t="shared" ca="1" si="128"/>
        <v>6.2561094819159361E-3</v>
      </c>
      <c r="DH112" s="21">
        <f t="shared" ca="1" si="129"/>
        <v>1.214421252371917E-2</v>
      </c>
      <c r="DI112" s="21">
        <f t="shared" ca="1" si="130"/>
        <v>2.2939068100358433E-2</v>
      </c>
      <c r="DJ112" s="21">
        <f t="shared" ca="1" si="131"/>
        <v>4.1290322580645175E-2</v>
      </c>
      <c r="DK112" s="21">
        <f t="shared" ca="1" si="132"/>
        <v>6.8817204301075297E-2</v>
      </c>
      <c r="DL112" s="21">
        <f t="shared" ca="1" si="133"/>
        <v>0.10322580645161294</v>
      </c>
      <c r="DN112" s="16" cm="1">
        <f t="array" aca="1" ref="DN112" ca="1">MAX(_xlfn._xlws.FILTER(CY112:DL112,CY112:DL112&lt;BW112))</f>
        <v>2.2939068100358433E-2</v>
      </c>
      <c r="DO112" s="16" cm="1">
        <f t="array" aca="1" ref="DO112" ca="1">MIN(_xlfn._xlws.FILTER(CY112:DL112,CY112:DL112&gt;BW112))</f>
        <v>4.1290322580645175E-2</v>
      </c>
      <c r="DP112" s="2" cm="1">
        <f t="array" aca="1" ref="DP112" ca="1">_FV(EE112,"Fechamento anterior",TRUE)</f>
        <v>2.63</v>
      </c>
      <c r="DQ112" s="28">
        <f t="shared" ca="1" si="106"/>
        <v>0.40755703422053086</v>
      </c>
      <c r="DR112" s="15">
        <f t="shared" ca="1" si="134"/>
        <v>2.6903297491039426</v>
      </c>
      <c r="DS112" s="15">
        <f t="shared" ca="1" si="135"/>
        <v>2.7385935483870969</v>
      </c>
      <c r="DT112" s="9"/>
      <c r="DU112" s="9"/>
      <c r="DV112" s="9"/>
      <c r="DW112" s="89">
        <v>5.4414110141664338E-3</v>
      </c>
      <c r="DX112" s="89">
        <f t="shared" ca="1" si="107"/>
        <v>1.8351254480286742E-2</v>
      </c>
      <c r="DY112" s="72">
        <f t="shared" ca="1" si="108"/>
        <v>-0.21507725050371698</v>
      </c>
      <c r="DZ112" s="37"/>
      <c r="EA112" s="35">
        <f t="shared" si="118"/>
        <v>6.9742383096650845E-2</v>
      </c>
      <c r="EB112" s="56"/>
      <c r="EC112" s="56"/>
      <c r="EE112" s="2" t="e" vm="111">
        <v>#VALUE!</v>
      </c>
      <c r="EG112" s="10" cm="1">
        <f t="array" aca="1" ref="EG112" ca="1">_FV(EE112,"Ações em circulação",TRUE)</f>
        <v>1206361000</v>
      </c>
      <c r="EH112" s="18">
        <f>VLOOKUP(BR112,Fundamentus!A:U,5,FALSE)</f>
        <v>4.0279999999999996</v>
      </c>
      <c r="EI112" s="2">
        <f t="shared" ca="1" si="109"/>
        <v>811628180.23833179</v>
      </c>
      <c r="EJ112" s="17">
        <v>272707068.56007951</v>
      </c>
      <c r="EK112" s="17">
        <f t="shared" ca="1" si="110"/>
        <v>272707068.56007951</v>
      </c>
      <c r="EM112" s="16">
        <f t="shared" ca="1" si="97"/>
        <v>0</v>
      </c>
      <c r="EN112" s="32" t="str">
        <f>IF(VLOOKUP(BR112,Fundamentus!A:U,3,FALSE)&lt;15,"Bom",IF(VLOOKUP(BR112,Fundamentus!A:U,3,FALSE)&gt;15,"Ruim","n/a"))</f>
        <v>Bom</v>
      </c>
      <c r="EO112" s="28" t="str">
        <f>IF(VLOOKUP(BR112,Fundamentus!A:U,4,FALSE)&lt;1,"Baixo",IF(VLOOKUP(BR112,Fundamentus!A:U,4,FALSE)&lt;1.5,"Moderado",IF(VLOOKUP(BR112,Fundamentus!A:U,4,FALSE)&gt;1.5,"Alto","n/a")))</f>
        <v>Moderado</v>
      </c>
      <c r="EP112" s="17" t="str">
        <f>IF(VLOOKUP(BR112,Fundamentus!A:U,8,FALSE)&lt;0,"Risco elevado",IF(VLOOKUP(BR112,Fundamentus!A:U,8,FALSE)&lt;1,"Saudável",IF(VLOOKUP(BR112,Fundamentus!A:U,8,FALSE)&lt;3,"Estável",IF(VLOOKUP(BR112,Fundamentus!A:U,8,FALSE)&gt;3,"Alerta","n/a"))))</f>
        <v>Estável</v>
      </c>
      <c r="EQ112" s="28" t="str">
        <f t="shared" si="111"/>
        <v>Bom</v>
      </c>
      <c r="ER112" s="17" t="str">
        <f>IF(VLOOKUP(BR112,Fundamentus!A:U,12,FALSE)&lt;2,"Subvalorizada",IF(VLOOKUP(BR112,Fundamentus!A:U,12,FALSE)&lt;6,"Muita barata",IF(VLOOKUP(BR112,Fundamentus!A:U,12,FALSE)&lt;6,"Barata",IF(VLOOKUP(BR112,Fundamentus!A:U,12,FALSE)&lt;8,"Atrativa",IF(VLOOKUP(BR112,Fundamentus!A:U,12,FALSE)&gt;8,"Supervalorizada","n/a")))))</f>
        <v>Atrativa</v>
      </c>
      <c r="ET112" s="17" t="str">
        <f>IF(VLOOKUP(BR112,Fundamentus!A:U,17,FALSE)&lt;0.1,"Fraco retorno",IF(VLOOKUP(BR112,Fundamentus!A:U,17,FALSE)&gt;0.1,"Bom retorno","n/a"))</f>
        <v>Fraco retorno</v>
      </c>
      <c r="EU112" s="17" t="str">
        <f>IF(VLOOKUP(BR112,Fundamentus!A:U,16,FALSE)&lt;0.1,"Ineficiente",IF(VLOOKUP(BR112,Fundamentus!A:U,16,FALSE)&gt;0.1,"Eficiente","n/a"))</f>
        <v>Eficiente</v>
      </c>
      <c r="EV112" s="33" t="str">
        <f>IF(VLOOKUP(BR112,Fundamentus!A:U,16,FALSE)&lt;0.1,"Oper. Ineficiente",IF(VLOOKUP(BR112,Fundamentus!A:U,16,FALSE)&gt;0.1,"Oper.Eficiente","n/a"))</f>
        <v>Oper.Eficiente</v>
      </c>
      <c r="EW112" s="34">
        <f>VLOOKUP(BR112,Fundamentus!A:U,14,FALSE)</f>
        <v>0.33600000000000002</v>
      </c>
      <c r="EX112" s="17" t="str">
        <f>IF(VLOOKUP(BR112,Fundamentus!A:U,21,FALSE)&lt;0,"Negativo",IF(VLOOKUP(BR112,Fundamentus!A:U,21,FALSE)&lt;0.05,"Fraco",IF(VLOOKUP(BR112,Fundamentus!A:U,21,FALSE)&lt;0.1,"Bom",IF(VLOOKUP(BR112,Fundamentus!A:U,21,FALSE)&gt;0.1,"Muito bom","n/a"))))</f>
        <v>Muito bom</v>
      </c>
      <c r="EZ112" s="29" t="str">
        <f>IF(VLOOKUP(BR112,Fundamentus!A:U,15,FALSE)&gt;1,"Bom",IF(VLOOKUP(BR112,Fundamentus!A:U,15,FALSE)&lt;1,"Ruim","n/a"))</f>
        <v>Bom</v>
      </c>
      <c r="FA112" s="17" t="str">
        <f>IF(VLOOKUP(BR112,Fundamentus!A:U,20,FALSE)&lt;0.5,"Baixa",IF(VLOOKUP(BR112,Fundamentus!A:U,20,FALSE)&lt;1,"Moderada",IF(VLOOKUP(BR112,Fundamentus!A:U,20,FALSE)&lt;2,"Alerta",IF(VLOOKUP(BR112,Fundamentus!A:U,20,FALSE)&gt;2,"Alta","n/a"))))</f>
        <v>Moderada</v>
      </c>
      <c r="FB112" s="10"/>
    </row>
    <row r="113" spans="1:158" s="2" customFormat="1" ht="11.25"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5">
        <v>7.56</v>
      </c>
      <c r="BC113" s="52">
        <v>7.56</v>
      </c>
      <c r="BD113" s="52">
        <v>7.56</v>
      </c>
      <c r="BE113" s="52">
        <v>7.56</v>
      </c>
      <c r="BF113" s="52">
        <v>7.56</v>
      </c>
      <c r="BG113" s="67">
        <v>7.56</v>
      </c>
      <c r="BH113" s="52">
        <v>7.56</v>
      </c>
      <c r="BI113" s="52">
        <v>7.56</v>
      </c>
      <c r="BJ113" s="52">
        <v>7.56</v>
      </c>
      <c r="BK113" s="52">
        <v>7.56</v>
      </c>
      <c r="BL113" s="52">
        <v>7.56</v>
      </c>
      <c r="BM113" s="52">
        <v>7.56</v>
      </c>
      <c r="BN113" s="52">
        <v>7.56</v>
      </c>
      <c r="BO113" s="52">
        <v>7.56</v>
      </c>
      <c r="BP113" s="52">
        <v>7.56</v>
      </c>
      <c r="BQ113" s="52">
        <v>7.56</v>
      </c>
      <c r="BR113" s="69" t="s">
        <v>109</v>
      </c>
      <c r="BS113" s="36" cm="1">
        <f t="array" aca="1" ref="BS113" ca="1">_FV(EE113,"Média de volume",TRUE)</f>
        <v>1174700</v>
      </c>
      <c r="BT113" s="36">
        <v>1182600</v>
      </c>
      <c r="BU113" s="36" cm="1">
        <f t="array" aca="1" ref="BU113" ca="1">_FV(EE113,"Volume")</f>
        <v>1182600</v>
      </c>
      <c r="BV113" s="24" cm="1">
        <f t="array" aca="1" ref="BV113" ca="1">_FV(EE113,"Beta")</f>
        <v>0.95209999999999995</v>
      </c>
      <c r="BW113" s="71" cm="1">
        <f t="array" aca="1" ref="BW113" ca="1">_FV(EE113,"Variação (%)",TRUE)</f>
        <v>5.5560000000000002E-3</v>
      </c>
      <c r="BY113" s="17" cm="1">
        <f t="array" aca="1" ref="BY113" ca="1">_FV(EE113,"Baixo")</f>
        <v>7.1</v>
      </c>
      <c r="BZ113" s="17" cm="1">
        <f t="array" aca="1" ref="BZ113" ca="1">_FV(EE113,"Alto")</f>
        <v>7.26</v>
      </c>
      <c r="CA113" s="24"/>
      <c r="CB113" s="63">
        <f>SQRT(22.5*(BQ113/VLOOKUP(BR113,Fundamentus!A:U,3,FALSE))*(BQ113/VLOOKUP(BR113,Fundamentus!A:U,4,FALSE)))</f>
        <v>9.6347304721501708</v>
      </c>
      <c r="CD113" s="62">
        <f t="shared" si="112"/>
        <v>0</v>
      </c>
      <c r="CE113" s="8"/>
      <c r="CF113" s="61">
        <f t="shared" si="113"/>
        <v>7.43</v>
      </c>
      <c r="CG113" s="61">
        <f t="shared" si="114"/>
        <v>11.51</v>
      </c>
      <c r="CH113" s="61">
        <f t="shared" si="115"/>
        <v>9.1467647058823403</v>
      </c>
      <c r="CI113" s="14"/>
      <c r="CJ113" s="35">
        <f t="shared" si="98"/>
        <v>7.56</v>
      </c>
      <c r="CK113" s="15">
        <f t="shared" si="116"/>
        <v>7.56</v>
      </c>
      <c r="CL113" s="35">
        <f t="shared" si="99"/>
        <v>7.56</v>
      </c>
      <c r="CN113" s="14"/>
      <c r="CO113" s="17">
        <f t="shared" si="100"/>
        <v>2.0766666666666644</v>
      </c>
      <c r="CP113" s="17">
        <f t="shared" si="101"/>
        <v>4.7533333333333321</v>
      </c>
      <c r="CQ113" s="17">
        <f t="shared" si="102"/>
        <v>6.1566666666666645</v>
      </c>
      <c r="CR113" s="38">
        <f t="shared" si="117"/>
        <v>8.8333333333333321</v>
      </c>
      <c r="CS113" s="17">
        <f t="shared" si="103"/>
        <v>10.236666666666665</v>
      </c>
      <c r="CT113" s="17">
        <f t="shared" si="104"/>
        <v>12.913333333333332</v>
      </c>
      <c r="CU113" s="17">
        <f t="shared" si="105"/>
        <v>14.316666666666665</v>
      </c>
      <c r="CV113" s="2" cm="1">
        <f t="array" ref="CV113">MAX(_xlfn._xlws.FILTER(CO113:CU113,CO113:CU113&lt;BQ113))</f>
        <v>6.1566666666666645</v>
      </c>
      <c r="CW113" s="2" cm="1">
        <f t="array" ref="CW113">MIN(_xlfn._xlws.FILTER($CO113:$CU113,$CO113:$CU113&gt;BQ113))</f>
        <v>8.8333333333333321</v>
      </c>
      <c r="CX113" s="16">
        <f t="shared" si="119"/>
        <v>0.43475906876015191</v>
      </c>
      <c r="CY113" s="20">
        <f t="shared" si="120"/>
        <v>-0.21737953438007596</v>
      </c>
      <c r="CZ113" s="20">
        <f t="shared" si="121"/>
        <v>-0.1449196895867173</v>
      </c>
      <c r="DA113" s="20">
        <f t="shared" si="122"/>
        <v>-8.6951813752030385E-2</v>
      </c>
      <c r="DB113" s="20">
        <f t="shared" si="123"/>
        <v>-4.8306563195572437E-2</v>
      </c>
      <c r="DC113" s="20">
        <f t="shared" si="124"/>
        <v>-2.5574062868244232E-2</v>
      </c>
      <c r="DD113" s="20">
        <f t="shared" si="125"/>
        <v>-1.3174517235156119E-2</v>
      </c>
      <c r="DE113" s="20">
        <f t="shared" si="126"/>
        <v>-6.6886010578484914E-3</v>
      </c>
      <c r="DF113" s="21">
        <f t="shared" si="127"/>
        <v>6.6886010578484914E-3</v>
      </c>
      <c r="DG113" s="21">
        <f t="shared" si="128"/>
        <v>1.3174517235156119E-2</v>
      </c>
      <c r="DH113" s="21">
        <f t="shared" si="129"/>
        <v>2.5574062868244232E-2</v>
      </c>
      <c r="DI113" s="21">
        <f t="shared" si="130"/>
        <v>4.8306563195572437E-2</v>
      </c>
      <c r="DJ113" s="21">
        <f t="shared" si="131"/>
        <v>8.6951813752030385E-2</v>
      </c>
      <c r="DK113" s="21">
        <f t="shared" si="132"/>
        <v>0.1449196895867173</v>
      </c>
      <c r="DL113" s="21">
        <f t="shared" si="133"/>
        <v>0.21737953438007596</v>
      </c>
      <c r="DN113" s="16" cm="1">
        <f t="array" aca="1" ref="DN113" ca="1">MAX(_xlfn._xlws.FILTER(CY113:DL113,CY113:DL113&lt;BW113))</f>
        <v>-6.6886010578484914E-3</v>
      </c>
      <c r="DO113" s="16" cm="1">
        <f t="array" aca="1" ref="DO113" ca="1">MIN(_xlfn._xlws.FILTER(CY113:DL113,CY113:DL113&gt;BW113))</f>
        <v>6.6886010578484914E-3</v>
      </c>
      <c r="DP113" s="2" cm="1">
        <f t="array" aca="1" ref="DP113" ca="1">_FV(EE113,"Fechamento anterior",TRUE)</f>
        <v>7.2</v>
      </c>
      <c r="DQ113" s="28">
        <f t="shared" ca="1" si="106"/>
        <v>4.2377023661270474</v>
      </c>
      <c r="DR113" s="15">
        <f t="shared" ca="1" si="134"/>
        <v>7.1518420723834915</v>
      </c>
      <c r="DS113" s="15">
        <f t="shared" ca="1" si="135"/>
        <v>7.2481579276165089</v>
      </c>
      <c r="DT113" s="9"/>
      <c r="DU113" s="9"/>
      <c r="DV113" s="9"/>
      <c r="DW113" s="89">
        <v>2.2732500327328205E-2</v>
      </c>
      <c r="DX113" s="89">
        <f t="shared" ca="1" si="107"/>
        <v>1.3377202115696983E-2</v>
      </c>
      <c r="DY113" s="72" t="e">
        <f t="shared" si="108"/>
        <v>#DIV/0!</v>
      </c>
      <c r="DZ113" s="37"/>
      <c r="EA113" s="35">
        <f t="shared" si="118"/>
        <v>0</v>
      </c>
      <c r="EB113" s="56"/>
      <c r="EC113" s="56"/>
      <c r="EE113" s="2" t="e" vm="112">
        <v>#VALUE!</v>
      </c>
      <c r="EG113" s="10" cm="1">
        <f t="array" aca="1" ref="EG113" ca="1">_FV(EE113,"Ações em circulação",TRUE)</f>
        <v>179720100</v>
      </c>
      <c r="EH113" s="18">
        <f>VLOOKUP(BR113,Fundamentus!A:U,5,FALSE)</f>
        <v>0.82499999999999996</v>
      </c>
      <c r="EI113" s="2">
        <f t="shared" ca="1" si="109"/>
        <v>1646889643.6363637</v>
      </c>
      <c r="EJ113" s="17">
        <v>179346282.192</v>
      </c>
      <c r="EK113" s="17">
        <f t="shared" ca="1" si="110"/>
        <v>179346282.192</v>
      </c>
      <c r="EM113" s="16">
        <f t="shared" ca="1" si="97"/>
        <v>0</v>
      </c>
      <c r="EN113" s="32" t="str">
        <f>IF(VLOOKUP(BR113,Fundamentus!A:U,3,FALSE)&lt;15,"Bom",IF(VLOOKUP(BR113,Fundamentus!A:U,3,FALSE)&gt;15,"Ruim","n/a"))</f>
        <v>Bom</v>
      </c>
      <c r="EO113" s="28" t="str">
        <f>IF(VLOOKUP(BR113,Fundamentus!A:U,4,FALSE)&lt;1,"Baixo",IF(VLOOKUP(BR113,Fundamentus!A:U,4,FALSE)&lt;1.5,"Moderado",IF(VLOOKUP(BR113,Fundamentus!A:U,4,FALSE)&gt;1.5,"Alto","n/a")))</f>
        <v>Alto</v>
      </c>
      <c r="EP113" s="17" t="str">
        <f>IF(VLOOKUP(BR113,Fundamentus!A:U,8,FALSE)&lt;0,"Risco elevado",IF(VLOOKUP(BR113,Fundamentus!A:U,8,FALSE)&lt;1,"Saudável",IF(VLOOKUP(BR113,Fundamentus!A:U,8,FALSE)&lt;3,"Estável",IF(VLOOKUP(BR113,Fundamentus!A:U,8,FALSE)&gt;3,"Alerta","n/a"))))</f>
        <v>Estável</v>
      </c>
      <c r="EQ113" s="28" t="str">
        <f t="shared" si="111"/>
        <v>Ruim</v>
      </c>
      <c r="ER113" s="17" t="str">
        <f>IF(VLOOKUP(BR113,Fundamentus!A:U,12,FALSE)&lt;2,"Subvalorizada",IF(VLOOKUP(BR113,Fundamentus!A:U,12,FALSE)&lt;6,"Muita barata",IF(VLOOKUP(BR113,Fundamentus!A:U,12,FALSE)&lt;6,"Barata",IF(VLOOKUP(BR113,Fundamentus!A:U,12,FALSE)&lt;8,"Atrativa",IF(VLOOKUP(BR113,Fundamentus!A:U,12,FALSE)&gt;8,"Supervalorizada","n/a")))))</f>
        <v>Muita barata</v>
      </c>
      <c r="ET113" s="17" t="str">
        <f>IF(VLOOKUP(BR113,Fundamentus!A:U,17,FALSE)&lt;0.1,"Fraco retorno",IF(VLOOKUP(BR113,Fundamentus!A:U,17,FALSE)&gt;0.1,"Bom retorno","n/a"))</f>
        <v>Bom retorno</v>
      </c>
      <c r="EU113" s="17" t="str">
        <f>IF(VLOOKUP(BR113,Fundamentus!A:U,16,FALSE)&lt;0.1,"Ineficiente",IF(VLOOKUP(BR113,Fundamentus!A:U,16,FALSE)&gt;0.1,"Eficiente","n/a"))</f>
        <v>Eficiente</v>
      </c>
      <c r="EV113" s="33" t="str">
        <f>IF(VLOOKUP(BR113,Fundamentus!A:U,16,FALSE)&lt;0.1,"Oper. Ineficiente",IF(VLOOKUP(BR113,Fundamentus!A:U,16,FALSE)&gt;0.1,"Oper.Eficiente","n/a"))</f>
        <v>Oper.Eficiente</v>
      </c>
      <c r="EW113" s="34">
        <f>VLOOKUP(BR113,Fundamentus!A:U,14,FALSE)</f>
        <v>0.1089</v>
      </c>
      <c r="EX113" s="17" t="str">
        <f>IF(VLOOKUP(BR113,Fundamentus!A:U,21,FALSE)&lt;0,"Negativo",IF(VLOOKUP(BR113,Fundamentus!A:U,21,FALSE)&lt;0.05,"Fraco",IF(VLOOKUP(BR113,Fundamentus!A:U,21,FALSE)&lt;0.1,"Bom",IF(VLOOKUP(BR113,Fundamentus!A:U,21,FALSE)&gt;0.1,"Muito bom","n/a"))))</f>
        <v>Muito bom</v>
      </c>
      <c r="EZ113" s="29" t="str">
        <f>IF(VLOOKUP(BR113,Fundamentus!A:U,15,FALSE)&gt;1,"Bom",IF(VLOOKUP(BR113,Fundamentus!A:U,15,FALSE)&lt;1,"Ruim","n/a"))</f>
        <v>Bom</v>
      </c>
      <c r="FA113" s="17" t="str">
        <f>IF(VLOOKUP(BR113,Fundamentus!A:U,20,FALSE)&lt;0.5,"Baixa",IF(VLOOKUP(BR113,Fundamentus!A:U,20,FALSE)&lt;1,"Moderada",IF(VLOOKUP(BR113,Fundamentus!A:U,20,FALSE)&lt;2,"Alerta",IF(VLOOKUP(BR113,Fundamentus!A:U,20,FALSE)&gt;2,"Alta","n/a"))))</f>
        <v>Baixa</v>
      </c>
      <c r="FB113" s="10"/>
    </row>
    <row r="114" spans="1:158" s="2" customFormat="1" ht="11.25"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5">
        <v>15.44</v>
      </c>
      <c r="BC114" s="52">
        <v>17.420000000000002</v>
      </c>
      <c r="BD114" s="52">
        <v>17.600000000000001</v>
      </c>
      <c r="BE114" s="52">
        <v>18.16</v>
      </c>
      <c r="BF114" s="52">
        <v>17.559999999999999</v>
      </c>
      <c r="BG114" s="67">
        <v>18.36</v>
      </c>
      <c r="BH114" s="52">
        <v>18.559999999999999</v>
      </c>
      <c r="BI114" s="52">
        <v>19.559999999999999</v>
      </c>
      <c r="BJ114" s="52">
        <v>19.34</v>
      </c>
      <c r="BK114" s="52">
        <v>18.600000000000001</v>
      </c>
      <c r="BL114" s="52">
        <v>17.73</v>
      </c>
      <c r="BM114" s="52">
        <v>16.72</v>
      </c>
      <c r="BN114" s="52">
        <v>16.489999999999998</v>
      </c>
      <c r="BO114" s="52">
        <v>16.68</v>
      </c>
      <c r="BP114" s="52">
        <v>16.13</v>
      </c>
      <c r="BQ114" s="52" cm="1">
        <f t="array" aca="1" ref="BQ114" ca="1">_FV(EE114,"Preço")</f>
        <v>16.13</v>
      </c>
      <c r="BR114" s="69" t="s">
        <v>205</v>
      </c>
      <c r="BS114" s="36" cm="1">
        <f t="array" aca="1" ref="BS114" ca="1">_FV(EE114,"Média de volume",TRUE)</f>
        <v>17943000</v>
      </c>
      <c r="BT114" s="36">
        <v>18079100</v>
      </c>
      <c r="BU114" s="36" cm="1">
        <f t="array" aca="1" ref="BU114" ca="1">_FV(EE114,"Volume")</f>
        <v>18079100</v>
      </c>
      <c r="BV114" s="24" cm="1">
        <f t="array" aca="1" ref="BV114" ca="1">_FV(EE114,"Beta")</f>
        <v>1.7884</v>
      </c>
      <c r="BW114" s="71" cm="1">
        <f t="array" aca="1" ref="BW114" ca="1">_FV(EE114,"Variação (%)",TRUE)</f>
        <v>6.8659999999999997E-3</v>
      </c>
      <c r="BY114" s="17" cm="1">
        <f t="array" aca="1" ref="BY114" ca="1">_FV(EE114,"Baixo")</f>
        <v>15.71</v>
      </c>
      <c r="BZ114" s="17" cm="1">
        <f t="array" aca="1" ref="BZ114" ca="1">_FV(EE114,"Alto")</f>
        <v>16.13</v>
      </c>
      <c r="CA114" s="24"/>
      <c r="CB114" s="63">
        <f ca="1">SQRT(22.5*(BQ114/VLOOKUP(BR114,Fundamentus!A:U,3,FALSE))*(BQ114/VLOOKUP(BR114,Fundamentus!A:U,4,FALSE)))</f>
        <v>14.837639820072331</v>
      </c>
      <c r="CD114" s="62">
        <f t="shared" ca="1" si="112"/>
        <v>0</v>
      </c>
      <c r="CE114" s="8"/>
      <c r="CF114" s="61">
        <f t="shared" si="113"/>
        <v>11.33</v>
      </c>
      <c r="CG114" s="61">
        <f t="shared" si="114"/>
        <v>19.559999999999999</v>
      </c>
      <c r="CH114" s="61">
        <f t="shared" si="115"/>
        <v>15.206838235294114</v>
      </c>
      <c r="CI114" s="14"/>
      <c r="CJ114" s="35">
        <f t="shared" si="98"/>
        <v>14.500995338726579</v>
      </c>
      <c r="CK114" s="15">
        <f t="shared" si="116"/>
        <v>16.110000000000127</v>
      </c>
      <c r="CL114" s="35">
        <f t="shared" si="99"/>
        <v>17.719004661273676</v>
      </c>
      <c r="CN114" s="14"/>
      <c r="CO114" s="17">
        <f t="shared" si="100"/>
        <v>3.5566666666666666</v>
      </c>
      <c r="CP114" s="17">
        <f t="shared" si="101"/>
        <v>7.4433333333333334</v>
      </c>
      <c r="CQ114" s="17">
        <f t="shared" si="102"/>
        <v>11.786666666666665</v>
      </c>
      <c r="CR114" s="38">
        <f t="shared" si="117"/>
        <v>15.673333333333332</v>
      </c>
      <c r="CS114" s="17">
        <f t="shared" si="103"/>
        <v>20.016666666666666</v>
      </c>
      <c r="CT114" s="17">
        <f t="shared" si="104"/>
        <v>23.903333333333329</v>
      </c>
      <c r="CU114" s="17">
        <f t="shared" si="105"/>
        <v>28.246666666666663</v>
      </c>
      <c r="CV114" s="2" cm="1">
        <f t="array" aca="1" ref="CV114" ca="1">MAX(_xlfn._xlws.FILTER(CO114:CU114,CO114:CU114&lt;BQ114))</f>
        <v>15.673333333333332</v>
      </c>
      <c r="CW114" s="2" cm="1">
        <f t="array" aca="1" ref="CW114" ca="1">MIN(_xlfn._xlws.FILTER($CO114:$CU114,$CO114:$CU114&gt;BQ114))</f>
        <v>20.016666666666666</v>
      </c>
      <c r="CX114" s="16">
        <f t="shared" ca="1" si="119"/>
        <v>0.27711612079965975</v>
      </c>
      <c r="CY114" s="20">
        <f t="shared" ca="1" si="120"/>
        <v>-0.13855806039982987</v>
      </c>
      <c r="CZ114" s="20">
        <f t="shared" ca="1" si="121"/>
        <v>-9.2372040266553254E-2</v>
      </c>
      <c r="DA114" s="20">
        <f t="shared" ca="1" si="122"/>
        <v>-5.542322415993195E-2</v>
      </c>
      <c r="DB114" s="20">
        <f t="shared" ca="1" si="123"/>
        <v>-3.0790680088851084E-2</v>
      </c>
      <c r="DC114" s="20">
        <f t="shared" ca="1" si="124"/>
        <v>-1.6300948282332927E-2</v>
      </c>
      <c r="DD114" s="20">
        <f t="shared" ca="1" si="125"/>
        <v>-8.3974582060502949E-3</v>
      </c>
      <c r="DE114" s="20">
        <f t="shared" ca="1" si="126"/>
        <v>-4.2633249353793805E-3</v>
      </c>
      <c r="DF114" s="21">
        <f t="shared" ca="1" si="127"/>
        <v>4.2633249353793805E-3</v>
      </c>
      <c r="DG114" s="21">
        <f t="shared" ca="1" si="128"/>
        <v>8.3974582060502949E-3</v>
      </c>
      <c r="DH114" s="21">
        <f t="shared" ca="1" si="129"/>
        <v>1.6300948282332927E-2</v>
      </c>
      <c r="DI114" s="21">
        <f t="shared" ca="1" si="130"/>
        <v>3.0790680088851084E-2</v>
      </c>
      <c r="DJ114" s="21">
        <f t="shared" ca="1" si="131"/>
        <v>5.542322415993195E-2</v>
      </c>
      <c r="DK114" s="21">
        <f t="shared" ca="1" si="132"/>
        <v>9.2372040266553254E-2</v>
      </c>
      <c r="DL114" s="21">
        <f t="shared" ca="1" si="133"/>
        <v>0.13855806039982987</v>
      </c>
      <c r="DN114" s="16" cm="1">
        <f t="array" aca="1" ref="DN114" ca="1">MAX(_xlfn._xlws.FILTER(CY114:DL114,CY114:DL114&lt;BW114))</f>
        <v>4.2633249353793805E-3</v>
      </c>
      <c r="DO114" s="16" cm="1">
        <f t="array" aca="1" ref="DO114" ca="1">MIN(_xlfn._xlws.FILTER(CY114:DL114,CY114:DL114&gt;BW114))</f>
        <v>8.3974582060502949E-3</v>
      </c>
      <c r="DP114" s="2" cm="1">
        <f t="array" aca="1" ref="DP114" ca="1">_FV(EE114,"Fechamento anterior",TRUE)</f>
        <v>16.02</v>
      </c>
      <c r="DQ114" s="28">
        <f t="shared" ca="1" si="106"/>
        <v>0.62965847324381174</v>
      </c>
      <c r="DR114" s="15">
        <f t="shared" ca="1" si="134"/>
        <v>16.088298465464778</v>
      </c>
      <c r="DS114" s="15">
        <f t="shared" ca="1" si="135"/>
        <v>16.154527280460925</v>
      </c>
      <c r="DT114" s="9"/>
      <c r="DU114" s="9"/>
      <c r="DV114" s="9"/>
      <c r="DW114" s="89">
        <v>3.8063205101254292E-2</v>
      </c>
      <c r="DX114" s="89">
        <f t="shared" ca="1" si="107"/>
        <v>4.1341332706709144E-3</v>
      </c>
      <c r="DY114" s="72">
        <f t="shared" ca="1" si="108"/>
        <v>1.2430044785601436E-2</v>
      </c>
      <c r="DZ114" s="37"/>
      <c r="EA114" s="35">
        <f t="shared" si="118"/>
        <v>0.80450233063677423</v>
      </c>
      <c r="EB114" s="56"/>
      <c r="EC114" s="56"/>
      <c r="EE114" s="2" t="e" vm="113">
        <v>#VALUE!</v>
      </c>
      <c r="EG114" s="10" cm="1">
        <f t="array" aca="1" ref="EG114" ca="1">_FV(EE114,"Ações em circulação",TRUE)</f>
        <v>1059715000</v>
      </c>
      <c r="EH114" s="18">
        <f>VLOOKUP(BR114,Fundamentus!A:U,5,FALSE)</f>
        <v>1.264</v>
      </c>
      <c r="EI114" s="2">
        <f t="shared" ca="1" si="109"/>
        <v>13523103599.683542</v>
      </c>
      <c r="EJ114" s="17">
        <v>1169748461.3726263</v>
      </c>
      <c r="EK114" s="17">
        <f t="shared" ca="1" si="110"/>
        <v>1169748461.3726263</v>
      </c>
      <c r="EM114" s="16">
        <f t="shared" ca="1" si="97"/>
        <v>0</v>
      </c>
      <c r="EN114" s="32" t="str">
        <f>IF(VLOOKUP(BR114,Fundamentus!A:U,3,FALSE)&lt;15,"Bom",IF(VLOOKUP(BR114,Fundamentus!A:U,3,FALSE)&gt;15,"Ruim","n/a"))</f>
        <v>Bom</v>
      </c>
      <c r="EO114" s="28" t="str">
        <f>IF(VLOOKUP(BR114,Fundamentus!A:U,4,FALSE)&lt;1,"Baixo",IF(VLOOKUP(BR114,Fundamentus!A:U,4,FALSE)&lt;1.5,"Moderado",IF(VLOOKUP(BR114,Fundamentus!A:U,4,FALSE)&gt;1.5,"Alto","n/a")))</f>
        <v>Alto</v>
      </c>
      <c r="EP114" s="17" t="str">
        <f>IF(VLOOKUP(BR114,Fundamentus!A:U,8,FALSE)&lt;0,"Risco elevado",IF(VLOOKUP(BR114,Fundamentus!A:U,8,FALSE)&lt;1,"Saudável",IF(VLOOKUP(BR114,Fundamentus!A:U,8,FALSE)&lt;3,"Estável",IF(VLOOKUP(BR114,Fundamentus!A:U,8,FALSE)&gt;3,"Alerta","n/a"))))</f>
        <v>Alerta</v>
      </c>
      <c r="EQ114" s="28" t="str">
        <f t="shared" si="111"/>
        <v>Bom</v>
      </c>
      <c r="ER114" s="17" t="str">
        <f>IF(VLOOKUP(BR114,Fundamentus!A:U,12,FALSE)&lt;2,"Subvalorizada",IF(VLOOKUP(BR114,Fundamentus!A:U,12,FALSE)&lt;6,"Muita barata",IF(VLOOKUP(BR114,Fundamentus!A:U,12,FALSE)&lt;6,"Barata",IF(VLOOKUP(BR114,Fundamentus!A:U,12,FALSE)&lt;8,"Atrativa",IF(VLOOKUP(BR114,Fundamentus!A:U,12,FALSE)&gt;8,"Supervalorizada","n/a")))))</f>
        <v>Muita barata</v>
      </c>
      <c r="ET114" s="17" t="str">
        <f>IF(VLOOKUP(BR114,Fundamentus!A:U,17,FALSE)&lt;0.1,"Fraco retorno",IF(VLOOKUP(BR114,Fundamentus!A:U,17,FALSE)&gt;0.1,"Bom retorno","n/a"))</f>
        <v>Bom retorno</v>
      </c>
      <c r="EU114" s="17" t="str">
        <f>IF(VLOOKUP(BR114,Fundamentus!A:U,16,FALSE)&lt;0.1,"Ineficiente",IF(VLOOKUP(BR114,Fundamentus!A:U,16,FALSE)&gt;0.1,"Eficiente","n/a"))</f>
        <v>Eficiente</v>
      </c>
      <c r="EV114" s="33" t="str">
        <f>IF(VLOOKUP(BR114,Fundamentus!A:U,16,FALSE)&lt;0.1,"Oper. Ineficiente",IF(VLOOKUP(BR114,Fundamentus!A:U,16,FALSE)&gt;0.1,"Oper.Eficiente","n/a"))</f>
        <v>Oper.Eficiente</v>
      </c>
      <c r="EW114" s="34">
        <f>VLOOKUP(BR114,Fundamentus!A:U,14,FALSE)</f>
        <v>8.6499999999999994E-2</v>
      </c>
      <c r="EX114" s="17" t="str">
        <f>IF(VLOOKUP(BR114,Fundamentus!A:U,21,FALSE)&lt;0,"Negativo",IF(VLOOKUP(BR114,Fundamentus!A:U,21,FALSE)&lt;0.05,"Fraco",IF(VLOOKUP(BR114,Fundamentus!A:U,21,FALSE)&lt;0.1,"Bom",IF(VLOOKUP(BR114,Fundamentus!A:U,21,FALSE)&gt;0.1,"Muito bom","n/a"))))</f>
        <v>Muito bom</v>
      </c>
      <c r="EZ114" s="29" t="str">
        <f>IF(VLOOKUP(BR114,Fundamentus!A:U,15,FALSE)&gt;1,"Bom",IF(VLOOKUP(BR114,Fundamentus!A:U,15,FALSE)&lt;1,"Ruim","n/a"))</f>
        <v>Bom</v>
      </c>
      <c r="FA114" s="17" t="str">
        <f>IF(VLOOKUP(BR114,Fundamentus!A:U,20,FALSE)&lt;0.5,"Baixa",IF(VLOOKUP(BR114,Fundamentus!A:U,20,FALSE)&lt;1,"Moderada",IF(VLOOKUP(BR114,Fundamentus!A:U,20,FALSE)&lt;2,"Alerta",IF(VLOOKUP(BR114,Fundamentus!A:U,20,FALSE)&gt;2,"Alta","n/a"))))</f>
        <v>Baixa</v>
      </c>
      <c r="FB114" s="10">
        <v>1</v>
      </c>
    </row>
    <row r="115" spans="1:158" s="2" customFormat="1" ht="11.25"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5">
        <v>20.45</v>
      </c>
      <c r="BC115" s="52">
        <v>20.66</v>
      </c>
      <c r="BD115" s="52">
        <v>24.84</v>
      </c>
      <c r="BE115" s="52">
        <v>25.41</v>
      </c>
      <c r="BF115" s="52">
        <v>24.53</v>
      </c>
      <c r="BG115" s="67">
        <v>25.18</v>
      </c>
      <c r="BH115" s="52">
        <v>23.32</v>
      </c>
      <c r="BI115" s="52">
        <v>22.5</v>
      </c>
      <c r="BJ115" s="52">
        <v>22.23</v>
      </c>
      <c r="BK115" s="52">
        <v>23</v>
      </c>
      <c r="BL115" s="52">
        <v>22.64</v>
      </c>
      <c r="BM115" s="52">
        <v>23.26</v>
      </c>
      <c r="BN115" s="52">
        <v>21.42</v>
      </c>
      <c r="BO115" s="52">
        <v>22.31</v>
      </c>
      <c r="BP115" s="52">
        <v>23.36</v>
      </c>
      <c r="BQ115" s="52" cm="1">
        <f t="array" aca="1" ref="BQ115" ca="1">_FV(EE115,"Preço")</f>
        <v>23.36</v>
      </c>
      <c r="BR115" s="69" t="s">
        <v>111</v>
      </c>
      <c r="BS115" s="36" cm="1">
        <f t="array" aca="1" ref="BS115" ca="1">_FV(EE115,"Média de volume",TRUE)</f>
        <v>4558540</v>
      </c>
      <c r="BT115" s="36">
        <v>11066700</v>
      </c>
      <c r="BU115" s="36" cm="1">
        <f t="array" aca="1" ref="BU115" ca="1">_FV(EE115,"Volume")</f>
        <v>11066700</v>
      </c>
      <c r="BV115" s="24" cm="1">
        <f t="array" aca="1" ref="BV115" ca="1">_FV(EE115,"Beta")</f>
        <v>0.99550000000000005</v>
      </c>
      <c r="BW115" s="71" cm="1">
        <f t="array" aca="1" ref="BW115" ca="1">_FV(EE115,"Variação (%)",TRUE)</f>
        <v>8.7523000000000004E-2</v>
      </c>
      <c r="BY115" s="17" cm="1">
        <f t="array" aca="1" ref="BY115" ca="1">_FV(EE115,"Baixo")</f>
        <v>21.54</v>
      </c>
      <c r="BZ115" s="17" cm="1">
        <f t="array" aca="1" ref="BZ115" ca="1">_FV(EE115,"Alto")</f>
        <v>23.41</v>
      </c>
      <c r="CA115" s="24"/>
      <c r="CB115" s="63">
        <f ca="1">SQRT(22.5*(BQ115/VLOOKUP(BR115,Fundamentus!A:U,3,FALSE))*(BQ115/VLOOKUP(BR115,Fundamentus!A:U,4,FALSE)))</f>
        <v>15.683826887681022</v>
      </c>
      <c r="CD115" s="62">
        <f t="shared" ca="1" si="112"/>
        <v>0</v>
      </c>
      <c r="CE115" s="8"/>
      <c r="CF115" s="61">
        <f t="shared" si="113"/>
        <v>9.56</v>
      </c>
      <c r="CG115" s="61">
        <f t="shared" si="114"/>
        <v>25.41</v>
      </c>
      <c r="CH115" s="61">
        <f t="shared" si="115"/>
        <v>16.618897058823528</v>
      </c>
      <c r="CI115" s="14"/>
      <c r="CJ115" s="35">
        <f t="shared" si="98"/>
        <v>21.605525107710076</v>
      </c>
      <c r="CK115" s="15">
        <f t="shared" si="116"/>
        <v>22.884999999999877</v>
      </c>
      <c r="CL115" s="35">
        <f t="shared" si="99"/>
        <v>24.164474892289679</v>
      </c>
      <c r="CN115" s="14"/>
      <c r="CO115" s="17">
        <f t="shared" si="100"/>
        <v>-2.3733333333333366</v>
      </c>
      <c r="CP115" s="17">
        <f t="shared" si="101"/>
        <v>3.5933333333333319</v>
      </c>
      <c r="CQ115" s="17">
        <f t="shared" si="102"/>
        <v>13.476666666666663</v>
      </c>
      <c r="CR115" s="38">
        <f t="shared" si="117"/>
        <v>19.443333333333332</v>
      </c>
      <c r="CS115" s="17">
        <f t="shared" si="103"/>
        <v>29.326666666666661</v>
      </c>
      <c r="CT115" s="17">
        <f t="shared" si="104"/>
        <v>35.293333333333329</v>
      </c>
      <c r="CU115" s="17">
        <f t="shared" si="105"/>
        <v>45.176666666666662</v>
      </c>
      <c r="CV115" s="2" cm="1">
        <f t="array" aca="1" ref="CV115" ca="1">MAX(_xlfn._xlws.FILTER(CO115:CU115,CO115:CU115&lt;BQ115))</f>
        <v>19.443333333333332</v>
      </c>
      <c r="CW115" s="2" cm="1">
        <f t="array" aca="1" ref="CW115" ca="1">MIN(_xlfn._xlws.FILTER($CO115:$CU115,$CO115:$CU115&gt;BQ115))</f>
        <v>29.326666666666661</v>
      </c>
      <c r="CX115" s="16">
        <f t="shared" ref="CX115:CX146" ca="1" si="136">(CW115/CV115)-1</f>
        <v>0.5083147608434766</v>
      </c>
      <c r="CY115" s="20">
        <f t="shared" ref="CY115:CY146" ca="1" si="137">-$CX115/2</f>
        <v>-0.2541573804217383</v>
      </c>
      <c r="CZ115" s="20">
        <f t="shared" ref="CZ115:CZ146" ca="1" si="138">-$CX115/3</f>
        <v>-0.16943825361449219</v>
      </c>
      <c r="DA115" s="20">
        <f t="shared" ref="DA115:DA146" ca="1" si="139">-$CX115/5</f>
        <v>-0.10166295216869532</v>
      </c>
      <c r="DB115" s="20">
        <f t="shared" ref="DB115:DB146" ca="1" si="140">-$CX115/9</f>
        <v>-5.6479417871497399E-2</v>
      </c>
      <c r="DC115" s="20">
        <f t="shared" ref="DC115:DC146" ca="1" si="141">-$CX115/17</f>
        <v>-2.9900868284910388E-2</v>
      </c>
      <c r="DD115" s="20">
        <f t="shared" ref="DD115:DD146" ca="1" si="142">-$CX115/33</f>
        <v>-1.5403477601317472E-2</v>
      </c>
      <c r="DE115" s="20">
        <f t="shared" ref="DE115:DE146" ca="1" si="143">-$CX115/65</f>
        <v>-7.8202270898996406E-3</v>
      </c>
      <c r="DF115" s="21">
        <f t="shared" ref="DF115:DF146" ca="1" si="144">-$CX115/65*-1</f>
        <v>7.8202270898996406E-3</v>
      </c>
      <c r="DG115" s="21">
        <f t="shared" ref="DG115:DG146" ca="1" si="145">-$CX115/33*-1</f>
        <v>1.5403477601317472E-2</v>
      </c>
      <c r="DH115" s="21">
        <f t="shared" ref="DH115:DH146" ca="1" si="146">-$CX115/17*-1</f>
        <v>2.9900868284910388E-2</v>
      </c>
      <c r="DI115" s="21">
        <f t="shared" ref="DI115:DI146" ca="1" si="147">-$CX115/9*-1</f>
        <v>5.6479417871497399E-2</v>
      </c>
      <c r="DJ115" s="21">
        <f t="shared" ref="DJ115:DJ146" ca="1" si="148">-$CX115/5*-1</f>
        <v>0.10166295216869532</v>
      </c>
      <c r="DK115" s="21">
        <f t="shared" ref="DK115:DK146" ca="1" si="149">-$CX115/3*-1</f>
        <v>0.16943825361449219</v>
      </c>
      <c r="DL115" s="21">
        <f t="shared" ref="DL115:DL146" ca="1" si="150">-$CX115/2*-1</f>
        <v>0.2541573804217383</v>
      </c>
      <c r="DN115" s="16" cm="1">
        <f t="array" aca="1" ref="DN115" ca="1">MAX(_xlfn._xlws.FILTER(CY115:DL115,CY115:DL115&lt;BW115))</f>
        <v>5.6479417871497399E-2</v>
      </c>
      <c r="DO115" s="16" cm="1">
        <f t="array" aca="1" ref="DO115" ca="1">MIN(_xlfn._xlws.FILTER(CY115:DL115,CY115:DL115&gt;BW115))</f>
        <v>0.10166295216869532</v>
      </c>
      <c r="DP115" s="2" cm="1">
        <f t="array" aca="1" ref="DP115" ca="1">_FV(EE115,"Fechamento anterior",TRUE)</f>
        <v>21.48</v>
      </c>
      <c r="DQ115" s="28">
        <f t="shared" ca="1" si="106"/>
        <v>0.68706133946319636</v>
      </c>
      <c r="DR115" s="15">
        <f t="shared" ref="DR115:DR146" ca="1" si="151">DP115+(DP115*DN115)</f>
        <v>22.693177895879764</v>
      </c>
      <c r="DS115" s="15">
        <f t="shared" ref="DS115:DS146" ca="1" si="152">DP115+(DP115*DO115)</f>
        <v>23.663720212583577</v>
      </c>
      <c r="DT115" s="9"/>
      <c r="DU115" s="9"/>
      <c r="DV115" s="9"/>
      <c r="DW115" s="89">
        <v>7.4487895716945996E-3</v>
      </c>
      <c r="DX115" s="89">
        <f t="shared" ca="1" si="107"/>
        <v>4.5183534297197923E-2</v>
      </c>
      <c r="DY115" s="72">
        <f t="shared" ca="1" si="108"/>
        <v>0.37124605012767575</v>
      </c>
      <c r="DZ115" s="37"/>
      <c r="EA115" s="35">
        <f t="shared" si="118"/>
        <v>0.63973744614490069</v>
      </c>
      <c r="EB115" s="56"/>
      <c r="EC115" s="56"/>
      <c r="EE115" s="2" t="e" vm="114">
        <v>#VALUE!</v>
      </c>
      <c r="EG115" s="10" cm="1">
        <f t="array" aca="1" ref="EG115" ca="1">_FV(EE115,"Ações em circulação",TRUE)</f>
        <v>857928100</v>
      </c>
      <c r="EH115" s="18">
        <f>VLOOKUP(BR115,Fundamentus!A:U,5,FALSE)</f>
        <v>0.127</v>
      </c>
      <c r="EI115" s="2">
        <f t="shared" ca="1" si="109"/>
        <v>157804727685.03937</v>
      </c>
      <c r="EJ115" s="17">
        <v>4166044810.8850393</v>
      </c>
      <c r="EK115" s="17">
        <f t="shared" ca="1" si="110"/>
        <v>4166044810.8850393</v>
      </c>
      <c r="EM115" s="16">
        <f t="shared" ca="1" si="97"/>
        <v>0</v>
      </c>
      <c r="EN115" s="32" t="str">
        <f>IF(VLOOKUP(BR115,Fundamentus!A:U,3,FALSE)&lt;15,"Bom",IF(VLOOKUP(BR115,Fundamentus!A:U,3,FALSE)&gt;15,"Ruim","n/a"))</f>
        <v>Bom</v>
      </c>
      <c r="EO115" s="28" t="str">
        <f>IF(VLOOKUP(BR115,Fundamentus!A:U,4,FALSE)&lt;1,"Baixo",IF(VLOOKUP(BR115,Fundamentus!A:U,4,FALSE)&lt;1.5,"Moderado",IF(VLOOKUP(BR115,Fundamentus!A:U,4,FALSE)&gt;1.5,"Alto","n/a")))</f>
        <v>Alto</v>
      </c>
      <c r="EP115" s="17" t="str">
        <f>IF(VLOOKUP(BR115,Fundamentus!A:U,8,FALSE)&lt;0,"Risco elevado",IF(VLOOKUP(BR115,Fundamentus!A:U,8,FALSE)&lt;1,"Saudável",IF(VLOOKUP(BR115,Fundamentus!A:U,8,FALSE)&lt;3,"Estável",IF(VLOOKUP(BR115,Fundamentus!A:U,8,FALSE)&gt;3,"Alerta","n/a"))))</f>
        <v>Estável</v>
      </c>
      <c r="EQ115" s="28" t="str">
        <f t="shared" si="111"/>
        <v>Ruim</v>
      </c>
      <c r="ER115" s="17" t="str">
        <f>IF(VLOOKUP(BR115,Fundamentus!A:U,12,FALSE)&lt;2,"Subvalorizada",IF(VLOOKUP(BR115,Fundamentus!A:U,12,FALSE)&lt;6,"Muita barata",IF(VLOOKUP(BR115,Fundamentus!A:U,12,FALSE)&lt;6,"Barata",IF(VLOOKUP(BR115,Fundamentus!A:U,12,FALSE)&lt;8,"Atrativa",IF(VLOOKUP(BR115,Fundamentus!A:U,12,FALSE)&gt;8,"Supervalorizada","n/a")))))</f>
        <v>Muita barata</v>
      </c>
      <c r="ET115" s="17" t="str">
        <f>IF(VLOOKUP(BR115,Fundamentus!A:U,17,FALSE)&lt;0.1,"Fraco retorno",IF(VLOOKUP(BR115,Fundamentus!A:U,17,FALSE)&gt;0.1,"Bom retorno","n/a"))</f>
        <v>Bom retorno</v>
      </c>
      <c r="EU115" s="17" t="str">
        <f>IF(VLOOKUP(BR115,Fundamentus!A:U,16,FALSE)&lt;0.1,"Ineficiente",IF(VLOOKUP(BR115,Fundamentus!A:U,16,FALSE)&gt;0.1,"Eficiente","n/a"))</f>
        <v>Ineficiente</v>
      </c>
      <c r="EV115" s="33" t="str">
        <f>IF(VLOOKUP(BR115,Fundamentus!A:U,16,FALSE)&lt;0.1,"Oper. Ineficiente",IF(VLOOKUP(BR115,Fundamentus!A:U,16,FALSE)&gt;0.1,"Oper.Eficiente","n/a"))</f>
        <v>Oper. Ineficiente</v>
      </c>
      <c r="EW115" s="34">
        <f>VLOOKUP(BR115,Fundamentus!A:U,14,FALSE)</f>
        <v>2.64E-2</v>
      </c>
      <c r="EX115" s="17" t="str">
        <f>IF(VLOOKUP(BR115,Fundamentus!A:U,21,FALSE)&lt;0,"Negativo",IF(VLOOKUP(BR115,Fundamentus!A:U,21,FALSE)&lt;0.05,"Fraco",IF(VLOOKUP(BR115,Fundamentus!A:U,21,FALSE)&lt;0.1,"Bom",IF(VLOOKUP(BR115,Fundamentus!A:U,21,FALSE)&gt;0.1,"Muito bom","n/a"))))</f>
        <v>Muito bom</v>
      </c>
      <c r="EZ115" s="29" t="str">
        <f>IF(VLOOKUP(BR115,Fundamentus!A:U,15,FALSE)&gt;1,"Bom",IF(VLOOKUP(BR115,Fundamentus!A:U,15,FALSE)&lt;1,"Ruim","n/a"))</f>
        <v>Bom</v>
      </c>
      <c r="FA115" s="17" t="str">
        <f>IF(VLOOKUP(BR115,Fundamentus!A:U,20,FALSE)&lt;0.5,"Baixa",IF(VLOOKUP(BR115,Fundamentus!A:U,20,FALSE)&lt;1,"Moderada",IF(VLOOKUP(BR115,Fundamentus!A:U,20,FALSE)&lt;2,"Alerta",IF(VLOOKUP(BR115,Fundamentus!A:U,20,FALSE)&gt;2,"Alta","n/a"))))</f>
        <v>Alta</v>
      </c>
      <c r="FB115" s="10"/>
    </row>
    <row r="116" spans="1:158" s="2" customFormat="1" ht="11.25"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5">
        <v>2.16</v>
      </c>
      <c r="BC116" s="52">
        <v>2.0499999999999998</v>
      </c>
      <c r="BD116" s="52">
        <v>2</v>
      </c>
      <c r="BE116" s="52">
        <v>1.94</v>
      </c>
      <c r="BF116" s="52">
        <v>1.93</v>
      </c>
      <c r="BG116" s="67">
        <v>1.94</v>
      </c>
      <c r="BH116" s="52">
        <v>1.91</v>
      </c>
      <c r="BI116" s="52">
        <v>1.85</v>
      </c>
      <c r="BJ116" s="52">
        <v>1.83</v>
      </c>
      <c r="BK116" s="52">
        <v>1.74</v>
      </c>
      <c r="BL116" s="52">
        <v>1.56</v>
      </c>
      <c r="BM116" s="52">
        <v>1.53</v>
      </c>
      <c r="BN116" s="52">
        <v>1.56</v>
      </c>
      <c r="BO116" s="52">
        <v>1.51</v>
      </c>
      <c r="BP116" s="52">
        <v>1.49</v>
      </c>
      <c r="BQ116" s="52" cm="1">
        <f t="array" aca="1" ref="BQ116" ca="1">_FV(EE116,"Preço")</f>
        <v>1.49</v>
      </c>
      <c r="BR116" s="69" t="s">
        <v>112</v>
      </c>
      <c r="BS116" s="36" cm="1">
        <f t="array" aca="1" ref="BS116" ca="1">_FV(EE116,"Média de volume",TRUE)</f>
        <v>7320</v>
      </c>
      <c r="BT116" s="36">
        <v>5500</v>
      </c>
      <c r="BU116" s="36" cm="1">
        <f t="array" aca="1" ref="BU116" ca="1">_FV(EE116,"Volume")</f>
        <v>5500</v>
      </c>
      <c r="BV116" s="24" cm="1">
        <f t="array" aca="1" ref="BV116" ca="1">_FV(EE116,"Beta")</f>
        <v>1.4646999999999999</v>
      </c>
      <c r="BW116" s="71" cm="1">
        <f t="array" aca="1" ref="BW116" ca="1">_FV(EE116,"Variação (%)",TRUE)</f>
        <v>-3.2467999999999997E-2</v>
      </c>
      <c r="BY116" s="17" cm="1">
        <f t="array" aca="1" ref="BY116" ca="1">_FV(EE116,"Baixo")</f>
        <v>1.49</v>
      </c>
      <c r="BZ116" s="17" cm="1">
        <f t="array" aca="1" ref="BZ116" ca="1">_FV(EE116,"Alto")</f>
        <v>1.58</v>
      </c>
      <c r="CA116" s="24"/>
      <c r="CB116" s="63">
        <f ca="1">SQRT(22.5*(BQ116/VLOOKUP(BR116,Fundamentus!A:U,3,FALSE))*(BQ116/VLOOKUP(BR116,Fundamentus!A:U,4,FALSE)))</f>
        <v>36.067157411556572</v>
      </c>
      <c r="CD116" s="62">
        <f t="shared" ca="1" si="112"/>
        <v>0</v>
      </c>
      <c r="CE116" s="8"/>
      <c r="CF116" s="61">
        <f t="shared" si="113"/>
        <v>0.18</v>
      </c>
      <c r="CG116" s="61">
        <f t="shared" si="114"/>
        <v>4</v>
      </c>
      <c r="CH116" s="61">
        <f t="shared" si="115"/>
        <v>1.5497058823529406</v>
      </c>
      <c r="CI116" s="14"/>
      <c r="CJ116" s="35">
        <f t="shared" si="98"/>
        <v>1.3155615616712342</v>
      </c>
      <c r="CK116" s="15">
        <f t="shared" si="116"/>
        <v>1.4799999999999898</v>
      </c>
      <c r="CL116" s="35">
        <f t="shared" si="99"/>
        <v>1.6444384383287454</v>
      </c>
      <c r="CN116" s="14"/>
      <c r="CO116" s="17">
        <f t="shared" si="100"/>
        <v>-4.0400000000000009</v>
      </c>
      <c r="CP116" s="17">
        <f t="shared" si="101"/>
        <v>-1.93</v>
      </c>
      <c r="CQ116" s="17">
        <f t="shared" si="102"/>
        <v>-0.2200000000000002</v>
      </c>
      <c r="CR116" s="38">
        <f t="shared" si="117"/>
        <v>1.89</v>
      </c>
      <c r="CS116" s="17">
        <f t="shared" si="103"/>
        <v>3.5999999999999996</v>
      </c>
      <c r="CT116" s="17">
        <f t="shared" si="104"/>
        <v>5.71</v>
      </c>
      <c r="CU116" s="17">
        <f t="shared" si="105"/>
        <v>7.42</v>
      </c>
      <c r="CV116" s="2" cm="1">
        <f t="array" aca="1" ref="CV116" ca="1">MAX(_xlfn._xlws.FILTER(CO116:CU116,CO116:CU116&lt;BQ116))</f>
        <v>-0.2200000000000002</v>
      </c>
      <c r="CW116" s="2" cm="1">
        <f t="array" aca="1" ref="CW116" ca="1">MIN(_xlfn._xlws.FILTER($CO116:$CU116,$CO116:$CU116&gt;BQ116))</f>
        <v>1.89</v>
      </c>
      <c r="CX116" s="16">
        <f t="shared" ca="1" si="136"/>
        <v>-9.5909090909090828</v>
      </c>
      <c r="CY116" s="20">
        <f t="shared" ca="1" si="137"/>
        <v>4.7954545454545414</v>
      </c>
      <c r="CZ116" s="20">
        <f t="shared" ca="1" si="138"/>
        <v>3.1969696969696941</v>
      </c>
      <c r="DA116" s="20">
        <f t="shared" ca="1" si="139"/>
        <v>1.9181818181818167</v>
      </c>
      <c r="DB116" s="20">
        <f t="shared" ca="1" si="140"/>
        <v>1.0656565656565649</v>
      </c>
      <c r="DC116" s="20">
        <f t="shared" ca="1" si="141"/>
        <v>0.56417112299465189</v>
      </c>
      <c r="DD116" s="20">
        <f t="shared" ca="1" si="142"/>
        <v>0.29063360881542677</v>
      </c>
      <c r="DE116" s="20">
        <f t="shared" ca="1" si="143"/>
        <v>0.14755244755244742</v>
      </c>
      <c r="DF116" s="21">
        <f t="shared" ca="1" si="144"/>
        <v>-0.14755244755244742</v>
      </c>
      <c r="DG116" s="21">
        <f t="shared" ca="1" si="145"/>
        <v>-0.29063360881542677</v>
      </c>
      <c r="DH116" s="21">
        <f t="shared" ca="1" si="146"/>
        <v>-0.56417112299465189</v>
      </c>
      <c r="DI116" s="21">
        <f t="shared" ca="1" si="147"/>
        <v>-1.0656565656565649</v>
      </c>
      <c r="DJ116" s="21">
        <f t="shared" ca="1" si="148"/>
        <v>-1.9181818181818167</v>
      </c>
      <c r="DK116" s="21">
        <f t="shared" ca="1" si="149"/>
        <v>-3.1969696969696941</v>
      </c>
      <c r="DL116" s="21">
        <f t="shared" ca="1" si="150"/>
        <v>-4.7954545454545414</v>
      </c>
      <c r="DN116" s="16" cm="1">
        <f t="array" aca="1" ref="DN116" ca="1">MAX(_xlfn._xlws.FILTER(CY116:DL116,CY116:DL116&lt;BW116))</f>
        <v>-0.14755244755244742</v>
      </c>
      <c r="DO116" s="16" cm="1">
        <f t="array" aca="1" ref="DO116" ca="1">MIN(_xlfn._xlws.FILTER(CY116:DL116,CY116:DL116&gt;BW116))</f>
        <v>0.14755244755244742</v>
      </c>
      <c r="DP116" s="2" cm="1">
        <f t="array" aca="1" ref="DP116" ca="1">_FV(EE116,"Fechamento anterior",TRUE)</f>
        <v>1.54</v>
      </c>
      <c r="DQ116" s="28">
        <f t="shared" ca="1" si="106"/>
        <v>0.38997968855788745</v>
      </c>
      <c r="DR116" s="15">
        <f t="shared" ca="1" si="151"/>
        <v>1.3127692307692309</v>
      </c>
      <c r="DS116" s="15">
        <f t="shared" ca="1" si="152"/>
        <v>1.7672307692307692</v>
      </c>
      <c r="DT116" s="9"/>
      <c r="DU116" s="9"/>
      <c r="DV116" s="9"/>
      <c r="DW116" s="89">
        <v>0.31315136476426753</v>
      </c>
      <c r="DX116" s="89">
        <f t="shared" ca="1" si="107"/>
        <v>0.29510489510489485</v>
      </c>
      <c r="DY116" s="72">
        <f t="shared" ca="1" si="108"/>
        <v>6.0813031926377201E-2</v>
      </c>
      <c r="DZ116" s="37"/>
      <c r="EA116" s="35">
        <f t="shared" si="118"/>
        <v>8.2219219164377855E-2</v>
      </c>
      <c r="EB116" s="56"/>
      <c r="EC116" s="56"/>
      <c r="EE116" s="2" t="e" vm="115">
        <v>#VALUE!</v>
      </c>
      <c r="EG116" s="10" cm="1">
        <f t="array" aca="1" ref="EG116" ca="1">_FV(EE116,"Ações em circulação",TRUE)</f>
        <v>12802740</v>
      </c>
      <c r="EH116" s="18">
        <f>VLOOKUP(BR116,Fundamentus!A:U,5,FALSE)</f>
        <v>8.2000000000000003E-2</v>
      </c>
      <c r="EI116" s="2">
        <f t="shared" ca="1" si="109"/>
        <v>232635153.65853658</v>
      </c>
      <c r="EJ116" s="17">
        <v>-248291499.49975607</v>
      </c>
      <c r="EK116" s="17">
        <f t="shared" ca="1" si="110"/>
        <v>-248291499.49975607</v>
      </c>
      <c r="EM116" s="16">
        <f t="shared" ca="1" si="97"/>
        <v>0</v>
      </c>
      <c r="EN116" s="32" t="str">
        <f>IF(VLOOKUP(BR116,Fundamentus!A:U,3,FALSE)&lt;15,"Bom",IF(VLOOKUP(BR116,Fundamentus!A:U,3,FALSE)&gt;15,"Ruim","n/a"))</f>
        <v>Bom</v>
      </c>
      <c r="EO116" s="28" t="str">
        <f>IF(VLOOKUP(BR116,Fundamentus!A:U,4,FALSE)&lt;1,"Baixo",IF(VLOOKUP(BR116,Fundamentus!A:U,4,FALSE)&lt;1.5,"Moderado",IF(VLOOKUP(BR116,Fundamentus!A:U,4,FALSE)&gt;1.5,"Alto","n/a")))</f>
        <v>Baixo</v>
      </c>
      <c r="EP116" s="17" t="str">
        <f>IF(VLOOKUP(BR116,Fundamentus!A:U,8,FALSE)&lt;0,"Risco elevado",IF(VLOOKUP(BR116,Fundamentus!A:U,8,FALSE)&lt;1,"Saudável",IF(VLOOKUP(BR116,Fundamentus!A:U,8,FALSE)&lt;3,"Estável",IF(VLOOKUP(BR116,Fundamentus!A:U,8,FALSE)&gt;3,"Alerta","n/a"))))</f>
        <v>Saudável</v>
      </c>
      <c r="EQ116" s="28" t="str">
        <f t="shared" si="111"/>
        <v>Ruim</v>
      </c>
      <c r="ER116" s="17" t="str">
        <f>IF(VLOOKUP(BR116,Fundamentus!A:U,12,FALSE)&lt;2,"Subvalorizada",IF(VLOOKUP(BR116,Fundamentus!A:U,12,FALSE)&lt;6,"Muita barata",IF(VLOOKUP(BR116,Fundamentus!A:U,12,FALSE)&lt;6,"Barata",IF(VLOOKUP(BR116,Fundamentus!A:U,12,FALSE)&lt;8,"Atrativa",IF(VLOOKUP(BR116,Fundamentus!A:U,12,FALSE)&gt;8,"Supervalorizada","n/a")))))</f>
        <v>Subvalorizada</v>
      </c>
      <c r="ET116" s="17" t="str">
        <f>IF(VLOOKUP(BR116,Fundamentus!A:U,17,FALSE)&lt;0.1,"Fraco retorno",IF(VLOOKUP(BR116,Fundamentus!A:U,17,FALSE)&gt;0.1,"Bom retorno","n/a"))</f>
        <v>Bom retorno</v>
      </c>
      <c r="EU116" s="17" t="str">
        <f>IF(VLOOKUP(BR116,Fundamentus!A:U,16,FALSE)&lt;0.1,"Ineficiente",IF(VLOOKUP(BR116,Fundamentus!A:U,16,FALSE)&gt;0.1,"Eficiente","n/a"))</f>
        <v>Ineficiente</v>
      </c>
      <c r="EV116" s="33" t="str">
        <f>IF(VLOOKUP(BR116,Fundamentus!A:U,16,FALSE)&lt;0.1,"Oper. Ineficiente",IF(VLOOKUP(BR116,Fundamentus!A:U,16,FALSE)&gt;0.1,"Oper.Eficiente","n/a"))</f>
        <v>Oper. Ineficiente</v>
      </c>
      <c r="EW116" s="34">
        <f>VLOOKUP(BR116,Fundamentus!A:U,14,FALSE)</f>
        <v>-1.0672999999999999</v>
      </c>
      <c r="EX116" s="17" t="str">
        <f>IF(VLOOKUP(BR116,Fundamentus!A:U,21,FALSE)&lt;0,"Negativo",IF(VLOOKUP(BR116,Fundamentus!A:U,21,FALSE)&lt;0.05,"Fraco",IF(VLOOKUP(BR116,Fundamentus!A:U,21,FALSE)&lt;0.1,"Bom",IF(VLOOKUP(BR116,Fundamentus!A:U,21,FALSE)&gt;0.1,"Muito bom","n/a"))))</f>
        <v>Muito bom</v>
      </c>
      <c r="EZ116" s="29" t="str">
        <f>IF(VLOOKUP(BR116,Fundamentus!A:U,15,FALSE)&gt;1,"Bom",IF(VLOOKUP(BR116,Fundamentus!A:U,15,FALSE)&lt;1,"Ruim","n/a"))</f>
        <v>Bom</v>
      </c>
      <c r="FA116" s="17" t="str">
        <f>IF(VLOOKUP(BR116,Fundamentus!A:U,20,FALSE)&lt;0.5,"Baixa",IF(VLOOKUP(BR116,Fundamentus!A:U,20,FALSE)&lt;1,"Moderada",IF(VLOOKUP(BR116,Fundamentus!A:U,20,FALSE)&lt;2,"Alerta",IF(VLOOKUP(BR116,Fundamentus!A:U,20,FALSE)&gt;2,"Alta","n/a"))))</f>
        <v>Baixa</v>
      </c>
      <c r="FB116" s="10"/>
    </row>
    <row r="117" spans="1:158" s="2" customFormat="1" ht="11.25"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5">
        <v>5.51</v>
      </c>
      <c r="BC117" s="52">
        <v>5.53</v>
      </c>
      <c r="BD117" s="52">
        <v>5.25</v>
      </c>
      <c r="BE117" s="52">
        <v>5.0999999999999996</v>
      </c>
      <c r="BF117" s="52">
        <v>5.13</v>
      </c>
      <c r="BG117" s="67">
        <v>4.76</v>
      </c>
      <c r="BH117" s="52">
        <v>4.4400000000000004</v>
      </c>
      <c r="BI117" s="52">
        <v>4.2</v>
      </c>
      <c r="BJ117" s="52">
        <v>4.45</v>
      </c>
      <c r="BK117" s="52">
        <v>4.37</v>
      </c>
      <c r="BL117" s="52">
        <v>4.0199999999999996</v>
      </c>
      <c r="BM117" s="52">
        <v>4.2699999999999996</v>
      </c>
      <c r="BN117" s="52">
        <v>4.59</v>
      </c>
      <c r="BO117" s="52">
        <v>4.68</v>
      </c>
      <c r="BP117" s="52">
        <v>4.18</v>
      </c>
      <c r="BQ117" s="52" cm="1">
        <f t="array" aca="1" ref="BQ117" ca="1">_FV(EE117,"Preço")</f>
        <v>4.18</v>
      </c>
      <c r="BR117" s="69" t="s">
        <v>113</v>
      </c>
      <c r="BS117" s="36" cm="1">
        <f t="array" aca="1" ref="BS117" ca="1">_FV(EE117,"Média de volume",TRUE)</f>
        <v>13754030</v>
      </c>
      <c r="BT117" s="36">
        <v>138100</v>
      </c>
      <c r="BU117" s="36" cm="1">
        <f t="array" aca="1" ref="BU117" ca="1">_FV(EE117,"Volume")</f>
        <v>138100</v>
      </c>
      <c r="BV117" s="24" cm="1">
        <f t="array" aca="1" ref="BV117" ca="1">_FV(EE117,"Beta")</f>
        <v>0.91479999999999995</v>
      </c>
      <c r="BW117" s="71" cm="1">
        <f t="array" aca="1" ref="BW117" ca="1">_FV(EE117,"Variação (%)",TRUE)</f>
        <v>-2.3869999999999998E-3</v>
      </c>
      <c r="BY117" s="17" cm="1">
        <f t="array" aca="1" ref="BY117" ca="1">_FV(EE117,"Baixo")</f>
        <v>4.13</v>
      </c>
      <c r="BZ117" s="17" cm="1">
        <f t="array" aca="1" ref="BZ117" ca="1">_FV(EE117,"Alto")</f>
        <v>4.2</v>
      </c>
      <c r="CA117" s="24"/>
      <c r="CB117" s="63">
        <f ca="1">SQRT(22.5*(BQ117/VLOOKUP(BR117,Fundamentus!A:U,3,FALSE))*(BQ117/VLOOKUP(BR117,Fundamentus!A:U,4,FALSE)))</f>
        <v>6.5117425786075387</v>
      </c>
      <c r="CD117" s="62">
        <f t="shared" ca="1" si="112"/>
        <v>0</v>
      </c>
      <c r="CE117" s="8"/>
      <c r="CF117" s="61">
        <f t="shared" si="113"/>
        <v>4.0199999999999996</v>
      </c>
      <c r="CG117" s="61">
        <f t="shared" si="114"/>
        <v>7.96</v>
      </c>
      <c r="CH117" s="61">
        <f t="shared" si="115"/>
        <v>5.8163235294117621</v>
      </c>
      <c r="CI117" s="14"/>
      <c r="CJ117" s="35">
        <f t="shared" si="98"/>
        <v>3.9153448073320081</v>
      </c>
      <c r="CK117" s="15">
        <f t="shared" si="116"/>
        <v>4.3849999999999909</v>
      </c>
      <c r="CL117" s="35">
        <f t="shared" si="99"/>
        <v>4.8546551926679742</v>
      </c>
      <c r="CN117" s="14"/>
      <c r="CO117" s="17">
        <f t="shared" si="100"/>
        <v>-1.1266666666666669</v>
      </c>
      <c r="CP117" s="17">
        <f t="shared" si="101"/>
        <v>1.4466666666666663</v>
      </c>
      <c r="CQ117" s="17">
        <f t="shared" si="102"/>
        <v>2.8133333333333335</v>
      </c>
      <c r="CR117" s="38">
        <f t="shared" si="117"/>
        <v>5.3866666666666667</v>
      </c>
      <c r="CS117" s="17">
        <f t="shared" si="103"/>
        <v>6.7533333333333339</v>
      </c>
      <c r="CT117" s="17">
        <f t="shared" si="104"/>
        <v>9.326666666666668</v>
      </c>
      <c r="CU117" s="17">
        <f t="shared" si="105"/>
        <v>10.693333333333335</v>
      </c>
      <c r="CV117" s="2" cm="1">
        <f t="array" aca="1" ref="CV117" ca="1">MAX(_xlfn._xlws.FILTER(CO117:CU117,CO117:CU117&lt;BQ117))</f>
        <v>2.8133333333333335</v>
      </c>
      <c r="CW117" s="2" cm="1">
        <f t="array" aca="1" ref="CW117" ca="1">MIN(_xlfn._xlws.FILTER($CO117:$CU117,$CO117:$CU117&gt;BQ117))</f>
        <v>5.3866666666666667</v>
      </c>
      <c r="CX117" s="16">
        <f t="shared" ca="1" si="136"/>
        <v>0.91469194312796209</v>
      </c>
      <c r="CY117" s="20">
        <f t="shared" ca="1" si="137"/>
        <v>-0.45734597156398105</v>
      </c>
      <c r="CZ117" s="20">
        <f t="shared" ca="1" si="138"/>
        <v>-0.30489731437598738</v>
      </c>
      <c r="DA117" s="20">
        <f t="shared" ca="1" si="139"/>
        <v>-0.18293838862559242</v>
      </c>
      <c r="DB117" s="20">
        <f t="shared" ca="1" si="140"/>
        <v>-0.10163243812532913</v>
      </c>
      <c r="DC117" s="20">
        <f t="shared" ca="1" si="141"/>
        <v>-5.3805408419291885E-2</v>
      </c>
      <c r="DD117" s="20">
        <f t="shared" ca="1" si="142"/>
        <v>-2.7717937670544306E-2</v>
      </c>
      <c r="DE117" s="20">
        <f t="shared" ca="1" si="143"/>
        <v>-1.4072183740430186E-2</v>
      </c>
      <c r="DF117" s="21">
        <f t="shared" ca="1" si="144"/>
        <v>1.4072183740430186E-2</v>
      </c>
      <c r="DG117" s="21">
        <f t="shared" ca="1" si="145"/>
        <v>2.7717937670544306E-2</v>
      </c>
      <c r="DH117" s="21">
        <f t="shared" ca="1" si="146"/>
        <v>5.3805408419291885E-2</v>
      </c>
      <c r="DI117" s="21">
        <f t="shared" ca="1" si="147"/>
        <v>0.10163243812532913</v>
      </c>
      <c r="DJ117" s="21">
        <f t="shared" ca="1" si="148"/>
        <v>0.18293838862559242</v>
      </c>
      <c r="DK117" s="21">
        <f t="shared" ca="1" si="149"/>
        <v>0.30489731437598738</v>
      </c>
      <c r="DL117" s="21">
        <f t="shared" ca="1" si="150"/>
        <v>0.45734597156398105</v>
      </c>
      <c r="DN117" s="16" cm="1">
        <f t="array" aca="1" ref="DN117" ca="1">MAX(_xlfn._xlws.FILTER(CY117:DL117,CY117:DL117&lt;BW117))</f>
        <v>-1.4072183740430186E-2</v>
      </c>
      <c r="DO117" s="16" cm="1">
        <f t="array" aca="1" ref="DO117" ca="1">MIN(_xlfn._xlws.FILTER(CY117:DL117,CY117:DL117&gt;BW117))</f>
        <v>1.4072183740430186E-2</v>
      </c>
      <c r="DP117" s="2" cm="1">
        <f t="array" aca="1" ref="DP117" ca="1">_FV(EE117,"Fechamento anterior",TRUE)</f>
        <v>4.1900000000000004</v>
      </c>
      <c r="DQ117" s="28">
        <f t="shared" ca="1" si="106"/>
        <v>0.41520026710524138</v>
      </c>
      <c r="DR117" s="15">
        <f t="shared" ca="1" si="151"/>
        <v>4.1310375501275978</v>
      </c>
      <c r="DS117" s="15">
        <f t="shared" ca="1" si="152"/>
        <v>4.248962449872403</v>
      </c>
      <c r="DT117" s="9"/>
      <c r="DU117" s="9"/>
      <c r="DV117" s="9"/>
      <c r="DW117" s="89">
        <v>2.3533246414602336E-2</v>
      </c>
      <c r="DX117" s="89">
        <f t="shared" ca="1" si="107"/>
        <v>2.8144367480860372E-2</v>
      </c>
      <c r="DY117" s="72">
        <f t="shared" ca="1" si="108"/>
        <v>-0.43649043638896484</v>
      </c>
      <c r="DZ117" s="37"/>
      <c r="EA117" s="35">
        <f t="shared" si="118"/>
        <v>0.23482759633399147</v>
      </c>
      <c r="EB117" s="56"/>
      <c r="EC117" s="56"/>
      <c r="EE117" s="2" t="e" vm="116">
        <v>#VALUE!</v>
      </c>
      <c r="EG117" s="10" cm="1">
        <f t="array" aca="1" ref="EG117" ca="1">_FV(EE117,"Ações em circulação",TRUE)</f>
        <v>1253079000</v>
      </c>
      <c r="EH117" s="18">
        <f>VLOOKUP(BR117,Fundamentus!A:U,5,FALSE)</f>
        <v>0.214</v>
      </c>
      <c r="EI117" s="2">
        <f t="shared" ca="1" si="109"/>
        <v>24476029065.420563</v>
      </c>
      <c r="EJ117" s="17">
        <v>281474334.25233644</v>
      </c>
      <c r="EK117" s="17">
        <f t="shared" ca="1" si="110"/>
        <v>281474334.25233644</v>
      </c>
      <c r="EM117" s="16">
        <f t="shared" ca="1" si="97"/>
        <v>0</v>
      </c>
      <c r="EN117" s="32" t="str">
        <f>IF(VLOOKUP(BR117,Fundamentus!A:U,3,FALSE)&lt;15,"Bom",IF(VLOOKUP(BR117,Fundamentus!A:U,3,FALSE)&gt;15,"Ruim","n/a"))</f>
        <v>Ruim</v>
      </c>
      <c r="EO117" s="28" t="str">
        <f>IF(VLOOKUP(BR117,Fundamentus!A:U,4,FALSE)&lt;1,"Baixo",IF(VLOOKUP(BR117,Fundamentus!A:U,4,FALSE)&lt;1.5,"Moderado",IF(VLOOKUP(BR117,Fundamentus!A:U,4,FALSE)&gt;1.5,"Alto","n/a")))</f>
        <v>Baixo</v>
      </c>
      <c r="EP117" s="17" t="str">
        <f>IF(VLOOKUP(BR117,Fundamentus!A:U,8,FALSE)&lt;0,"Risco elevado",IF(VLOOKUP(BR117,Fundamentus!A:U,8,FALSE)&lt;1,"Saudável",IF(VLOOKUP(BR117,Fundamentus!A:U,8,FALSE)&lt;3,"Estável",IF(VLOOKUP(BR117,Fundamentus!A:U,8,FALSE)&gt;3,"Alerta","n/a"))))</f>
        <v>Saudável</v>
      </c>
      <c r="EQ117" s="28" t="str">
        <f t="shared" si="111"/>
        <v>Ruim</v>
      </c>
      <c r="ER117" s="17" t="str">
        <f>IF(VLOOKUP(BR117,Fundamentus!A:U,12,FALSE)&lt;2,"Subvalorizada",IF(VLOOKUP(BR117,Fundamentus!A:U,12,FALSE)&lt;6,"Muita barata",IF(VLOOKUP(BR117,Fundamentus!A:U,12,FALSE)&lt;6,"Barata",IF(VLOOKUP(BR117,Fundamentus!A:U,12,FALSE)&lt;8,"Atrativa",IF(VLOOKUP(BR117,Fundamentus!A:U,12,FALSE)&gt;8,"Supervalorizada","n/a")))))</f>
        <v>Muita barata</v>
      </c>
      <c r="ET117" s="17" t="str">
        <f>IF(VLOOKUP(BR117,Fundamentus!A:U,17,FALSE)&lt;0.1,"Fraco retorno",IF(VLOOKUP(BR117,Fundamentus!A:U,17,FALSE)&gt;0.1,"Bom retorno","n/a"))</f>
        <v>Fraco retorno</v>
      </c>
      <c r="EU117" s="17" t="str">
        <f>IF(VLOOKUP(BR117,Fundamentus!A:U,16,FALSE)&lt;0.1,"Ineficiente",IF(VLOOKUP(BR117,Fundamentus!A:U,16,FALSE)&gt;0.1,"Eficiente","n/a"))</f>
        <v>Ineficiente</v>
      </c>
      <c r="EV117" s="33" t="str">
        <f>IF(VLOOKUP(BR117,Fundamentus!A:U,16,FALSE)&lt;0.1,"Oper. Ineficiente",IF(VLOOKUP(BR117,Fundamentus!A:U,16,FALSE)&gt;0.1,"Oper.Eficiente","n/a"))</f>
        <v>Oper. Ineficiente</v>
      </c>
      <c r="EW117" s="34">
        <f>VLOOKUP(BR117,Fundamentus!A:U,14,FALSE)</f>
        <v>1.15E-2</v>
      </c>
      <c r="EX117" s="17" t="str">
        <f>IF(VLOOKUP(BR117,Fundamentus!A:U,21,FALSE)&lt;0,"Negativo",IF(VLOOKUP(BR117,Fundamentus!A:U,21,FALSE)&lt;0.05,"Fraco",IF(VLOOKUP(BR117,Fundamentus!A:U,21,FALSE)&lt;0.1,"Bom",IF(VLOOKUP(BR117,Fundamentus!A:U,21,FALSE)&gt;0.1,"Muito bom","n/a"))))</f>
        <v>Fraco</v>
      </c>
      <c r="EZ117" s="29" t="str">
        <f>IF(VLOOKUP(BR117,Fundamentus!A:U,15,FALSE)&gt;1,"Bom",IF(VLOOKUP(BR117,Fundamentus!A:U,15,FALSE)&lt;1,"Ruim","n/a"))</f>
        <v>Bom</v>
      </c>
      <c r="FA117" s="17" t="str">
        <f>IF(VLOOKUP(BR117,Fundamentus!A:U,20,FALSE)&lt;0.5,"Baixa",IF(VLOOKUP(BR117,Fundamentus!A:U,20,FALSE)&lt;1,"Moderada",IF(VLOOKUP(BR117,Fundamentus!A:U,20,FALSE)&lt;2,"Alerta",IF(VLOOKUP(BR117,Fundamentus!A:U,20,FALSE)&gt;2,"Alta","n/a"))))</f>
        <v>Baixa</v>
      </c>
      <c r="FB117" s="10"/>
    </row>
    <row r="118" spans="1:158" s="2" customFormat="1" ht="11.25"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5">
        <v>29.65</v>
      </c>
      <c r="BC118" s="52">
        <v>29.73</v>
      </c>
      <c r="BD118" s="52">
        <v>29.81</v>
      </c>
      <c r="BE118" s="52">
        <v>28.66</v>
      </c>
      <c r="BF118" s="52">
        <v>29.61</v>
      </c>
      <c r="BG118" s="67">
        <v>29.09</v>
      </c>
      <c r="BH118" s="52">
        <v>29.15</v>
      </c>
      <c r="BI118" s="52">
        <v>29.2</v>
      </c>
      <c r="BJ118" s="52">
        <v>29.95</v>
      </c>
      <c r="BK118" s="52">
        <v>29.75</v>
      </c>
      <c r="BL118" s="52">
        <v>29.81</v>
      </c>
      <c r="BM118" s="52">
        <v>29.09</v>
      </c>
      <c r="BN118" s="52">
        <v>30.1</v>
      </c>
      <c r="BO118" s="52">
        <v>32</v>
      </c>
      <c r="BP118" s="52">
        <v>32</v>
      </c>
      <c r="BQ118" s="52" cm="1">
        <f t="array" aca="1" ref="BQ118" ca="1">_FV(EE118,"Preço")</f>
        <v>32</v>
      </c>
      <c r="BR118" s="69" t="s">
        <v>114</v>
      </c>
      <c r="BS118" s="36" cm="1">
        <f t="array" aca="1" ref="BS118" ca="1">_FV(EE118,"Média de volume",TRUE)</f>
        <v>2692970</v>
      </c>
      <c r="BT118" s="36">
        <v>2397100</v>
      </c>
      <c r="BU118" s="36" cm="1">
        <f t="array" aca="1" ref="BU118" ca="1">_FV(EE118,"Volume")</f>
        <v>2397100</v>
      </c>
      <c r="BV118" s="24" cm="1">
        <f t="array" aca="1" ref="BV118" ca="1">_FV(EE118,"Beta")</f>
        <v>1.0398000000000001</v>
      </c>
      <c r="BW118" s="71" cm="1">
        <f t="array" aca="1" ref="BW118" ca="1">_FV(EE118,"Variação (%)",TRUE)</f>
        <v>-6.2109999999999995E-3</v>
      </c>
      <c r="BY118" s="17" cm="1">
        <f t="array" aca="1" ref="BY118" ca="1">_FV(EE118,"Baixo")</f>
        <v>32</v>
      </c>
      <c r="BZ118" s="17" cm="1">
        <f t="array" aca="1" ref="BZ118" ca="1">_FV(EE118,"Alto")</f>
        <v>32.65</v>
      </c>
      <c r="CA118" s="24"/>
      <c r="CB118" s="63">
        <f ca="1">SQRT(22.5*(BQ118/VLOOKUP(BR118,Fundamentus!A:U,3,FALSE))*(BQ118/VLOOKUP(BR118,Fundamentus!A:U,4,FALSE)))</f>
        <v>16.124277553284685</v>
      </c>
      <c r="CD118" s="62">
        <f t="shared" ca="1" si="112"/>
        <v>0</v>
      </c>
      <c r="CE118" s="8"/>
      <c r="CF118" s="61">
        <f t="shared" si="113"/>
        <v>17.3</v>
      </c>
      <c r="CG118" s="61">
        <f t="shared" si="114"/>
        <v>32</v>
      </c>
      <c r="CH118" s="61">
        <f t="shared" si="115"/>
        <v>23.787720588235288</v>
      </c>
      <c r="CI118" s="14"/>
      <c r="CJ118" s="35">
        <f t="shared" si="98"/>
        <v>31.49047461202359</v>
      </c>
      <c r="CK118" s="15">
        <f t="shared" si="116"/>
        <v>33.454999999999018</v>
      </c>
      <c r="CL118" s="35">
        <f t="shared" si="99"/>
        <v>35.419525387974446</v>
      </c>
      <c r="CN118" s="14"/>
      <c r="CO118" s="17">
        <f t="shared" si="100"/>
        <v>7.4999999999999964</v>
      </c>
      <c r="CP118" s="17">
        <f t="shared" si="101"/>
        <v>12.399999999999999</v>
      </c>
      <c r="CQ118" s="17">
        <f t="shared" si="102"/>
        <v>22.199999999999996</v>
      </c>
      <c r="CR118" s="38">
        <f t="shared" si="117"/>
        <v>27.099999999999998</v>
      </c>
      <c r="CS118" s="17">
        <f t="shared" si="103"/>
        <v>36.899999999999991</v>
      </c>
      <c r="CT118" s="17">
        <f t="shared" si="104"/>
        <v>41.8</v>
      </c>
      <c r="CU118" s="17">
        <f t="shared" si="105"/>
        <v>51.599999999999994</v>
      </c>
      <c r="CV118" s="2" cm="1">
        <f t="array" aca="1" ref="CV118" ca="1">MAX(_xlfn._xlws.FILTER(CO118:CU118,CO118:CU118&lt;BQ118))</f>
        <v>27.099999999999998</v>
      </c>
      <c r="CW118" s="2" cm="1">
        <f t="array" aca="1" ref="CW118" ca="1">MIN(_xlfn._xlws.FILTER($CO118:$CU118,$CO118:$CU118&gt;BQ118))</f>
        <v>36.899999999999991</v>
      </c>
      <c r="CX118" s="16">
        <f t="shared" ca="1" si="136"/>
        <v>0.36162361623616213</v>
      </c>
      <c r="CY118" s="20">
        <f t="shared" ca="1" si="137"/>
        <v>-0.18081180811808106</v>
      </c>
      <c r="CZ118" s="20">
        <f t="shared" ca="1" si="138"/>
        <v>-0.12054120541205404</v>
      </c>
      <c r="DA118" s="20">
        <f t="shared" ca="1" si="139"/>
        <v>-7.2324723247232423E-2</v>
      </c>
      <c r="DB118" s="20">
        <f t="shared" ca="1" si="140"/>
        <v>-4.0180401804018016E-2</v>
      </c>
      <c r="DC118" s="20">
        <f t="shared" ca="1" si="141"/>
        <v>-2.1271977425656594E-2</v>
      </c>
      <c r="DD118" s="20">
        <f t="shared" ca="1" si="142"/>
        <v>-1.0958291401095822E-2</v>
      </c>
      <c r="DE118" s="20">
        <f t="shared" ca="1" si="143"/>
        <v>-5.5634402497871096E-3</v>
      </c>
      <c r="DF118" s="21">
        <f t="shared" ca="1" si="144"/>
        <v>5.5634402497871096E-3</v>
      </c>
      <c r="DG118" s="21">
        <f t="shared" ca="1" si="145"/>
        <v>1.0958291401095822E-2</v>
      </c>
      <c r="DH118" s="21">
        <f t="shared" ca="1" si="146"/>
        <v>2.1271977425656594E-2</v>
      </c>
      <c r="DI118" s="21">
        <f t="shared" ca="1" si="147"/>
        <v>4.0180401804018016E-2</v>
      </c>
      <c r="DJ118" s="21">
        <f t="shared" ca="1" si="148"/>
        <v>7.2324723247232423E-2</v>
      </c>
      <c r="DK118" s="21">
        <f t="shared" ca="1" si="149"/>
        <v>0.12054120541205404</v>
      </c>
      <c r="DL118" s="21">
        <f t="shared" ca="1" si="150"/>
        <v>0.18081180811808106</v>
      </c>
      <c r="DN118" s="16" cm="1">
        <f t="array" aca="1" ref="DN118" ca="1">MAX(_xlfn._xlws.FILTER(CY118:DL118,CY118:DL118&lt;BW118))</f>
        <v>-1.0958291401095822E-2</v>
      </c>
      <c r="DO118" s="16" cm="1">
        <f t="array" aca="1" ref="DO118" ca="1">MIN(_xlfn._xlws.FILTER(CY118:DL118,CY118:DL118&gt;BW118))</f>
        <v>-5.5634402497871096E-3</v>
      </c>
      <c r="DP118" s="2" cm="1">
        <f t="array" aca="1" ref="DP118" ca="1">_FV(EE118,"Fechamento anterior",TRUE)</f>
        <v>32.200000000000003</v>
      </c>
      <c r="DQ118" s="28">
        <f t="shared" ca="1" si="106"/>
        <v>0.87993368931420846</v>
      </c>
      <c r="DR118" s="15">
        <f t="shared" ca="1" si="151"/>
        <v>31.847143016884718</v>
      </c>
      <c r="DS118" s="15">
        <f t="shared" ca="1" si="152"/>
        <v>32.02085722395686</v>
      </c>
      <c r="DT118" s="9"/>
      <c r="DU118" s="9"/>
      <c r="DV118" s="9"/>
      <c r="DW118" s="89">
        <v>1.8908424378361422E-2</v>
      </c>
      <c r="DX118" s="89">
        <f t="shared" ca="1" si="107"/>
        <v>5.3948511513087121E-3</v>
      </c>
      <c r="DY118" s="72">
        <f t="shared" ca="1" si="108"/>
        <v>-0.7406369033990905</v>
      </c>
      <c r="DZ118" s="37"/>
      <c r="EA118" s="35">
        <f t="shared" si="118"/>
        <v>0.98226269398771338</v>
      </c>
      <c r="EB118" s="56"/>
      <c r="EC118" s="56"/>
      <c r="EE118" s="2" t="e" vm="117">
        <v>#VALUE!</v>
      </c>
      <c r="EG118" s="10" cm="1">
        <f t="array" aca="1" ref="EG118" ca="1">_FV(EE118,"Ações em circulação",TRUE)</f>
        <v>291875100</v>
      </c>
      <c r="EH118" s="18">
        <f>VLOOKUP(BR118,Fundamentus!A:U,5,FALSE)</f>
        <v>1.978</v>
      </c>
      <c r="EI118" s="2">
        <f t="shared" ca="1" si="109"/>
        <v>4721942972.6996965</v>
      </c>
      <c r="EJ118" s="17">
        <v>853727289.46410513</v>
      </c>
      <c r="EK118" s="17">
        <f t="shared" ca="1" si="110"/>
        <v>853727289.46410513</v>
      </c>
      <c r="EM118" s="16">
        <f t="shared" ca="1" si="97"/>
        <v>0</v>
      </c>
      <c r="EN118" s="32" t="str">
        <f>IF(VLOOKUP(BR118,Fundamentus!A:U,3,FALSE)&lt;15,"Bom",IF(VLOOKUP(BR118,Fundamentus!A:U,3,FALSE)&gt;15,"Ruim","n/a"))</f>
        <v>Bom</v>
      </c>
      <c r="EO118" s="28" t="str">
        <f>IF(VLOOKUP(BR118,Fundamentus!A:U,4,FALSE)&lt;1,"Baixo",IF(VLOOKUP(BR118,Fundamentus!A:U,4,FALSE)&lt;1.5,"Moderado",IF(VLOOKUP(BR118,Fundamentus!A:U,4,FALSE)&gt;1.5,"Alto","n/a")))</f>
        <v>Alto</v>
      </c>
      <c r="EP118" s="17" t="str">
        <f>IF(VLOOKUP(BR118,Fundamentus!A:U,8,FALSE)&lt;0,"Risco elevado",IF(VLOOKUP(BR118,Fundamentus!A:U,8,FALSE)&lt;1,"Saudável",IF(VLOOKUP(BR118,Fundamentus!A:U,8,FALSE)&lt;3,"Estável",IF(VLOOKUP(BR118,Fundamentus!A:U,8,FALSE)&gt;3,"Alerta","n/a"))))</f>
        <v>Alerta</v>
      </c>
      <c r="EQ118" s="28" t="str">
        <f t="shared" si="111"/>
        <v>Bom</v>
      </c>
      <c r="ER118" s="17" t="str">
        <f>IF(VLOOKUP(BR118,Fundamentus!A:U,12,FALSE)&lt;2,"Subvalorizada",IF(VLOOKUP(BR118,Fundamentus!A:U,12,FALSE)&lt;6,"Muita barata",IF(VLOOKUP(BR118,Fundamentus!A:U,12,FALSE)&lt;6,"Barata",IF(VLOOKUP(BR118,Fundamentus!A:U,12,FALSE)&lt;8,"Atrativa",IF(VLOOKUP(BR118,Fundamentus!A:U,12,FALSE)&gt;8,"Supervalorizada","n/a")))))</f>
        <v>Atrativa</v>
      </c>
      <c r="ET118" s="17" t="str">
        <f>IF(VLOOKUP(BR118,Fundamentus!A:U,17,FALSE)&lt;0.1,"Fraco retorno",IF(VLOOKUP(BR118,Fundamentus!A:U,17,FALSE)&gt;0.1,"Bom retorno","n/a"))</f>
        <v>Bom retorno</v>
      </c>
      <c r="EU118" s="17" t="str">
        <f>IF(VLOOKUP(BR118,Fundamentus!A:U,16,FALSE)&lt;0.1,"Ineficiente",IF(VLOOKUP(BR118,Fundamentus!A:U,16,FALSE)&gt;0.1,"Eficiente","n/a"))</f>
        <v>Eficiente</v>
      </c>
      <c r="EV118" s="33" t="str">
        <f>IF(VLOOKUP(BR118,Fundamentus!A:U,16,FALSE)&lt;0.1,"Oper. Ineficiente",IF(VLOOKUP(BR118,Fundamentus!A:U,16,FALSE)&gt;0.1,"Oper.Eficiente","n/a"))</f>
        <v>Oper.Eficiente</v>
      </c>
      <c r="EW118" s="34">
        <f>VLOOKUP(BR118,Fundamentus!A:U,14,FALSE)</f>
        <v>0.18079999999999999</v>
      </c>
      <c r="EX118" s="17" t="str">
        <f>IF(VLOOKUP(BR118,Fundamentus!A:U,21,FALSE)&lt;0,"Negativo",IF(VLOOKUP(BR118,Fundamentus!A:U,21,FALSE)&lt;0.05,"Fraco",IF(VLOOKUP(BR118,Fundamentus!A:U,21,FALSE)&lt;0.1,"Bom",IF(VLOOKUP(BR118,Fundamentus!A:U,21,FALSE)&gt;0.1,"Muito bom","n/a"))))</f>
        <v>Muito bom</v>
      </c>
      <c r="EZ118" s="29" t="str">
        <f>IF(VLOOKUP(BR118,Fundamentus!A:U,15,FALSE)&gt;1,"Bom",IF(VLOOKUP(BR118,Fundamentus!A:U,15,FALSE)&lt;1,"Ruim","n/a"))</f>
        <v>Bom</v>
      </c>
      <c r="FA118" s="17" t="str">
        <f>IF(VLOOKUP(BR118,Fundamentus!A:U,20,FALSE)&lt;0.5,"Baixa",IF(VLOOKUP(BR118,Fundamentus!A:U,20,FALSE)&lt;1,"Moderada",IF(VLOOKUP(BR118,Fundamentus!A:U,20,FALSE)&lt;2,"Alerta",IF(VLOOKUP(BR118,Fundamentus!A:U,20,FALSE)&gt;2,"Alta","n/a"))))</f>
        <v>Alerta</v>
      </c>
      <c r="FB118" s="10"/>
    </row>
    <row r="119" spans="1:158" s="2" customFormat="1" ht="11.25"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5">
        <v>16.2</v>
      </c>
      <c r="BC119" s="52">
        <v>17.36</v>
      </c>
      <c r="BD119" s="52">
        <v>16.63</v>
      </c>
      <c r="BE119" s="52">
        <v>16.29</v>
      </c>
      <c r="BF119" s="52">
        <v>16.190000000000001</v>
      </c>
      <c r="BG119" s="67">
        <v>16.989999999999998</v>
      </c>
      <c r="BH119" s="52">
        <v>17.09</v>
      </c>
      <c r="BI119" s="52">
        <v>16.86</v>
      </c>
      <c r="BJ119" s="52">
        <v>17.989999999999998</v>
      </c>
      <c r="BK119" s="52">
        <v>17.100000000000001</v>
      </c>
      <c r="BL119" s="52">
        <v>15.7</v>
      </c>
      <c r="BM119" s="52">
        <v>16.54</v>
      </c>
      <c r="BN119" s="52">
        <v>16.920000000000002</v>
      </c>
      <c r="BO119" s="52">
        <v>16.46</v>
      </c>
      <c r="BP119" s="52">
        <v>17.59</v>
      </c>
      <c r="BQ119" s="52" cm="1">
        <f t="array" aca="1" ref="BQ119" ca="1">_FV(EE119,"Preço")</f>
        <v>17.59</v>
      </c>
      <c r="BR119" s="69" t="s">
        <v>115</v>
      </c>
      <c r="BS119" s="36" cm="1">
        <f t="array" aca="1" ref="BS119" ca="1">_FV(EE119,"Média de volume",TRUE)</f>
        <v>5142250</v>
      </c>
      <c r="BT119" s="36">
        <v>7478300</v>
      </c>
      <c r="BU119" s="36" cm="1">
        <f t="array" aca="1" ref="BU119" ca="1">_FV(EE119,"Volume")</f>
        <v>7478300</v>
      </c>
      <c r="BV119" s="24" cm="1">
        <f t="array" aca="1" ref="BV119" ca="1">_FV(EE119,"Beta")</f>
        <v>1.1588000000000001</v>
      </c>
      <c r="BW119" s="71" cm="1">
        <f t="array" aca="1" ref="BW119" ca="1">_FV(EE119,"Variação (%)",TRUE)</f>
        <v>-2.8339999999999997E-3</v>
      </c>
      <c r="BY119" s="17" cm="1">
        <f t="array" aca="1" ref="BY119" ca="1">_FV(EE119,"Baixo")</f>
        <v>17.25</v>
      </c>
      <c r="BZ119" s="17" cm="1">
        <f t="array" aca="1" ref="BZ119" ca="1">_FV(EE119,"Alto")</f>
        <v>17.8</v>
      </c>
      <c r="CA119" s="24"/>
      <c r="CB119" s="63">
        <f ca="1">SQRT(22.5*(BQ119/VLOOKUP(BR119,Fundamentus!A:U,3,FALSE))*(BQ119/VLOOKUP(BR119,Fundamentus!A:U,4,FALSE)))</f>
        <v>27.025103120233215</v>
      </c>
      <c r="CD119" s="62">
        <f t="shared" ca="1" si="112"/>
        <v>0</v>
      </c>
      <c r="CE119" s="8"/>
      <c r="CF119" s="61">
        <f t="shared" si="113"/>
        <v>15.55</v>
      </c>
      <c r="CG119" s="61">
        <f t="shared" si="114"/>
        <v>26.63</v>
      </c>
      <c r="CH119" s="61">
        <f t="shared" si="115"/>
        <v>19.205073529411763</v>
      </c>
      <c r="CI119" s="14"/>
      <c r="CJ119" s="35">
        <f t="shared" si="98"/>
        <v>16.582562146698997</v>
      </c>
      <c r="CK119" s="15">
        <f t="shared" si="116"/>
        <v>17.550000000000182</v>
      </c>
      <c r="CL119" s="35">
        <f t="shared" si="99"/>
        <v>18.517437853301367</v>
      </c>
      <c r="CN119" s="14"/>
      <c r="CO119" s="17">
        <f t="shared" si="100"/>
        <v>2.1366666666666667</v>
      </c>
      <c r="CP119" s="17">
        <f t="shared" si="101"/>
        <v>8.8433333333333337</v>
      </c>
      <c r="CQ119" s="17">
        <f t="shared" si="102"/>
        <v>13.216666666666665</v>
      </c>
      <c r="CR119" s="38">
        <f t="shared" si="117"/>
        <v>19.923333333333332</v>
      </c>
      <c r="CS119" s="17">
        <f t="shared" si="103"/>
        <v>24.296666666666663</v>
      </c>
      <c r="CT119" s="17">
        <f t="shared" si="104"/>
        <v>31.00333333333333</v>
      </c>
      <c r="CU119" s="17">
        <f t="shared" si="105"/>
        <v>35.376666666666665</v>
      </c>
      <c r="CV119" s="2" cm="1">
        <f t="array" aca="1" ref="CV119" ca="1">MAX(_xlfn._xlws.FILTER(CO119:CU119,CO119:CU119&lt;BQ119))</f>
        <v>13.216666666666665</v>
      </c>
      <c r="CW119" s="2" cm="1">
        <f t="array" aca="1" ref="CW119" ca="1">MIN(_xlfn._xlws.FILTER($CO119:$CU119,$CO119:$CU119&gt;BQ119))</f>
        <v>19.923333333333332</v>
      </c>
      <c r="CX119" s="16">
        <f t="shared" ca="1" si="136"/>
        <v>0.50744010088272384</v>
      </c>
      <c r="CY119" s="20">
        <f t="shared" ca="1" si="137"/>
        <v>-0.25372005044136192</v>
      </c>
      <c r="CZ119" s="20">
        <f t="shared" ca="1" si="138"/>
        <v>-0.16914670029424128</v>
      </c>
      <c r="DA119" s="20">
        <f t="shared" ca="1" si="139"/>
        <v>-0.10148802017654476</v>
      </c>
      <c r="DB119" s="20">
        <f t="shared" ca="1" si="140"/>
        <v>-5.6382233431413763E-2</v>
      </c>
      <c r="DC119" s="20">
        <f t="shared" ca="1" si="141"/>
        <v>-2.9849417698983756E-2</v>
      </c>
      <c r="DD119" s="20">
        <f t="shared" ca="1" si="142"/>
        <v>-1.5376972754021934E-2</v>
      </c>
      <c r="DE119" s="20">
        <f t="shared" ca="1" si="143"/>
        <v>-7.8067707828111364E-3</v>
      </c>
      <c r="DF119" s="21">
        <f t="shared" ca="1" si="144"/>
        <v>7.8067707828111364E-3</v>
      </c>
      <c r="DG119" s="21">
        <f t="shared" ca="1" si="145"/>
        <v>1.5376972754021934E-2</v>
      </c>
      <c r="DH119" s="21">
        <f t="shared" ca="1" si="146"/>
        <v>2.9849417698983756E-2</v>
      </c>
      <c r="DI119" s="21">
        <f t="shared" ca="1" si="147"/>
        <v>5.6382233431413763E-2</v>
      </c>
      <c r="DJ119" s="21">
        <f t="shared" ca="1" si="148"/>
        <v>0.10148802017654476</v>
      </c>
      <c r="DK119" s="21">
        <f t="shared" ca="1" si="149"/>
        <v>0.16914670029424128</v>
      </c>
      <c r="DL119" s="21">
        <f t="shared" ca="1" si="150"/>
        <v>0.25372005044136192</v>
      </c>
      <c r="DN119" s="16" cm="1">
        <f t="array" aca="1" ref="DN119" ca="1">MAX(_xlfn._xlws.FILTER(CY119:DL119,CY119:DL119&lt;BW119))</f>
        <v>-7.8067707828111364E-3</v>
      </c>
      <c r="DO119" s="16" cm="1">
        <f t="array" aca="1" ref="DO119" ca="1">MIN(_xlfn._xlws.FILTER(CY119:DL119,CY119:DL119&gt;BW119))</f>
        <v>7.8067707828111364E-3</v>
      </c>
      <c r="DP119" s="2" cm="1">
        <f t="array" aca="1" ref="DP119" ca="1">_FV(EE119,"Fechamento anterior",TRUE)</f>
        <v>17.64</v>
      </c>
      <c r="DQ119" s="28">
        <f t="shared" ca="1" si="106"/>
        <v>0.31846097451571631</v>
      </c>
      <c r="DR119" s="15">
        <f t="shared" ca="1" si="151"/>
        <v>17.502288563391211</v>
      </c>
      <c r="DS119" s="15">
        <f t="shared" ca="1" si="152"/>
        <v>17.77771143660879</v>
      </c>
      <c r="DT119" s="9"/>
      <c r="DU119" s="9"/>
      <c r="DV119" s="9"/>
      <c r="DW119" s="89">
        <v>2.9716798906421787E-2</v>
      </c>
      <c r="DX119" s="89">
        <f t="shared" ca="1" si="107"/>
        <v>1.5613541565622273E-2</v>
      </c>
      <c r="DY119" s="72">
        <f t="shared" ca="1" si="108"/>
        <v>4.1346325103288138E-2</v>
      </c>
      <c r="DZ119" s="37"/>
      <c r="EA119" s="35">
        <f t="shared" si="118"/>
        <v>0.48371892665059196</v>
      </c>
      <c r="EB119" s="56"/>
      <c r="EC119" s="56"/>
      <c r="EE119" s="2" t="e" vm="118">
        <v>#VALUE!</v>
      </c>
      <c r="EG119" s="10" cm="1">
        <f t="array" aca="1" ref="EG119" ca="1">_FV(EE119,"Ações em circulação",TRUE)</f>
        <v>1115850000</v>
      </c>
      <c r="EH119" s="18">
        <f>VLOOKUP(BR119,Fundamentus!A:U,5,FALSE)</f>
        <v>0.13300000000000001</v>
      </c>
      <c r="EI119" s="2">
        <f t="shared" ca="1" si="109"/>
        <v>147577454887.21805</v>
      </c>
      <c r="EJ119" s="17">
        <v>2626878696.9924812</v>
      </c>
      <c r="EK119" s="17">
        <f t="shared" ca="1" si="110"/>
        <v>2626878696.9924812</v>
      </c>
      <c r="EM119" s="16">
        <f t="shared" ca="1" si="97"/>
        <v>0</v>
      </c>
      <c r="EN119" s="32" t="str">
        <f>IF(VLOOKUP(BR119,Fundamentus!A:U,3,FALSE)&lt;15,"Bom",IF(VLOOKUP(BR119,Fundamentus!A:U,3,FALSE)&gt;15,"Ruim","n/a"))</f>
        <v>Bom</v>
      </c>
      <c r="EO119" s="28" t="str">
        <f>IF(VLOOKUP(BR119,Fundamentus!A:U,4,FALSE)&lt;1,"Baixo",IF(VLOOKUP(BR119,Fundamentus!A:U,4,FALSE)&lt;1.5,"Moderado",IF(VLOOKUP(BR119,Fundamentus!A:U,4,FALSE)&gt;1.5,"Alto","n/a")))</f>
        <v>Moderado</v>
      </c>
      <c r="EP119" s="17" t="str">
        <f>IF(VLOOKUP(BR119,Fundamentus!A:U,8,FALSE)&lt;0,"Risco elevado",IF(VLOOKUP(BR119,Fundamentus!A:U,8,FALSE)&lt;1,"Saudável",IF(VLOOKUP(BR119,Fundamentus!A:U,8,FALSE)&lt;3,"Estável",IF(VLOOKUP(BR119,Fundamentus!A:U,8,FALSE)&gt;3,"Alerta","n/a"))))</f>
        <v>Estável</v>
      </c>
      <c r="EQ119" s="28" t="str">
        <f t="shared" si="111"/>
        <v>Ruim</v>
      </c>
      <c r="ER119" s="17" t="str">
        <f>IF(VLOOKUP(BR119,Fundamentus!A:U,12,FALSE)&lt;2,"Subvalorizada",IF(VLOOKUP(BR119,Fundamentus!A:U,12,FALSE)&lt;6,"Muita barata",IF(VLOOKUP(BR119,Fundamentus!A:U,12,FALSE)&lt;6,"Barata",IF(VLOOKUP(BR119,Fundamentus!A:U,12,FALSE)&lt;8,"Atrativa",IF(VLOOKUP(BR119,Fundamentus!A:U,12,FALSE)&gt;8,"Supervalorizada","n/a")))))</f>
        <v>Muita barata</v>
      </c>
      <c r="ET119" s="17" t="str">
        <f>IF(VLOOKUP(BR119,Fundamentus!A:U,17,FALSE)&lt;0.1,"Fraco retorno",IF(VLOOKUP(BR119,Fundamentus!A:U,17,FALSE)&gt;0.1,"Bom retorno","n/a"))</f>
        <v>Bom retorno</v>
      </c>
      <c r="EU119" s="17" t="str">
        <f>IF(VLOOKUP(BR119,Fundamentus!A:U,16,FALSE)&lt;0.1,"Ineficiente",IF(VLOOKUP(BR119,Fundamentus!A:U,16,FALSE)&gt;0.1,"Eficiente","n/a"))</f>
        <v>Eficiente</v>
      </c>
      <c r="EV119" s="33" t="str">
        <f>IF(VLOOKUP(BR119,Fundamentus!A:U,16,FALSE)&lt;0.1,"Oper. Ineficiente",IF(VLOOKUP(BR119,Fundamentus!A:U,16,FALSE)&gt;0.1,"Oper.Eficiente","n/a"))</f>
        <v>Oper.Eficiente</v>
      </c>
      <c r="EW119" s="34">
        <f>VLOOKUP(BR119,Fundamentus!A:U,14,FALSE)</f>
        <v>1.78E-2</v>
      </c>
      <c r="EX119" s="17" t="str">
        <f>IF(VLOOKUP(BR119,Fundamentus!A:U,21,FALSE)&lt;0,"Negativo",IF(VLOOKUP(BR119,Fundamentus!A:U,21,FALSE)&lt;0.05,"Fraco",IF(VLOOKUP(BR119,Fundamentus!A:U,21,FALSE)&lt;0.1,"Bom",IF(VLOOKUP(BR119,Fundamentus!A:U,21,FALSE)&gt;0.1,"Muito bom","n/a"))))</f>
        <v>Muito bom</v>
      </c>
      <c r="EZ119" s="29" t="str">
        <f>IF(VLOOKUP(BR119,Fundamentus!A:U,15,FALSE)&gt;1,"Bom",IF(VLOOKUP(BR119,Fundamentus!A:U,15,FALSE)&lt;1,"Ruim","n/a"))</f>
        <v>Bom</v>
      </c>
      <c r="FA119" s="17" t="str">
        <f>IF(VLOOKUP(BR119,Fundamentus!A:U,20,FALSE)&lt;0.5,"Baixa",IF(VLOOKUP(BR119,Fundamentus!A:U,20,FALSE)&lt;1,"Moderada",IF(VLOOKUP(BR119,Fundamentus!A:U,20,FALSE)&lt;2,"Alerta",IF(VLOOKUP(BR119,Fundamentus!A:U,20,FALSE)&gt;2,"Alta","n/a"))))</f>
        <v>Moderada</v>
      </c>
      <c r="FB119" s="10"/>
    </row>
    <row r="120" spans="1:158" s="2" customFormat="1" ht="11.25"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5">
        <v>5.22</v>
      </c>
      <c r="BC120" s="52">
        <v>5.34</v>
      </c>
      <c r="BD120" s="52">
        <v>5.45</v>
      </c>
      <c r="BE120" s="52">
        <v>5.55</v>
      </c>
      <c r="BF120" s="52">
        <v>5.68</v>
      </c>
      <c r="BG120" s="67">
        <v>5.55</v>
      </c>
      <c r="BH120" s="52">
        <v>5.68</v>
      </c>
      <c r="BI120" s="52">
        <v>5.68</v>
      </c>
      <c r="BJ120" s="52">
        <v>5.72</v>
      </c>
      <c r="BK120" s="52">
        <v>5.35</v>
      </c>
      <c r="BL120" s="52">
        <v>5.14</v>
      </c>
      <c r="BM120" s="52">
        <v>5.8</v>
      </c>
      <c r="BN120" s="52">
        <v>5.61</v>
      </c>
      <c r="BO120" s="52">
        <v>5.76</v>
      </c>
      <c r="BP120" s="52">
        <v>5.68</v>
      </c>
      <c r="BQ120" s="52" cm="1">
        <f t="array" aca="1" ref="BQ120" ca="1">_FV(EE120,"Preço")</f>
        <v>5.68</v>
      </c>
      <c r="BR120" s="69" t="s">
        <v>149</v>
      </c>
      <c r="BS120" s="36" cm="1">
        <f t="array" aca="1" ref="BS120" ca="1">_FV(EE120,"Média de volume",TRUE)</f>
        <v>1941270</v>
      </c>
      <c r="BT120" s="36">
        <v>1549800</v>
      </c>
      <c r="BU120" s="36" cm="1">
        <f t="array" aca="1" ref="BU120" ca="1">_FV(EE120,"Volume")</f>
        <v>1549800</v>
      </c>
      <c r="BV120" s="24" cm="1">
        <f t="array" aca="1" ref="BV120" ca="1">_FV(EE120,"Beta")</f>
        <v>0.73909999999999998</v>
      </c>
      <c r="BW120" s="71" cm="1">
        <f t="array" aca="1" ref="BW120" ca="1">_FV(EE120,"Variação (%)",TRUE)</f>
        <v>-6.9930000000000001E-3</v>
      </c>
      <c r="BY120" s="17" cm="1">
        <f t="array" aca="1" ref="BY120" ca="1">_FV(EE120,"Baixo")</f>
        <v>5.65</v>
      </c>
      <c r="BZ120" s="17" cm="1">
        <f t="array" aca="1" ref="BZ120" ca="1">_FV(EE120,"Alto")</f>
        <v>5.82</v>
      </c>
      <c r="CA120" s="24"/>
      <c r="CB120" s="63">
        <f ca="1">SQRT(22.5*(BQ120/VLOOKUP(BR120,Fundamentus!A:U,3,FALSE))*(BQ120/VLOOKUP(BR120,Fundamentus!A:U,4,FALSE)))</f>
        <v>8.1229105247238902</v>
      </c>
      <c r="CD120" s="62">
        <f t="shared" ca="1" si="112"/>
        <v>0</v>
      </c>
      <c r="CE120" s="8"/>
      <c r="CF120" s="61">
        <f t="shared" si="113"/>
        <v>5.14</v>
      </c>
      <c r="CG120" s="61">
        <f t="shared" si="114"/>
        <v>8.65</v>
      </c>
      <c r="CH120" s="61">
        <f t="shared" si="115"/>
        <v>6.5908088235294118</v>
      </c>
      <c r="CI120" s="14"/>
      <c r="CJ120" s="35">
        <f t="shared" si="98"/>
        <v>5.1566671081679605</v>
      </c>
      <c r="CK120" s="15">
        <f t="shared" si="116"/>
        <v>5.6599999999999966</v>
      </c>
      <c r="CL120" s="35">
        <f t="shared" si="99"/>
        <v>6.1633328918320327</v>
      </c>
      <c r="CN120" s="14"/>
      <c r="CO120" s="17">
        <f t="shared" si="100"/>
        <v>0.81999999999999762</v>
      </c>
      <c r="CP120" s="17">
        <f t="shared" si="101"/>
        <v>2.9799999999999986</v>
      </c>
      <c r="CQ120" s="17">
        <f t="shared" si="102"/>
        <v>4.3299999999999983</v>
      </c>
      <c r="CR120" s="38">
        <f t="shared" si="117"/>
        <v>6.4899999999999993</v>
      </c>
      <c r="CS120" s="17">
        <f t="shared" si="103"/>
        <v>7.839999999999999</v>
      </c>
      <c r="CT120" s="17">
        <f t="shared" si="104"/>
        <v>10</v>
      </c>
      <c r="CU120" s="17">
        <f t="shared" si="105"/>
        <v>11.35</v>
      </c>
      <c r="CV120" s="2" cm="1">
        <f t="array" aca="1" ref="CV120" ca="1">MAX(_xlfn._xlws.FILTER(CO120:CU120,CO120:CU120&lt;BQ120))</f>
        <v>4.3299999999999983</v>
      </c>
      <c r="CW120" s="2" cm="1">
        <f t="array" aca="1" ref="CW120" ca="1">MIN(_xlfn._xlws.FILTER($CO120:$CU120,$CO120:$CU120&gt;BQ120))</f>
        <v>6.4899999999999993</v>
      </c>
      <c r="CX120" s="16">
        <f t="shared" ca="1" si="136"/>
        <v>0.49884526558891507</v>
      </c>
      <c r="CY120" s="20">
        <f t="shared" ca="1" si="137"/>
        <v>-0.24942263279445753</v>
      </c>
      <c r="CZ120" s="20">
        <f t="shared" ca="1" si="138"/>
        <v>-0.16628175519630503</v>
      </c>
      <c r="DA120" s="20">
        <f t="shared" ca="1" si="139"/>
        <v>-9.9769053117783016E-2</v>
      </c>
      <c r="DB120" s="20">
        <f t="shared" ca="1" si="140"/>
        <v>-5.5427251732101675E-2</v>
      </c>
      <c r="DC120" s="20">
        <f t="shared" ca="1" si="141"/>
        <v>-2.9343839152289122E-2</v>
      </c>
      <c r="DD120" s="20">
        <f t="shared" ca="1" si="142"/>
        <v>-1.5116523199664092E-2</v>
      </c>
      <c r="DE120" s="20">
        <f t="shared" ca="1" si="143"/>
        <v>-7.6745425475217705E-3</v>
      </c>
      <c r="DF120" s="21">
        <f t="shared" ca="1" si="144"/>
        <v>7.6745425475217705E-3</v>
      </c>
      <c r="DG120" s="21">
        <f t="shared" ca="1" si="145"/>
        <v>1.5116523199664092E-2</v>
      </c>
      <c r="DH120" s="21">
        <f t="shared" ca="1" si="146"/>
        <v>2.9343839152289122E-2</v>
      </c>
      <c r="DI120" s="21">
        <f t="shared" ca="1" si="147"/>
        <v>5.5427251732101675E-2</v>
      </c>
      <c r="DJ120" s="21">
        <f t="shared" ca="1" si="148"/>
        <v>9.9769053117783016E-2</v>
      </c>
      <c r="DK120" s="21">
        <f t="shared" ca="1" si="149"/>
        <v>0.16628175519630503</v>
      </c>
      <c r="DL120" s="21">
        <f t="shared" ca="1" si="150"/>
        <v>0.24942263279445753</v>
      </c>
      <c r="DN120" s="16" cm="1">
        <f t="array" aca="1" ref="DN120" ca="1">MAX(_xlfn._xlws.FILTER(CY120:DL120,CY120:DL120&lt;BW120))</f>
        <v>-7.6745425475217705E-3</v>
      </c>
      <c r="DO120" s="16" cm="1">
        <f t="array" aca="1" ref="DO120" ca="1">MIN(_xlfn._xlws.FILTER(CY120:DL120,CY120:DL120&gt;BW120))</f>
        <v>7.6745425475217705E-3</v>
      </c>
      <c r="DP120" s="2" cm="1">
        <f t="array" aca="1" ref="DP120" ca="1">_FV(EE120,"Fechamento anterior",TRUE)</f>
        <v>5.72</v>
      </c>
      <c r="DQ120" s="28">
        <f t="shared" ca="1" si="106"/>
        <v>4.4402356902356714E-2</v>
      </c>
      <c r="DR120" s="15">
        <f t="shared" ca="1" si="151"/>
        <v>5.6761016166281753</v>
      </c>
      <c r="DS120" s="15">
        <f t="shared" ca="1" si="152"/>
        <v>5.7638983833718243</v>
      </c>
      <c r="DT120" s="9"/>
      <c r="DU120" s="9"/>
      <c r="DV120" s="9"/>
      <c r="DW120" s="89">
        <v>1.4975138929511573E-2</v>
      </c>
      <c r="DX120" s="89">
        <f t="shared" ca="1" si="107"/>
        <v>1.5349085095043541E-2</v>
      </c>
      <c r="DY120" s="72">
        <f t="shared" ca="1" si="108"/>
        <v>3.9735134191622022E-2</v>
      </c>
      <c r="DZ120" s="37"/>
      <c r="EA120" s="35">
        <f t="shared" si="118"/>
        <v>0.25166644591601806</v>
      </c>
      <c r="EB120" s="56"/>
      <c r="EC120" s="56"/>
      <c r="EE120" s="2" t="e" vm="119">
        <v>#VALUE!</v>
      </c>
      <c r="EG120" s="10" cm="1">
        <f t="array" aca="1" ref="EG120" ca="1">_FV(EE120,"Ações em circulação",TRUE)</f>
        <v>820566200</v>
      </c>
      <c r="EH120" s="18">
        <f>VLOOKUP(BR120,Fundamentus!A:U,5,FALSE)</f>
        <v>0.54</v>
      </c>
      <c r="EI120" s="2">
        <f t="shared" ca="1" si="109"/>
        <v>8631140770.370369</v>
      </c>
      <c r="EJ120" s="17">
        <v>282238303.19111109</v>
      </c>
      <c r="EK120" s="17">
        <f t="shared" ca="1" si="110"/>
        <v>282238303.19111109</v>
      </c>
      <c r="EM120" s="16">
        <f t="shared" ca="1" si="97"/>
        <v>0</v>
      </c>
      <c r="EN120" s="32" t="str">
        <f>IF(VLOOKUP(BR120,Fundamentus!A:U,3,FALSE)&lt;15,"Bom",IF(VLOOKUP(BR120,Fundamentus!A:U,3,FALSE)&gt;15,"Ruim","n/a"))</f>
        <v>Ruim</v>
      </c>
      <c r="EO120" s="28" t="str">
        <f>IF(VLOOKUP(BR120,Fundamentus!A:U,4,FALSE)&lt;1,"Baixo",IF(VLOOKUP(BR120,Fundamentus!A:U,4,FALSE)&lt;1.5,"Moderado",IF(VLOOKUP(BR120,Fundamentus!A:U,4,FALSE)&gt;1.5,"Alto","n/a")))</f>
        <v>Baixo</v>
      </c>
      <c r="EP120" s="17" t="str">
        <f>IF(VLOOKUP(BR120,Fundamentus!A:U,8,FALSE)&lt;0,"Risco elevado",IF(VLOOKUP(BR120,Fundamentus!A:U,8,FALSE)&lt;1,"Saudável",IF(VLOOKUP(BR120,Fundamentus!A:U,8,FALSE)&lt;3,"Estável",IF(VLOOKUP(BR120,Fundamentus!A:U,8,FALSE)&gt;3,"Alerta","n/a"))))</f>
        <v>Alerta</v>
      </c>
      <c r="EQ120" s="28" t="str">
        <f t="shared" si="111"/>
        <v>Ruim</v>
      </c>
      <c r="ER120" s="17" t="str">
        <f>IF(VLOOKUP(BR120,Fundamentus!A:U,12,FALSE)&lt;2,"Subvalorizada",IF(VLOOKUP(BR120,Fundamentus!A:U,12,FALSE)&lt;6,"Muita barata",IF(VLOOKUP(BR120,Fundamentus!A:U,12,FALSE)&lt;6,"Barata",IF(VLOOKUP(BR120,Fundamentus!A:U,12,FALSE)&lt;8,"Atrativa",IF(VLOOKUP(BR120,Fundamentus!A:U,12,FALSE)&gt;8,"Supervalorizada","n/a")))))</f>
        <v>Muita barata</v>
      </c>
      <c r="ET120" s="17" t="str">
        <f>IF(VLOOKUP(BR120,Fundamentus!A:U,17,FALSE)&lt;0.1,"Fraco retorno",IF(VLOOKUP(BR120,Fundamentus!A:U,17,FALSE)&gt;0.1,"Bom retorno","n/a"))</f>
        <v>Fraco retorno</v>
      </c>
      <c r="EU120" s="17" t="str">
        <f>IF(VLOOKUP(BR120,Fundamentus!A:U,16,FALSE)&lt;0.1,"Ineficiente",IF(VLOOKUP(BR120,Fundamentus!A:U,16,FALSE)&gt;0.1,"Eficiente","n/a"))</f>
        <v>Ineficiente</v>
      </c>
      <c r="EV120" s="33" t="str">
        <f>IF(VLOOKUP(BR120,Fundamentus!A:U,16,FALSE)&lt;0.1,"Oper. Ineficiente",IF(VLOOKUP(BR120,Fundamentus!A:U,16,FALSE)&gt;0.1,"Oper.Eficiente","n/a"))</f>
        <v>Oper. Ineficiente</v>
      </c>
      <c r="EW120" s="34">
        <f>VLOOKUP(BR120,Fundamentus!A:U,14,FALSE)</f>
        <v>3.27E-2</v>
      </c>
      <c r="EX120" s="17" t="str">
        <f>IF(VLOOKUP(BR120,Fundamentus!A:U,21,FALSE)&lt;0,"Negativo",IF(VLOOKUP(BR120,Fundamentus!A:U,21,FALSE)&lt;0.05,"Fraco",IF(VLOOKUP(BR120,Fundamentus!A:U,21,FALSE)&lt;0.1,"Bom",IF(VLOOKUP(BR120,Fundamentus!A:U,21,FALSE)&gt;0.1,"Muito bom","n/a"))))</f>
        <v>Fraco</v>
      </c>
      <c r="EZ120" s="29" t="str">
        <f>IF(VLOOKUP(BR120,Fundamentus!A:U,15,FALSE)&gt;1,"Bom",IF(VLOOKUP(BR120,Fundamentus!A:U,15,FALSE)&lt;1,"Ruim","n/a"))</f>
        <v>Bom</v>
      </c>
      <c r="FA120" s="17" t="str">
        <f>IF(VLOOKUP(BR120,Fundamentus!A:U,20,FALSE)&lt;0.5,"Baixa",IF(VLOOKUP(BR120,Fundamentus!A:U,20,FALSE)&lt;1,"Moderada",IF(VLOOKUP(BR120,Fundamentus!A:U,20,FALSE)&lt;2,"Alerta",IF(VLOOKUP(BR120,Fundamentus!A:U,20,FALSE)&gt;2,"Alta","n/a"))))</f>
        <v>Moderada</v>
      </c>
      <c r="FB120" s="10"/>
    </row>
    <row r="121" spans="1:158" s="2" customFormat="1" ht="11.25"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5">
        <v>17.16</v>
      </c>
      <c r="BC121" s="52">
        <v>20.67</v>
      </c>
      <c r="BD121" s="52">
        <v>22.58</v>
      </c>
      <c r="BE121" s="52">
        <v>23.09</v>
      </c>
      <c r="BF121" s="52">
        <v>24.62</v>
      </c>
      <c r="BG121" s="67">
        <v>23.1</v>
      </c>
      <c r="BH121" s="52">
        <v>23.68</v>
      </c>
      <c r="BI121" s="52">
        <v>24.45</v>
      </c>
      <c r="BJ121" s="52">
        <v>24.28</v>
      </c>
      <c r="BK121" s="52">
        <v>22.85</v>
      </c>
      <c r="BL121" s="52">
        <v>22.48</v>
      </c>
      <c r="BM121" s="52">
        <v>21.24</v>
      </c>
      <c r="BN121" s="52">
        <v>22.09</v>
      </c>
      <c r="BO121" s="52">
        <v>21.25</v>
      </c>
      <c r="BP121" s="52">
        <v>21.4</v>
      </c>
      <c r="BQ121" s="52" cm="1">
        <f t="array" aca="1" ref="BQ121" ca="1">_FV(EE121,"Preço")</f>
        <v>21.4</v>
      </c>
      <c r="BR121" s="69" t="s">
        <v>64</v>
      </c>
      <c r="BS121" s="36" cm="1">
        <f t="array" aca="1" ref="BS121" ca="1">_FV(EE121,"Média de volume",TRUE)</f>
        <v>2239730</v>
      </c>
      <c r="BT121" s="36">
        <v>862000</v>
      </c>
      <c r="BU121" s="36" cm="1">
        <f t="array" aca="1" ref="BU121" ca="1">_FV(EE121,"Volume")</f>
        <v>862000</v>
      </c>
      <c r="BV121" s="24" cm="1">
        <f t="array" aca="1" ref="BV121" ca="1">_FV(EE121,"Beta")</f>
        <v>1.4938</v>
      </c>
      <c r="BW121" s="71" cm="1">
        <f t="array" aca="1" ref="BW121" ca="1">_FV(EE121,"Variação (%)",TRUE)</f>
        <v>2.3419999999999999E-3</v>
      </c>
      <c r="BY121" s="17" cm="1">
        <f t="array" aca="1" ref="BY121" ca="1">_FV(EE121,"Baixo")</f>
        <v>21.13</v>
      </c>
      <c r="BZ121" s="17" cm="1">
        <f t="array" aca="1" ref="BZ121" ca="1">_FV(EE121,"Alto")</f>
        <v>21.84</v>
      </c>
      <c r="CA121" s="24"/>
      <c r="CB121" s="63">
        <f ca="1">SQRT(22.5*(BQ121/VLOOKUP(BR121,Fundamentus!A:U,3,FALSE))*(BQ121/VLOOKUP(BR121,Fundamentus!A:U,4,FALSE)))</f>
        <v>16.831932425370979</v>
      </c>
      <c r="CD121" s="62">
        <f t="shared" ca="1" si="112"/>
        <v>0</v>
      </c>
      <c r="CE121" s="8"/>
      <c r="CF121" s="61">
        <f t="shared" si="113"/>
        <v>10.62</v>
      </c>
      <c r="CG121" s="61">
        <f t="shared" si="114"/>
        <v>24.62</v>
      </c>
      <c r="CH121" s="61">
        <f t="shared" si="115"/>
        <v>15.489264705882356</v>
      </c>
      <c r="CI121" s="14"/>
      <c r="CJ121" s="35">
        <f t="shared" si="98"/>
        <v>20.109012345737785</v>
      </c>
      <c r="CK121" s="15">
        <f t="shared" si="116"/>
        <v>21.404999999999973</v>
      </c>
      <c r="CL121" s="35">
        <f t="shared" si="99"/>
        <v>22.70098765426216</v>
      </c>
      <c r="CN121" s="14"/>
      <c r="CO121" s="17">
        <f t="shared" si="100"/>
        <v>-0.86000000000000476</v>
      </c>
      <c r="CP121" s="17">
        <f t="shared" si="101"/>
        <v>4.8799999999999972</v>
      </c>
      <c r="CQ121" s="17">
        <f t="shared" si="102"/>
        <v>13.139999999999997</v>
      </c>
      <c r="CR121" s="38">
        <f t="shared" si="117"/>
        <v>18.88</v>
      </c>
      <c r="CS121" s="17">
        <f t="shared" si="103"/>
        <v>27.14</v>
      </c>
      <c r="CT121" s="17">
        <f t="shared" si="104"/>
        <v>32.880000000000003</v>
      </c>
      <c r="CU121" s="17">
        <f t="shared" si="105"/>
        <v>41.14</v>
      </c>
      <c r="CV121" s="2" cm="1">
        <f t="array" aca="1" ref="CV121" ca="1">MAX(_xlfn._xlws.FILTER(CO121:CU121,CO121:CU121&lt;BQ121))</f>
        <v>18.88</v>
      </c>
      <c r="CW121" s="2" cm="1">
        <f t="array" aca="1" ref="CW121" ca="1">MIN(_xlfn._xlws.FILTER($CO121:$CU121,$CO121:$CU121&gt;BQ121))</f>
        <v>27.14</v>
      </c>
      <c r="CX121" s="16">
        <f t="shared" ca="1" si="136"/>
        <v>0.4375</v>
      </c>
      <c r="CY121" s="20">
        <f t="shared" ca="1" si="137"/>
        <v>-0.21875</v>
      </c>
      <c r="CZ121" s="20">
        <f t="shared" ca="1" si="138"/>
        <v>-0.14583333333333334</v>
      </c>
      <c r="DA121" s="20">
        <f t="shared" ca="1" si="139"/>
        <v>-8.7499999999999994E-2</v>
      </c>
      <c r="DB121" s="20">
        <f t="shared" ca="1" si="140"/>
        <v>-4.8611111111111112E-2</v>
      </c>
      <c r="DC121" s="20">
        <f t="shared" ca="1" si="141"/>
        <v>-2.5735294117647058E-2</v>
      </c>
      <c r="DD121" s="20">
        <f t="shared" ca="1" si="142"/>
        <v>-1.3257575757575758E-2</v>
      </c>
      <c r="DE121" s="20">
        <f t="shared" ca="1" si="143"/>
        <v>-6.7307692307692311E-3</v>
      </c>
      <c r="DF121" s="21">
        <f t="shared" ca="1" si="144"/>
        <v>6.7307692307692311E-3</v>
      </c>
      <c r="DG121" s="21">
        <f t="shared" ca="1" si="145"/>
        <v>1.3257575757575758E-2</v>
      </c>
      <c r="DH121" s="21">
        <f t="shared" ca="1" si="146"/>
        <v>2.5735294117647058E-2</v>
      </c>
      <c r="DI121" s="21">
        <f t="shared" ca="1" si="147"/>
        <v>4.8611111111111112E-2</v>
      </c>
      <c r="DJ121" s="21">
        <f t="shared" ca="1" si="148"/>
        <v>8.7499999999999994E-2</v>
      </c>
      <c r="DK121" s="21">
        <f t="shared" ca="1" si="149"/>
        <v>0.14583333333333334</v>
      </c>
      <c r="DL121" s="21">
        <f t="shared" ca="1" si="150"/>
        <v>0.21875</v>
      </c>
      <c r="DN121" s="16" cm="1">
        <f t="array" aca="1" ref="DN121" ca="1">MAX(_xlfn._xlws.FILTER(CY121:DL121,CY121:DL121&lt;BW121))</f>
        <v>-6.7307692307692311E-3</v>
      </c>
      <c r="DO121" s="16" cm="1">
        <f t="array" aca="1" ref="DO121" ca="1">MIN(_xlfn._xlws.FILTER(CY121:DL121,CY121:DL121&gt;BW121))</f>
        <v>6.7307692307692311E-3</v>
      </c>
      <c r="DP121" s="2" cm="1">
        <f t="array" aca="1" ref="DP121" ca="1">_FV(EE121,"Fechamento anterior",TRUE)</f>
        <v>21.35</v>
      </c>
      <c r="DQ121" s="28">
        <f t="shared" ca="1" si="106"/>
        <v>0.67397122783538832</v>
      </c>
      <c r="DR121" s="15">
        <f t="shared" ca="1" si="151"/>
        <v>21.20629807692308</v>
      </c>
      <c r="DS121" s="15">
        <f t="shared" ca="1" si="152"/>
        <v>21.493701923076923</v>
      </c>
      <c r="DT121" s="9"/>
      <c r="DU121" s="9"/>
      <c r="DV121" s="9"/>
      <c r="DW121" s="89">
        <v>3.8756122027497508E-2</v>
      </c>
      <c r="DX121" s="89">
        <f t="shared" ca="1" si="107"/>
        <v>1.3461538461538462E-2</v>
      </c>
      <c r="DY121" s="72">
        <f t="shared" ca="1" si="108"/>
        <v>-3.8580614433558484E-3</v>
      </c>
      <c r="DZ121" s="37"/>
      <c r="EA121" s="35">
        <f t="shared" si="118"/>
        <v>0.64799382713109321</v>
      </c>
      <c r="EB121" s="56"/>
      <c r="EC121" s="56"/>
      <c r="EE121" s="2" t="e" vm="120">
        <v>#VALUE!</v>
      </c>
      <c r="EG121" s="10" cm="1">
        <f t="array" aca="1" ref="EG121" ca="1">_FV(EE121,"Ações em circulação",TRUE)</f>
        <v>122578100</v>
      </c>
      <c r="EH121" s="18">
        <f>VLOOKUP(BR121,Fundamentus!A:U,5,FALSE)</f>
        <v>0.79800000000000004</v>
      </c>
      <c r="EI121" s="2">
        <f t="shared" ca="1" si="109"/>
        <v>3287182130.3258142</v>
      </c>
      <c r="EJ121" s="17">
        <v>166988852.22055137</v>
      </c>
      <c r="EK121" s="17">
        <f t="shared" ca="1" si="110"/>
        <v>166988852.22055137</v>
      </c>
      <c r="EM121" s="16">
        <f t="shared" ca="1" si="97"/>
        <v>0</v>
      </c>
      <c r="EN121" s="32" t="str">
        <f>IF(VLOOKUP(BR121,Fundamentus!A:U,3,FALSE)&lt;15,"Bom",IF(VLOOKUP(BR121,Fundamentus!A:U,3,FALSE)&gt;15,"Ruim","n/a"))</f>
        <v>Bom</v>
      </c>
      <c r="EO121" s="28" t="str">
        <f>IF(VLOOKUP(BR121,Fundamentus!A:U,4,FALSE)&lt;1,"Baixo",IF(VLOOKUP(BR121,Fundamentus!A:U,4,FALSE)&lt;1.5,"Moderado",IF(VLOOKUP(BR121,Fundamentus!A:U,4,FALSE)&gt;1.5,"Alto","n/a")))</f>
        <v>Alto</v>
      </c>
      <c r="EP121" s="17" t="str">
        <f>IF(VLOOKUP(BR121,Fundamentus!A:U,8,FALSE)&lt;0,"Risco elevado",IF(VLOOKUP(BR121,Fundamentus!A:U,8,FALSE)&lt;1,"Saudável",IF(VLOOKUP(BR121,Fundamentus!A:U,8,FALSE)&lt;3,"Estável",IF(VLOOKUP(BR121,Fundamentus!A:U,8,FALSE)&gt;3,"Alerta","n/a"))))</f>
        <v>Estável</v>
      </c>
      <c r="EQ121" s="28" t="str">
        <f t="shared" si="111"/>
        <v>Ruim</v>
      </c>
      <c r="ER121" s="17" t="str">
        <f>IF(VLOOKUP(BR121,Fundamentus!A:U,12,FALSE)&lt;2,"Subvalorizada",IF(VLOOKUP(BR121,Fundamentus!A:U,12,FALSE)&lt;6,"Muita barata",IF(VLOOKUP(BR121,Fundamentus!A:U,12,FALSE)&lt;6,"Barata",IF(VLOOKUP(BR121,Fundamentus!A:U,12,FALSE)&lt;8,"Atrativa",IF(VLOOKUP(BR121,Fundamentus!A:U,12,FALSE)&gt;8,"Supervalorizada","n/a")))))</f>
        <v>Atrativa</v>
      </c>
      <c r="ET121" s="17" t="str">
        <f>IF(VLOOKUP(BR121,Fundamentus!A:U,17,FALSE)&lt;0.1,"Fraco retorno",IF(VLOOKUP(BR121,Fundamentus!A:U,17,FALSE)&gt;0.1,"Bom retorno","n/a"))</f>
        <v>Bom retorno</v>
      </c>
      <c r="EU121" s="17" t="str">
        <f>IF(VLOOKUP(BR121,Fundamentus!A:U,16,FALSE)&lt;0.1,"Ineficiente",IF(VLOOKUP(BR121,Fundamentus!A:U,16,FALSE)&gt;0.1,"Eficiente","n/a"))</f>
        <v>Eficiente</v>
      </c>
      <c r="EV121" s="33" t="str">
        <f>IF(VLOOKUP(BR121,Fundamentus!A:U,16,FALSE)&lt;0.1,"Oper. Ineficiente",IF(VLOOKUP(BR121,Fundamentus!A:U,16,FALSE)&gt;0.1,"Oper.Eficiente","n/a"))</f>
        <v>Oper.Eficiente</v>
      </c>
      <c r="EW121" s="34">
        <f>VLOOKUP(BR121,Fundamentus!A:U,14,FALSE)</f>
        <v>5.0799999999999998E-2</v>
      </c>
      <c r="EX121" s="17" t="str">
        <f>IF(VLOOKUP(BR121,Fundamentus!A:U,21,FALSE)&lt;0,"Negativo",IF(VLOOKUP(BR121,Fundamentus!A:U,21,FALSE)&lt;0.05,"Fraco",IF(VLOOKUP(BR121,Fundamentus!A:U,21,FALSE)&lt;0.1,"Bom",IF(VLOOKUP(BR121,Fundamentus!A:U,21,FALSE)&gt;0.1,"Muito bom","n/a"))))</f>
        <v>Bom</v>
      </c>
      <c r="EZ121" s="29" t="str">
        <f>IF(VLOOKUP(BR121,Fundamentus!A:U,15,FALSE)&gt;1,"Bom",IF(VLOOKUP(BR121,Fundamentus!A:U,15,FALSE)&lt;1,"Ruim","n/a"))</f>
        <v>Bom</v>
      </c>
      <c r="FA121" s="17" t="str">
        <f>IF(VLOOKUP(BR121,Fundamentus!A:U,20,FALSE)&lt;0.5,"Baixa",IF(VLOOKUP(BR121,Fundamentus!A:U,20,FALSE)&lt;1,"Moderada",IF(VLOOKUP(BR121,Fundamentus!A:U,20,FALSE)&lt;2,"Alerta",IF(VLOOKUP(BR121,Fundamentus!A:U,20,FALSE)&gt;2,"Alta","n/a"))))</f>
        <v>Moderada</v>
      </c>
    </row>
    <row r="122" spans="1:158" s="2" customFormat="1" ht="11.25"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5">
        <v>43.42</v>
      </c>
      <c r="BC122" s="52">
        <v>41.79</v>
      </c>
      <c r="BD122" s="52">
        <v>41.7</v>
      </c>
      <c r="BE122" s="52">
        <v>41.96</v>
      </c>
      <c r="BF122" s="52">
        <v>41.31</v>
      </c>
      <c r="BG122" s="67">
        <v>41.3</v>
      </c>
      <c r="BH122" s="52">
        <v>40.049999999999997</v>
      </c>
      <c r="BI122" s="52">
        <v>39.700000000000003</v>
      </c>
      <c r="BJ122" s="52">
        <v>40.96</v>
      </c>
      <c r="BK122" s="52">
        <v>39.31</v>
      </c>
      <c r="BL122" s="52">
        <v>38.96</v>
      </c>
      <c r="BM122" s="52">
        <v>38.14</v>
      </c>
      <c r="BN122" s="52">
        <v>37.880000000000003</v>
      </c>
      <c r="BO122" s="52">
        <v>44.28</v>
      </c>
      <c r="BP122" s="52">
        <v>44.25</v>
      </c>
      <c r="BQ122" s="52" cm="1">
        <f t="array" aca="1" ref="BQ122" ca="1">_FV(EE122,"Preço")</f>
        <v>44.25</v>
      </c>
      <c r="BR122" s="69" t="s">
        <v>118</v>
      </c>
      <c r="BS122" s="36" cm="1">
        <f t="array" aca="1" ref="BS122" ca="1">_FV(EE122,"Média de volume",TRUE)</f>
        <v>3545260</v>
      </c>
      <c r="BT122" s="36">
        <v>5074800</v>
      </c>
      <c r="BU122" s="36" cm="1">
        <f t="array" aca="1" ref="BU122" ca="1">_FV(EE122,"Volume")</f>
        <v>5074800</v>
      </c>
      <c r="BV122" s="24" cm="1">
        <f t="array" aca="1" ref="BV122" ca="1">_FV(EE122,"Beta")</f>
        <v>0.8226</v>
      </c>
      <c r="BW122" s="71" cm="1">
        <f t="array" aca="1" ref="BW122" ca="1">_FV(EE122,"Variação (%)",TRUE)</f>
        <v>-6.7750000000000004E-4</v>
      </c>
      <c r="BY122" s="17" cm="1">
        <f t="array" aca="1" ref="BY122" ca="1">_FV(EE122,"Baixo")</f>
        <v>43.98</v>
      </c>
      <c r="BZ122" s="17" cm="1">
        <f t="array" aca="1" ref="BZ122" ca="1">_FV(EE122,"Alto")</f>
        <v>44.38</v>
      </c>
      <c r="CA122" s="24"/>
      <c r="CB122" s="63">
        <f ca="1">SQRT(22.5*(BQ122/VLOOKUP(BR122,Fundamentus!A:U,3,FALSE))*(BQ122/VLOOKUP(BR122,Fundamentus!A:U,4,FALSE)))</f>
        <v>80.313365219588974</v>
      </c>
      <c r="CD122" s="62">
        <f t="shared" ca="1" si="112"/>
        <v>0</v>
      </c>
      <c r="CE122" s="8"/>
      <c r="CF122" s="61">
        <f t="shared" si="113"/>
        <v>33.549999999999997</v>
      </c>
      <c r="CG122" s="61">
        <f t="shared" si="114"/>
        <v>44.28</v>
      </c>
      <c r="CH122" s="61">
        <f t="shared" si="115"/>
        <v>38.648676470588242</v>
      </c>
      <c r="CI122" s="14"/>
      <c r="CJ122" s="35">
        <f t="shared" si="98"/>
        <v>42.636315979916482</v>
      </c>
      <c r="CK122" s="15">
        <f t="shared" si="116"/>
        <v>47.320000000001528</v>
      </c>
      <c r="CL122" s="35">
        <f t="shared" si="99"/>
        <v>52.003684020086574</v>
      </c>
      <c r="CN122" s="14"/>
      <c r="CO122" s="17">
        <f t="shared" si="100"/>
        <v>26.376666666666665</v>
      </c>
      <c r="CP122" s="17">
        <f t="shared" si="101"/>
        <v>29.963333333333331</v>
      </c>
      <c r="CQ122" s="17">
        <f t="shared" si="102"/>
        <v>37.106666666666669</v>
      </c>
      <c r="CR122" s="38">
        <f t="shared" si="117"/>
        <v>40.693333333333335</v>
      </c>
      <c r="CS122" s="17">
        <f t="shared" si="103"/>
        <v>47.836666666666673</v>
      </c>
      <c r="CT122" s="17">
        <f t="shared" si="104"/>
        <v>51.423333333333339</v>
      </c>
      <c r="CU122" s="17">
        <f t="shared" si="105"/>
        <v>58.566666666666677</v>
      </c>
      <c r="CV122" s="2" cm="1">
        <f t="array" aca="1" ref="CV122" ca="1">MAX(_xlfn._xlws.FILTER(CO122:CU122,CO122:CU122&lt;BQ122))</f>
        <v>40.693333333333335</v>
      </c>
      <c r="CW122" s="2" cm="1">
        <f t="array" aca="1" ref="CW122" ca="1">MIN(_xlfn._xlws.FILTER($CO122:$CU122,$CO122:$CU122&gt;BQ122))</f>
        <v>47.836666666666673</v>
      </c>
      <c r="CX122" s="16">
        <f t="shared" ca="1" si="136"/>
        <v>0.17554062909567514</v>
      </c>
      <c r="CY122" s="20">
        <f t="shared" ca="1" si="137"/>
        <v>-8.7770314547837569E-2</v>
      </c>
      <c r="CZ122" s="20">
        <f t="shared" ca="1" si="138"/>
        <v>-5.8513543031891713E-2</v>
      </c>
      <c r="DA122" s="20">
        <f t="shared" ca="1" si="139"/>
        <v>-3.5108125819135028E-2</v>
      </c>
      <c r="DB122" s="20">
        <f t="shared" ca="1" si="140"/>
        <v>-1.9504514343963903E-2</v>
      </c>
      <c r="DC122" s="20">
        <f t="shared" ca="1" si="141"/>
        <v>-1.0325919358569125E-2</v>
      </c>
      <c r="DD122" s="20">
        <f t="shared" ca="1" si="142"/>
        <v>-5.3194130028992462E-3</v>
      </c>
      <c r="DE122" s="20">
        <f t="shared" ca="1" si="143"/>
        <v>-2.7006250630103867E-3</v>
      </c>
      <c r="DF122" s="21">
        <f t="shared" ca="1" si="144"/>
        <v>2.7006250630103867E-3</v>
      </c>
      <c r="DG122" s="21">
        <f t="shared" ca="1" si="145"/>
        <v>5.3194130028992462E-3</v>
      </c>
      <c r="DH122" s="21">
        <f t="shared" ca="1" si="146"/>
        <v>1.0325919358569125E-2</v>
      </c>
      <c r="DI122" s="21">
        <f t="shared" ca="1" si="147"/>
        <v>1.9504514343963903E-2</v>
      </c>
      <c r="DJ122" s="21">
        <f t="shared" ca="1" si="148"/>
        <v>3.5108125819135028E-2</v>
      </c>
      <c r="DK122" s="21">
        <f t="shared" ca="1" si="149"/>
        <v>5.8513543031891713E-2</v>
      </c>
      <c r="DL122" s="21">
        <f t="shared" ca="1" si="150"/>
        <v>8.7770314547837569E-2</v>
      </c>
      <c r="DN122" s="16" cm="1">
        <f t="array" aca="1" ref="DN122" ca="1">MAX(_xlfn._xlws.FILTER(CY122:DL122,CY122:DL122&lt;BW122))</f>
        <v>-2.7006250630103867E-3</v>
      </c>
      <c r="DO122" s="16" cm="1">
        <f t="array" aca="1" ref="DO122" ca="1">MIN(_xlfn._xlws.FILTER(CY122:DL122,CY122:DL122&gt;BW122))</f>
        <v>2.7006250630103867E-3</v>
      </c>
      <c r="DP122" s="2" cm="1">
        <f t="array" aca="1" ref="DP122" ca="1">_FV(EE122,"Fechamento anterior",TRUE)</f>
        <v>44.28</v>
      </c>
      <c r="DQ122" s="28">
        <f t="shared" ca="1" si="106"/>
        <v>0.37456482124316454</v>
      </c>
      <c r="DR122" s="15">
        <f t="shared" ca="1" si="151"/>
        <v>44.160416322209905</v>
      </c>
      <c r="DS122" s="15">
        <f t="shared" ca="1" si="152"/>
        <v>44.399583677790098</v>
      </c>
      <c r="DT122" s="9"/>
      <c r="DU122" s="9"/>
      <c r="DV122" s="9"/>
      <c r="DW122" s="89">
        <v>2.3432424316872778E-2</v>
      </c>
      <c r="DX122" s="89">
        <f t="shared" ca="1" si="107"/>
        <v>5.4012501260207735E-3</v>
      </c>
      <c r="DY122" s="72">
        <f t="shared" ca="1" si="108"/>
        <v>-0.65546693304596215</v>
      </c>
      <c r="DZ122" s="37"/>
      <c r="EA122" s="35">
        <f t="shared" si="118"/>
        <v>2.3418420100425221</v>
      </c>
      <c r="EB122" s="56"/>
      <c r="EC122" s="56"/>
      <c r="EE122" s="2" t="e" vm="121">
        <v>#VALUE!</v>
      </c>
      <c r="EG122" s="10" cm="1">
        <f t="array" aca="1" ref="EG122" ca="1">_FV(EE122,"Ações em circulação",TRUE)</f>
        <v>2307100000</v>
      </c>
      <c r="EH122" s="18">
        <f>VLOOKUP(BR122,Fundamentus!A:U,5,FALSE)</f>
        <v>2.1379999999999999</v>
      </c>
      <c r="EI122" s="2">
        <f t="shared" ca="1" si="109"/>
        <v>47749847988.774559</v>
      </c>
      <c r="EJ122" s="17">
        <v>11054089809.401312</v>
      </c>
      <c r="EK122" s="17">
        <f t="shared" ca="1" si="110"/>
        <v>11054089809.401312</v>
      </c>
      <c r="EM122" s="16">
        <f t="shared" ca="1" si="97"/>
        <v>0</v>
      </c>
      <c r="EN122" s="32" t="str">
        <f>IF(VLOOKUP(BR122,Fundamentus!A:U,3,FALSE)&lt;15,"Bom",IF(VLOOKUP(BR122,Fundamentus!A:U,3,FALSE)&gt;15,"Ruim","n/a"))</f>
        <v>Bom</v>
      </c>
      <c r="EO122" s="28" t="str">
        <f>IF(VLOOKUP(BR122,Fundamentus!A:U,4,FALSE)&lt;1,"Baixo",IF(VLOOKUP(BR122,Fundamentus!A:U,4,FALSE)&lt;1.5,"Moderado",IF(VLOOKUP(BR122,Fundamentus!A:U,4,FALSE)&gt;1.5,"Alto","n/a")))</f>
        <v>Baixo</v>
      </c>
      <c r="EP122" s="17" t="str">
        <f>IF(VLOOKUP(BR122,Fundamentus!A:U,8,FALSE)&lt;0,"Risco elevado",IF(VLOOKUP(BR122,Fundamentus!A:U,8,FALSE)&lt;1,"Saudável",IF(VLOOKUP(BR122,Fundamentus!A:U,8,FALSE)&lt;3,"Estável",IF(VLOOKUP(BR122,Fundamentus!A:U,8,FALSE)&gt;3,"Alerta","n/a"))))</f>
        <v>Estável</v>
      </c>
      <c r="EQ122" s="28" t="str">
        <f t="shared" si="111"/>
        <v>Bom</v>
      </c>
      <c r="ER122" s="17" t="str">
        <f>IF(VLOOKUP(BR122,Fundamentus!A:U,12,FALSE)&lt;2,"Subvalorizada",IF(VLOOKUP(BR122,Fundamentus!A:U,12,FALSE)&lt;6,"Muita barata",IF(VLOOKUP(BR122,Fundamentus!A:U,12,FALSE)&lt;6,"Barata",IF(VLOOKUP(BR122,Fundamentus!A:U,12,FALSE)&lt;8,"Atrativa",IF(VLOOKUP(BR122,Fundamentus!A:U,12,FALSE)&gt;8,"Supervalorizada","n/a")))))</f>
        <v>Atrativa</v>
      </c>
      <c r="ET122" s="17" t="str">
        <f>IF(VLOOKUP(BR122,Fundamentus!A:U,17,FALSE)&lt;0.1,"Fraco retorno",IF(VLOOKUP(BR122,Fundamentus!A:U,17,FALSE)&gt;0.1,"Bom retorno","n/a"))</f>
        <v>Fraco retorno</v>
      </c>
      <c r="EU122" s="17" t="str">
        <f>IF(VLOOKUP(BR122,Fundamentus!A:U,16,FALSE)&lt;0.1,"Ineficiente",IF(VLOOKUP(BR122,Fundamentus!A:U,16,FALSE)&gt;0.1,"Eficiente","n/a"))</f>
        <v>Ineficiente</v>
      </c>
      <c r="EV122" s="33" t="str">
        <f>IF(VLOOKUP(BR122,Fundamentus!A:U,16,FALSE)&lt;0.1,"Oper. Ineficiente",IF(VLOOKUP(BR122,Fundamentus!A:U,16,FALSE)&gt;0.1,"Oper.Eficiente","n/a"))</f>
        <v>Oper. Ineficiente</v>
      </c>
      <c r="EW122" s="34">
        <f>VLOOKUP(BR122,Fundamentus!A:U,14,FALSE)</f>
        <v>0.23150000000000001</v>
      </c>
      <c r="EX122" s="17" t="str">
        <f>IF(VLOOKUP(BR122,Fundamentus!A:U,21,FALSE)&lt;0,"Negativo",IF(VLOOKUP(BR122,Fundamentus!A:U,21,FALSE)&lt;0.05,"Fraco",IF(VLOOKUP(BR122,Fundamentus!A:U,21,FALSE)&lt;0.1,"Bom",IF(VLOOKUP(BR122,Fundamentus!A:U,21,FALSE)&gt;0.1,"Muito bom","n/a"))))</f>
        <v>Bom</v>
      </c>
      <c r="EZ122" s="29" t="str">
        <f>IF(VLOOKUP(BR122,Fundamentus!A:U,15,FALSE)&gt;1,"Bom",IF(VLOOKUP(BR122,Fundamentus!A:U,15,FALSE)&lt;1,"Ruim","n/a"))</f>
        <v>Bom</v>
      </c>
      <c r="FA122" s="17" t="str">
        <f>IF(VLOOKUP(BR122,Fundamentus!A:U,20,FALSE)&lt;0.5,"Baixa",IF(VLOOKUP(BR122,Fundamentus!A:U,20,FALSE)&lt;1,"Moderada",IF(VLOOKUP(BR122,Fundamentus!A:U,20,FALSE)&lt;2,"Alerta",IF(VLOOKUP(BR122,Fundamentus!A:U,20,FALSE)&gt;2,"Alta","n/a"))))</f>
        <v>Moderada</v>
      </c>
      <c r="FB122" s="10"/>
    </row>
    <row r="123" spans="1:158" s="2" customFormat="1" ht="11.25"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5">
        <v>6</v>
      </c>
      <c r="BC123" s="52">
        <v>6.93</v>
      </c>
      <c r="BD123" s="52">
        <v>7.06</v>
      </c>
      <c r="BE123" s="52">
        <v>7.19</v>
      </c>
      <c r="BF123" s="52">
        <v>7.39</v>
      </c>
      <c r="BG123" s="67">
        <v>7.65</v>
      </c>
      <c r="BH123" s="52">
        <v>7.89</v>
      </c>
      <c r="BI123" s="52">
        <v>7.72</v>
      </c>
      <c r="BJ123" s="52">
        <v>7.78</v>
      </c>
      <c r="BK123" s="52">
        <v>7.71</v>
      </c>
      <c r="BL123" s="52">
        <v>7.37</v>
      </c>
      <c r="BM123" s="52">
        <v>7.27</v>
      </c>
      <c r="BN123" s="52">
        <v>7.44</v>
      </c>
      <c r="BO123" s="52">
        <v>8.15</v>
      </c>
      <c r="BP123" s="52">
        <v>7.91</v>
      </c>
      <c r="BQ123" s="52" cm="1">
        <f t="array" aca="1" ref="BQ123" ca="1">_FV(EE123,"Preço")</f>
        <v>7.91</v>
      </c>
      <c r="BR123" s="69" t="s">
        <v>119</v>
      </c>
      <c r="BS123" s="36" cm="1">
        <f t="array" aca="1" ref="BS123" ca="1">_FV(EE123,"Média de volume",TRUE)</f>
        <v>443020</v>
      </c>
      <c r="BT123" s="36">
        <v>406600</v>
      </c>
      <c r="BU123" s="36" cm="1">
        <f t="array" aca="1" ref="BU123" ca="1">_FV(EE123,"Volume")</f>
        <v>406600</v>
      </c>
      <c r="BV123" s="24" cm="1">
        <f t="array" aca="1" ref="BV123" ca="1">_FV(EE123,"Beta")</f>
        <v>1.1323000000000001</v>
      </c>
      <c r="BW123" s="71" cm="1">
        <f t="array" aca="1" ref="BW123" ca="1">_FV(EE123,"Variação (%)",TRUE)</f>
        <v>-2.3456999999999999E-2</v>
      </c>
      <c r="BY123" s="17" cm="1">
        <f t="array" aca="1" ref="BY123" ca="1">_FV(EE123,"Baixo")</f>
        <v>7.83</v>
      </c>
      <c r="BZ123" s="17" cm="1">
        <f t="array" aca="1" ref="BZ123" ca="1">_FV(EE123,"Alto")</f>
        <v>8.14</v>
      </c>
      <c r="CA123" s="24"/>
      <c r="CB123" s="63">
        <f ca="1">SQRT(22.5*(BQ123/VLOOKUP(BR123,Fundamentus!A:U,3,FALSE))*(BQ123/VLOOKUP(BR123,Fundamentus!A:U,4,FALSE)))</f>
        <v>10.33789199211737</v>
      </c>
      <c r="CD123" s="62">
        <f t="shared" ca="1" si="112"/>
        <v>0</v>
      </c>
      <c r="CE123" s="8"/>
      <c r="CF123" s="61">
        <f t="shared" si="113"/>
        <v>5.17</v>
      </c>
      <c r="CG123" s="61">
        <f t="shared" si="114"/>
        <v>8.15</v>
      </c>
      <c r="CH123" s="61">
        <f t="shared" si="115"/>
        <v>6.2756617647058812</v>
      </c>
      <c r="CI123" s="14"/>
      <c r="CJ123" s="35">
        <f t="shared" si="98"/>
        <v>7.7167354423309105</v>
      </c>
      <c r="CK123" s="15">
        <f t="shared" si="116"/>
        <v>8.3500000000001364</v>
      </c>
      <c r="CL123" s="35">
        <f t="shared" si="99"/>
        <v>8.9832645576693615</v>
      </c>
      <c r="CN123" s="14"/>
      <c r="CO123" s="17">
        <f t="shared" si="100"/>
        <v>3.0233333333333334</v>
      </c>
      <c r="CP123" s="17">
        <f t="shared" si="101"/>
        <v>4.0966666666666667</v>
      </c>
      <c r="CQ123" s="17">
        <f t="shared" si="102"/>
        <v>6.0033333333333339</v>
      </c>
      <c r="CR123" s="38">
        <f t="shared" si="117"/>
        <v>7.0766666666666671</v>
      </c>
      <c r="CS123" s="17">
        <f t="shared" si="103"/>
        <v>8.9833333333333343</v>
      </c>
      <c r="CT123" s="17">
        <f t="shared" si="104"/>
        <v>10.056666666666668</v>
      </c>
      <c r="CU123" s="17">
        <f t="shared" si="105"/>
        <v>11.963333333333335</v>
      </c>
      <c r="CV123" s="2" cm="1">
        <f t="array" aca="1" ref="CV123" ca="1">MAX(_xlfn._xlws.FILTER(CO123:CU123,CO123:CU123&lt;BQ123))</f>
        <v>7.0766666666666671</v>
      </c>
      <c r="CW123" s="2" cm="1">
        <f t="array" aca="1" ref="CW123" ca="1">MIN(_xlfn._xlws.FILTER($CO123:$CU123,$CO123:$CU123&gt;BQ123))</f>
        <v>8.9833333333333343</v>
      </c>
      <c r="CX123" s="16">
        <f t="shared" ca="1" si="136"/>
        <v>0.26943005181347157</v>
      </c>
      <c r="CY123" s="20">
        <f t="shared" ca="1" si="137"/>
        <v>-0.13471502590673579</v>
      </c>
      <c r="CZ123" s="20">
        <f t="shared" ca="1" si="138"/>
        <v>-8.9810017271157186E-2</v>
      </c>
      <c r="DA123" s="20">
        <f t="shared" ca="1" si="139"/>
        <v>-5.3886010362694317E-2</v>
      </c>
      <c r="DB123" s="20">
        <f t="shared" ca="1" si="140"/>
        <v>-2.9936672423719064E-2</v>
      </c>
      <c r="DC123" s="20">
        <f t="shared" ca="1" si="141"/>
        <v>-1.5848826577263032E-2</v>
      </c>
      <c r="DD123" s="20">
        <f t="shared" ca="1" si="142"/>
        <v>-8.1645470246506542E-3</v>
      </c>
      <c r="DE123" s="20">
        <f t="shared" ca="1" si="143"/>
        <v>-4.1450777202072546E-3</v>
      </c>
      <c r="DF123" s="21">
        <f t="shared" ca="1" si="144"/>
        <v>4.1450777202072546E-3</v>
      </c>
      <c r="DG123" s="21">
        <f t="shared" ca="1" si="145"/>
        <v>8.1645470246506542E-3</v>
      </c>
      <c r="DH123" s="21">
        <f t="shared" ca="1" si="146"/>
        <v>1.5848826577263032E-2</v>
      </c>
      <c r="DI123" s="21">
        <f t="shared" ca="1" si="147"/>
        <v>2.9936672423719064E-2</v>
      </c>
      <c r="DJ123" s="21">
        <f t="shared" ca="1" si="148"/>
        <v>5.3886010362694317E-2</v>
      </c>
      <c r="DK123" s="21">
        <f t="shared" ca="1" si="149"/>
        <v>8.9810017271157186E-2</v>
      </c>
      <c r="DL123" s="21">
        <f t="shared" ca="1" si="150"/>
        <v>0.13471502590673579</v>
      </c>
      <c r="DN123" s="16" cm="1">
        <f t="array" aca="1" ref="DN123" ca="1">MAX(_xlfn._xlws.FILTER(CY123:DL123,CY123:DL123&lt;BW123))</f>
        <v>-2.9936672423719064E-2</v>
      </c>
      <c r="DO123" s="16" cm="1">
        <f t="array" aca="1" ref="DO123" ca="1">MIN(_xlfn._xlws.FILTER(CY123:DL123,CY123:DL123&gt;BW123))</f>
        <v>-1.5848826577263032E-2</v>
      </c>
      <c r="DP123" s="2" cm="1">
        <f t="array" aca="1" ref="DP123" ca="1">_FV(EE123,"Fechamento anterior",TRUE)</f>
        <v>8.1</v>
      </c>
      <c r="DQ123" s="28">
        <f t="shared" ca="1" si="106"/>
        <v>0.45996260683761075</v>
      </c>
      <c r="DR123" s="15">
        <f t="shared" ca="1" si="151"/>
        <v>7.8575129533678751</v>
      </c>
      <c r="DS123" s="15">
        <f t="shared" ca="1" si="152"/>
        <v>7.9716245047241694</v>
      </c>
      <c r="DT123" s="9"/>
      <c r="DU123" s="9"/>
      <c r="DV123" s="9"/>
      <c r="DW123" s="89">
        <v>2.4675257465196925E-2</v>
      </c>
      <c r="DX123" s="89">
        <f t="shared" ca="1" si="107"/>
        <v>1.4087845846456032E-2</v>
      </c>
      <c r="DY123" s="72">
        <f t="shared" ca="1" si="108"/>
        <v>-0.69481229396381627</v>
      </c>
      <c r="DZ123" s="37"/>
      <c r="EA123" s="35">
        <f t="shared" si="118"/>
        <v>0.31663227883461298</v>
      </c>
      <c r="EB123" s="56"/>
      <c r="EC123" s="56"/>
      <c r="EE123" s="2" t="e" vm="122">
        <v>#VALUE!</v>
      </c>
      <c r="EG123" s="10" cm="1">
        <f t="array" aca="1" ref="EG123" ca="1">_FV(EE123,"Ações em circulação",TRUE)</f>
        <v>159907300</v>
      </c>
      <c r="EH123" s="18">
        <f>VLOOKUP(BR123,Fundamentus!A:U,5,FALSE)</f>
        <v>0.88100000000000001</v>
      </c>
      <c r="EI123" s="2">
        <f t="shared" ca="1" si="109"/>
        <v>1435717074.9148695</v>
      </c>
      <c r="EJ123" s="17">
        <v>344859241.39455163</v>
      </c>
      <c r="EK123" s="17">
        <f t="shared" ca="1" si="110"/>
        <v>344859241.39455163</v>
      </c>
      <c r="EM123" s="16">
        <f t="shared" ca="1" si="97"/>
        <v>0</v>
      </c>
      <c r="EN123" s="32" t="str">
        <f>IF(VLOOKUP(BR123,Fundamentus!A:U,3,FALSE)&lt;15,"Bom",IF(VLOOKUP(BR123,Fundamentus!A:U,3,FALSE)&gt;15,"Ruim","n/a"))</f>
        <v>Bom</v>
      </c>
      <c r="EO123" s="28" t="str">
        <f>IF(VLOOKUP(BR123,Fundamentus!A:U,4,FALSE)&lt;1,"Baixo",IF(VLOOKUP(BR123,Fundamentus!A:U,4,FALSE)&lt;1.5,"Moderado",IF(VLOOKUP(BR123,Fundamentus!A:U,4,FALSE)&gt;1.5,"Alto","n/a")))</f>
        <v>Alto</v>
      </c>
      <c r="EP123" s="17" t="str">
        <f>IF(VLOOKUP(BR123,Fundamentus!A:U,8,FALSE)&lt;0,"Risco elevado",IF(VLOOKUP(BR123,Fundamentus!A:U,8,FALSE)&lt;1,"Saudável",IF(VLOOKUP(BR123,Fundamentus!A:U,8,FALSE)&lt;3,"Estável",IF(VLOOKUP(BR123,Fundamentus!A:U,8,FALSE)&gt;3,"Alerta","n/a"))))</f>
        <v>Alerta</v>
      </c>
      <c r="EQ123" s="28" t="str">
        <f t="shared" si="111"/>
        <v>Ruim</v>
      </c>
      <c r="ER123" s="17" t="str">
        <f>IF(VLOOKUP(BR123,Fundamentus!A:U,12,FALSE)&lt;2,"Subvalorizada",IF(VLOOKUP(BR123,Fundamentus!A:U,12,FALSE)&lt;6,"Muita barata",IF(VLOOKUP(BR123,Fundamentus!A:U,12,FALSE)&lt;6,"Barata",IF(VLOOKUP(BR123,Fundamentus!A:U,12,FALSE)&lt;8,"Atrativa",IF(VLOOKUP(BR123,Fundamentus!A:U,12,FALSE)&gt;8,"Supervalorizada","n/a")))))</f>
        <v>Subvalorizada</v>
      </c>
      <c r="ET123" s="17" t="str">
        <f>IF(VLOOKUP(BR123,Fundamentus!A:U,17,FALSE)&lt;0.1,"Fraco retorno",IF(VLOOKUP(BR123,Fundamentus!A:U,17,FALSE)&gt;0.1,"Bom retorno","n/a"))</f>
        <v>Bom retorno</v>
      </c>
      <c r="EU123" s="17" t="str">
        <f>IF(VLOOKUP(BR123,Fundamentus!A:U,16,FALSE)&lt;0.1,"Ineficiente",IF(VLOOKUP(BR123,Fundamentus!A:U,16,FALSE)&gt;0.1,"Eficiente","n/a"))</f>
        <v>Eficiente</v>
      </c>
      <c r="EV123" s="33" t="str">
        <f>IF(VLOOKUP(BR123,Fundamentus!A:U,16,FALSE)&lt;0.1,"Oper. Ineficiente",IF(VLOOKUP(BR123,Fundamentus!A:U,16,FALSE)&gt;0.1,"Oper.Eficiente","n/a"))</f>
        <v>Oper.Eficiente</v>
      </c>
      <c r="EW123" s="34">
        <f>VLOOKUP(BR123,Fundamentus!A:U,14,FALSE)</f>
        <v>0.2402</v>
      </c>
      <c r="EX123" s="17" t="str">
        <f>IF(VLOOKUP(BR123,Fundamentus!A:U,21,FALSE)&lt;0,"Negativo",IF(VLOOKUP(BR123,Fundamentus!A:U,21,FALSE)&lt;0.05,"Fraco",IF(VLOOKUP(BR123,Fundamentus!A:U,21,FALSE)&lt;0.1,"Bom",IF(VLOOKUP(BR123,Fundamentus!A:U,21,FALSE)&gt;0.1,"Muito bom","n/a"))))</f>
        <v>Muito bom</v>
      </c>
      <c r="EZ123" s="29" t="str">
        <f>IF(VLOOKUP(BR123,Fundamentus!A:U,15,FALSE)&gt;1,"Bom",IF(VLOOKUP(BR123,Fundamentus!A:U,15,FALSE)&lt;1,"Ruim","n/a"))</f>
        <v>Bom</v>
      </c>
      <c r="FA123" s="17" t="str">
        <f>IF(VLOOKUP(BR123,Fundamentus!A:U,20,FALSE)&lt;0.5,"Baixa",IF(VLOOKUP(BR123,Fundamentus!A:U,20,FALSE)&lt;1,"Moderada",IF(VLOOKUP(BR123,Fundamentus!A:U,20,FALSE)&lt;2,"Alerta",IF(VLOOKUP(BR123,Fundamentus!A:U,20,FALSE)&gt;2,"Alta","n/a"))))</f>
        <v>Moderada</v>
      </c>
      <c r="FB123" s="10">
        <v>3</v>
      </c>
    </row>
    <row r="124" spans="1:158"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5">
        <v>6.12</v>
      </c>
      <c r="BC124" s="52">
        <v>6.15</v>
      </c>
      <c r="BD124" s="52">
        <v>6.4</v>
      </c>
      <c r="BE124" s="52">
        <v>6.51</v>
      </c>
      <c r="BF124" s="52">
        <v>6.57</v>
      </c>
      <c r="BG124" s="67">
        <v>7.06</v>
      </c>
      <c r="BH124" s="52">
        <v>7.29</v>
      </c>
      <c r="BI124" s="52">
        <v>7.5</v>
      </c>
      <c r="BJ124" s="52">
        <v>7.41</v>
      </c>
      <c r="BK124" s="52">
        <v>7.23</v>
      </c>
      <c r="BL124" s="52">
        <v>6.98</v>
      </c>
      <c r="BM124" s="52">
        <v>6.69</v>
      </c>
      <c r="BN124" s="52">
        <v>6.58</v>
      </c>
      <c r="BO124" s="52">
        <v>6.38</v>
      </c>
      <c r="BP124" s="52">
        <v>6.55</v>
      </c>
      <c r="BQ124" s="52" cm="1">
        <f t="array" aca="1" ref="BQ124" ca="1">_FV(EE124,"Preço")</f>
        <v>6.55</v>
      </c>
      <c r="BR124" s="69" t="s">
        <v>86</v>
      </c>
      <c r="BS124" s="36" cm="1">
        <f t="array" aca="1" ref="BS124" ca="1">_FV(EE124,"Média de volume",TRUE)</f>
        <v>1307550</v>
      </c>
      <c r="BT124" s="36">
        <v>672800</v>
      </c>
      <c r="BU124" s="36" cm="1">
        <f t="array" aca="1" ref="BU124" ca="1">_FV(EE124,"Volume")</f>
        <v>672800</v>
      </c>
      <c r="BV124" s="24" cm="1">
        <f t="array" aca="1" ref="BV124" ca="1">_FV(EE124,"Beta")</f>
        <v>0.60909999999999997</v>
      </c>
      <c r="BW124" s="71" cm="1">
        <f t="array" aca="1" ref="BW124" ca="1">_FV(EE124,"Variação (%)",TRUE)</f>
        <v>1.529E-3</v>
      </c>
      <c r="BY124" s="17" cm="1">
        <f t="array" aca="1" ref="BY124" ca="1">_FV(EE124,"Baixo")</f>
        <v>6.47</v>
      </c>
      <c r="BZ124" s="17" cm="1">
        <f t="array" aca="1" ref="BZ124" ca="1">_FV(EE124,"Alto")</f>
        <v>6.57</v>
      </c>
      <c r="CA124" s="24"/>
      <c r="CB124" s="63">
        <f ca="1">SQRT(22.5*(BQ124/VLOOKUP(BR124,Fundamentus!A:U,3,FALSE))*(BQ124/VLOOKUP(BR124,Fundamentus!A:U,4,FALSE)))</f>
        <v>16.176264199378327</v>
      </c>
      <c r="CD124" s="62">
        <f t="shared" ca="1" si="112"/>
        <v>0</v>
      </c>
      <c r="CE124" s="8"/>
      <c r="CF124" s="61">
        <f t="shared" si="113"/>
        <v>5.03</v>
      </c>
      <c r="CG124" s="61">
        <f t="shared" si="114"/>
        <v>7.5</v>
      </c>
      <c r="CH124" s="61">
        <f t="shared" si="115"/>
        <v>5.8491176470588249</v>
      </c>
      <c r="CI124" s="14"/>
      <c r="CJ124" s="35">
        <f t="shared" si="98"/>
        <v>5.7948133623613218</v>
      </c>
      <c r="CK124" s="15">
        <f t="shared" si="116"/>
        <v>6.3949999999999818</v>
      </c>
      <c r="CL124" s="35">
        <f t="shared" si="99"/>
        <v>6.9951866376386418</v>
      </c>
      <c r="CN124" s="14"/>
      <c r="CO124" s="17">
        <f t="shared" si="100"/>
        <v>2.7500000000000009</v>
      </c>
      <c r="CP124" s="17">
        <f t="shared" si="101"/>
        <v>3.8900000000000006</v>
      </c>
      <c r="CQ124" s="17">
        <f t="shared" si="102"/>
        <v>5.2200000000000006</v>
      </c>
      <c r="CR124" s="38">
        <f t="shared" si="117"/>
        <v>6.36</v>
      </c>
      <c r="CS124" s="17">
        <f t="shared" si="103"/>
        <v>7.69</v>
      </c>
      <c r="CT124" s="17">
        <f t="shared" si="104"/>
        <v>8.83</v>
      </c>
      <c r="CU124" s="17">
        <f t="shared" si="105"/>
        <v>10.16</v>
      </c>
      <c r="CV124" s="2" cm="1">
        <f t="array" aca="1" ref="CV124" ca="1">MAX(_xlfn._xlws.FILTER(CO124:CU124,CO124:CU124&lt;BQ124))</f>
        <v>6.36</v>
      </c>
      <c r="CW124" s="2" cm="1">
        <f t="array" aca="1" ref="CW124" ca="1">MIN(_xlfn._xlws.FILTER($CO124:$CU124,$CO124:$CU124&gt;BQ124))</f>
        <v>7.69</v>
      </c>
      <c r="CX124" s="16">
        <f t="shared" ca="1" si="136"/>
        <v>0.20911949685534581</v>
      </c>
      <c r="CY124" s="20">
        <f t="shared" ca="1" si="137"/>
        <v>-0.10455974842767291</v>
      </c>
      <c r="CZ124" s="20">
        <f t="shared" ca="1" si="138"/>
        <v>-6.9706498951781937E-2</v>
      </c>
      <c r="DA124" s="20">
        <f t="shared" ca="1" si="139"/>
        <v>-4.1823899371069159E-2</v>
      </c>
      <c r="DB124" s="20">
        <f t="shared" ca="1" si="140"/>
        <v>-2.3235499650593978E-2</v>
      </c>
      <c r="DC124" s="20">
        <f t="shared" ca="1" si="141"/>
        <v>-1.2301146873843871E-2</v>
      </c>
      <c r="DD124" s="20">
        <f t="shared" ca="1" si="142"/>
        <v>-6.3369544501619942E-3</v>
      </c>
      <c r="DE124" s="20">
        <f t="shared" ca="1" si="143"/>
        <v>-3.2172230285437819E-3</v>
      </c>
      <c r="DF124" s="21">
        <f t="shared" ca="1" si="144"/>
        <v>3.2172230285437819E-3</v>
      </c>
      <c r="DG124" s="21">
        <f t="shared" ca="1" si="145"/>
        <v>6.3369544501619942E-3</v>
      </c>
      <c r="DH124" s="21">
        <f t="shared" ca="1" si="146"/>
        <v>1.2301146873843871E-2</v>
      </c>
      <c r="DI124" s="21">
        <f t="shared" ca="1" si="147"/>
        <v>2.3235499650593978E-2</v>
      </c>
      <c r="DJ124" s="21">
        <f t="shared" ca="1" si="148"/>
        <v>4.1823899371069159E-2</v>
      </c>
      <c r="DK124" s="21">
        <f t="shared" ca="1" si="149"/>
        <v>6.9706498951781937E-2</v>
      </c>
      <c r="DL124" s="21">
        <f t="shared" ca="1" si="150"/>
        <v>0.10455974842767291</v>
      </c>
      <c r="DN124" s="16" cm="1">
        <f t="array" aca="1" ref="DN124" ca="1">MAX(_xlfn._xlws.FILTER(CY124:DL124,CY124:DL124&lt;BW124))</f>
        <v>-3.2172230285437819E-3</v>
      </c>
      <c r="DO124" s="16" cm="1">
        <f t="array" aca="1" ref="DO124" ca="1">MIN(_xlfn._xlws.FILTER(CY124:DL124,CY124:DL124&gt;BW124))</f>
        <v>3.2172230285437819E-3</v>
      </c>
      <c r="DP124" s="2" cm="1">
        <f t="array" aca="1" ref="DP124" ca="1">_FV(EE124,"Fechamento anterior",TRUE)</f>
        <v>6.54</v>
      </c>
      <c r="DQ124" s="28">
        <f t="shared" ca="1" si="106"/>
        <v>0.7376353728357562</v>
      </c>
      <c r="DR124" s="15">
        <f t="shared" ca="1" si="151"/>
        <v>6.5189593613933239</v>
      </c>
      <c r="DS124" s="15">
        <f t="shared" ca="1" si="152"/>
        <v>6.5610406386066762</v>
      </c>
      <c r="DT124" s="9"/>
      <c r="DU124" s="9"/>
      <c r="DV124" s="9"/>
      <c r="DW124" s="89">
        <v>2.6934602503084791E-2</v>
      </c>
      <c r="DX124" s="89">
        <f t="shared" ca="1" si="107"/>
        <v>6.4344460570875638E-3</v>
      </c>
      <c r="DY124" s="75">
        <f t="shared" ca="1" si="108"/>
        <v>0.25825300044972871</v>
      </c>
      <c r="DZ124" s="37"/>
      <c r="EA124" s="35">
        <f t="shared" si="118"/>
        <v>0.3000933188193301</v>
      </c>
      <c r="EB124" s="56"/>
      <c r="EC124" s="56"/>
      <c r="EE124" s="2" t="e" vm="123">
        <v>#VALUE!</v>
      </c>
      <c r="EG124" s="10" cm="1">
        <f t="array" aca="1" ref="EG124" ca="1">_FV(EE124,"Ações em circulação",TRUE)</f>
        <v>1511206000</v>
      </c>
      <c r="EH124" s="18">
        <f>VLOOKUP(BR124,Fundamentus!A:U,5,FALSE)</f>
        <v>1.48</v>
      </c>
      <c r="EI124" s="2">
        <f t="shared" ca="1" si="109"/>
        <v>6688107635.1351357</v>
      </c>
      <c r="EJ124" s="17">
        <v>2282651135.8716216</v>
      </c>
      <c r="EK124" s="17">
        <f t="shared" ca="1" si="110"/>
        <v>2282651135.8716216</v>
      </c>
      <c r="EM124" s="16">
        <f t="shared" ca="1" si="97"/>
        <v>0</v>
      </c>
      <c r="EN124" s="32" t="str">
        <f>IF(VLOOKUP(BR124,Fundamentus!A:U,3,FALSE)&lt;15,"Bom",IF(VLOOKUP(BR124,Fundamentus!A:U,3,FALSE)&gt;15,"Ruim","n/a"))</f>
        <v>Bom</v>
      </c>
      <c r="EO124" s="28" t="str">
        <f>IF(VLOOKUP(BR124,Fundamentus!A:U,4,FALSE)&lt;1,"Baixo",IF(VLOOKUP(BR124,Fundamentus!A:U,4,FALSE)&lt;1.5,"Moderado",IF(VLOOKUP(BR124,Fundamentus!A:U,4,FALSE)&gt;1.5,"Alto","n/a")))</f>
        <v>Baixo</v>
      </c>
      <c r="EP124" s="17" t="str">
        <f>IF(VLOOKUP(BR124,Fundamentus!A:U,8,FALSE)&lt;0,"Risco elevado",IF(VLOOKUP(BR124,Fundamentus!A:U,8,FALSE)&lt;1,"Saudável",IF(VLOOKUP(BR124,Fundamentus!A:U,8,FALSE)&lt;3,"Estável",IF(VLOOKUP(BR124,Fundamentus!A:U,8,FALSE)&gt;3,"Alerta","n/a"))))</f>
        <v>Alerta</v>
      </c>
      <c r="EQ124" s="28" t="str">
        <f t="shared" si="111"/>
        <v>Bom</v>
      </c>
      <c r="ER124" s="17" t="str">
        <f>IF(VLOOKUP(BR124,Fundamentus!A:U,12,FALSE)&lt;2,"Subvalorizada",IF(VLOOKUP(BR124,Fundamentus!A:U,12,FALSE)&lt;6,"Muita barata",IF(VLOOKUP(BR124,Fundamentus!A:U,12,FALSE)&lt;6,"Barata",IF(VLOOKUP(BR124,Fundamentus!A:U,12,FALSE)&lt;8,"Atrativa",IF(VLOOKUP(BR124,Fundamentus!A:U,12,FALSE)&gt;8,"Supervalorizada","n/a")))))</f>
        <v>Atrativa</v>
      </c>
      <c r="ET124" s="17" t="str">
        <f>IF(VLOOKUP(BR124,Fundamentus!A:U,17,FALSE)&lt;0.1,"Fraco retorno",IF(VLOOKUP(BR124,Fundamentus!A:U,17,FALSE)&gt;0.1,"Bom retorno","n/a"))</f>
        <v>Bom retorno</v>
      </c>
      <c r="EU124" s="17" t="str">
        <f>IF(VLOOKUP(BR124,Fundamentus!A:U,16,FALSE)&lt;0.1,"Ineficiente",IF(VLOOKUP(BR124,Fundamentus!A:U,16,FALSE)&gt;0.1,"Eficiente","n/a"))</f>
        <v>Ineficiente</v>
      </c>
      <c r="EV124" s="33" t="str">
        <f>IF(VLOOKUP(BR124,Fundamentus!A:U,16,FALSE)&lt;0.1,"Oper. Ineficiente",IF(VLOOKUP(BR124,Fundamentus!A:U,16,FALSE)&gt;0.1,"Oper.Eficiente","n/a"))</f>
        <v>Oper. Ineficiente</v>
      </c>
      <c r="EW124" s="34">
        <f>VLOOKUP(BR124,Fundamentus!A:U,14,FALSE)</f>
        <v>0.34129999999999999</v>
      </c>
      <c r="EX124" s="17" t="str">
        <f>IF(VLOOKUP(BR124,Fundamentus!A:U,21,FALSE)&lt;0,"Negativo",IF(VLOOKUP(BR124,Fundamentus!A:U,21,FALSE)&lt;0.05,"Fraco",IF(VLOOKUP(BR124,Fundamentus!A:U,21,FALSE)&lt;0.1,"Bom",IF(VLOOKUP(BR124,Fundamentus!A:U,21,FALSE)&gt;0.1,"Muito bom","n/a"))))</f>
        <v>Bom</v>
      </c>
      <c r="EZ124" s="29" t="str">
        <f>IF(VLOOKUP(BR124,Fundamentus!A:U,15,FALSE)&gt;1,"Bom",IF(VLOOKUP(BR124,Fundamentus!A:U,15,FALSE)&lt;1,"Ruim","n/a"))</f>
        <v>Bom</v>
      </c>
      <c r="FA124" s="17" t="str">
        <f>IF(VLOOKUP(BR124,Fundamentus!A:U,20,FALSE)&lt;0.5,"Baixa",IF(VLOOKUP(BR124,Fundamentus!A:U,20,FALSE)&lt;1,"Moderada",IF(VLOOKUP(BR124,Fundamentus!A:U,20,FALSE)&lt;2,"Alerta",IF(VLOOKUP(BR124,Fundamentus!A:U,20,FALSE)&gt;2,"Alta","n/a"))))</f>
        <v>Moderada</v>
      </c>
      <c r="FB124" s="10">
        <v>3</v>
      </c>
    </row>
    <row r="125" spans="1:158" s="2" customFormat="1" ht="11.25"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5">
        <v>9.2899999999999991</v>
      </c>
      <c r="BC125" s="52">
        <v>10.36</v>
      </c>
      <c r="BD125" s="52">
        <v>10.31</v>
      </c>
      <c r="BE125" s="52">
        <v>10.47</v>
      </c>
      <c r="BF125" s="52">
        <v>10.54</v>
      </c>
      <c r="BG125" s="67">
        <v>10.24</v>
      </c>
      <c r="BH125" s="52">
        <v>10.5</v>
      </c>
      <c r="BI125" s="52">
        <v>10.87</v>
      </c>
      <c r="BJ125" s="52">
        <v>10.51</v>
      </c>
      <c r="BK125" s="52">
        <v>9.7899999999999991</v>
      </c>
      <c r="BL125" s="52">
        <v>9.51</v>
      </c>
      <c r="BM125" s="52">
        <v>9.16</v>
      </c>
      <c r="BN125" s="52">
        <v>8.91</v>
      </c>
      <c r="BO125" s="52">
        <v>8.8000000000000007</v>
      </c>
      <c r="BP125" s="52">
        <v>9.14</v>
      </c>
      <c r="BQ125" s="52" cm="1">
        <f t="array" aca="1" ref="BQ125" ca="1">_FV(EE125,"Preço")</f>
        <v>9.14</v>
      </c>
      <c r="BR125" s="69" t="s">
        <v>121</v>
      </c>
      <c r="BS125" s="36" cm="1">
        <f t="array" aca="1" ref="BS125" ca="1">_FV(EE125,"Média de volume",TRUE)</f>
        <v>8476710</v>
      </c>
      <c r="BT125" s="36">
        <v>10807700</v>
      </c>
      <c r="BU125" s="36" cm="1">
        <f t="array" aca="1" ref="BU125" ca="1">_FV(EE125,"Volume")</f>
        <v>10807700</v>
      </c>
      <c r="BV125" s="24" cm="1">
        <f t="array" aca="1" ref="BV125" ca="1">_FV(EE125,"Beta")</f>
        <v>1.2053</v>
      </c>
      <c r="BW125" s="71" cm="1">
        <f t="array" aca="1" ref="BW125" ca="1">_FV(EE125,"Variação (%)",TRUE)</f>
        <v>1.5556E-2</v>
      </c>
      <c r="BY125" s="17" cm="1">
        <f t="array" aca="1" ref="BY125" ca="1">_FV(EE125,"Baixo")</f>
        <v>8.6199999999999992</v>
      </c>
      <c r="BZ125" s="17" cm="1">
        <f t="array" aca="1" ref="BZ125" ca="1">_FV(EE125,"Alto")</f>
        <v>9.14</v>
      </c>
      <c r="CA125" s="24"/>
      <c r="CB125" s="63" t="e">
        <f ca="1">SQRT(22.5*(BQ125/VLOOKUP(BR125,Fundamentus!A:U,3,FALSE))*(BQ125/VLOOKUP(BR125,Fundamentus!A:U,4,FALSE)))</f>
        <v>#NUM!</v>
      </c>
      <c r="CD125" s="62">
        <f t="shared" ca="1" si="112"/>
        <v>0</v>
      </c>
      <c r="CE125" s="8"/>
      <c r="CF125" s="61">
        <f t="shared" si="113"/>
        <v>8.8000000000000007</v>
      </c>
      <c r="CG125" s="61">
        <f t="shared" si="114"/>
        <v>17.21</v>
      </c>
      <c r="CH125" s="61">
        <f t="shared" si="115"/>
        <v>12.75036764705882</v>
      </c>
      <c r="CI125" s="14"/>
      <c r="CJ125" s="35">
        <f t="shared" si="98"/>
        <v>8.2202054339210058</v>
      </c>
      <c r="CK125" s="15">
        <f t="shared" si="116"/>
        <v>8.9599999999999937</v>
      </c>
      <c r="CL125" s="35">
        <f t="shared" si="99"/>
        <v>9.6997945660789817</v>
      </c>
      <c r="CN125" s="14"/>
      <c r="CO125" s="17">
        <f t="shared" si="100"/>
        <v>-2.1866666666666639</v>
      </c>
      <c r="CP125" s="17">
        <f t="shared" si="101"/>
        <v>3.3066666666666684</v>
      </c>
      <c r="CQ125" s="17">
        <f t="shared" si="102"/>
        <v>6.2233333333333363</v>
      </c>
      <c r="CR125" s="38">
        <f t="shared" si="117"/>
        <v>11.716666666666669</v>
      </c>
      <c r="CS125" s="17">
        <f t="shared" si="103"/>
        <v>14.633333333333336</v>
      </c>
      <c r="CT125" s="17">
        <f t="shared" si="104"/>
        <v>20.126666666666669</v>
      </c>
      <c r="CU125" s="17">
        <f t="shared" si="105"/>
        <v>23.043333333333337</v>
      </c>
      <c r="CV125" s="2" cm="1">
        <f t="array" aca="1" ref="CV125" ca="1">MAX(_xlfn._xlws.FILTER(CO125:CU125,CO125:CU125&lt;BQ125))</f>
        <v>6.2233333333333363</v>
      </c>
      <c r="CW125" s="2" cm="1">
        <f t="array" aca="1" ref="CW125" ca="1">MIN(_xlfn._xlws.FILTER($CO125:$CU125,$CO125:$CU125&gt;BQ125))</f>
        <v>11.716666666666669</v>
      </c>
      <c r="CX125" s="16">
        <f t="shared" ca="1" si="136"/>
        <v>0.88269951794322377</v>
      </c>
      <c r="CY125" s="20">
        <f t="shared" ca="1" si="137"/>
        <v>-0.44134975897161188</v>
      </c>
      <c r="CZ125" s="20">
        <f t="shared" ca="1" si="138"/>
        <v>-0.29423317264774124</v>
      </c>
      <c r="DA125" s="20">
        <f t="shared" ca="1" si="139"/>
        <v>-0.17653990358864474</v>
      </c>
      <c r="DB125" s="20">
        <f t="shared" ca="1" si="140"/>
        <v>-9.807772421591375E-2</v>
      </c>
      <c r="DC125" s="20">
        <f t="shared" ca="1" si="141"/>
        <v>-5.1923501055483753E-2</v>
      </c>
      <c r="DD125" s="20">
        <f t="shared" ca="1" si="142"/>
        <v>-2.6748470240703752E-2</v>
      </c>
      <c r="DE125" s="20">
        <f t="shared" ca="1" si="143"/>
        <v>-1.3579992583741905E-2</v>
      </c>
      <c r="DF125" s="21">
        <f t="shared" ca="1" si="144"/>
        <v>1.3579992583741905E-2</v>
      </c>
      <c r="DG125" s="21">
        <f t="shared" ca="1" si="145"/>
        <v>2.6748470240703752E-2</v>
      </c>
      <c r="DH125" s="21">
        <f t="shared" ca="1" si="146"/>
        <v>5.1923501055483753E-2</v>
      </c>
      <c r="DI125" s="21">
        <f t="shared" ca="1" si="147"/>
        <v>9.807772421591375E-2</v>
      </c>
      <c r="DJ125" s="21">
        <f t="shared" ca="1" si="148"/>
        <v>0.17653990358864474</v>
      </c>
      <c r="DK125" s="21">
        <f t="shared" ca="1" si="149"/>
        <v>0.29423317264774124</v>
      </c>
      <c r="DL125" s="21">
        <f t="shared" ca="1" si="150"/>
        <v>0.44134975897161188</v>
      </c>
      <c r="DN125" s="16" cm="1">
        <f t="array" aca="1" ref="DN125" ca="1">MAX(_xlfn._xlws.FILTER(CY125:DL125,CY125:DL125&lt;BW125))</f>
        <v>1.3579992583741905E-2</v>
      </c>
      <c r="DO125" s="16" cm="1">
        <f t="array" aca="1" ref="DO125" ca="1">MIN(_xlfn._xlws.FILTER(CY125:DL125,CY125:DL125&gt;BW125))</f>
        <v>2.6748470240703752E-2</v>
      </c>
      <c r="DP125" s="2" cm="1">
        <f t="array" aca="1" ref="DP125" ca="1">_FV(EE125,"Fechamento anterior",TRUE)</f>
        <v>9</v>
      </c>
      <c r="DQ125" s="28">
        <f t="shared" ca="1" si="106"/>
        <v>0.15002212277509117</v>
      </c>
      <c r="DR125" s="15">
        <f t="shared" ca="1" si="151"/>
        <v>9.1222199332536764</v>
      </c>
      <c r="DS125" s="15">
        <f t="shared" ca="1" si="152"/>
        <v>9.2407362321663342</v>
      </c>
      <c r="DT125" s="9"/>
      <c r="DU125" s="9"/>
      <c r="DV125" s="9"/>
      <c r="DW125" s="89">
        <v>2.6665636187265855E-2</v>
      </c>
      <c r="DX125" s="89">
        <f t="shared" ca="1" si="107"/>
        <v>1.3168477656961847E-2</v>
      </c>
      <c r="DY125" s="72">
        <f t="shared" ca="1" si="108"/>
        <v>0.24331078958045252</v>
      </c>
      <c r="DZ125" s="37"/>
      <c r="EA125" s="35">
        <f t="shared" si="118"/>
        <v>0.36989728303949421</v>
      </c>
      <c r="EB125" s="56"/>
      <c r="EC125" s="56"/>
      <c r="EE125" s="2" t="e" vm="124">
        <v>#VALUE!</v>
      </c>
      <c r="EG125" s="10" cm="1">
        <f t="array" aca="1" ref="EG125" ca="1">_FV(EE125,"Ações em circulação",TRUE)</f>
        <v>1374118000</v>
      </c>
      <c r="EH125" s="18">
        <f>VLOOKUP(BR125,Fundamentus!A:U,5,FALSE)</f>
        <v>0.60199999999999998</v>
      </c>
      <c r="EI125" s="2">
        <f t="shared" ca="1" si="109"/>
        <v>20862854684.385384</v>
      </c>
      <c r="EJ125" s="17">
        <v>-6891000902.252492</v>
      </c>
      <c r="EK125" s="17">
        <f t="shared" ca="1" si="110"/>
        <v>-6891000902.252492</v>
      </c>
      <c r="EM125" s="16">
        <f t="shared" ca="1" si="97"/>
        <v>0</v>
      </c>
      <c r="EN125" s="32" t="str">
        <f>IF(VLOOKUP(BR125,Fundamentus!A:U,3,FALSE)&lt;15,"Bom",IF(VLOOKUP(BR125,Fundamentus!A:U,3,FALSE)&gt;15,"Ruim","n/a"))</f>
        <v>Bom</v>
      </c>
      <c r="EO125" s="28" t="str">
        <f>IF(VLOOKUP(BR125,Fundamentus!A:U,4,FALSE)&lt;1,"Baixo",IF(VLOOKUP(BR125,Fundamentus!A:U,4,FALSE)&lt;1.5,"Moderado",IF(VLOOKUP(BR125,Fundamentus!A:U,4,FALSE)&gt;1.5,"Alto","n/a")))</f>
        <v>Baixo</v>
      </c>
      <c r="EP125" s="17" t="str">
        <f>IF(VLOOKUP(BR125,Fundamentus!A:U,8,FALSE)&lt;0,"Risco elevado",IF(VLOOKUP(BR125,Fundamentus!A:U,8,FALSE)&lt;1,"Saudável",IF(VLOOKUP(BR125,Fundamentus!A:U,8,FALSE)&lt;3,"Estável",IF(VLOOKUP(BR125,Fundamentus!A:U,8,FALSE)&gt;3,"Alerta","n/a"))))</f>
        <v>Estável</v>
      </c>
      <c r="EQ125" s="28" t="str">
        <f t="shared" si="111"/>
        <v>Ruim</v>
      </c>
      <c r="ER125" s="17" t="str">
        <f>IF(VLOOKUP(BR125,Fundamentus!A:U,12,FALSE)&lt;2,"Subvalorizada",IF(VLOOKUP(BR125,Fundamentus!A:U,12,FALSE)&lt;6,"Muita barata",IF(VLOOKUP(BR125,Fundamentus!A:U,12,FALSE)&lt;6,"Barata",IF(VLOOKUP(BR125,Fundamentus!A:U,12,FALSE)&lt;8,"Atrativa",IF(VLOOKUP(BR125,Fundamentus!A:U,12,FALSE)&gt;8,"Supervalorizada","n/a")))))</f>
        <v>Muita barata</v>
      </c>
      <c r="ET125" s="17" t="str">
        <f>IF(VLOOKUP(BR125,Fundamentus!A:U,17,FALSE)&lt;0.1,"Fraco retorno",IF(VLOOKUP(BR125,Fundamentus!A:U,17,FALSE)&gt;0.1,"Bom retorno","n/a"))</f>
        <v>Fraco retorno</v>
      </c>
      <c r="EU125" s="17" t="str">
        <f>IF(VLOOKUP(BR125,Fundamentus!A:U,16,FALSE)&lt;0.1,"Ineficiente",IF(VLOOKUP(BR125,Fundamentus!A:U,16,FALSE)&gt;0.1,"Eficiente","n/a"))</f>
        <v>Ineficiente</v>
      </c>
      <c r="EV125" s="33" t="str">
        <f>IF(VLOOKUP(BR125,Fundamentus!A:U,16,FALSE)&lt;0.1,"Oper. Ineficiente",IF(VLOOKUP(BR125,Fundamentus!A:U,16,FALSE)&gt;0.1,"Oper.Eficiente","n/a"))</f>
        <v>Oper. Ineficiente</v>
      </c>
      <c r="EW125" s="34">
        <f>VLOOKUP(BR125,Fundamentus!A:U,14,FALSE)</f>
        <v>-0.33029999999999998</v>
      </c>
      <c r="EX125" s="17" t="str">
        <f>IF(VLOOKUP(BR125,Fundamentus!A:U,21,FALSE)&lt;0,"Negativo",IF(VLOOKUP(BR125,Fundamentus!A:U,21,FALSE)&lt;0.05,"Fraco",IF(VLOOKUP(BR125,Fundamentus!A:U,21,FALSE)&lt;0.1,"Bom",IF(VLOOKUP(BR125,Fundamentus!A:U,21,FALSE)&gt;0.1,"Muito bom","n/a"))))</f>
        <v>Negativo</v>
      </c>
      <c r="EZ125" s="29" t="str">
        <f>IF(VLOOKUP(BR125,Fundamentus!A:U,15,FALSE)&gt;1,"Bom",IF(VLOOKUP(BR125,Fundamentus!A:U,15,FALSE)&lt;1,"Ruim","n/a"))</f>
        <v>Bom</v>
      </c>
      <c r="FA125" s="17" t="str">
        <f>IF(VLOOKUP(BR125,Fundamentus!A:U,20,FALSE)&lt;0.5,"Baixa",IF(VLOOKUP(BR125,Fundamentus!A:U,20,FALSE)&lt;1,"Moderada",IF(VLOOKUP(BR125,Fundamentus!A:U,20,FALSE)&lt;2,"Alerta",IF(VLOOKUP(BR125,Fundamentus!A:U,20,FALSE)&gt;2,"Alta","n/a"))))</f>
        <v>Baixa</v>
      </c>
      <c r="FB125" s="10"/>
    </row>
    <row r="126" spans="1:158" s="2" customFormat="1" ht="11.25"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5">
        <v>5.97</v>
      </c>
      <c r="BC126" s="52">
        <v>6.36</v>
      </c>
      <c r="BD126" s="52">
        <v>6.6</v>
      </c>
      <c r="BE126" s="52">
        <v>7.19</v>
      </c>
      <c r="BF126" s="52">
        <v>7.49</v>
      </c>
      <c r="BG126" s="67">
        <v>7.11</v>
      </c>
      <c r="BH126" s="52">
        <v>7.33</v>
      </c>
      <c r="BI126" s="52">
        <v>7.34</v>
      </c>
      <c r="BJ126" s="52">
        <v>7.31</v>
      </c>
      <c r="BK126" s="52">
        <v>7.22</v>
      </c>
      <c r="BL126" s="52">
        <v>7.01</v>
      </c>
      <c r="BM126" s="52">
        <v>6.96</v>
      </c>
      <c r="BN126" s="52">
        <v>6.95</v>
      </c>
      <c r="BO126" s="52">
        <v>7.07</v>
      </c>
      <c r="BP126" s="52">
        <v>7.22</v>
      </c>
      <c r="BQ126" s="52" cm="1">
        <f t="array" aca="1" ref="BQ126" ca="1">_FV(EE126,"Preço")</f>
        <v>7.22</v>
      </c>
      <c r="BR126" s="69" t="s">
        <v>122</v>
      </c>
      <c r="BS126" s="36" cm="1">
        <f t="array" aca="1" ref="BS126" ca="1">_FV(EE126,"Média de volume",TRUE)</f>
        <v>534660</v>
      </c>
      <c r="BT126" s="36">
        <v>370700</v>
      </c>
      <c r="BU126" s="36" cm="1">
        <f t="array" aca="1" ref="BU126" ca="1">_FV(EE126,"Volume")</f>
        <v>370700</v>
      </c>
      <c r="BV126" s="24" cm="1">
        <f t="array" aca="1" ref="BV126" ca="1">_FV(EE126,"Beta")</f>
        <v>1.4490000000000001</v>
      </c>
      <c r="BW126" s="71" cm="1">
        <f t="array" aca="1" ref="BW126" ca="1">_FV(EE126,"Variação (%)",TRUE)</f>
        <v>9.7900000000000001E-3</v>
      </c>
      <c r="BY126" s="17" cm="1">
        <f t="array" aca="1" ref="BY126" ca="1">_FV(EE126,"Baixo")</f>
        <v>7.05</v>
      </c>
      <c r="BZ126" s="17" cm="1">
        <f t="array" aca="1" ref="BZ126" ca="1">_FV(EE126,"Alto")</f>
        <v>7.24</v>
      </c>
      <c r="CA126" s="24"/>
      <c r="CB126" s="63">
        <f ca="1">SQRT(22.5*(BQ126/VLOOKUP(BR126,Fundamentus!A:U,3,FALSE))*(BQ126/VLOOKUP(BR126,Fundamentus!A:U,4,FALSE)))</f>
        <v>5.8581206332340114</v>
      </c>
      <c r="CD126" s="62">
        <f t="shared" ca="1" si="112"/>
        <v>0</v>
      </c>
      <c r="CE126" s="8"/>
      <c r="CF126" s="61">
        <f t="shared" si="113"/>
        <v>5.35</v>
      </c>
      <c r="CG126" s="61">
        <f t="shared" si="114"/>
        <v>7.49</v>
      </c>
      <c r="CH126" s="61">
        <f t="shared" si="115"/>
        <v>6.3613235294117647</v>
      </c>
      <c r="CI126" s="14"/>
      <c r="CJ126" s="35">
        <f t="shared" si="98"/>
        <v>7.0776576578632735</v>
      </c>
      <c r="CK126" s="15">
        <f t="shared" si="116"/>
        <v>7.2749999999999773</v>
      </c>
      <c r="CL126" s="35">
        <f t="shared" si="99"/>
        <v>7.472342342136681</v>
      </c>
      <c r="CN126" s="14"/>
      <c r="CO126" s="17">
        <f t="shared" si="100"/>
        <v>3.7433333333333323</v>
      </c>
      <c r="CP126" s="17">
        <f t="shared" si="101"/>
        <v>4.546666666666666</v>
      </c>
      <c r="CQ126" s="17">
        <f t="shared" si="102"/>
        <v>5.8833333333333329</v>
      </c>
      <c r="CR126" s="38">
        <f t="shared" si="117"/>
        <v>6.6866666666666665</v>
      </c>
      <c r="CS126" s="17">
        <f t="shared" si="103"/>
        <v>8.0233333333333334</v>
      </c>
      <c r="CT126" s="17">
        <f t="shared" si="104"/>
        <v>8.826666666666668</v>
      </c>
      <c r="CU126" s="17">
        <f t="shared" si="105"/>
        <v>10.163333333333334</v>
      </c>
      <c r="CV126" s="2" cm="1">
        <f t="array" aca="1" ref="CV126" ca="1">MAX(_xlfn._xlws.FILTER(CO126:CU126,CO126:CU126&lt;BQ126))</f>
        <v>6.6866666666666665</v>
      </c>
      <c r="CW126" s="2" cm="1">
        <f t="array" aca="1" ref="CW126" ca="1">MIN(_xlfn._xlws.FILTER($CO126:$CU126,$CO126:$CU126&gt;BQ126))</f>
        <v>8.0233333333333334</v>
      </c>
      <c r="CX126" s="16">
        <f t="shared" ca="1" si="136"/>
        <v>0.19990029910269191</v>
      </c>
      <c r="CY126" s="20">
        <f t="shared" ca="1" si="137"/>
        <v>-9.9950149551345957E-2</v>
      </c>
      <c r="CZ126" s="20">
        <f t="shared" ca="1" si="138"/>
        <v>-6.6633433034230638E-2</v>
      </c>
      <c r="DA126" s="20">
        <f t="shared" ca="1" si="139"/>
        <v>-3.9980059820538386E-2</v>
      </c>
      <c r="DB126" s="20">
        <f t="shared" ca="1" si="140"/>
        <v>-2.2211144344743545E-2</v>
      </c>
      <c r="DC126" s="20">
        <f t="shared" ca="1" si="141"/>
        <v>-1.175884112368776E-2</v>
      </c>
      <c r="DD126" s="20">
        <f t="shared" ca="1" si="142"/>
        <v>-6.057584821293694E-3</v>
      </c>
      <c r="DE126" s="20">
        <f t="shared" ca="1" si="143"/>
        <v>-3.0753892169644911E-3</v>
      </c>
      <c r="DF126" s="21">
        <f t="shared" ca="1" si="144"/>
        <v>3.0753892169644911E-3</v>
      </c>
      <c r="DG126" s="21">
        <f t="shared" ca="1" si="145"/>
        <v>6.057584821293694E-3</v>
      </c>
      <c r="DH126" s="21">
        <f t="shared" ca="1" si="146"/>
        <v>1.175884112368776E-2</v>
      </c>
      <c r="DI126" s="21">
        <f t="shared" ca="1" si="147"/>
        <v>2.2211144344743545E-2</v>
      </c>
      <c r="DJ126" s="21">
        <f t="shared" ca="1" si="148"/>
        <v>3.9980059820538386E-2</v>
      </c>
      <c r="DK126" s="21">
        <f t="shared" ca="1" si="149"/>
        <v>6.6633433034230638E-2</v>
      </c>
      <c r="DL126" s="21">
        <f t="shared" ca="1" si="150"/>
        <v>9.9950149551345957E-2</v>
      </c>
      <c r="DN126" s="16" cm="1">
        <f t="array" aca="1" ref="DN126" ca="1">MAX(_xlfn._xlws.FILTER(CY126:DL126,CY126:DL126&lt;BW126))</f>
        <v>6.057584821293694E-3</v>
      </c>
      <c r="DO126" s="16" cm="1">
        <f t="array" aca="1" ref="DO126" ca="1">MIN(_xlfn._xlws.FILTER(CY126:DL126,CY126:DL126&gt;BW126))</f>
        <v>1.175884112368776E-2</v>
      </c>
      <c r="DP126" s="2" cm="1">
        <f t="array" aca="1" ref="DP126" ca="1">_FV(EE126,"Fechamento anterior",TRUE)</f>
        <v>7.15</v>
      </c>
      <c r="DQ126" s="28">
        <f t="shared" ca="1" si="106"/>
        <v>0.6547021868405819</v>
      </c>
      <c r="DR126" s="15">
        <f t="shared" ca="1" si="151"/>
        <v>7.1933117314722503</v>
      </c>
      <c r="DS126" s="15">
        <f t="shared" ca="1" si="152"/>
        <v>7.2340757140343674</v>
      </c>
      <c r="DT126" s="9"/>
      <c r="DU126" s="9"/>
      <c r="DV126" s="9"/>
      <c r="DW126" s="89">
        <v>5.5293383505632763E-3</v>
      </c>
      <c r="DX126" s="89">
        <f t="shared" ca="1" si="107"/>
        <v>5.7012563023940664E-3</v>
      </c>
      <c r="DY126" s="72">
        <f t="shared" ca="1" si="108"/>
        <v>-0.27870349264365019</v>
      </c>
      <c r="DZ126" s="37"/>
      <c r="EA126" s="35">
        <f t="shared" si="118"/>
        <v>9.8671171068351993E-2</v>
      </c>
      <c r="EB126" s="56"/>
      <c r="EC126" s="56"/>
      <c r="EE126" s="2" t="e" vm="125">
        <v>#VALUE!</v>
      </c>
      <c r="EG126" s="10" cm="1">
        <f t="array" aca="1" ref="EG126" ca="1">_FV(EE126,"Ações em circulação",TRUE)</f>
        <v>200000000</v>
      </c>
      <c r="EH126" s="18">
        <f>VLOOKUP(BR126,Fundamentus!A:U,5,FALSE)</f>
        <v>0.76700000000000002</v>
      </c>
      <c r="EI126" s="2">
        <f t="shared" ca="1" si="109"/>
        <v>1882659713.1681876</v>
      </c>
      <c r="EJ126" s="17">
        <v>106370273.79400261</v>
      </c>
      <c r="EK126" s="17">
        <f t="shared" ca="1" si="110"/>
        <v>106370273.79400261</v>
      </c>
      <c r="EM126" s="16">
        <f t="shared" ca="1" si="97"/>
        <v>0</v>
      </c>
      <c r="EN126" s="32" t="str">
        <f>IF(VLOOKUP(BR126,Fundamentus!A:U,3,FALSE)&lt;15,"Bom",IF(VLOOKUP(BR126,Fundamentus!A:U,3,FALSE)&gt;15,"Ruim","n/a"))</f>
        <v>Ruim</v>
      </c>
      <c r="EO126" s="28" t="str">
        <f>IF(VLOOKUP(BR126,Fundamentus!A:U,4,FALSE)&lt;1,"Baixo",IF(VLOOKUP(BR126,Fundamentus!A:U,4,FALSE)&lt;1.5,"Moderado",IF(VLOOKUP(BR126,Fundamentus!A:U,4,FALSE)&gt;1.5,"Alto","n/a")))</f>
        <v>Baixo</v>
      </c>
      <c r="EP126" s="17" t="str">
        <f>IF(VLOOKUP(BR126,Fundamentus!A:U,8,FALSE)&lt;0,"Risco elevado",IF(VLOOKUP(BR126,Fundamentus!A:U,8,FALSE)&lt;1,"Saudável",IF(VLOOKUP(BR126,Fundamentus!A:U,8,FALSE)&lt;3,"Estável",IF(VLOOKUP(BR126,Fundamentus!A:U,8,FALSE)&gt;3,"Alerta","n/a"))))</f>
        <v>Saudável</v>
      </c>
      <c r="EQ126" s="28" t="str">
        <f t="shared" si="111"/>
        <v>Ruim</v>
      </c>
      <c r="ER126" s="17" t="str">
        <f>IF(VLOOKUP(BR126,Fundamentus!A:U,12,FALSE)&lt;2,"Subvalorizada",IF(VLOOKUP(BR126,Fundamentus!A:U,12,FALSE)&lt;6,"Muita barata",IF(VLOOKUP(BR126,Fundamentus!A:U,12,FALSE)&lt;6,"Barata",IF(VLOOKUP(BR126,Fundamentus!A:U,12,FALSE)&lt;8,"Atrativa",IF(VLOOKUP(BR126,Fundamentus!A:U,12,FALSE)&gt;8,"Supervalorizada","n/a")))))</f>
        <v>Muita barata</v>
      </c>
      <c r="ET126" s="17" t="str">
        <f>IF(VLOOKUP(BR126,Fundamentus!A:U,17,FALSE)&lt;0.1,"Fraco retorno",IF(VLOOKUP(BR126,Fundamentus!A:U,17,FALSE)&gt;0.1,"Bom retorno","n/a"))</f>
        <v>Fraco retorno</v>
      </c>
      <c r="EU126" s="17" t="str">
        <f>IF(VLOOKUP(BR126,Fundamentus!A:U,16,FALSE)&lt;0.1,"Ineficiente",IF(VLOOKUP(BR126,Fundamentus!A:U,16,FALSE)&gt;0.1,"Eficiente","n/a"))</f>
        <v>Ineficiente</v>
      </c>
      <c r="EV126" s="33" t="str">
        <f>IF(VLOOKUP(BR126,Fundamentus!A:U,16,FALSE)&lt;0.1,"Oper. Ineficiente",IF(VLOOKUP(BR126,Fundamentus!A:U,16,FALSE)&gt;0.1,"Oper.Eficiente","n/a"))</f>
        <v>Oper. Ineficiente</v>
      </c>
      <c r="EW126" s="34">
        <f>VLOOKUP(BR126,Fundamentus!A:U,14,FALSE)</f>
        <v>5.6500000000000002E-2</v>
      </c>
      <c r="EX126" s="17" t="str">
        <f>IF(VLOOKUP(BR126,Fundamentus!A:U,21,FALSE)&lt;0,"Negativo",IF(VLOOKUP(BR126,Fundamentus!A:U,21,FALSE)&lt;0.05,"Fraco",IF(VLOOKUP(BR126,Fundamentus!A:U,21,FALSE)&lt;0.1,"Bom",IF(VLOOKUP(BR126,Fundamentus!A:U,21,FALSE)&gt;0.1,"Muito bom","n/a"))))</f>
        <v>Fraco</v>
      </c>
      <c r="EZ126" s="29" t="str">
        <f>IF(VLOOKUP(BR126,Fundamentus!A:U,15,FALSE)&gt;1,"Bom",IF(VLOOKUP(BR126,Fundamentus!A:U,15,FALSE)&lt;1,"Ruim","n/a"))</f>
        <v>Bom</v>
      </c>
      <c r="FA126" s="17" t="str">
        <f>IF(VLOOKUP(BR126,Fundamentus!A:U,20,FALSE)&lt;0.5,"Baixa",IF(VLOOKUP(BR126,Fundamentus!A:U,20,FALSE)&lt;1,"Moderada",IF(VLOOKUP(BR126,Fundamentus!A:U,20,FALSE)&lt;2,"Alerta",IF(VLOOKUP(BR126,Fundamentus!A:U,20,FALSE)&gt;2,"Alta","n/a"))))</f>
        <v>Moderada</v>
      </c>
      <c r="FB126" s="10"/>
    </row>
    <row r="127" spans="1:158" s="2" customFormat="1" ht="11.25"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5">
        <v>31.3</v>
      </c>
      <c r="BC127" s="52">
        <v>33.39</v>
      </c>
      <c r="BD127" s="52">
        <v>33.299999999999997</v>
      </c>
      <c r="BE127" s="52">
        <v>33.369999999999997</v>
      </c>
      <c r="BF127" s="52">
        <v>32.51</v>
      </c>
      <c r="BG127" s="67">
        <v>32.229999999999997</v>
      </c>
      <c r="BH127" s="52">
        <v>32.49</v>
      </c>
      <c r="BI127" s="52">
        <v>32.26</v>
      </c>
      <c r="BJ127" s="52">
        <v>33.68</v>
      </c>
      <c r="BK127" s="52">
        <v>31.6</v>
      </c>
      <c r="BL127" s="52">
        <v>31.36</v>
      </c>
      <c r="BM127" s="52">
        <v>31.46</v>
      </c>
      <c r="BN127" s="52">
        <v>31.19</v>
      </c>
      <c r="BO127" s="52">
        <v>33.090000000000003</v>
      </c>
      <c r="BP127" s="52">
        <v>33.5</v>
      </c>
      <c r="BQ127" s="52" cm="1">
        <f t="array" aca="1" ref="BQ127" ca="1">_FV(EE127,"Preço")</f>
        <v>33.5</v>
      </c>
      <c r="BR127" s="69" t="s">
        <v>62</v>
      </c>
      <c r="BS127" s="36" cm="1">
        <f t="array" aca="1" ref="BS127" ca="1">_FV(EE127,"Média de volume",TRUE)</f>
        <v>26180200</v>
      </c>
      <c r="BT127" s="36">
        <v>529800</v>
      </c>
      <c r="BU127" s="36" cm="1">
        <f t="array" aca="1" ref="BU127" ca="1">_FV(EE127,"Volume")</f>
        <v>529800</v>
      </c>
      <c r="BV127" s="24" cm="1">
        <f t="array" aca="1" ref="BV127" ca="1">_FV(EE127,"Beta")</f>
        <v>1.2498</v>
      </c>
      <c r="BW127" s="71" cm="1">
        <f t="array" aca="1" ref="BW127" ca="1">_FV(EE127,"Variação (%)",TRUE)</f>
        <v>-1.0631999999999999E-2</v>
      </c>
      <c r="BY127" s="17" cm="1">
        <f t="array" aca="1" ref="BY127" ca="1">_FV(EE127,"Baixo")</f>
        <v>33.47</v>
      </c>
      <c r="BZ127" s="17" cm="1">
        <f t="array" aca="1" ref="BZ127" ca="1">_FV(EE127,"Alto")</f>
        <v>33.909999999999997</v>
      </c>
      <c r="CA127" s="24"/>
      <c r="CB127" s="63">
        <f ca="1">SQRT(22.5*(BQ127/VLOOKUP(BR127,Fundamentus!A:U,3,FALSE))*(BQ127/VLOOKUP(BR127,Fundamentus!A:U,4,FALSE)))</f>
        <v>40.493918701239366</v>
      </c>
      <c r="CD127" s="62">
        <f t="shared" ca="1" si="112"/>
        <v>0</v>
      </c>
      <c r="CE127" s="8"/>
      <c r="CF127" s="61">
        <f t="shared" si="113"/>
        <v>26.39</v>
      </c>
      <c r="CG127" s="61">
        <f t="shared" si="114"/>
        <v>33.68</v>
      </c>
      <c r="CH127" s="61">
        <f t="shared" si="115"/>
        <v>29.916838235294104</v>
      </c>
      <c r="CI127" s="14"/>
      <c r="CJ127" s="35">
        <f t="shared" si="98"/>
        <v>32.93880233977869</v>
      </c>
      <c r="CK127" s="15">
        <f t="shared" si="116"/>
        <v>34.315000000000509</v>
      </c>
      <c r="CL127" s="35">
        <f t="shared" si="99"/>
        <v>35.691197660222329</v>
      </c>
      <c r="CN127" s="14"/>
      <c r="CO127" s="17">
        <f t="shared" si="100"/>
        <v>21.409999999999997</v>
      </c>
      <c r="CP127" s="17">
        <f t="shared" si="101"/>
        <v>23.9</v>
      </c>
      <c r="CQ127" s="17">
        <f t="shared" si="102"/>
        <v>28.699999999999996</v>
      </c>
      <c r="CR127" s="38">
        <f t="shared" si="117"/>
        <v>31.189999999999998</v>
      </c>
      <c r="CS127" s="17">
        <f t="shared" si="103"/>
        <v>35.989999999999995</v>
      </c>
      <c r="CT127" s="17">
        <f t="shared" si="104"/>
        <v>38.479999999999997</v>
      </c>
      <c r="CU127" s="17">
        <f t="shared" si="105"/>
        <v>43.279999999999994</v>
      </c>
      <c r="CV127" s="2" cm="1">
        <f t="array" aca="1" ref="CV127" ca="1">MAX(_xlfn._xlws.FILTER(CO127:CU127,CO127:CU127&lt;BQ127))</f>
        <v>31.189999999999998</v>
      </c>
      <c r="CW127" s="2" cm="1">
        <f t="array" aca="1" ref="CW127" ca="1">MIN(_xlfn._xlws.FILTER($CO127:$CU127,$CO127:$CU127&gt;BQ127))</f>
        <v>35.989999999999995</v>
      </c>
      <c r="CX127" s="16">
        <f t="shared" ca="1" si="136"/>
        <v>0.1538954793202949</v>
      </c>
      <c r="CY127" s="20">
        <f t="shared" ca="1" si="137"/>
        <v>-7.6947739660147452E-2</v>
      </c>
      <c r="CZ127" s="20">
        <f t="shared" ca="1" si="138"/>
        <v>-5.1298493106764965E-2</v>
      </c>
      <c r="DA127" s="20">
        <f t="shared" ca="1" si="139"/>
        <v>-3.077909586405898E-2</v>
      </c>
      <c r="DB127" s="20">
        <f t="shared" ca="1" si="140"/>
        <v>-1.7099497702254988E-2</v>
      </c>
      <c r="DC127" s="20">
        <f t="shared" ca="1" si="141"/>
        <v>-9.0526752541349939E-3</v>
      </c>
      <c r="DD127" s="20">
        <f t="shared" ca="1" si="142"/>
        <v>-4.6634993733422701E-3</v>
      </c>
      <c r="DE127" s="20">
        <f t="shared" ca="1" si="143"/>
        <v>-2.3676227587737676E-3</v>
      </c>
      <c r="DF127" s="21">
        <f t="shared" ca="1" si="144"/>
        <v>2.3676227587737676E-3</v>
      </c>
      <c r="DG127" s="21">
        <f t="shared" ca="1" si="145"/>
        <v>4.6634993733422701E-3</v>
      </c>
      <c r="DH127" s="21">
        <f t="shared" ca="1" si="146"/>
        <v>9.0526752541349939E-3</v>
      </c>
      <c r="DI127" s="21">
        <f t="shared" ca="1" si="147"/>
        <v>1.7099497702254988E-2</v>
      </c>
      <c r="DJ127" s="21">
        <f t="shared" ca="1" si="148"/>
        <v>3.077909586405898E-2</v>
      </c>
      <c r="DK127" s="21">
        <f t="shared" ca="1" si="149"/>
        <v>5.1298493106764965E-2</v>
      </c>
      <c r="DL127" s="21">
        <f t="shared" ca="1" si="150"/>
        <v>7.6947739660147452E-2</v>
      </c>
      <c r="DN127" s="16" cm="1">
        <f t="array" aca="1" ref="DN127" ca="1">MAX(_xlfn._xlws.FILTER(CY127:DL127,CY127:DL127&lt;BW127))</f>
        <v>-1.7099497702254988E-2</v>
      </c>
      <c r="DO127" s="16" cm="1">
        <f t="array" aca="1" ref="DO127" ca="1">MIN(_xlfn._xlws.FILTER(CY127:DL127,CY127:DL127&gt;BW127))</f>
        <v>-9.0526752541349939E-3</v>
      </c>
      <c r="DP127" s="2" cm="1">
        <f t="array" aca="1" ref="DP127" ca="1">_FV(EE127,"Fechamento anterior",TRUE)</f>
        <v>33.86</v>
      </c>
      <c r="DQ127" s="28">
        <f t="shared" ca="1" si="106"/>
        <v>0.8037313570584701</v>
      </c>
      <c r="DR127" s="15">
        <f t="shared" ca="1" si="151"/>
        <v>33.281011007801645</v>
      </c>
      <c r="DS127" s="15">
        <f t="shared" ca="1" si="152"/>
        <v>33.553476415894991</v>
      </c>
      <c r="DT127" s="9"/>
      <c r="DU127" s="9"/>
      <c r="DV127" s="9"/>
      <c r="DW127" s="89">
        <v>7.8521175179675304E-3</v>
      </c>
      <c r="DX127" s="89">
        <f t="shared" ca="1" si="107"/>
        <v>8.0468224481199946E-3</v>
      </c>
      <c r="DY127" s="72">
        <f t="shared" ca="1" si="108"/>
        <v>-0.59221144139217985</v>
      </c>
      <c r="DZ127" s="37"/>
      <c r="EA127" s="35">
        <f t="shared" si="118"/>
        <v>0.68809883011090889</v>
      </c>
      <c r="EB127" s="56"/>
      <c r="EC127" s="56"/>
      <c r="EE127" s="2" t="e" vm="126">
        <v>#VALUE!</v>
      </c>
      <c r="EG127" s="10" cm="1">
        <f t="array" aca="1" ref="EG127" ca="1">_FV(EE127,"Ações em circulação",TRUE)</f>
        <v>10784550000</v>
      </c>
      <c r="EH127" s="18">
        <f>VLOOKUP(BR127,Fundamentus!A:U,5,FALSE)</f>
        <v>0</v>
      </c>
      <c r="EI127" s="2" t="e">
        <f t="shared" ca="1" si="109"/>
        <v>#DIV/0!</v>
      </c>
      <c r="EJ127" s="17" t="e">
        <v>#DIV/0!</v>
      </c>
      <c r="EK127" s="17" t="e">
        <f t="shared" ca="1" si="110"/>
        <v>#DIV/0!</v>
      </c>
      <c r="EM127" s="16" t="e">
        <f t="shared" ca="1" si="97"/>
        <v>#DIV/0!</v>
      </c>
      <c r="EN127" s="32" t="str">
        <f>IF(VLOOKUP(BR127,Fundamentus!A:U,3,FALSE)&lt;15,"Bom",IF(VLOOKUP(BR127,Fundamentus!A:U,3,FALSE)&gt;15,"Ruim","n/a"))</f>
        <v>Bom</v>
      </c>
      <c r="EO127" s="28" t="str">
        <f>IF(VLOOKUP(BR127,Fundamentus!A:U,4,FALSE)&lt;1,"Baixo",IF(VLOOKUP(BR127,Fundamentus!A:U,4,FALSE)&lt;1.5,"Moderado",IF(VLOOKUP(BR127,Fundamentus!A:U,4,FALSE)&gt;1.5,"Alto","n/a")))</f>
        <v>Alto</v>
      </c>
      <c r="EP127" s="17" t="str">
        <f>IF(VLOOKUP(BR127,Fundamentus!A:U,8,FALSE)&lt;0,"Risco elevado",IF(VLOOKUP(BR127,Fundamentus!A:U,8,FALSE)&lt;1,"Saudável",IF(VLOOKUP(BR127,Fundamentus!A:U,8,FALSE)&lt;3,"Estável",IF(VLOOKUP(BR127,Fundamentus!A:U,8,FALSE)&gt;3,"Alerta","n/a"))))</f>
        <v>Saudável</v>
      </c>
      <c r="EQ127" s="28" t="str">
        <f t="shared" si="111"/>
        <v>Ruim</v>
      </c>
      <c r="ER127" s="17" t="str">
        <f>IF(VLOOKUP(BR127,Fundamentus!A:U,12,FALSE)&lt;2,"Subvalorizada",IF(VLOOKUP(BR127,Fundamentus!A:U,12,FALSE)&lt;6,"Muita barata",IF(VLOOKUP(BR127,Fundamentus!A:U,12,FALSE)&lt;6,"Barata",IF(VLOOKUP(BR127,Fundamentus!A:U,12,FALSE)&lt;8,"Atrativa",IF(VLOOKUP(BR127,Fundamentus!A:U,12,FALSE)&gt;8,"Supervalorizada","n/a")))))</f>
        <v>Subvalorizada</v>
      </c>
      <c r="ET127" s="17" t="str">
        <f>IF(VLOOKUP(BR127,Fundamentus!A:U,17,FALSE)&lt;0.1,"Fraco retorno",IF(VLOOKUP(BR127,Fundamentus!A:U,17,FALSE)&gt;0.1,"Bom retorno","n/a"))</f>
        <v>Bom retorno</v>
      </c>
      <c r="EU127" s="17" t="str">
        <f>IF(VLOOKUP(BR127,Fundamentus!A:U,16,FALSE)&lt;0.1,"Ineficiente",IF(VLOOKUP(BR127,Fundamentus!A:U,16,FALSE)&gt;0.1,"Eficiente","n/a"))</f>
        <v>Ineficiente</v>
      </c>
      <c r="EV127" s="33" t="str">
        <f>IF(VLOOKUP(BR127,Fundamentus!A:U,16,FALSE)&lt;0.1,"Oper. Ineficiente",IF(VLOOKUP(BR127,Fundamentus!A:U,16,FALSE)&gt;0.1,"Oper.Eficiente","n/a"))</f>
        <v>Oper. Ineficiente</v>
      </c>
      <c r="EW127" s="34">
        <f>VLOOKUP(BR127,Fundamentus!A:U,14,FALSE)</f>
        <v>0</v>
      </c>
      <c r="EX127" s="17" t="str">
        <f>IF(VLOOKUP(BR127,Fundamentus!A:U,21,FALSE)&lt;0,"Negativo",IF(VLOOKUP(BR127,Fundamentus!A:U,21,FALSE)&lt;0.05,"Fraco",IF(VLOOKUP(BR127,Fundamentus!A:U,21,FALSE)&lt;0.1,"Bom",IF(VLOOKUP(BR127,Fundamentus!A:U,21,FALSE)&gt;0.1,"Muito bom","n/a"))))</f>
        <v>Muito bom</v>
      </c>
      <c r="EZ127" s="29" t="str">
        <f>IF(VLOOKUP(BR127,Fundamentus!A:U,15,FALSE)&gt;1,"Bom",IF(VLOOKUP(BR127,Fundamentus!A:U,15,FALSE)&lt;1,"Ruim","n/a"))</f>
        <v>Ruim</v>
      </c>
      <c r="FA127" s="17" t="str">
        <f>IF(VLOOKUP(BR127,Fundamentus!A:U,20,FALSE)&lt;0.5,"Baixa",IF(VLOOKUP(BR127,Fundamentus!A:U,20,FALSE)&lt;1,"Moderada",IF(VLOOKUP(BR127,Fundamentus!A:U,20,FALSE)&lt;2,"Alerta",IF(VLOOKUP(BR127,Fundamentus!A:U,20,FALSE)&gt;2,"Alta","n/a"))))</f>
        <v>Baixa</v>
      </c>
      <c r="FB127" s="10"/>
    </row>
    <row r="128" spans="1:158" s="2" customFormat="1" ht="11.25"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5">
        <v>1.68</v>
      </c>
      <c r="BC128" s="52">
        <v>1.47</v>
      </c>
      <c r="BD128" s="52">
        <v>1.5</v>
      </c>
      <c r="BE128" s="52">
        <v>1.55</v>
      </c>
      <c r="BF128" s="52">
        <v>1.53</v>
      </c>
      <c r="BG128" s="67">
        <v>1.5</v>
      </c>
      <c r="BH128" s="52">
        <v>1.49</v>
      </c>
      <c r="BI128" s="52">
        <v>1.42</v>
      </c>
      <c r="BJ128" s="52">
        <v>1.45</v>
      </c>
      <c r="BK128" s="52">
        <v>1.41</v>
      </c>
      <c r="BL128" s="52">
        <v>1.4</v>
      </c>
      <c r="BM128" s="52">
        <v>1.37</v>
      </c>
      <c r="BN128" s="52">
        <v>1.4</v>
      </c>
      <c r="BO128" s="52">
        <v>1.33</v>
      </c>
      <c r="BP128" s="52">
        <v>1.37</v>
      </c>
      <c r="BQ128" s="52" cm="1">
        <f t="array" aca="1" ref="BQ128" ca="1">_FV(EE128,"Preço")</f>
        <v>1.37</v>
      </c>
      <c r="BR128" s="69" t="s">
        <v>124</v>
      </c>
      <c r="BS128" s="36" cm="1">
        <f t="array" aca="1" ref="BS128" ca="1">_FV(EE128,"Média de volume",TRUE)</f>
        <v>24210</v>
      </c>
      <c r="BT128" s="36">
        <v>18700</v>
      </c>
      <c r="BU128" s="36" cm="1">
        <f t="array" aca="1" ref="BU128" ca="1">_FV(EE128,"Volume")</f>
        <v>18700</v>
      </c>
      <c r="BV128" s="24" cm="1">
        <f t="array" aca="1" ref="BV128" ca="1">_FV(EE128,"Beta")</f>
        <v>0.4264</v>
      </c>
      <c r="BW128" s="71" cm="1">
        <f t="array" aca="1" ref="BW128" ca="1">_FV(EE128,"Variação (%)",TRUE)</f>
        <v>1.4815E-2</v>
      </c>
      <c r="BY128" s="17" cm="1">
        <f t="array" aca="1" ref="BY128" ca="1">_FV(EE128,"Baixo")</f>
        <v>1.34</v>
      </c>
      <c r="BZ128" s="17" cm="1">
        <f t="array" aca="1" ref="BZ128" ca="1">_FV(EE128,"Alto")</f>
        <v>1.42</v>
      </c>
      <c r="CA128" s="24"/>
      <c r="CB128" s="63">
        <f ca="1">SQRT(22.5*(BQ128/VLOOKUP(BR128,Fundamentus!A:U,3,FALSE))*(BQ128/VLOOKUP(BR128,Fundamentus!A:U,4,FALSE)))</f>
        <v>1.9633857529247196</v>
      </c>
      <c r="CD128" s="62">
        <f t="shared" ca="1" si="112"/>
        <v>0</v>
      </c>
      <c r="CE128" s="8"/>
      <c r="CF128" s="61">
        <f t="shared" si="113"/>
        <v>1.33</v>
      </c>
      <c r="CG128" s="61">
        <f t="shared" si="114"/>
        <v>2.4700000000000002</v>
      </c>
      <c r="CH128" s="61">
        <f t="shared" si="115"/>
        <v>1.8649264705882356</v>
      </c>
      <c r="CI128" s="14"/>
      <c r="CJ128" s="35">
        <f t="shared" si="98"/>
        <v>1.2914850446466903</v>
      </c>
      <c r="CK128" s="15">
        <f t="shared" si="116"/>
        <v>1.3500000000000014</v>
      </c>
      <c r="CL128" s="35">
        <f t="shared" si="99"/>
        <v>1.4085149553533125</v>
      </c>
      <c r="CN128" s="14"/>
      <c r="CO128" s="17">
        <f t="shared" si="100"/>
        <v>-0.16333333333333355</v>
      </c>
      <c r="CP128" s="17">
        <f t="shared" si="101"/>
        <v>0.58333333333333326</v>
      </c>
      <c r="CQ128" s="17">
        <f t="shared" si="102"/>
        <v>0.97666666666666657</v>
      </c>
      <c r="CR128" s="38">
        <f t="shared" si="117"/>
        <v>1.7233333333333334</v>
      </c>
      <c r="CS128" s="17">
        <f t="shared" si="103"/>
        <v>2.1166666666666667</v>
      </c>
      <c r="CT128" s="17">
        <f t="shared" si="104"/>
        <v>2.8633333333333333</v>
      </c>
      <c r="CU128" s="17">
        <f t="shared" si="105"/>
        <v>3.2566666666666668</v>
      </c>
      <c r="CV128" s="2" cm="1">
        <f t="array" aca="1" ref="CV128" ca="1">MAX(_xlfn._xlws.FILTER(CO128:CU128,CO128:CU128&lt;BQ128))</f>
        <v>0.97666666666666657</v>
      </c>
      <c r="CW128" s="2" cm="1">
        <f t="array" aca="1" ref="CW128" ca="1">MIN(_xlfn._xlws.FILTER($CO128:$CU128,$CO128:$CU128&gt;BQ128))</f>
        <v>1.7233333333333334</v>
      </c>
      <c r="CX128" s="16">
        <f t="shared" ca="1" si="136"/>
        <v>0.76450511945392519</v>
      </c>
      <c r="CY128" s="20">
        <f t="shared" ca="1" si="137"/>
        <v>-0.38225255972696259</v>
      </c>
      <c r="CZ128" s="20">
        <f t="shared" ca="1" si="138"/>
        <v>-0.25483503981797506</v>
      </c>
      <c r="DA128" s="20">
        <f t="shared" ca="1" si="139"/>
        <v>-0.15290102389078503</v>
      </c>
      <c r="DB128" s="20">
        <f t="shared" ca="1" si="140"/>
        <v>-8.4945013272658354E-2</v>
      </c>
      <c r="DC128" s="20">
        <f t="shared" ca="1" si="141"/>
        <v>-4.4970889379642658E-2</v>
      </c>
      <c r="DD128" s="20">
        <f t="shared" ca="1" si="142"/>
        <v>-2.3166821801634097E-2</v>
      </c>
      <c r="DE128" s="20">
        <f t="shared" ca="1" si="143"/>
        <v>-1.1761617222368079E-2</v>
      </c>
      <c r="DF128" s="21">
        <f t="shared" ca="1" si="144"/>
        <v>1.1761617222368079E-2</v>
      </c>
      <c r="DG128" s="21">
        <f t="shared" ca="1" si="145"/>
        <v>2.3166821801634097E-2</v>
      </c>
      <c r="DH128" s="21">
        <f t="shared" ca="1" si="146"/>
        <v>4.4970889379642658E-2</v>
      </c>
      <c r="DI128" s="21">
        <f t="shared" ca="1" si="147"/>
        <v>8.4945013272658354E-2</v>
      </c>
      <c r="DJ128" s="21">
        <f t="shared" ca="1" si="148"/>
        <v>0.15290102389078503</v>
      </c>
      <c r="DK128" s="21">
        <f t="shared" ca="1" si="149"/>
        <v>0.25483503981797506</v>
      </c>
      <c r="DL128" s="21">
        <f t="shared" ca="1" si="150"/>
        <v>0.38225255972696259</v>
      </c>
      <c r="DN128" s="16" cm="1">
        <f t="array" aca="1" ref="DN128" ca="1">MAX(_xlfn._xlws.FILTER(CY128:DL128,CY128:DL128&lt;BW128))</f>
        <v>1.1761617222368079E-2</v>
      </c>
      <c r="DO128" s="16" cm="1">
        <f t="array" aca="1" ref="DO128" ca="1">MIN(_xlfn._xlws.FILTER(CY128:DL128,CY128:DL128&gt;BW128))</f>
        <v>2.3166821801634097E-2</v>
      </c>
      <c r="DP128" s="2" cm="1">
        <f t="array" aca="1" ref="DP128" ca="1">_FV(EE128,"Fechamento anterior",TRUE)</f>
        <v>1.35</v>
      </c>
      <c r="DQ128" s="28">
        <f t="shared" ca="1" si="106"/>
        <v>0.26770213293651235</v>
      </c>
      <c r="DR128" s="15">
        <f t="shared" ca="1" si="151"/>
        <v>1.3658781832501969</v>
      </c>
      <c r="DS128" s="15">
        <f t="shared" ca="1" si="152"/>
        <v>1.3812752094322061</v>
      </c>
      <c r="DT128" s="9"/>
      <c r="DU128" s="9"/>
      <c r="DV128" s="9"/>
      <c r="DW128" s="89">
        <v>1.1934731934731931E-2</v>
      </c>
      <c r="DX128" s="89">
        <f t="shared" ca="1" si="107"/>
        <v>1.1405204579266017E-2</v>
      </c>
      <c r="DY128" s="72">
        <f t="shared" ca="1" si="108"/>
        <v>0.3417929635123097</v>
      </c>
      <c r="DZ128" s="37"/>
      <c r="EA128" s="35">
        <f t="shared" si="118"/>
        <v>2.9257477676655517E-2</v>
      </c>
      <c r="EB128" s="56"/>
      <c r="EC128" s="56"/>
      <c r="EE128" s="2" t="e" vm="127">
        <v>#VALUE!</v>
      </c>
      <c r="EG128" s="10" cm="1">
        <f t="array" aca="1" ref="EG128" ca="1">_FV(EE128,"Ações em circulação",TRUE)</f>
        <v>66086360</v>
      </c>
      <c r="EH128" s="18">
        <f>VLOOKUP(BR128,Fundamentus!A:U,5,FALSE)</f>
        <v>0.41599999999999998</v>
      </c>
      <c r="EI128" s="2">
        <f t="shared" ca="1" si="109"/>
        <v>217640175.96153846</v>
      </c>
      <c r="EJ128" s="17">
        <v>4135163.3432692308</v>
      </c>
      <c r="EK128" s="17">
        <f t="shared" ca="1" si="110"/>
        <v>4135163.3432692308</v>
      </c>
      <c r="EM128" s="16">
        <f t="shared" ca="1" si="97"/>
        <v>0</v>
      </c>
      <c r="EN128" s="32" t="str">
        <f>IF(VLOOKUP(BR128,Fundamentus!A:U,3,FALSE)&lt;15,"Bom",IF(VLOOKUP(BR128,Fundamentus!A:U,3,FALSE)&gt;15,"Ruim","n/a"))</f>
        <v>Ruim</v>
      </c>
      <c r="EO128" s="28" t="str">
        <f>IF(VLOOKUP(BR128,Fundamentus!A:U,4,FALSE)&lt;1,"Baixo",IF(VLOOKUP(BR128,Fundamentus!A:U,4,FALSE)&lt;1.5,"Moderado",IF(VLOOKUP(BR128,Fundamentus!A:U,4,FALSE)&gt;1.5,"Alto","n/a")))</f>
        <v>Baixo</v>
      </c>
      <c r="EP128" s="17" t="str">
        <f>IF(VLOOKUP(BR128,Fundamentus!A:U,8,FALSE)&lt;0,"Risco elevado",IF(VLOOKUP(BR128,Fundamentus!A:U,8,FALSE)&lt;1,"Saudável",IF(VLOOKUP(BR128,Fundamentus!A:U,8,FALSE)&lt;3,"Estável",IF(VLOOKUP(BR128,Fundamentus!A:U,8,FALSE)&gt;3,"Alerta","n/a"))))</f>
        <v>Alerta</v>
      </c>
      <c r="EQ128" s="28" t="str">
        <f t="shared" si="111"/>
        <v>Ruim</v>
      </c>
      <c r="ER128" s="17" t="str">
        <f>IF(VLOOKUP(BR128,Fundamentus!A:U,12,FALSE)&lt;2,"Subvalorizada",IF(VLOOKUP(BR128,Fundamentus!A:U,12,FALSE)&lt;6,"Muita barata",IF(VLOOKUP(BR128,Fundamentus!A:U,12,FALSE)&lt;6,"Barata",IF(VLOOKUP(BR128,Fundamentus!A:U,12,FALSE)&lt;8,"Atrativa",IF(VLOOKUP(BR128,Fundamentus!A:U,12,FALSE)&gt;8,"Supervalorizada","n/a")))))</f>
        <v>Supervalorizada</v>
      </c>
      <c r="ET128" s="17" t="str">
        <f>IF(VLOOKUP(BR128,Fundamentus!A:U,17,FALSE)&lt;0.1,"Fraco retorno",IF(VLOOKUP(BR128,Fundamentus!A:U,17,FALSE)&gt;0.1,"Bom retorno","n/a"))</f>
        <v>Fraco retorno</v>
      </c>
      <c r="EU128" s="17" t="str">
        <f>IF(VLOOKUP(BR128,Fundamentus!A:U,16,FALSE)&lt;0.1,"Ineficiente",IF(VLOOKUP(BR128,Fundamentus!A:U,16,FALSE)&gt;0.1,"Eficiente","n/a"))</f>
        <v>Ineficiente</v>
      </c>
      <c r="EV128" s="33" t="str">
        <f>IF(VLOOKUP(BR128,Fundamentus!A:U,16,FALSE)&lt;0.1,"Oper. Ineficiente",IF(VLOOKUP(BR128,Fundamentus!A:U,16,FALSE)&gt;0.1,"Oper.Eficiente","n/a"))</f>
        <v>Oper. Ineficiente</v>
      </c>
      <c r="EW128" s="34">
        <f>VLOOKUP(BR128,Fundamentus!A:U,14,FALSE)</f>
        <v>1.9E-2</v>
      </c>
      <c r="EX128" s="17" t="str">
        <f>IF(VLOOKUP(BR128,Fundamentus!A:U,21,FALSE)&lt;0,"Negativo",IF(VLOOKUP(BR128,Fundamentus!A:U,21,FALSE)&lt;0.05,"Fraco",IF(VLOOKUP(BR128,Fundamentus!A:U,21,FALSE)&lt;0.1,"Bom",IF(VLOOKUP(BR128,Fundamentus!A:U,21,FALSE)&gt;0.1,"Muito bom","n/a"))))</f>
        <v>Bom</v>
      </c>
      <c r="EZ128" s="29" t="str">
        <f>IF(VLOOKUP(BR128,Fundamentus!A:U,15,FALSE)&gt;1,"Bom",IF(VLOOKUP(BR128,Fundamentus!A:U,15,FALSE)&lt;1,"Ruim","n/a"))</f>
        <v>Bom</v>
      </c>
      <c r="FA128" s="17" t="str">
        <f>IF(VLOOKUP(BR128,Fundamentus!A:U,20,FALSE)&lt;0.5,"Baixa",IF(VLOOKUP(BR128,Fundamentus!A:U,20,FALSE)&lt;1,"Moderada",IF(VLOOKUP(BR128,Fundamentus!A:U,20,FALSE)&lt;2,"Alerta",IF(VLOOKUP(BR128,Fundamentus!A:U,20,FALSE)&gt;2,"Alta","n/a"))))</f>
        <v>Moderada</v>
      </c>
      <c r="FB128" s="10"/>
    </row>
    <row r="129" spans="1:158" s="2" customFormat="1" ht="11.25"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5">
        <v>5.6</v>
      </c>
      <c r="BC129" s="52">
        <v>5.55</v>
      </c>
      <c r="BD129" s="52">
        <v>5.33</v>
      </c>
      <c r="BE129" s="52">
        <v>5.2</v>
      </c>
      <c r="BF129" s="52">
        <v>5.18</v>
      </c>
      <c r="BG129" s="67">
        <v>4.7699999999999996</v>
      </c>
      <c r="BH129" s="52">
        <v>4.4000000000000004</v>
      </c>
      <c r="BI129" s="52">
        <v>4.1500000000000004</v>
      </c>
      <c r="BJ129" s="52">
        <v>4.47</v>
      </c>
      <c r="BK129" s="52">
        <v>4.29</v>
      </c>
      <c r="BL129" s="52">
        <v>3.92</v>
      </c>
      <c r="BM129" s="52">
        <v>4.2</v>
      </c>
      <c r="BN129" s="52">
        <v>4.3899999999999997</v>
      </c>
      <c r="BO129" s="52">
        <v>4.45</v>
      </c>
      <c r="BP129" s="52">
        <v>4</v>
      </c>
      <c r="BQ129" s="52" cm="1">
        <f t="array" aca="1" ref="BQ129" ca="1">_FV(EE129,"Preço")</f>
        <v>4</v>
      </c>
      <c r="BR129" s="69" t="s">
        <v>125</v>
      </c>
      <c r="BS129" s="36" cm="1">
        <f t="array" aca="1" ref="BS129" ca="1">_FV(EE129,"Média de volume",TRUE)</f>
        <v>13754030</v>
      </c>
      <c r="BT129" s="36">
        <v>14568700</v>
      </c>
      <c r="BU129" s="36" cm="1">
        <f t="array" aca="1" ref="BU129" ca="1">_FV(EE129,"Volume")</f>
        <v>14568700</v>
      </c>
      <c r="BV129" s="24" cm="1">
        <f t="array" aca="1" ref="BV129" ca="1">_FV(EE129,"Beta")</f>
        <v>0.91479999999999995</v>
      </c>
      <c r="BW129" s="71" cm="1">
        <f t="array" aca="1" ref="BW129" ca="1">_FV(EE129,"Variação (%)",TRUE)</f>
        <v>0</v>
      </c>
      <c r="BY129" s="17" cm="1">
        <f t="array" aca="1" ref="BY129" ca="1">_FV(EE129,"Baixo")</f>
        <v>3.96</v>
      </c>
      <c r="BZ129" s="17" cm="1">
        <f t="array" aca="1" ref="BZ129" ca="1">_FV(EE129,"Alto")</f>
        <v>4.04</v>
      </c>
      <c r="CA129" s="24"/>
      <c r="CB129" s="63">
        <f ca="1">SQRT(22.5*(BQ129/VLOOKUP(BR129,Fundamentus!A:U,3,FALSE))*(BQ129/VLOOKUP(BR129,Fundamentus!A:U,4,FALSE)))</f>
        <v>6.3448915635573409</v>
      </c>
      <c r="CD129" s="62">
        <f t="shared" ca="1" si="112"/>
        <v>0</v>
      </c>
      <c r="CE129" s="8"/>
      <c r="CF129" s="61">
        <f t="shared" si="113"/>
        <v>3.92</v>
      </c>
      <c r="CG129" s="61">
        <f t="shared" si="114"/>
        <v>8.5299999999999994</v>
      </c>
      <c r="CH129" s="61">
        <f t="shared" si="115"/>
        <v>5.9341176470588239</v>
      </c>
      <c r="CI129" s="14"/>
      <c r="CJ129" s="35">
        <f t="shared" si="98"/>
        <v>3.753408826800205</v>
      </c>
      <c r="CK129" s="15">
        <f t="shared" si="116"/>
        <v>4.125</v>
      </c>
      <c r="CL129" s="35">
        <f t="shared" si="99"/>
        <v>4.4965911731997945</v>
      </c>
      <c r="CN129" s="14"/>
      <c r="CO129" s="17">
        <f t="shared" si="100"/>
        <v>-2.173333333333332</v>
      </c>
      <c r="CP129" s="17">
        <f t="shared" si="101"/>
        <v>0.87333333333333396</v>
      </c>
      <c r="CQ129" s="17">
        <f t="shared" si="102"/>
        <v>2.4366666666666674</v>
      </c>
      <c r="CR129" s="38">
        <f t="shared" si="117"/>
        <v>5.4833333333333334</v>
      </c>
      <c r="CS129" s="17">
        <f t="shared" si="103"/>
        <v>7.0466666666666669</v>
      </c>
      <c r="CT129" s="17">
        <f t="shared" si="104"/>
        <v>10.093333333333334</v>
      </c>
      <c r="CU129" s="17">
        <f t="shared" si="105"/>
        <v>11.656666666666666</v>
      </c>
      <c r="CV129" s="2" cm="1">
        <f t="array" aca="1" ref="CV129" ca="1">MAX(_xlfn._xlws.FILTER(CO129:CU129,CO129:CU129&lt;BQ129))</f>
        <v>2.4366666666666674</v>
      </c>
      <c r="CW129" s="2" cm="1">
        <f t="array" aca="1" ref="CW129" ca="1">MIN(_xlfn._xlws.FILTER($CO129:$CU129,$CO129:$CU129&gt;BQ129))</f>
        <v>5.4833333333333334</v>
      </c>
      <c r="CX129" s="16">
        <f t="shared" ca="1" si="136"/>
        <v>1.2503419972640213</v>
      </c>
      <c r="CY129" s="20">
        <f t="shared" ca="1" si="137"/>
        <v>-0.62517099863201064</v>
      </c>
      <c r="CZ129" s="20">
        <f t="shared" ca="1" si="138"/>
        <v>-0.41678066575467376</v>
      </c>
      <c r="DA129" s="20">
        <f t="shared" ca="1" si="139"/>
        <v>-0.25006839945280424</v>
      </c>
      <c r="DB129" s="20">
        <f t="shared" ca="1" si="140"/>
        <v>-0.13892688858489124</v>
      </c>
      <c r="DC129" s="20">
        <f t="shared" ca="1" si="141"/>
        <v>-7.354952925082478E-2</v>
      </c>
      <c r="DD129" s="20">
        <f t="shared" ca="1" si="142"/>
        <v>-3.7889151432243071E-2</v>
      </c>
      <c r="DE129" s="20">
        <f t="shared" ca="1" si="143"/>
        <v>-1.9236030727138788E-2</v>
      </c>
      <c r="DF129" s="21">
        <f t="shared" ca="1" si="144"/>
        <v>1.9236030727138788E-2</v>
      </c>
      <c r="DG129" s="21">
        <f t="shared" ca="1" si="145"/>
        <v>3.7889151432243071E-2</v>
      </c>
      <c r="DH129" s="21">
        <f t="shared" ca="1" si="146"/>
        <v>7.354952925082478E-2</v>
      </c>
      <c r="DI129" s="21">
        <f t="shared" ca="1" si="147"/>
        <v>0.13892688858489124</v>
      </c>
      <c r="DJ129" s="21">
        <f t="shared" ca="1" si="148"/>
        <v>0.25006839945280424</v>
      </c>
      <c r="DK129" s="21">
        <f t="shared" ca="1" si="149"/>
        <v>0.41678066575467376</v>
      </c>
      <c r="DL129" s="21">
        <f t="shared" ca="1" si="150"/>
        <v>0.62517099863201064</v>
      </c>
      <c r="DN129" s="16" cm="1">
        <f t="array" aca="1" ref="DN129" ca="1">MAX(_xlfn._xlws.FILTER(CY129:DL129,CY129:DL129&lt;BW129))</f>
        <v>-1.9236030727138788E-2</v>
      </c>
      <c r="DO129" s="16" cm="1">
        <f t="array" aca="1" ref="DO129" ca="1">MIN(_xlfn._xlws.FILTER(CY129:DL129,CY129:DL129&gt;BW129))</f>
        <v>1.9236030727138788E-2</v>
      </c>
      <c r="DP129" s="2" cm="1">
        <f t="array" aca="1" ref="DP129" ca="1">_FV(EE129,"Fechamento anterior",TRUE)</f>
        <v>4</v>
      </c>
      <c r="DQ129" s="28">
        <f t="shared" ca="1" si="106"/>
        <v>0.49999999999999856</v>
      </c>
      <c r="DR129" s="15">
        <f t="shared" ca="1" si="151"/>
        <v>3.923055877091445</v>
      </c>
      <c r="DS129" s="15">
        <f t="shared" ca="1" si="152"/>
        <v>4.0769441229085555</v>
      </c>
      <c r="DT129" s="9"/>
      <c r="DU129" s="9"/>
      <c r="DV129" s="9"/>
      <c r="DW129" s="89">
        <v>3.2568162653424534E-2</v>
      </c>
      <c r="DX129" s="89">
        <f t="shared" ca="1" si="107"/>
        <v>3.8472061454277576E-2</v>
      </c>
      <c r="DY129" s="72">
        <f t="shared" ca="1" si="108"/>
        <v>-0.33639119821823843</v>
      </c>
      <c r="DZ129" s="37"/>
      <c r="EA129" s="35">
        <f t="shared" si="118"/>
        <v>0.18579558659989748</v>
      </c>
      <c r="EB129" s="56"/>
      <c r="EC129" s="56"/>
      <c r="EE129" s="2" t="e" vm="128">
        <v>#VALUE!</v>
      </c>
      <c r="EG129" s="10" cm="1">
        <f t="array" aca="1" ref="EG129" ca="1">_FV(EE129,"Ações em circulação",TRUE)</f>
        <v>1253079000</v>
      </c>
      <c r="EH129" s="18">
        <f>VLOOKUP(BR129,Fundamentus!A:U,5,FALSE)</f>
        <v>0.20599999999999999</v>
      </c>
      <c r="EI129" s="2">
        <f t="shared" ca="1" si="109"/>
        <v>24331631067.961166</v>
      </c>
      <c r="EJ129" s="17">
        <v>279813757.28155339</v>
      </c>
      <c r="EK129" s="17">
        <f t="shared" ca="1" si="110"/>
        <v>279813757.28155339</v>
      </c>
      <c r="EM129" s="16">
        <f t="shared" ca="1" si="97"/>
        <v>0</v>
      </c>
      <c r="EN129" s="32" t="str">
        <f>IF(VLOOKUP(BR129,Fundamentus!A:U,3,FALSE)&lt;15,"Bom",IF(VLOOKUP(BR129,Fundamentus!A:U,3,FALSE)&gt;15,"Ruim","n/a"))</f>
        <v>Ruim</v>
      </c>
      <c r="EO129" s="28" t="str">
        <f>IF(VLOOKUP(BR129,Fundamentus!A:U,4,FALSE)&lt;1,"Baixo",IF(VLOOKUP(BR129,Fundamentus!A:U,4,FALSE)&lt;1.5,"Moderado",IF(VLOOKUP(BR129,Fundamentus!A:U,4,FALSE)&gt;1.5,"Alto","n/a")))</f>
        <v>Baixo</v>
      </c>
      <c r="EP129" s="17" t="str">
        <f>IF(VLOOKUP(BR129,Fundamentus!A:U,8,FALSE)&lt;0,"Risco elevado",IF(VLOOKUP(BR129,Fundamentus!A:U,8,FALSE)&lt;1,"Saudável",IF(VLOOKUP(BR129,Fundamentus!A:U,8,FALSE)&lt;3,"Estável",IF(VLOOKUP(BR129,Fundamentus!A:U,8,FALSE)&gt;3,"Alerta","n/a"))))</f>
        <v>Saudável</v>
      </c>
      <c r="EQ129" s="28" t="str">
        <f t="shared" si="111"/>
        <v>Ruim</v>
      </c>
      <c r="ER129" s="17" t="str">
        <f>IF(VLOOKUP(BR129,Fundamentus!A:U,12,FALSE)&lt;2,"Subvalorizada",IF(VLOOKUP(BR129,Fundamentus!A:U,12,FALSE)&lt;6,"Muita barata",IF(VLOOKUP(BR129,Fundamentus!A:U,12,FALSE)&lt;6,"Barata",IF(VLOOKUP(BR129,Fundamentus!A:U,12,FALSE)&lt;8,"Atrativa",IF(VLOOKUP(BR129,Fundamentus!A:U,12,FALSE)&gt;8,"Supervalorizada","n/a")))))</f>
        <v>Muita barata</v>
      </c>
      <c r="ET129" s="17" t="str">
        <f>IF(VLOOKUP(BR129,Fundamentus!A:U,17,FALSE)&lt;0.1,"Fraco retorno",IF(VLOOKUP(BR129,Fundamentus!A:U,17,FALSE)&gt;0.1,"Bom retorno","n/a"))</f>
        <v>Fraco retorno</v>
      </c>
      <c r="EU129" s="17" t="str">
        <f>IF(VLOOKUP(BR129,Fundamentus!A:U,16,FALSE)&lt;0.1,"Ineficiente",IF(VLOOKUP(BR129,Fundamentus!A:U,16,FALSE)&gt;0.1,"Eficiente","n/a"))</f>
        <v>Ineficiente</v>
      </c>
      <c r="EV129" s="33" t="str">
        <f>IF(VLOOKUP(BR129,Fundamentus!A:U,16,FALSE)&lt;0.1,"Oper. Ineficiente",IF(VLOOKUP(BR129,Fundamentus!A:U,16,FALSE)&gt;0.1,"Oper.Eficiente","n/a"))</f>
        <v>Oper. Ineficiente</v>
      </c>
      <c r="EW129" s="34">
        <f>VLOOKUP(BR129,Fundamentus!A:U,14,FALSE)</f>
        <v>1.15E-2</v>
      </c>
      <c r="EX129" s="17" t="str">
        <f>IF(VLOOKUP(BR129,Fundamentus!A:U,21,FALSE)&lt;0,"Negativo",IF(VLOOKUP(BR129,Fundamentus!A:U,21,FALSE)&lt;0.05,"Fraco",IF(VLOOKUP(BR129,Fundamentus!A:U,21,FALSE)&lt;0.1,"Bom",IF(VLOOKUP(BR129,Fundamentus!A:U,21,FALSE)&gt;0.1,"Muito bom","n/a"))))</f>
        <v>Fraco</v>
      </c>
      <c r="EZ129" s="29" t="str">
        <f>IF(VLOOKUP(BR129,Fundamentus!A:U,15,FALSE)&gt;1,"Bom",IF(VLOOKUP(BR129,Fundamentus!A:U,15,FALSE)&lt;1,"Ruim","n/a"))</f>
        <v>Bom</v>
      </c>
      <c r="FA129" s="17" t="str">
        <f>IF(VLOOKUP(BR129,Fundamentus!A:U,20,FALSE)&lt;0.5,"Baixa",IF(VLOOKUP(BR129,Fundamentus!A:U,20,FALSE)&lt;1,"Moderada",IF(VLOOKUP(BR129,Fundamentus!A:U,20,FALSE)&lt;2,"Alerta",IF(VLOOKUP(BR129,Fundamentus!A:U,20,FALSE)&gt;2,"Alta","n/a"))))</f>
        <v>Baixa</v>
      </c>
      <c r="FB129" s="10"/>
    </row>
    <row r="130" spans="1:158" s="2" customFormat="1" ht="11.25"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5">
        <v>4.13</v>
      </c>
      <c r="BC130" s="52">
        <v>4.41</v>
      </c>
      <c r="BD130" s="52">
        <v>4.32</v>
      </c>
      <c r="BE130" s="52">
        <v>4.0999999999999996</v>
      </c>
      <c r="BF130" s="52">
        <v>4.09</v>
      </c>
      <c r="BG130" s="67">
        <v>4.08</v>
      </c>
      <c r="BH130" s="52">
        <v>4.0999999999999996</v>
      </c>
      <c r="BI130" s="52">
        <v>3.9</v>
      </c>
      <c r="BJ130" s="52">
        <v>3.89</v>
      </c>
      <c r="BK130" s="52">
        <v>3.68</v>
      </c>
      <c r="BL130" s="52">
        <v>3.57</v>
      </c>
      <c r="BM130" s="52">
        <v>3.46</v>
      </c>
      <c r="BN130" s="52">
        <v>3.22</v>
      </c>
      <c r="BO130" s="52">
        <v>3.15</v>
      </c>
      <c r="BP130" s="52">
        <v>2.85</v>
      </c>
      <c r="BQ130" s="52" cm="1">
        <f t="array" aca="1" ref="BQ130" ca="1">_FV(EE130,"Preço")</f>
        <v>2.85</v>
      </c>
      <c r="BR130" s="69" t="s">
        <v>126</v>
      </c>
      <c r="BS130" s="36" cm="1">
        <f t="array" aca="1" ref="BS130" ca="1">_FV(EE130,"Média de volume",TRUE)</f>
        <v>1020640</v>
      </c>
      <c r="BT130" s="36">
        <v>1194700</v>
      </c>
      <c r="BU130" s="36" cm="1">
        <f t="array" aca="1" ref="BU130" ca="1">_FV(EE130,"Volume")</f>
        <v>1194700</v>
      </c>
      <c r="BV130" s="24" cm="1">
        <f t="array" aca="1" ref="BV130" ca="1">_FV(EE130,"Beta")</f>
        <v>0.38890000000000002</v>
      </c>
      <c r="BW130" s="71" cm="1">
        <f t="array" aca="1" ref="BW130" ca="1">_FV(EE130,"Variação (%)",TRUE)</f>
        <v>0</v>
      </c>
      <c r="BY130" s="17" cm="1">
        <f t="array" aca="1" ref="BY130" ca="1">_FV(EE130,"Baixo")</f>
        <v>2.82</v>
      </c>
      <c r="BZ130" s="17" cm="1">
        <f t="array" aca="1" ref="BZ130" ca="1">_FV(EE130,"Alto")</f>
        <v>2.9</v>
      </c>
      <c r="CA130" s="24"/>
      <c r="CB130" s="63" t="e">
        <f ca="1">SQRT(22.5*(BQ130/VLOOKUP(BR130,Fundamentus!A:U,3,FALSE))*(BQ130/VLOOKUP(BR130,Fundamentus!A:U,4,FALSE)))</f>
        <v>#NUM!</v>
      </c>
      <c r="CD130" s="62">
        <f t="shared" ca="1" si="112"/>
        <v>0</v>
      </c>
      <c r="CE130" s="8"/>
      <c r="CF130" s="61">
        <f t="shared" si="113"/>
        <v>2.85</v>
      </c>
      <c r="CG130" s="61">
        <f t="shared" si="114"/>
        <v>7.89</v>
      </c>
      <c r="CH130" s="61">
        <f t="shared" si="115"/>
        <v>5.2466176470588239</v>
      </c>
      <c r="CI130" s="14"/>
      <c r="CJ130" s="35">
        <f t="shared" si="98"/>
        <v>2.290505253433309</v>
      </c>
      <c r="CK130" s="15">
        <f t="shared" si="116"/>
        <v>2.6949999999999363</v>
      </c>
      <c r="CL130" s="35">
        <f t="shared" si="99"/>
        <v>3.0994947465665637</v>
      </c>
      <c r="CN130" s="14"/>
      <c r="CO130" s="17">
        <f t="shared" si="100"/>
        <v>-3.8699999999999988</v>
      </c>
      <c r="CP130" s="17">
        <f t="shared" si="101"/>
        <v>-0.5099999999999989</v>
      </c>
      <c r="CQ130" s="17">
        <f t="shared" si="102"/>
        <v>1.1700000000000008</v>
      </c>
      <c r="CR130" s="38">
        <f t="shared" si="117"/>
        <v>4.53</v>
      </c>
      <c r="CS130" s="17">
        <f t="shared" si="103"/>
        <v>6.2100000000000009</v>
      </c>
      <c r="CT130" s="17">
        <f t="shared" si="104"/>
        <v>9.57</v>
      </c>
      <c r="CU130" s="17">
        <f t="shared" si="105"/>
        <v>11.25</v>
      </c>
      <c r="CV130" s="2" cm="1">
        <f t="array" aca="1" ref="CV130" ca="1">MAX(_xlfn._xlws.FILTER(CO130:CU130,CO130:CU130&lt;BQ130))</f>
        <v>1.1700000000000008</v>
      </c>
      <c r="CW130" s="2" cm="1">
        <f t="array" aca="1" ref="CW130" ca="1">MIN(_xlfn._xlws.FILTER($CO130:$CU130,$CO130:$CU130&gt;BQ130))</f>
        <v>4.53</v>
      </c>
      <c r="CX130" s="16">
        <f t="shared" ca="1" si="136"/>
        <v>2.8717948717948691</v>
      </c>
      <c r="CY130" s="20">
        <f t="shared" ca="1" si="137"/>
        <v>-1.4358974358974346</v>
      </c>
      <c r="CZ130" s="20">
        <f t="shared" ca="1" si="138"/>
        <v>-0.95726495726495642</v>
      </c>
      <c r="DA130" s="20">
        <f t="shared" ca="1" si="139"/>
        <v>-0.57435897435897387</v>
      </c>
      <c r="DB130" s="20">
        <f t="shared" ca="1" si="140"/>
        <v>-0.31908831908831881</v>
      </c>
      <c r="DC130" s="20">
        <f t="shared" ca="1" si="141"/>
        <v>-0.16892911010558054</v>
      </c>
      <c r="DD130" s="20">
        <f t="shared" ca="1" si="142"/>
        <v>-8.7024087024086941E-2</v>
      </c>
      <c r="DE130" s="20">
        <f t="shared" ca="1" si="143"/>
        <v>-4.4181459566074908E-2</v>
      </c>
      <c r="DF130" s="21">
        <f t="shared" ca="1" si="144"/>
        <v>4.4181459566074908E-2</v>
      </c>
      <c r="DG130" s="21">
        <f t="shared" ca="1" si="145"/>
        <v>8.7024087024086941E-2</v>
      </c>
      <c r="DH130" s="21">
        <f t="shared" ca="1" si="146"/>
        <v>0.16892911010558054</v>
      </c>
      <c r="DI130" s="21">
        <f t="shared" ca="1" si="147"/>
        <v>0.31908831908831881</v>
      </c>
      <c r="DJ130" s="21">
        <f t="shared" ca="1" si="148"/>
        <v>0.57435897435897387</v>
      </c>
      <c r="DK130" s="21">
        <f t="shared" ca="1" si="149"/>
        <v>0.95726495726495642</v>
      </c>
      <c r="DL130" s="21">
        <f t="shared" ca="1" si="150"/>
        <v>1.4358974358974346</v>
      </c>
      <c r="DN130" s="16" cm="1">
        <f t="array" aca="1" ref="DN130" ca="1">MAX(_xlfn._xlws.FILTER(CY130:DL130,CY130:DL130&lt;BW130))</f>
        <v>-4.4181459566074908E-2</v>
      </c>
      <c r="DO130" s="16" cm="1">
        <f t="array" aca="1" ref="DO130" ca="1">MIN(_xlfn._xlws.FILTER(CY130:DL130,CY130:DL130&gt;BW130))</f>
        <v>4.4181459566074908E-2</v>
      </c>
      <c r="DP130" s="2" cm="1">
        <f t="array" aca="1" ref="DP130" ca="1">_FV(EE130,"Fechamento anterior",TRUE)</f>
        <v>2.85</v>
      </c>
      <c r="DQ130" s="28">
        <f t="shared" ca="1" si="106"/>
        <v>0.5</v>
      </c>
      <c r="DR130" s="15">
        <f t="shared" ca="1" si="151"/>
        <v>2.7240828402366866</v>
      </c>
      <c r="DS130" s="15">
        <f t="shared" ca="1" si="152"/>
        <v>2.9759171597633136</v>
      </c>
      <c r="DT130" s="9"/>
      <c r="DU130" s="9"/>
      <c r="DV130" s="9"/>
      <c r="DW130" s="89">
        <v>6.193042626163648E-2</v>
      </c>
      <c r="DX130" s="89">
        <f t="shared" ca="1" si="107"/>
        <v>8.8362919132149817E-2</v>
      </c>
      <c r="DY130" s="72">
        <f t="shared" ca="1" si="108"/>
        <v>0.38319409909698926</v>
      </c>
      <c r="DZ130" s="37"/>
      <c r="EA130" s="35">
        <f t="shared" si="118"/>
        <v>0.2022473732833136</v>
      </c>
      <c r="EB130" s="56"/>
      <c r="EC130" s="56"/>
      <c r="EE130" s="2" t="e" vm="129">
        <v>#VALUE!</v>
      </c>
      <c r="EG130" s="10" cm="1">
        <f t="array" aca="1" ref="EG130" ca="1">_FV(EE130,"Ações em circulação",TRUE)</f>
        <v>303541900</v>
      </c>
      <c r="EH130" s="18">
        <f>VLOOKUP(BR130,Fundamentus!A:U,5,FALSE)</f>
        <v>0.45600000000000002</v>
      </c>
      <c r="EI130" s="2">
        <f t="shared" ca="1" si="109"/>
        <v>1897136875</v>
      </c>
      <c r="EJ130" s="17">
        <v>-45341571.3125</v>
      </c>
      <c r="EK130" s="17">
        <f t="shared" ca="1" si="110"/>
        <v>-45341571.3125</v>
      </c>
      <c r="EM130" s="16">
        <f t="shared" ca="1" si="97"/>
        <v>0</v>
      </c>
      <c r="EN130" s="32" t="str">
        <f>IF(VLOOKUP(BR130,Fundamentus!A:U,3,FALSE)&lt;15,"Bom",IF(VLOOKUP(BR130,Fundamentus!A:U,3,FALSE)&gt;15,"Ruim","n/a"))</f>
        <v>Bom</v>
      </c>
      <c r="EO130" s="28" t="str">
        <f>IF(VLOOKUP(BR130,Fundamentus!A:U,4,FALSE)&lt;1,"Baixo",IF(VLOOKUP(BR130,Fundamentus!A:U,4,FALSE)&lt;1.5,"Moderado",IF(VLOOKUP(BR130,Fundamentus!A:U,4,FALSE)&gt;1.5,"Alto","n/a")))</f>
        <v>Baixo</v>
      </c>
      <c r="EP130" s="17" t="str">
        <f>IF(VLOOKUP(BR130,Fundamentus!A:U,8,FALSE)&lt;0,"Risco elevado",IF(VLOOKUP(BR130,Fundamentus!A:U,8,FALSE)&lt;1,"Saudável",IF(VLOOKUP(BR130,Fundamentus!A:U,8,FALSE)&lt;3,"Estável",IF(VLOOKUP(BR130,Fundamentus!A:U,8,FALSE)&gt;3,"Alerta","n/a"))))</f>
        <v>Saudável</v>
      </c>
      <c r="EQ130" s="28" t="str">
        <f t="shared" si="111"/>
        <v>Ruim</v>
      </c>
      <c r="ER130" s="17" t="str">
        <f>IF(VLOOKUP(BR130,Fundamentus!A:U,12,FALSE)&lt;2,"Subvalorizada",IF(VLOOKUP(BR130,Fundamentus!A:U,12,FALSE)&lt;6,"Muita barata",IF(VLOOKUP(BR130,Fundamentus!A:U,12,FALSE)&lt;6,"Barata",IF(VLOOKUP(BR130,Fundamentus!A:U,12,FALSE)&lt;8,"Atrativa",IF(VLOOKUP(BR130,Fundamentus!A:U,12,FALSE)&gt;8,"Supervalorizada","n/a")))))</f>
        <v>Muita barata</v>
      </c>
      <c r="ET130" s="17" t="str">
        <f>IF(VLOOKUP(BR130,Fundamentus!A:U,17,FALSE)&lt;0.1,"Fraco retorno",IF(VLOOKUP(BR130,Fundamentus!A:U,17,FALSE)&gt;0.1,"Bom retorno","n/a"))</f>
        <v>Fraco retorno</v>
      </c>
      <c r="EU130" s="17" t="str">
        <f>IF(VLOOKUP(BR130,Fundamentus!A:U,16,FALSE)&lt;0.1,"Ineficiente",IF(VLOOKUP(BR130,Fundamentus!A:U,16,FALSE)&gt;0.1,"Eficiente","n/a"))</f>
        <v>Ineficiente</v>
      </c>
      <c r="EV130" s="33" t="str">
        <f>IF(VLOOKUP(BR130,Fundamentus!A:U,16,FALSE)&lt;0.1,"Oper. Ineficiente",IF(VLOOKUP(BR130,Fundamentus!A:U,16,FALSE)&gt;0.1,"Oper.Eficiente","n/a"))</f>
        <v>Oper. Ineficiente</v>
      </c>
      <c r="EW130" s="34">
        <f>VLOOKUP(BR130,Fundamentus!A:U,14,FALSE)</f>
        <v>-2.3900000000000001E-2</v>
      </c>
      <c r="EX130" s="17" t="str">
        <f>IF(VLOOKUP(BR130,Fundamentus!A:U,21,FALSE)&lt;0,"Negativo",IF(VLOOKUP(BR130,Fundamentus!A:U,21,FALSE)&lt;0.05,"Fraco",IF(VLOOKUP(BR130,Fundamentus!A:U,21,FALSE)&lt;0.1,"Bom",IF(VLOOKUP(BR130,Fundamentus!A:U,21,FALSE)&gt;0.1,"Muito bom","n/a"))))</f>
        <v>Muito bom</v>
      </c>
      <c r="EZ130" s="29" t="str">
        <f>IF(VLOOKUP(BR130,Fundamentus!A:U,15,FALSE)&gt;1,"Bom",IF(VLOOKUP(BR130,Fundamentus!A:U,15,FALSE)&lt;1,"Ruim","n/a"))</f>
        <v>Bom</v>
      </c>
      <c r="FA130" s="17" t="str">
        <f>IF(VLOOKUP(BR130,Fundamentus!A:U,20,FALSE)&lt;0.5,"Baixa",IF(VLOOKUP(BR130,Fundamentus!A:U,20,FALSE)&lt;1,"Moderada",IF(VLOOKUP(BR130,Fundamentus!A:U,20,FALSE)&lt;2,"Alerta",IF(VLOOKUP(BR130,Fundamentus!A:U,20,FALSE)&gt;2,"Alta","n/a"))))</f>
        <v>Alta</v>
      </c>
      <c r="FB130" s="10"/>
    </row>
    <row r="131" spans="1:158" s="2" customFormat="1" ht="11.25"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5">
        <v>16.079999999999998</v>
      </c>
      <c r="BC131" s="52">
        <v>16.87</v>
      </c>
      <c r="BD131" s="52">
        <v>16.100000000000001</v>
      </c>
      <c r="BE131" s="52">
        <v>15.6</v>
      </c>
      <c r="BF131" s="52">
        <v>15.87</v>
      </c>
      <c r="BG131" s="67">
        <v>15.61</v>
      </c>
      <c r="BH131" s="52">
        <v>15.07</v>
      </c>
      <c r="BI131" s="52">
        <v>15.61</v>
      </c>
      <c r="BJ131" s="52">
        <v>16.489999999999998</v>
      </c>
      <c r="BK131" s="52">
        <v>16.66</v>
      </c>
      <c r="BL131" s="52">
        <v>16.190000000000001</v>
      </c>
      <c r="BM131" s="52">
        <v>16.52</v>
      </c>
      <c r="BN131" s="52">
        <v>15.7</v>
      </c>
      <c r="BO131" s="52">
        <v>16.03</v>
      </c>
      <c r="BP131" s="52">
        <v>15.82</v>
      </c>
      <c r="BQ131" s="52" cm="1">
        <f t="array" aca="1" ref="BQ131" ca="1">_FV(EE131,"Preço")</f>
        <v>15.82</v>
      </c>
      <c r="BR131" s="69" t="s">
        <v>127</v>
      </c>
      <c r="BS131" s="36" cm="1">
        <f t="array" aca="1" ref="BS131" ca="1">_FV(EE131,"Média de volume",TRUE)</f>
        <v>3821570</v>
      </c>
      <c r="BT131" s="36">
        <v>2397000</v>
      </c>
      <c r="BU131" s="36" cm="1">
        <f t="array" aca="1" ref="BU131" ca="1">_FV(EE131,"Volume")</f>
        <v>2397000</v>
      </c>
      <c r="BV131" s="24" cm="1">
        <f t="array" aca="1" ref="BV131" ca="1">_FV(EE131,"Beta")</f>
        <v>0.92149999999999999</v>
      </c>
      <c r="BW131" s="71" cm="1">
        <f t="array" aca="1" ref="BW131" ca="1">_FV(EE131,"Variação (%)",TRUE)</f>
        <v>6.3250000000000003E-4</v>
      </c>
      <c r="BY131" s="17" cm="1">
        <f t="array" aca="1" ref="BY131" ca="1">_FV(EE131,"Baixo")</f>
        <v>15.71</v>
      </c>
      <c r="BZ131" s="17" cm="1">
        <f t="array" aca="1" ref="BZ131" ca="1">_FV(EE131,"Alto")</f>
        <v>15.92</v>
      </c>
      <c r="CA131" s="24"/>
      <c r="CB131" s="63">
        <f ca="1">SQRT(22.5*(BQ131/VLOOKUP(BR131,Fundamentus!A:U,3,FALSE))*(BQ131/VLOOKUP(BR131,Fundamentus!A:U,4,FALSE)))</f>
        <v>35.756447277835264</v>
      </c>
      <c r="CD131" s="62">
        <f t="shared" ca="1" si="112"/>
        <v>0</v>
      </c>
      <c r="CE131" s="8"/>
      <c r="CF131" s="61">
        <f t="shared" si="113"/>
        <v>15.07</v>
      </c>
      <c r="CG131" s="61">
        <f t="shared" si="114"/>
        <v>20.3</v>
      </c>
      <c r="CH131" s="61">
        <f t="shared" si="115"/>
        <v>17.663529411764699</v>
      </c>
      <c r="CI131" s="14"/>
      <c r="CJ131" s="35">
        <f t="shared" si="98"/>
        <v>14.887395462493203</v>
      </c>
      <c r="CK131" s="15">
        <f t="shared" si="116"/>
        <v>15.575000000000045</v>
      </c>
      <c r="CL131" s="35">
        <f t="shared" si="99"/>
        <v>16.262604537506888</v>
      </c>
      <c r="CN131" s="14"/>
      <c r="CO131" s="17">
        <f t="shared" si="100"/>
        <v>8.5966666666666711</v>
      </c>
      <c r="CP131" s="17">
        <f t="shared" si="101"/>
        <v>11.833333333333336</v>
      </c>
      <c r="CQ131" s="17">
        <f t="shared" si="102"/>
        <v>13.826666666666672</v>
      </c>
      <c r="CR131" s="38">
        <f t="shared" si="117"/>
        <v>17.063333333333336</v>
      </c>
      <c r="CS131" s="17">
        <f t="shared" si="103"/>
        <v>19.056666666666672</v>
      </c>
      <c r="CT131" s="17">
        <f t="shared" si="104"/>
        <v>22.293333333333337</v>
      </c>
      <c r="CU131" s="17">
        <f t="shared" si="105"/>
        <v>24.286666666666672</v>
      </c>
      <c r="CV131" s="2" cm="1">
        <f t="array" aca="1" ref="CV131" ca="1">MAX(_xlfn._xlws.FILTER(CO131:CU131,CO131:CU131&lt;BQ131))</f>
        <v>13.826666666666672</v>
      </c>
      <c r="CW131" s="2" cm="1">
        <f t="array" aca="1" ref="CW131" ca="1">MIN(_xlfn._xlws.FILTER($CO131:$CU131,$CO131:$CU131&gt;BQ131))</f>
        <v>17.063333333333336</v>
      </c>
      <c r="CX131" s="16">
        <f t="shared" ca="1" si="136"/>
        <v>0.23408871745419457</v>
      </c>
      <c r="CY131" s="20">
        <f t="shared" ca="1" si="137"/>
        <v>-0.11704435872709729</v>
      </c>
      <c r="CZ131" s="20">
        <f t="shared" ca="1" si="138"/>
        <v>-7.8029572484731524E-2</v>
      </c>
      <c r="DA131" s="20">
        <f t="shared" ca="1" si="139"/>
        <v>-4.6817743490838913E-2</v>
      </c>
      <c r="DB131" s="20">
        <f t="shared" ca="1" si="140"/>
        <v>-2.6009857494910509E-2</v>
      </c>
      <c r="DC131" s="20">
        <f t="shared" ca="1" si="141"/>
        <v>-1.3769924556129092E-2</v>
      </c>
      <c r="DD131" s="20">
        <f t="shared" ca="1" si="142"/>
        <v>-7.0935974986119565E-3</v>
      </c>
      <c r="DE131" s="20">
        <f t="shared" ca="1" si="143"/>
        <v>-3.6013648839106857E-3</v>
      </c>
      <c r="DF131" s="21">
        <f t="shared" ca="1" si="144"/>
        <v>3.6013648839106857E-3</v>
      </c>
      <c r="DG131" s="21">
        <f t="shared" ca="1" si="145"/>
        <v>7.0935974986119565E-3</v>
      </c>
      <c r="DH131" s="21">
        <f t="shared" ca="1" si="146"/>
        <v>1.3769924556129092E-2</v>
      </c>
      <c r="DI131" s="21">
        <f t="shared" ca="1" si="147"/>
        <v>2.6009857494910509E-2</v>
      </c>
      <c r="DJ131" s="21">
        <f t="shared" ca="1" si="148"/>
        <v>4.6817743490838913E-2</v>
      </c>
      <c r="DK131" s="21">
        <f t="shared" ca="1" si="149"/>
        <v>7.8029572484731524E-2</v>
      </c>
      <c r="DL131" s="21">
        <f t="shared" ca="1" si="150"/>
        <v>0.11704435872709729</v>
      </c>
      <c r="DN131" s="16" cm="1">
        <f t="array" aca="1" ref="DN131" ca="1">MAX(_xlfn._xlws.FILTER(CY131:DL131,CY131:DL131&lt;BW131))</f>
        <v>-3.6013648839106857E-3</v>
      </c>
      <c r="DO131" s="16" cm="1">
        <f t="array" aca="1" ref="DO131" ca="1">MIN(_xlfn._xlws.FILTER(CY131:DL131,CY131:DL131&gt;BW131))</f>
        <v>3.6013648839106857E-3</v>
      </c>
      <c r="DP131" s="2" cm="1">
        <f t="array" aca="1" ref="DP131" ca="1">_FV(EE131,"Fechamento anterior",TRUE)</f>
        <v>15.81</v>
      </c>
      <c r="DQ131" s="28">
        <f t="shared" ca="1" si="106"/>
        <v>0.5878154657098863</v>
      </c>
      <c r="DR131" s="15">
        <f t="shared" ca="1" si="151"/>
        <v>15.753062421185373</v>
      </c>
      <c r="DS131" s="15">
        <f t="shared" ca="1" si="152"/>
        <v>15.866937578814628</v>
      </c>
      <c r="DT131" s="9"/>
      <c r="DU131" s="9"/>
      <c r="DV131" s="9"/>
      <c r="DW131" s="89">
        <v>1.1855179621570174E-2</v>
      </c>
      <c r="DX131" s="89">
        <f t="shared" ca="1" si="107"/>
        <v>7.2027297678213713E-3</v>
      </c>
      <c r="DY131" s="72">
        <f t="shared" ca="1" si="108"/>
        <v>0.35630945788736396</v>
      </c>
      <c r="DZ131" s="37"/>
      <c r="EA131" s="35">
        <f t="shared" si="118"/>
        <v>0.34380226875342174</v>
      </c>
      <c r="EB131" s="56"/>
      <c r="EC131" s="56"/>
      <c r="EE131" s="2" t="e" vm="130">
        <v>#VALUE!</v>
      </c>
      <c r="EG131" s="10" cm="1">
        <f t="array" aca="1" ref="EG131" ca="1">_FV(EE131,"Ações em circulação",TRUE)</f>
        <v>393096600</v>
      </c>
      <c r="EH131" s="18">
        <f>VLOOKUP(BR131,Fundamentus!A:U,5,FALSE)</f>
        <v>0</v>
      </c>
      <c r="EI131" s="2" t="e">
        <f t="shared" ca="1" si="109"/>
        <v>#DIV/0!</v>
      </c>
      <c r="EJ131" s="17" t="e">
        <v>#DIV/0!</v>
      </c>
      <c r="EK131" s="17" t="e">
        <f t="shared" ca="1" si="110"/>
        <v>#DIV/0!</v>
      </c>
      <c r="EM131" s="16" t="e">
        <f t="shared" ref="EM131:EM194" ca="1" si="153">(EK131/EJ131)-1</f>
        <v>#DIV/0!</v>
      </c>
      <c r="EN131" s="32" t="str">
        <f>IF(VLOOKUP(BR131,Fundamentus!A:U,3,FALSE)&lt;15,"Bom",IF(VLOOKUP(BR131,Fundamentus!A:U,3,FALSE)&gt;15,"Ruim","n/a"))</f>
        <v>Bom</v>
      </c>
      <c r="EO131" s="28" t="str">
        <f>IF(VLOOKUP(BR131,Fundamentus!A:U,4,FALSE)&lt;1,"Baixo",IF(VLOOKUP(BR131,Fundamentus!A:U,4,FALSE)&lt;1.5,"Moderado",IF(VLOOKUP(BR131,Fundamentus!A:U,4,FALSE)&gt;1.5,"Alto","n/a")))</f>
        <v>Baixo</v>
      </c>
      <c r="EP131" s="17" t="str">
        <f>IF(VLOOKUP(BR131,Fundamentus!A:U,8,FALSE)&lt;0,"Risco elevado",IF(VLOOKUP(BR131,Fundamentus!A:U,8,FALSE)&lt;1,"Saudável",IF(VLOOKUP(BR131,Fundamentus!A:U,8,FALSE)&lt;3,"Estável",IF(VLOOKUP(BR131,Fundamentus!A:U,8,FALSE)&gt;3,"Alerta","n/a"))))</f>
        <v>Alerta</v>
      </c>
      <c r="EQ131" s="28" t="str">
        <f t="shared" si="111"/>
        <v>Ruim</v>
      </c>
      <c r="ER131" s="17" t="str">
        <f>IF(VLOOKUP(BR131,Fundamentus!A:U,12,FALSE)&lt;2,"Subvalorizada",IF(VLOOKUP(BR131,Fundamentus!A:U,12,FALSE)&lt;6,"Muita barata",IF(VLOOKUP(BR131,Fundamentus!A:U,12,FALSE)&lt;6,"Barata",IF(VLOOKUP(BR131,Fundamentus!A:U,12,FALSE)&lt;8,"Atrativa",IF(VLOOKUP(BR131,Fundamentus!A:U,12,FALSE)&gt;8,"Supervalorizada","n/a")))))</f>
        <v>Subvalorizada</v>
      </c>
      <c r="ET131" s="17" t="str">
        <f>IF(VLOOKUP(BR131,Fundamentus!A:U,17,FALSE)&lt;0.1,"Fraco retorno",IF(VLOOKUP(BR131,Fundamentus!A:U,17,FALSE)&gt;0.1,"Bom retorno","n/a"))</f>
        <v>Bom retorno</v>
      </c>
      <c r="EU131" s="17" t="str">
        <f>IF(VLOOKUP(BR131,Fundamentus!A:U,16,FALSE)&lt;0.1,"Ineficiente",IF(VLOOKUP(BR131,Fundamentus!A:U,16,FALSE)&gt;0.1,"Eficiente","n/a"))</f>
        <v>Ineficiente</v>
      </c>
      <c r="EV131" s="33" t="str">
        <f>IF(VLOOKUP(BR131,Fundamentus!A:U,16,FALSE)&lt;0.1,"Oper. Ineficiente",IF(VLOOKUP(BR131,Fundamentus!A:U,16,FALSE)&gt;0.1,"Oper.Eficiente","n/a"))</f>
        <v>Oper. Ineficiente</v>
      </c>
      <c r="EW131" s="34">
        <f>VLOOKUP(BR131,Fundamentus!A:U,14,FALSE)</f>
        <v>0</v>
      </c>
      <c r="EX131" s="17" t="str">
        <f>IF(VLOOKUP(BR131,Fundamentus!A:U,21,FALSE)&lt;0,"Negativo",IF(VLOOKUP(BR131,Fundamentus!A:U,21,FALSE)&lt;0.05,"Fraco",IF(VLOOKUP(BR131,Fundamentus!A:U,21,FALSE)&lt;0.1,"Bom",IF(VLOOKUP(BR131,Fundamentus!A:U,21,FALSE)&gt;0.1,"Muito bom","n/a"))))</f>
        <v>Fraco</v>
      </c>
      <c r="EZ131" s="29" t="str">
        <f>IF(VLOOKUP(BR131,Fundamentus!A:U,15,FALSE)&gt;1,"Bom",IF(VLOOKUP(BR131,Fundamentus!A:U,15,FALSE)&lt;1,"Ruim","n/a"))</f>
        <v>Bom</v>
      </c>
      <c r="FA131" s="17" t="str">
        <f>IF(VLOOKUP(BR131,Fundamentus!A:U,20,FALSE)&lt;0.5,"Baixa",IF(VLOOKUP(BR131,Fundamentus!A:U,20,FALSE)&lt;1,"Moderada",IF(VLOOKUP(BR131,Fundamentus!A:U,20,FALSE)&lt;2,"Alerta",IF(VLOOKUP(BR131,Fundamentus!A:U,20,FALSE)&gt;2,"Alta","n/a"))))</f>
        <v>Baixa</v>
      </c>
      <c r="FB131" s="10"/>
    </row>
    <row r="132" spans="1:158"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5">
        <v>21.04</v>
      </c>
      <c r="BC132" s="52">
        <v>22.31</v>
      </c>
      <c r="BD132" s="52">
        <v>24.28</v>
      </c>
      <c r="BE132" s="52">
        <v>23.88</v>
      </c>
      <c r="BF132" s="52">
        <v>24.29</v>
      </c>
      <c r="BG132" s="67">
        <v>26.52</v>
      </c>
      <c r="BH132" s="52">
        <v>27.51</v>
      </c>
      <c r="BI132" s="52">
        <v>27.75</v>
      </c>
      <c r="BJ132" s="52">
        <v>28.64</v>
      </c>
      <c r="BK132" s="52">
        <v>27.28</v>
      </c>
      <c r="BL132" s="52">
        <v>26.12</v>
      </c>
      <c r="BM132" s="52">
        <v>25.46</v>
      </c>
      <c r="BN132" s="52">
        <v>25.83</v>
      </c>
      <c r="BO132" s="52">
        <v>25.2</v>
      </c>
      <c r="BP132" s="52">
        <v>26.73</v>
      </c>
      <c r="BQ132" s="52" cm="1">
        <f t="array" aca="1" ref="BQ132" ca="1">_FV(EE132,"Preço")</f>
        <v>26.73</v>
      </c>
      <c r="BR132" s="66" t="s">
        <v>128</v>
      </c>
      <c r="BS132" s="36" cm="1">
        <f t="array" aca="1" ref="BS132" ca="1">_FV(EE132,"Média de volume",TRUE)</f>
        <v>2834510</v>
      </c>
      <c r="BT132" s="36">
        <v>2330600</v>
      </c>
      <c r="BU132" s="36" cm="1">
        <f t="array" aca="1" ref="BU132" ca="1">_FV(EE132,"Volume")</f>
        <v>2330600</v>
      </c>
      <c r="BV132" s="24" cm="1">
        <f t="array" aca="1" ref="BV132" ca="1">_FV(EE132,"Beta")</f>
        <v>0.88949999999999996</v>
      </c>
      <c r="BW132" s="71" cm="1">
        <f t="array" aca="1" ref="BW132" ca="1">_FV(EE132,"Variação (%)",TRUE)</f>
        <v>-1.183E-2</v>
      </c>
      <c r="BY132" s="17" cm="1">
        <f t="array" aca="1" ref="BY132" ca="1">_FV(EE132,"Baixo")</f>
        <v>26.65</v>
      </c>
      <c r="BZ132" s="17" cm="1">
        <f t="array" aca="1" ref="BZ132" ca="1">_FV(EE132,"Alto")</f>
        <v>27.23</v>
      </c>
      <c r="CA132" s="24"/>
      <c r="CB132" s="63">
        <f ca="1">SQRT(22.5*(BQ132/VLOOKUP(BR132,Fundamentus!A:U,3,FALSE))*(BQ132/VLOOKUP(BR132,Fundamentus!A:U,4,FALSE)))</f>
        <v>43.990903786984902</v>
      </c>
      <c r="CD132" s="62">
        <f t="shared" ca="1" si="112"/>
        <v>0</v>
      </c>
      <c r="CE132" s="8"/>
      <c r="CF132" s="61">
        <f t="shared" si="113"/>
        <v>19.329999999999998</v>
      </c>
      <c r="CG132" s="61">
        <f t="shared" si="114"/>
        <v>28.64</v>
      </c>
      <c r="CH132" s="61">
        <f t="shared" si="115"/>
        <v>22.869926470588236</v>
      </c>
      <c r="CI132" s="14"/>
      <c r="CJ132" s="35">
        <f t="shared" si="98"/>
        <v>25.154765071000018</v>
      </c>
      <c r="CK132" s="15">
        <f t="shared" si="116"/>
        <v>26.599999999999454</v>
      </c>
      <c r="CL132" s="35">
        <f t="shared" si="99"/>
        <v>28.045234928998891</v>
      </c>
      <c r="CN132" s="14"/>
      <c r="CO132" s="17">
        <f t="shared" si="100"/>
        <v>11.850000000000001</v>
      </c>
      <c r="CP132" s="17">
        <f t="shared" si="101"/>
        <v>15.59</v>
      </c>
      <c r="CQ132" s="17">
        <f t="shared" si="102"/>
        <v>21.160000000000004</v>
      </c>
      <c r="CR132" s="38">
        <f t="shared" si="117"/>
        <v>24.900000000000002</v>
      </c>
      <c r="CS132" s="17">
        <f t="shared" si="103"/>
        <v>30.470000000000006</v>
      </c>
      <c r="CT132" s="17">
        <f t="shared" si="104"/>
        <v>34.210000000000008</v>
      </c>
      <c r="CU132" s="17">
        <f t="shared" si="105"/>
        <v>39.780000000000008</v>
      </c>
      <c r="CV132" s="2" cm="1">
        <f t="array" aca="1" ref="CV132" ca="1">MAX(_xlfn._xlws.FILTER(CO132:CU132,CO132:CU132&lt;BQ132))</f>
        <v>24.900000000000002</v>
      </c>
      <c r="CW132" s="2" cm="1">
        <f t="array" aca="1" ref="CW132" ca="1">MIN(_xlfn._xlws.FILTER($CO132:$CU132,$CO132:$CU132&gt;BQ132))</f>
        <v>30.470000000000006</v>
      </c>
      <c r="CX132" s="16">
        <f t="shared" ca="1" si="136"/>
        <v>0.22369477911646607</v>
      </c>
      <c r="CY132" s="20">
        <f t="shared" ca="1" si="137"/>
        <v>-0.11184738955823303</v>
      </c>
      <c r="CZ132" s="20">
        <f t="shared" ca="1" si="138"/>
        <v>-7.4564926372155352E-2</v>
      </c>
      <c r="DA132" s="20">
        <f t="shared" ca="1" si="139"/>
        <v>-4.4738955823293215E-2</v>
      </c>
      <c r="DB132" s="20">
        <f t="shared" ca="1" si="140"/>
        <v>-2.4854975457385117E-2</v>
      </c>
      <c r="DC132" s="20">
        <f t="shared" ca="1" si="141"/>
        <v>-1.3158516418615651E-2</v>
      </c>
      <c r="DD132" s="20">
        <f t="shared" ca="1" si="142"/>
        <v>-6.7786296701959417E-3</v>
      </c>
      <c r="DE132" s="20">
        <f t="shared" ca="1" si="143"/>
        <v>-3.4414581402533242E-3</v>
      </c>
      <c r="DF132" s="21">
        <f t="shared" ca="1" si="144"/>
        <v>3.4414581402533242E-3</v>
      </c>
      <c r="DG132" s="21">
        <f t="shared" ca="1" si="145"/>
        <v>6.7786296701959417E-3</v>
      </c>
      <c r="DH132" s="21">
        <f t="shared" ca="1" si="146"/>
        <v>1.3158516418615651E-2</v>
      </c>
      <c r="DI132" s="21">
        <f t="shared" ca="1" si="147"/>
        <v>2.4854975457385117E-2</v>
      </c>
      <c r="DJ132" s="21">
        <f t="shared" ca="1" si="148"/>
        <v>4.4738955823293215E-2</v>
      </c>
      <c r="DK132" s="21">
        <f t="shared" ca="1" si="149"/>
        <v>7.4564926372155352E-2</v>
      </c>
      <c r="DL132" s="21">
        <f t="shared" ca="1" si="150"/>
        <v>0.11184738955823303</v>
      </c>
      <c r="DN132" s="16" cm="1">
        <f t="array" aca="1" ref="DN132" ca="1">MAX(_xlfn._xlws.FILTER(CY132:DL132,CY132:DL132&lt;BW132))</f>
        <v>-1.3158516418615651E-2</v>
      </c>
      <c r="DO132" s="16" cm="1">
        <f t="array" aca="1" ref="DO132" ca="1">MIN(_xlfn._xlws.FILTER(CY132:DL132,CY132:DL132&gt;BW132))</f>
        <v>-6.7786296701959417E-3</v>
      </c>
      <c r="DP132" s="2" cm="1">
        <f t="array" aca="1" ref="DP132" ca="1">_FV(EE132,"Fechamento anterior",TRUE)</f>
        <v>27.05</v>
      </c>
      <c r="DQ132" s="28">
        <f t="shared" ca="1" si="106"/>
        <v>0.20824380179002874</v>
      </c>
      <c r="DR132" s="15">
        <f t="shared" ca="1" si="151"/>
        <v>26.694062130876446</v>
      </c>
      <c r="DS132" s="15">
        <f t="shared" ca="1" si="152"/>
        <v>26.866638067421199</v>
      </c>
      <c r="DT132" s="9"/>
      <c r="DU132" s="9"/>
      <c r="DV132" s="9"/>
      <c r="DW132" s="89">
        <v>3.0950053090274504E-3</v>
      </c>
      <c r="DX132" s="89">
        <f t="shared" ca="1" si="107"/>
        <v>6.3798867484197094E-3</v>
      </c>
      <c r="DY132" s="72">
        <f t="shared" ca="1" si="108"/>
        <v>8.995077367148023E-2</v>
      </c>
      <c r="DZ132" s="37"/>
      <c r="EA132" s="35">
        <f t="shared" si="118"/>
        <v>0.72261746449971775</v>
      </c>
      <c r="EB132" s="56"/>
      <c r="EC132" s="56"/>
      <c r="EE132" s="2" t="e" vm="131">
        <v>#VALUE!</v>
      </c>
      <c r="EG132" s="10" cm="1">
        <f t="array" aca="1" ref="EG132" ca="1">_FV(EE132,"Ações em circulação",TRUE)</f>
        <v>380253100</v>
      </c>
      <c r="EH132" s="18">
        <f>VLOOKUP(BR132,Fundamentus!A:U,5,FALSE)</f>
        <v>1.216</v>
      </c>
      <c r="EI132" s="2">
        <f t="shared" ca="1" si="109"/>
        <v>8358688620.8881578</v>
      </c>
      <c r="EJ132" s="17">
        <v>1442709655.965296</v>
      </c>
      <c r="EK132" s="17">
        <f t="shared" ca="1" si="110"/>
        <v>1442709655.965296</v>
      </c>
      <c r="EM132" s="16">
        <f t="shared" ca="1" si="153"/>
        <v>0</v>
      </c>
      <c r="EN132" s="32" t="str">
        <f>IF(VLOOKUP(BR132,Fundamentus!A:U,3,FALSE)&lt;15,"Bom",IF(VLOOKUP(BR132,Fundamentus!A:U,3,FALSE)&gt;15,"Ruim","n/a"))</f>
        <v>Bom</v>
      </c>
      <c r="EO132" s="28" t="str">
        <f>IF(VLOOKUP(BR132,Fundamentus!A:U,4,FALSE)&lt;1,"Baixo",IF(VLOOKUP(BR132,Fundamentus!A:U,4,FALSE)&lt;1.5,"Moderado",IF(VLOOKUP(BR132,Fundamentus!A:U,4,FALSE)&gt;1.5,"Alto","n/a")))</f>
        <v>Moderado</v>
      </c>
      <c r="EP132" s="17" t="str">
        <f>IF(VLOOKUP(BR132,Fundamentus!A:U,8,FALSE)&lt;0,"Risco elevado",IF(VLOOKUP(BR132,Fundamentus!A:U,8,FALSE)&lt;1,"Saudável",IF(VLOOKUP(BR132,Fundamentus!A:U,8,FALSE)&lt;3,"Estável",IF(VLOOKUP(BR132,Fundamentus!A:U,8,FALSE)&gt;3,"Alerta","n/a"))))</f>
        <v>Alerta</v>
      </c>
      <c r="EQ132" s="28" t="str">
        <f t="shared" si="111"/>
        <v>Bom</v>
      </c>
      <c r="ER132" s="17" t="str">
        <f>IF(VLOOKUP(BR132,Fundamentus!A:U,12,FALSE)&lt;2,"Subvalorizada",IF(VLOOKUP(BR132,Fundamentus!A:U,12,FALSE)&lt;6,"Muita barata",IF(VLOOKUP(BR132,Fundamentus!A:U,12,FALSE)&lt;6,"Barata",IF(VLOOKUP(BR132,Fundamentus!A:U,12,FALSE)&lt;8,"Atrativa",IF(VLOOKUP(BR132,Fundamentus!A:U,12,FALSE)&gt;8,"Supervalorizada","n/a")))))</f>
        <v>Muita barata</v>
      </c>
      <c r="ET132" s="17" t="str">
        <f>IF(VLOOKUP(BR132,Fundamentus!A:U,17,FALSE)&lt;0.1,"Fraco retorno",IF(VLOOKUP(BR132,Fundamentus!A:U,17,FALSE)&gt;0.1,"Bom retorno","n/a"))</f>
        <v>Bom retorno</v>
      </c>
      <c r="EU132" s="17" t="str">
        <f>IF(VLOOKUP(BR132,Fundamentus!A:U,16,FALSE)&lt;0.1,"Ineficiente",IF(VLOOKUP(BR132,Fundamentus!A:U,16,FALSE)&gt;0.1,"Eficiente","n/a"))</f>
        <v>Eficiente</v>
      </c>
      <c r="EV132" s="33" t="str">
        <f>IF(VLOOKUP(BR132,Fundamentus!A:U,16,FALSE)&lt;0.1,"Oper. Ineficiente",IF(VLOOKUP(BR132,Fundamentus!A:U,16,FALSE)&gt;0.1,"Oper.Eficiente","n/a"))</f>
        <v>Oper.Eficiente</v>
      </c>
      <c r="EW132" s="34">
        <f>VLOOKUP(BR132,Fundamentus!A:U,14,FALSE)</f>
        <v>0.1726</v>
      </c>
      <c r="EX132" s="17" t="str">
        <f>IF(VLOOKUP(BR132,Fundamentus!A:U,21,FALSE)&lt;0,"Negativo",IF(VLOOKUP(BR132,Fundamentus!A:U,21,FALSE)&lt;0.05,"Fraco",IF(VLOOKUP(BR132,Fundamentus!A:U,21,FALSE)&lt;0.1,"Bom",IF(VLOOKUP(BR132,Fundamentus!A:U,21,FALSE)&gt;0.1,"Muito bom","n/a"))))</f>
        <v>Muito bom</v>
      </c>
      <c r="EZ132" s="29" t="str">
        <f>IF(VLOOKUP(BR132,Fundamentus!A:U,15,FALSE)&gt;1,"Bom",IF(VLOOKUP(BR132,Fundamentus!A:U,15,FALSE)&lt;1,"Ruim","n/a"))</f>
        <v>Bom</v>
      </c>
      <c r="FA132" s="17" t="str">
        <f>IF(VLOOKUP(BR132,Fundamentus!A:U,20,FALSE)&lt;0.5,"Baixa",IF(VLOOKUP(BR132,Fundamentus!A:U,20,FALSE)&lt;1,"Moderada",IF(VLOOKUP(BR132,Fundamentus!A:U,20,FALSE)&lt;2,"Alerta",IF(VLOOKUP(BR132,Fundamentus!A:U,20,FALSE)&gt;2,"Alta","n/a"))))</f>
        <v>Moderada</v>
      </c>
      <c r="FB132" s="10"/>
    </row>
    <row r="133" spans="1:158" s="2" customFormat="1" ht="11.25"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5">
        <v>43.9</v>
      </c>
      <c r="BC133" s="52">
        <v>40.75</v>
      </c>
      <c r="BD133" s="52">
        <v>40.590000000000003</v>
      </c>
      <c r="BE133" s="52">
        <v>42.96</v>
      </c>
      <c r="BF133" s="52">
        <v>43.8</v>
      </c>
      <c r="BG133" s="67">
        <v>44.02</v>
      </c>
      <c r="BH133" s="52">
        <v>43.26</v>
      </c>
      <c r="BI133" s="52">
        <v>40.549999999999997</v>
      </c>
      <c r="BJ133" s="52">
        <v>39.18</v>
      </c>
      <c r="BK133" s="52">
        <v>36.659999999999997</v>
      </c>
      <c r="BL133" s="52">
        <v>35.799999999999997</v>
      </c>
      <c r="BM133" s="52">
        <v>36.18</v>
      </c>
      <c r="BN133" s="52">
        <v>34.369999999999997</v>
      </c>
      <c r="BO133" s="52">
        <v>35.4</v>
      </c>
      <c r="BP133" s="52">
        <v>34.22</v>
      </c>
      <c r="BQ133" s="52" cm="1">
        <f t="array" aca="1" ref="BQ133" ca="1">_FV(EE133,"Preço")</f>
        <v>34.22</v>
      </c>
      <c r="BR133" s="69" t="s">
        <v>129</v>
      </c>
      <c r="BS133" s="36" cm="1">
        <f t="array" aca="1" ref="BS133" ca="1">_FV(EE133,"Média de volume",TRUE)</f>
        <v>9944190</v>
      </c>
      <c r="BT133" s="36">
        <v>9977200</v>
      </c>
      <c r="BU133" s="36" cm="1">
        <f t="array" aca="1" ref="BU133" ca="1">_FV(EE133,"Volume")</f>
        <v>9977200</v>
      </c>
      <c r="BV133" s="24" cm="1">
        <f t="array" aca="1" ref="BV133" ca="1">_FV(EE133,"Beta")</f>
        <v>1.2019</v>
      </c>
      <c r="BW133" s="71" cm="1">
        <f t="array" aca="1" ref="BW133" ca="1">_FV(EE133,"Variação (%)",TRUE)</f>
        <v>-5.2329999999999998E-3</v>
      </c>
      <c r="BY133" s="17" cm="1">
        <f t="array" aca="1" ref="BY133" ca="1">_FV(EE133,"Baixo")</f>
        <v>33.89</v>
      </c>
      <c r="BZ133" s="17" cm="1">
        <f t="array" aca="1" ref="BZ133" ca="1">_FV(EE133,"Alto")</f>
        <v>34.840000000000003</v>
      </c>
      <c r="CA133" s="24"/>
      <c r="CB133" s="63">
        <f ca="1">SQRT(22.5*(BQ133/VLOOKUP(BR133,Fundamentus!A:U,3,FALSE))*(BQ133/VLOOKUP(BR133,Fundamentus!A:U,4,FALSE)))</f>
        <v>29.541008857053747</v>
      </c>
      <c r="CD133" s="62">
        <f t="shared" ca="1" si="112"/>
        <v>0</v>
      </c>
      <c r="CE133" s="8"/>
      <c r="CF133" s="61">
        <f t="shared" si="113"/>
        <v>28.1</v>
      </c>
      <c r="CG133" s="61">
        <f t="shared" si="114"/>
        <v>49.88</v>
      </c>
      <c r="CH133" s="61">
        <f t="shared" si="115"/>
        <v>39.320220588235294</v>
      </c>
      <c r="CI133" s="14"/>
      <c r="CJ133" s="35">
        <f t="shared" si="98"/>
        <v>32.275836559431333</v>
      </c>
      <c r="CK133" s="15">
        <f t="shared" si="116"/>
        <v>33.829999999999927</v>
      </c>
      <c r="CL133" s="35">
        <f t="shared" si="99"/>
        <v>35.384163440568521</v>
      </c>
      <c r="CN133" s="14"/>
      <c r="CO133" s="17">
        <f t="shared" si="100"/>
        <v>3.1399999999999935</v>
      </c>
      <c r="CP133" s="17">
        <f t="shared" si="101"/>
        <v>15.619999999999997</v>
      </c>
      <c r="CQ133" s="17">
        <f t="shared" si="102"/>
        <v>24.919999999999995</v>
      </c>
      <c r="CR133" s="38">
        <f t="shared" si="117"/>
        <v>37.4</v>
      </c>
      <c r="CS133" s="17">
        <f t="shared" si="103"/>
        <v>46.699999999999996</v>
      </c>
      <c r="CT133" s="17">
        <f t="shared" si="104"/>
        <v>59.18</v>
      </c>
      <c r="CU133" s="17">
        <f t="shared" si="105"/>
        <v>68.47999999999999</v>
      </c>
      <c r="CV133" s="2" cm="1">
        <f t="array" aca="1" ref="CV133" ca="1">MAX(_xlfn._xlws.FILTER(CO133:CU133,CO133:CU133&lt;BQ133))</f>
        <v>24.919999999999995</v>
      </c>
      <c r="CW133" s="2" cm="1">
        <f t="array" aca="1" ref="CW133" ca="1">MIN(_xlfn._xlws.FILTER($CO133:$CU133,$CO133:$CU133&gt;BQ133))</f>
        <v>37.4</v>
      </c>
      <c r="CX133" s="16">
        <f t="shared" ca="1" si="136"/>
        <v>0.50080256821829883</v>
      </c>
      <c r="CY133" s="20">
        <f t="shared" ca="1" si="137"/>
        <v>-0.25040128410914941</v>
      </c>
      <c r="CZ133" s="20">
        <f t="shared" ca="1" si="138"/>
        <v>-0.16693418940609961</v>
      </c>
      <c r="DA133" s="20">
        <f t="shared" ca="1" si="139"/>
        <v>-0.10016051364365977</v>
      </c>
      <c r="DB133" s="20">
        <f t="shared" ca="1" si="140"/>
        <v>-5.5644729802033201E-2</v>
      </c>
      <c r="DC133" s="20">
        <f t="shared" ca="1" si="141"/>
        <v>-2.9458974601076403E-2</v>
      </c>
      <c r="DD133" s="20">
        <f t="shared" ca="1" si="142"/>
        <v>-1.517583540055451E-2</v>
      </c>
      <c r="DE133" s="20">
        <f t="shared" ca="1" si="143"/>
        <v>-7.7046548956661359E-3</v>
      </c>
      <c r="DF133" s="21">
        <f t="shared" ca="1" si="144"/>
        <v>7.7046548956661359E-3</v>
      </c>
      <c r="DG133" s="21">
        <f t="shared" ca="1" si="145"/>
        <v>1.517583540055451E-2</v>
      </c>
      <c r="DH133" s="21">
        <f t="shared" ca="1" si="146"/>
        <v>2.9458974601076403E-2</v>
      </c>
      <c r="DI133" s="21">
        <f t="shared" ca="1" si="147"/>
        <v>5.5644729802033201E-2</v>
      </c>
      <c r="DJ133" s="21">
        <f t="shared" ca="1" si="148"/>
        <v>0.10016051364365977</v>
      </c>
      <c r="DK133" s="21">
        <f t="shared" ca="1" si="149"/>
        <v>0.16693418940609961</v>
      </c>
      <c r="DL133" s="21">
        <f t="shared" ca="1" si="150"/>
        <v>0.25040128410914941</v>
      </c>
      <c r="DN133" s="16" cm="1">
        <f t="array" aca="1" ref="DN133" ca="1">MAX(_xlfn._xlws.FILTER(CY133:DL133,CY133:DL133&lt;BW133))</f>
        <v>-7.7046548956661359E-3</v>
      </c>
      <c r="DO133" s="16" cm="1">
        <f t="array" aca="1" ref="DO133" ca="1">MIN(_xlfn._xlws.FILTER(CY133:DL133,CY133:DL133&gt;BW133))</f>
        <v>7.7046548956661359E-3</v>
      </c>
      <c r="DP133" s="2" cm="1">
        <f t="array" aca="1" ref="DP133" ca="1">_FV(EE133,"Fechamento anterior",TRUE)</f>
        <v>34.4</v>
      </c>
      <c r="DQ133" s="28">
        <f t="shared" ca="1" si="106"/>
        <v>0.16042877906977002</v>
      </c>
      <c r="DR133" s="15">
        <f t="shared" ca="1" si="151"/>
        <v>34.134959871589082</v>
      </c>
      <c r="DS133" s="15">
        <f t="shared" ca="1" si="152"/>
        <v>34.665040128410915</v>
      </c>
      <c r="DT133" s="9"/>
      <c r="DU133" s="9"/>
      <c r="DV133" s="9"/>
      <c r="DW133" s="89">
        <v>1.4466964570699027E-2</v>
      </c>
      <c r="DX133" s="89">
        <f t="shared" ca="1" si="107"/>
        <v>1.5409309791332272E-2</v>
      </c>
      <c r="DY133" s="72">
        <f t="shared" ca="1" si="108"/>
        <v>0.25093885869390242</v>
      </c>
      <c r="DZ133" s="37"/>
      <c r="EA133" s="35">
        <f t="shared" si="118"/>
        <v>0.77708172028429545</v>
      </c>
      <c r="EB133" s="56"/>
      <c r="EC133" s="56"/>
      <c r="EE133" s="2" t="e" vm="132">
        <v>#VALUE!</v>
      </c>
      <c r="EG133" s="10" cm="1">
        <f t="array" aca="1" ref="EG133" ca="1">_FV(EE133,"Ações em circulação",TRUE)</f>
        <v>1082621000</v>
      </c>
      <c r="EH133" s="18">
        <f>VLOOKUP(BR133,Fundamentus!A:U,5,FALSE)</f>
        <v>1.0129999999999999</v>
      </c>
      <c r="EI133" s="2">
        <f t="shared" ca="1" si="109"/>
        <v>36571856485.686081</v>
      </c>
      <c r="EJ133" s="17">
        <v>1813964081.6900296</v>
      </c>
      <c r="EK133" s="17">
        <f t="shared" ca="1" si="110"/>
        <v>1813964081.6900296</v>
      </c>
      <c r="EM133" s="16">
        <f t="shared" ca="1" si="153"/>
        <v>0</v>
      </c>
      <c r="EN133" s="32" t="str">
        <f>IF(VLOOKUP(BR133,Fundamentus!A:U,3,FALSE)&lt;15,"Bom",IF(VLOOKUP(BR133,Fundamentus!A:U,3,FALSE)&gt;15,"Ruim","n/a"))</f>
        <v>Ruim</v>
      </c>
      <c r="EO133" s="28" t="str">
        <f>IF(VLOOKUP(BR133,Fundamentus!A:U,4,FALSE)&lt;1,"Baixo",IF(VLOOKUP(BR133,Fundamentus!A:U,4,FALSE)&lt;1.5,"Moderado",IF(VLOOKUP(BR133,Fundamentus!A:U,4,FALSE)&gt;1.5,"Alto","n/a")))</f>
        <v>Moderado</v>
      </c>
      <c r="EP133" s="17" t="str">
        <f>IF(VLOOKUP(BR133,Fundamentus!A:U,8,FALSE)&lt;0,"Risco elevado",IF(VLOOKUP(BR133,Fundamentus!A:U,8,FALSE)&lt;1,"Saudável",IF(VLOOKUP(BR133,Fundamentus!A:U,8,FALSE)&lt;3,"Estável",IF(VLOOKUP(BR133,Fundamentus!A:U,8,FALSE)&gt;3,"Alerta","n/a"))))</f>
        <v>Alerta</v>
      </c>
      <c r="EQ133" s="28" t="str">
        <f t="shared" si="111"/>
        <v>Bom</v>
      </c>
      <c r="ER133" s="17" t="str">
        <f>IF(VLOOKUP(BR133,Fundamentus!A:U,12,FALSE)&lt;2,"Subvalorizada",IF(VLOOKUP(BR133,Fundamentus!A:U,12,FALSE)&lt;6,"Muita barata",IF(VLOOKUP(BR133,Fundamentus!A:U,12,FALSE)&lt;6,"Barata",IF(VLOOKUP(BR133,Fundamentus!A:U,12,FALSE)&lt;8,"Atrativa",IF(VLOOKUP(BR133,Fundamentus!A:U,12,FALSE)&gt;8,"Supervalorizada","n/a")))))</f>
        <v>Muita barata</v>
      </c>
      <c r="ET133" s="17" t="str">
        <f>IF(VLOOKUP(BR133,Fundamentus!A:U,17,FALSE)&lt;0.1,"Fraco retorno",IF(VLOOKUP(BR133,Fundamentus!A:U,17,FALSE)&gt;0.1,"Bom retorno","n/a"))</f>
        <v>Fraco retorno</v>
      </c>
      <c r="EU133" s="17" t="str">
        <f>IF(VLOOKUP(BR133,Fundamentus!A:U,16,FALSE)&lt;0.1,"Ineficiente",IF(VLOOKUP(BR133,Fundamentus!A:U,16,FALSE)&gt;0.1,"Eficiente","n/a"))</f>
        <v>Ineficiente</v>
      </c>
      <c r="EV133" s="33" t="str">
        <f>IF(VLOOKUP(BR133,Fundamentus!A:U,16,FALSE)&lt;0.1,"Oper. Ineficiente",IF(VLOOKUP(BR133,Fundamentus!A:U,16,FALSE)&gt;0.1,"Oper.Eficiente","n/a"))</f>
        <v>Oper. Ineficiente</v>
      </c>
      <c r="EW133" s="34">
        <f>VLOOKUP(BR133,Fundamentus!A:U,14,FALSE)</f>
        <v>4.9599999999999998E-2</v>
      </c>
      <c r="EX133" s="17" t="str">
        <f>IF(VLOOKUP(BR133,Fundamentus!A:U,21,FALSE)&lt;0,"Negativo",IF(VLOOKUP(BR133,Fundamentus!A:U,21,FALSE)&lt;0.05,"Fraco",IF(VLOOKUP(BR133,Fundamentus!A:U,21,FALSE)&lt;0.1,"Bom",IF(VLOOKUP(BR133,Fundamentus!A:U,21,FALSE)&gt;0.1,"Muito bom","n/a"))))</f>
        <v>Muito bom</v>
      </c>
      <c r="EZ133" s="29" t="str">
        <f>IF(VLOOKUP(BR133,Fundamentus!A:U,15,FALSE)&gt;1,"Bom",IF(VLOOKUP(BR133,Fundamentus!A:U,15,FALSE)&lt;1,"Ruim","n/a"))</f>
        <v>Bom</v>
      </c>
      <c r="FA133" s="17" t="str">
        <f>IF(VLOOKUP(BR133,Fundamentus!A:U,20,FALSE)&lt;0.5,"Baixa",IF(VLOOKUP(BR133,Fundamentus!A:U,20,FALSE)&lt;1,"Moderada",IF(VLOOKUP(BR133,Fundamentus!A:U,20,FALSE)&lt;2,"Alerta",IF(VLOOKUP(BR133,Fundamentus!A:U,20,FALSE)&gt;2,"Alta","n/a"))))</f>
        <v>Alerta</v>
      </c>
      <c r="FB133" s="10"/>
    </row>
    <row r="134" spans="1:158" s="2" customFormat="1" ht="11.25"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5">
        <v>8.52</v>
      </c>
      <c r="BC134" s="52">
        <v>8.2899999999999991</v>
      </c>
      <c r="BD134" s="52">
        <v>8.25</v>
      </c>
      <c r="BE134" s="52">
        <v>9.07</v>
      </c>
      <c r="BF134" s="52">
        <v>8.99</v>
      </c>
      <c r="BG134" s="67">
        <v>8.65</v>
      </c>
      <c r="BH134" s="52">
        <v>8.8000000000000007</v>
      </c>
      <c r="BI134" s="52">
        <v>8.6199999999999992</v>
      </c>
      <c r="BJ134" s="52">
        <v>8.77</v>
      </c>
      <c r="BK134" s="52">
        <v>8.0399999999999991</v>
      </c>
      <c r="BL134" s="52">
        <v>7.87</v>
      </c>
      <c r="BM134" s="52">
        <v>7.17</v>
      </c>
      <c r="BN134" s="52">
        <v>7.15</v>
      </c>
      <c r="BO134" s="52">
        <v>6.31</v>
      </c>
      <c r="BP134" s="52">
        <v>6.61</v>
      </c>
      <c r="BQ134" s="52" cm="1">
        <f t="array" aca="1" ref="BQ134" ca="1">_FV(EE134,"Preço")</f>
        <v>6.61</v>
      </c>
      <c r="BR134" s="69" t="s">
        <v>130</v>
      </c>
      <c r="BS134" s="36" cm="1">
        <f t="array" aca="1" ref="BS134" ca="1">_FV(EE134,"Média de volume",TRUE)</f>
        <v>3793500</v>
      </c>
      <c r="BT134" s="36">
        <v>3123800</v>
      </c>
      <c r="BU134" s="36" cm="1">
        <f t="array" aca="1" ref="BU134" ca="1">_FV(EE134,"Volume")</f>
        <v>3123800</v>
      </c>
      <c r="BV134" s="24" cm="1">
        <f t="array" aca="1" ref="BV134" ca="1">_FV(EE134,"Beta")</f>
        <v>0.81710000000000005</v>
      </c>
      <c r="BW134" s="71" cm="1">
        <f t="array" aca="1" ref="BW134" ca="1">_FV(EE134,"Variação (%)",TRUE)</f>
        <v>-1.6369000000000002E-2</v>
      </c>
      <c r="BY134" s="17" cm="1">
        <f t="array" aca="1" ref="BY134" ca="1">_FV(EE134,"Baixo")</f>
        <v>6.53</v>
      </c>
      <c r="BZ134" s="17" cm="1">
        <f t="array" aca="1" ref="BZ134" ca="1">_FV(EE134,"Alto")</f>
        <v>6.73</v>
      </c>
      <c r="CA134" s="24"/>
      <c r="CB134" s="63">
        <f ca="1">SQRT(22.5*(BQ134/VLOOKUP(BR134,Fundamentus!A:U,3,FALSE))*(BQ134/VLOOKUP(BR134,Fundamentus!A:U,4,FALSE)))</f>
        <v>13.021165769889166</v>
      </c>
      <c r="CD134" s="62">
        <f t="shared" ca="1" si="112"/>
        <v>0</v>
      </c>
      <c r="CE134" s="8"/>
      <c r="CF134" s="61">
        <f t="shared" si="113"/>
        <v>6.31</v>
      </c>
      <c r="CG134" s="61">
        <f t="shared" si="114"/>
        <v>12.28</v>
      </c>
      <c r="CH134" s="61">
        <f t="shared" si="115"/>
        <v>9.6163235294117602</v>
      </c>
      <c r="CI134" s="14"/>
      <c r="CJ134" s="35">
        <f t="shared" ref="CJ134:CJ197" si="154">CK134-EA134*2</f>
        <v>4.9498195254354576</v>
      </c>
      <c r="CK134" s="15">
        <f t="shared" si="116"/>
        <v>6.1800000000000637</v>
      </c>
      <c r="CL134" s="35">
        <f t="shared" ref="CL134:CL197" si="155">CK134+EA134*2</f>
        <v>7.4101804745646698</v>
      </c>
      <c r="CN134" s="14"/>
      <c r="CO134" s="17">
        <f t="shared" ref="CO134:CO197" si="156">CF134-2*(CG134-CR134)</f>
        <v>-1.4499999999999984</v>
      </c>
      <c r="CP134" s="17">
        <f t="shared" ref="CP134:CP197" si="157">CR134-(CG134-CF134)</f>
        <v>2.4300000000000006</v>
      </c>
      <c r="CQ134" s="17">
        <f t="shared" ref="CQ134:CQ197" si="158">2*CR134-CG134</f>
        <v>4.5200000000000014</v>
      </c>
      <c r="CR134" s="38">
        <f t="shared" si="117"/>
        <v>8.4</v>
      </c>
      <c r="CS134" s="17">
        <f t="shared" ref="CS134:CS197" si="159">2*CR134-CF134</f>
        <v>10.490000000000002</v>
      </c>
      <c r="CT134" s="17">
        <f t="shared" ref="CT134:CT197" si="160">CR134+(CG134-CF134)</f>
        <v>14.370000000000001</v>
      </c>
      <c r="CU134" s="17">
        <f t="shared" ref="CU134:CU197" si="161">CG134+2*(CR134-CF134)</f>
        <v>16.46</v>
      </c>
      <c r="CV134" s="2" cm="1">
        <f t="array" aca="1" ref="CV134" ca="1">MAX(_xlfn._xlws.FILTER(CO134:CU134,CO134:CU134&lt;BQ134))</f>
        <v>4.5200000000000014</v>
      </c>
      <c r="CW134" s="2" cm="1">
        <f t="array" aca="1" ref="CW134" ca="1">MIN(_xlfn._xlws.FILTER($CO134:$CU134,$CO134:$CU134&gt;BQ134))</f>
        <v>8.4</v>
      </c>
      <c r="CX134" s="16">
        <f t="shared" ca="1" si="136"/>
        <v>0.85840707964601726</v>
      </c>
      <c r="CY134" s="20">
        <f t="shared" ca="1" si="137"/>
        <v>-0.42920353982300863</v>
      </c>
      <c r="CZ134" s="20">
        <f t="shared" ca="1" si="138"/>
        <v>-0.2861356932153391</v>
      </c>
      <c r="DA134" s="20">
        <f t="shared" ca="1" si="139"/>
        <v>-0.17168141592920344</v>
      </c>
      <c r="DB134" s="20">
        <f t="shared" ca="1" si="140"/>
        <v>-9.5378564405113025E-2</v>
      </c>
      <c r="DC134" s="20">
        <f t="shared" ca="1" si="141"/>
        <v>-5.0494534096824542E-2</v>
      </c>
      <c r="DD134" s="20">
        <f t="shared" ca="1" si="142"/>
        <v>-2.6012335746849007E-2</v>
      </c>
      <c r="DE134" s="20">
        <f t="shared" ca="1" si="143"/>
        <v>-1.3206262763784881E-2</v>
      </c>
      <c r="DF134" s="21">
        <f t="shared" ca="1" si="144"/>
        <v>1.3206262763784881E-2</v>
      </c>
      <c r="DG134" s="21">
        <f t="shared" ca="1" si="145"/>
        <v>2.6012335746849007E-2</v>
      </c>
      <c r="DH134" s="21">
        <f t="shared" ca="1" si="146"/>
        <v>5.0494534096824542E-2</v>
      </c>
      <c r="DI134" s="21">
        <f t="shared" ca="1" si="147"/>
        <v>9.5378564405113025E-2</v>
      </c>
      <c r="DJ134" s="21">
        <f t="shared" ca="1" si="148"/>
        <v>0.17168141592920344</v>
      </c>
      <c r="DK134" s="21">
        <f t="shared" ca="1" si="149"/>
        <v>0.2861356932153391</v>
      </c>
      <c r="DL134" s="21">
        <f t="shared" ca="1" si="150"/>
        <v>0.42920353982300863</v>
      </c>
      <c r="DN134" s="16" cm="1">
        <f t="array" aca="1" ref="DN134" ca="1">MAX(_xlfn._xlws.FILTER(CY134:DL134,CY134:DL134&lt;BW134))</f>
        <v>-2.6012335746849007E-2</v>
      </c>
      <c r="DO134" s="16" cm="1">
        <f t="array" aca="1" ref="DO134" ca="1">MIN(_xlfn._xlws.FILTER(CY134:DL134,CY134:DL134&gt;BW134))</f>
        <v>-1.3206262763784881E-2</v>
      </c>
      <c r="DP134" s="2" cm="1">
        <f t="array" aca="1" ref="DP134" ca="1">_FV(EE134,"Fechamento anterior",TRUE)</f>
        <v>6.72</v>
      </c>
      <c r="DQ134" s="28">
        <f t="shared" ref="DQ134:DQ197" ca="1" si="162">(BQ134-DR134)/(DS134-DR134)</f>
        <v>0.75302461110089203</v>
      </c>
      <c r="DR134" s="15">
        <f t="shared" ca="1" si="151"/>
        <v>6.5451971037811747</v>
      </c>
      <c r="DS134" s="15">
        <f t="shared" ca="1" si="152"/>
        <v>6.631253914227365</v>
      </c>
      <c r="DT134" s="9"/>
      <c r="DU134" s="9"/>
      <c r="DV134" s="9"/>
      <c r="DW134" s="89">
        <v>4.8172355361897866E-2</v>
      </c>
      <c r="DX134" s="89">
        <f t="shared" ref="DX134:DX197" ca="1" si="163">DO134-DN134</f>
        <v>1.2806072983064127E-2</v>
      </c>
      <c r="DY134" s="72">
        <f t="shared" ref="DY134:DY197" ca="1" si="164">(BQ134-CK134)/(CK134-CJ134)</f>
        <v>0.34954220855450108</v>
      </c>
      <c r="DZ134" s="37"/>
      <c r="EA134" s="35">
        <f t="shared" si="118"/>
        <v>0.61509023728230305</v>
      </c>
      <c r="EB134" s="56"/>
      <c r="EC134" s="56"/>
      <c r="EE134" s="2" t="e" vm="133">
        <v>#VALUE!</v>
      </c>
      <c r="EG134" s="10" cm="1">
        <f t="array" aca="1" ref="EG134" ca="1">_FV(EE134,"Ações em circulação",TRUE)</f>
        <v>355608600</v>
      </c>
      <c r="EH134" s="18">
        <f>VLOOKUP(BR134,Fundamentus!A:U,5,FALSE)</f>
        <v>0.191</v>
      </c>
      <c r="EI134" s="2">
        <f t="shared" ref="EI134:EI197" ca="1" si="165">(BQ134*EG134)/EH134</f>
        <v>12306664115.183247</v>
      </c>
      <c r="EJ134" s="17">
        <v>567337215.70994771</v>
      </c>
      <c r="EK134" s="17">
        <f t="shared" ref="EK134:EK197" ca="1" si="166">EI134*EW134</f>
        <v>567337215.70994771</v>
      </c>
      <c r="EM134" s="16">
        <f t="shared" ca="1" si="153"/>
        <v>0</v>
      </c>
      <c r="EN134" s="32" t="str">
        <f>IF(VLOOKUP(BR134,Fundamentus!A:U,3,FALSE)&lt;15,"Bom",IF(VLOOKUP(BR134,Fundamentus!A:U,3,FALSE)&gt;15,"Ruim","n/a"))</f>
        <v>Bom</v>
      </c>
      <c r="EO134" s="28" t="str">
        <f>IF(VLOOKUP(BR134,Fundamentus!A:U,4,FALSE)&lt;1,"Baixo",IF(VLOOKUP(BR134,Fundamentus!A:U,4,FALSE)&lt;1.5,"Moderado",IF(VLOOKUP(BR134,Fundamentus!A:U,4,FALSE)&gt;1.5,"Alto","n/a")))</f>
        <v>Baixo</v>
      </c>
      <c r="EP134" s="17" t="str">
        <f>IF(VLOOKUP(BR134,Fundamentus!A:U,8,FALSE)&lt;0,"Risco elevado",IF(VLOOKUP(BR134,Fundamentus!A:U,8,FALSE)&lt;1,"Saudável",IF(VLOOKUP(BR134,Fundamentus!A:U,8,FALSE)&lt;3,"Estável",IF(VLOOKUP(BR134,Fundamentus!A:U,8,FALSE)&gt;3,"Alerta","n/a"))))</f>
        <v>Saudável</v>
      </c>
      <c r="EQ134" s="28" t="str">
        <f t="shared" ref="EQ134:EQ197" si="167">IF(EH134&gt;1,"Bom","Ruim")</f>
        <v>Ruim</v>
      </c>
      <c r="ER134" s="17" t="str">
        <f>IF(VLOOKUP(BR134,Fundamentus!A:U,12,FALSE)&lt;2,"Subvalorizada",IF(VLOOKUP(BR134,Fundamentus!A:U,12,FALSE)&lt;6,"Muita barata",IF(VLOOKUP(BR134,Fundamentus!A:U,12,FALSE)&lt;6,"Barata",IF(VLOOKUP(BR134,Fundamentus!A:U,12,FALSE)&lt;8,"Atrativa",IF(VLOOKUP(BR134,Fundamentus!A:U,12,FALSE)&gt;8,"Supervalorizada","n/a")))))</f>
        <v>Muita barata</v>
      </c>
      <c r="ET134" s="17" t="str">
        <f>IF(VLOOKUP(BR134,Fundamentus!A:U,17,FALSE)&lt;0.1,"Fraco retorno",IF(VLOOKUP(BR134,Fundamentus!A:U,17,FALSE)&gt;0.1,"Bom retorno","n/a"))</f>
        <v>Bom retorno</v>
      </c>
      <c r="EU134" s="17" t="str">
        <f>IF(VLOOKUP(BR134,Fundamentus!A:U,16,FALSE)&lt;0.1,"Ineficiente",IF(VLOOKUP(BR134,Fundamentus!A:U,16,FALSE)&gt;0.1,"Eficiente","n/a"))</f>
        <v>Ineficiente</v>
      </c>
      <c r="EV134" s="33" t="str">
        <f>IF(VLOOKUP(BR134,Fundamentus!A:U,16,FALSE)&lt;0.1,"Oper. Ineficiente",IF(VLOOKUP(BR134,Fundamentus!A:U,16,FALSE)&gt;0.1,"Oper.Eficiente","n/a"))</f>
        <v>Oper. Ineficiente</v>
      </c>
      <c r="EW134" s="34">
        <f>VLOOKUP(BR134,Fundamentus!A:U,14,FALSE)</f>
        <v>4.6100000000000002E-2</v>
      </c>
      <c r="EX134" s="17" t="str">
        <f>IF(VLOOKUP(BR134,Fundamentus!A:U,21,FALSE)&lt;0,"Negativo",IF(VLOOKUP(BR134,Fundamentus!A:U,21,FALSE)&lt;0.05,"Fraco",IF(VLOOKUP(BR134,Fundamentus!A:U,21,FALSE)&lt;0.1,"Bom",IF(VLOOKUP(BR134,Fundamentus!A:U,21,FALSE)&gt;0.1,"Muito bom","n/a"))))</f>
        <v>Muito bom</v>
      </c>
      <c r="EZ134" s="29" t="str">
        <f>IF(VLOOKUP(BR134,Fundamentus!A:U,15,FALSE)&gt;1,"Bom",IF(VLOOKUP(BR134,Fundamentus!A:U,15,FALSE)&lt;1,"Ruim","n/a"))</f>
        <v>Bom</v>
      </c>
      <c r="FA134" s="17" t="str">
        <f>IF(VLOOKUP(BR134,Fundamentus!A:U,20,FALSE)&lt;0.5,"Baixa",IF(VLOOKUP(BR134,Fundamentus!A:U,20,FALSE)&lt;1,"Moderada",IF(VLOOKUP(BR134,Fundamentus!A:U,20,FALSE)&lt;2,"Alerta",IF(VLOOKUP(BR134,Fundamentus!A:U,20,FALSE)&gt;2,"Alta","n/a"))))</f>
        <v>Alta</v>
      </c>
      <c r="FB134" s="10"/>
    </row>
    <row r="135" spans="1:158" s="2" customFormat="1" ht="11.25"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5">
        <v>7.85</v>
      </c>
      <c r="BC135" s="52">
        <v>7.58</v>
      </c>
      <c r="BD135" s="52">
        <v>7.66</v>
      </c>
      <c r="BE135" s="52">
        <v>8.02</v>
      </c>
      <c r="BF135" s="52">
        <v>8.15</v>
      </c>
      <c r="BG135" s="67">
        <v>8.0299999999999994</v>
      </c>
      <c r="BH135" s="52">
        <v>8.3000000000000007</v>
      </c>
      <c r="BI135" s="52">
        <v>8.23</v>
      </c>
      <c r="BJ135" s="52">
        <v>8.27</v>
      </c>
      <c r="BK135" s="52">
        <v>7.91</v>
      </c>
      <c r="BL135" s="52">
        <v>7.65</v>
      </c>
      <c r="BM135" s="52">
        <v>7.08</v>
      </c>
      <c r="BN135" s="52">
        <v>6.97</v>
      </c>
      <c r="BO135" s="52">
        <v>6.26</v>
      </c>
      <c r="BP135" s="52">
        <v>6.27</v>
      </c>
      <c r="BQ135" s="52" cm="1">
        <f t="array" aca="1" ref="BQ135" ca="1">_FV(EE135,"Preço")</f>
        <v>6.27</v>
      </c>
      <c r="BR135" s="69" t="s">
        <v>131</v>
      </c>
      <c r="BS135" s="36" cm="1">
        <f t="array" aca="1" ref="BS135" ca="1">_FV(EE135,"Média de volume",TRUE)</f>
        <v>3793500</v>
      </c>
      <c r="BT135" s="36">
        <v>22300</v>
      </c>
      <c r="BU135" s="36" cm="1">
        <f t="array" aca="1" ref="BU135" ca="1">_FV(EE135,"Volume")</f>
        <v>22300</v>
      </c>
      <c r="BV135" s="24" cm="1">
        <f t="array" aca="1" ref="BV135" ca="1">_FV(EE135,"Beta")</f>
        <v>0.81710000000000005</v>
      </c>
      <c r="BW135" s="71" cm="1">
        <f t="array" aca="1" ref="BW135" ca="1">_FV(EE135,"Variação (%)",TRUE)</f>
        <v>0</v>
      </c>
      <c r="BY135" s="17" cm="1">
        <f t="array" aca="1" ref="BY135" ca="1">_FV(EE135,"Baixo")</f>
        <v>6.23</v>
      </c>
      <c r="BZ135" s="17" cm="1">
        <f t="array" aca="1" ref="BZ135" ca="1">_FV(EE135,"Alto")</f>
        <v>6.4</v>
      </c>
      <c r="CA135" s="24"/>
      <c r="CB135" s="63">
        <f ca="1">SQRT(22.5*(BQ135/VLOOKUP(BR135,Fundamentus!A:U,3,FALSE))*(BQ135/VLOOKUP(BR135,Fundamentus!A:U,4,FALSE)))</f>
        <v>12.55809669826311</v>
      </c>
      <c r="CD135" s="62">
        <f t="shared" ref="CD135:CD198" ca="1" si="168">(BQ135 - BP135) / BP135</f>
        <v>0</v>
      </c>
      <c r="CE135" s="8"/>
      <c r="CF135" s="61">
        <f t="shared" ref="CF135:CF198" si="169">MIN(A135:BP135)</f>
        <v>6.26</v>
      </c>
      <c r="CG135" s="61">
        <f t="shared" ref="CG135:CG198" si="170">MAX(A135:BP135)</f>
        <v>10.4</v>
      </c>
      <c r="CH135" s="61">
        <f t="shared" ref="CH135:CH198" si="171">AVERAGE(A135:BP135)</f>
        <v>8.4457352941176449</v>
      </c>
      <c r="CI135" s="14"/>
      <c r="CJ135" s="35">
        <f t="shared" si="154"/>
        <v>4.709653965104085</v>
      </c>
      <c r="CK135" s="15">
        <f t="shared" ref="CK135:CK198" si="172">FORECAST("22/08/2025", BM135:BP135, $BM$5:$BP$5)</f>
        <v>5.8599999999996726</v>
      </c>
      <c r="CL135" s="35">
        <f t="shared" si="155"/>
        <v>7.0103460348952602</v>
      </c>
      <c r="CN135" s="14"/>
      <c r="CO135" s="17">
        <f t="shared" si="156"/>
        <v>0.74666666666666615</v>
      </c>
      <c r="CP135" s="17">
        <f t="shared" si="157"/>
        <v>3.503333333333333</v>
      </c>
      <c r="CQ135" s="17">
        <f t="shared" si="158"/>
        <v>4.8866666666666667</v>
      </c>
      <c r="CR135" s="38">
        <f t="shared" ref="CR135:CR198" si="173">(CG135+CF135+BP135)/3</f>
        <v>7.6433333333333335</v>
      </c>
      <c r="CS135" s="17">
        <f t="shared" si="159"/>
        <v>9.0266666666666673</v>
      </c>
      <c r="CT135" s="17">
        <f t="shared" si="160"/>
        <v>11.783333333333335</v>
      </c>
      <c r="CU135" s="17">
        <f t="shared" si="161"/>
        <v>13.166666666666668</v>
      </c>
      <c r="CV135" s="2" cm="1">
        <f t="array" aca="1" ref="CV135" ca="1">MAX(_xlfn._xlws.FILTER(CO135:CU135,CO135:CU135&lt;BQ135))</f>
        <v>4.8866666666666667</v>
      </c>
      <c r="CW135" s="2" cm="1">
        <f t="array" aca="1" ref="CW135" ca="1">MIN(_xlfn._xlws.FILTER($CO135:$CU135,$CO135:$CU135&gt;BQ135))</f>
        <v>7.6433333333333335</v>
      </c>
      <c r="CX135" s="16">
        <f t="shared" ca="1" si="136"/>
        <v>0.56412005457025916</v>
      </c>
      <c r="CY135" s="20">
        <f t="shared" ca="1" si="137"/>
        <v>-0.28206002728512958</v>
      </c>
      <c r="CZ135" s="20">
        <f t="shared" ca="1" si="138"/>
        <v>-0.18804001819008639</v>
      </c>
      <c r="DA135" s="20">
        <f t="shared" ca="1" si="139"/>
        <v>-0.11282401091405184</v>
      </c>
      <c r="DB135" s="20">
        <f t="shared" ca="1" si="140"/>
        <v>-6.2680006063362131E-2</v>
      </c>
      <c r="DC135" s="20">
        <f t="shared" ca="1" si="141"/>
        <v>-3.3183532621779949E-2</v>
      </c>
      <c r="DD135" s="20">
        <f t="shared" ca="1" si="142"/>
        <v>-1.7094547108189671E-2</v>
      </c>
      <c r="DE135" s="20">
        <f t="shared" ca="1" si="143"/>
        <v>-8.6787700703116789E-3</v>
      </c>
      <c r="DF135" s="21">
        <f t="shared" ca="1" si="144"/>
        <v>8.6787700703116789E-3</v>
      </c>
      <c r="DG135" s="21">
        <f t="shared" ca="1" si="145"/>
        <v>1.7094547108189671E-2</v>
      </c>
      <c r="DH135" s="21">
        <f t="shared" ca="1" si="146"/>
        <v>3.3183532621779949E-2</v>
      </c>
      <c r="DI135" s="21">
        <f t="shared" ca="1" si="147"/>
        <v>6.2680006063362131E-2</v>
      </c>
      <c r="DJ135" s="21">
        <f t="shared" ca="1" si="148"/>
        <v>0.11282401091405184</v>
      </c>
      <c r="DK135" s="21">
        <f t="shared" ca="1" si="149"/>
        <v>0.18804001819008639</v>
      </c>
      <c r="DL135" s="21">
        <f t="shared" ca="1" si="150"/>
        <v>0.28206002728512958</v>
      </c>
      <c r="DN135" s="16" cm="1">
        <f t="array" aca="1" ref="DN135" ca="1">MAX(_xlfn._xlws.FILTER(CY135:DL135,CY135:DL135&lt;BW135))</f>
        <v>-8.6787700703116789E-3</v>
      </c>
      <c r="DO135" s="16" cm="1">
        <f t="array" aca="1" ref="DO135" ca="1">MIN(_xlfn._xlws.FILTER(CY135:DL135,CY135:DL135&gt;BW135))</f>
        <v>8.6787700703116789E-3</v>
      </c>
      <c r="DP135" s="2" cm="1">
        <f t="array" aca="1" ref="DP135" ca="1">_FV(EE135,"Fechamento anterior",TRUE)</f>
        <v>6.27</v>
      </c>
      <c r="DQ135" s="28">
        <f t="shared" ca="1" si="162"/>
        <v>0.5</v>
      </c>
      <c r="DR135" s="15">
        <f t="shared" ca="1" si="151"/>
        <v>6.2155841116591457</v>
      </c>
      <c r="DS135" s="15">
        <f t="shared" ca="1" si="152"/>
        <v>6.3244158883408534</v>
      </c>
      <c r="DT135" s="9"/>
      <c r="DU135" s="9"/>
      <c r="DV135" s="9"/>
      <c r="DW135" s="89">
        <v>5.0273224043715828E-2</v>
      </c>
      <c r="DX135" s="89">
        <f t="shared" ca="1" si="163"/>
        <v>1.7357540140623358E-2</v>
      </c>
      <c r="DY135" s="72">
        <f t="shared" ca="1" si="164"/>
        <v>0.35641449404182202</v>
      </c>
      <c r="DZ135" s="37"/>
      <c r="EA135" s="35">
        <f t="shared" ref="EA135:EA198" si="174">_xlfn.STDEV.P(BK135:BO135)</f>
        <v>0.57517301744779392</v>
      </c>
      <c r="EB135" s="56"/>
      <c r="EC135" s="56"/>
      <c r="EE135" s="2" t="e" vm="134">
        <v>#VALUE!</v>
      </c>
      <c r="EG135" s="10" cm="1">
        <f t="array" aca="1" ref="EG135" ca="1">_FV(EE135,"Ações em circulação",TRUE)</f>
        <v>355608600</v>
      </c>
      <c r="EH135" s="18">
        <f>VLOOKUP(BR135,Fundamentus!A:U,5,FALSE)</f>
        <v>0.187</v>
      </c>
      <c r="EI135" s="2">
        <f t="shared" ca="1" si="165"/>
        <v>11923347176.470589</v>
      </c>
      <c r="EJ135" s="17">
        <v>549666304.83529413</v>
      </c>
      <c r="EK135" s="17">
        <f t="shared" ca="1" si="166"/>
        <v>549666304.83529413</v>
      </c>
      <c r="EM135" s="16">
        <f t="shared" ca="1" si="153"/>
        <v>0</v>
      </c>
      <c r="EN135" s="32" t="str">
        <f>IF(VLOOKUP(BR135,Fundamentus!A:U,3,FALSE)&lt;15,"Bom",IF(VLOOKUP(BR135,Fundamentus!A:U,3,FALSE)&gt;15,"Ruim","n/a"))</f>
        <v>Bom</v>
      </c>
      <c r="EO135" s="28" t="str">
        <f>IF(VLOOKUP(BR135,Fundamentus!A:U,4,FALSE)&lt;1,"Baixo",IF(VLOOKUP(BR135,Fundamentus!A:U,4,FALSE)&lt;1.5,"Moderado",IF(VLOOKUP(BR135,Fundamentus!A:U,4,FALSE)&gt;1.5,"Alto","n/a")))</f>
        <v>Baixo</v>
      </c>
      <c r="EP135" s="17" t="str">
        <f>IF(VLOOKUP(BR135,Fundamentus!A:U,8,FALSE)&lt;0,"Risco elevado",IF(VLOOKUP(BR135,Fundamentus!A:U,8,FALSE)&lt;1,"Saudável",IF(VLOOKUP(BR135,Fundamentus!A:U,8,FALSE)&lt;3,"Estável",IF(VLOOKUP(BR135,Fundamentus!A:U,8,FALSE)&gt;3,"Alerta","n/a"))))</f>
        <v>Saudável</v>
      </c>
      <c r="EQ135" s="28" t="str">
        <f t="shared" si="167"/>
        <v>Ruim</v>
      </c>
      <c r="ER135" s="17" t="str">
        <f>IF(VLOOKUP(BR135,Fundamentus!A:U,12,FALSE)&lt;2,"Subvalorizada",IF(VLOOKUP(BR135,Fundamentus!A:U,12,FALSE)&lt;6,"Muita barata",IF(VLOOKUP(BR135,Fundamentus!A:U,12,FALSE)&lt;6,"Barata",IF(VLOOKUP(BR135,Fundamentus!A:U,12,FALSE)&lt;8,"Atrativa",IF(VLOOKUP(BR135,Fundamentus!A:U,12,FALSE)&gt;8,"Supervalorizada","n/a")))))</f>
        <v>Muita barata</v>
      </c>
      <c r="ET135" s="17" t="str">
        <f>IF(VLOOKUP(BR135,Fundamentus!A:U,17,FALSE)&lt;0.1,"Fraco retorno",IF(VLOOKUP(BR135,Fundamentus!A:U,17,FALSE)&gt;0.1,"Bom retorno","n/a"))</f>
        <v>Bom retorno</v>
      </c>
      <c r="EU135" s="17" t="str">
        <f>IF(VLOOKUP(BR135,Fundamentus!A:U,16,FALSE)&lt;0.1,"Ineficiente",IF(VLOOKUP(BR135,Fundamentus!A:U,16,FALSE)&gt;0.1,"Eficiente","n/a"))</f>
        <v>Ineficiente</v>
      </c>
      <c r="EV135" s="33" t="str">
        <f>IF(VLOOKUP(BR135,Fundamentus!A:U,16,FALSE)&lt;0.1,"Oper. Ineficiente",IF(VLOOKUP(BR135,Fundamentus!A:U,16,FALSE)&gt;0.1,"Oper.Eficiente","n/a"))</f>
        <v>Oper. Ineficiente</v>
      </c>
      <c r="EW135" s="34">
        <f>VLOOKUP(BR135,Fundamentus!A:U,14,FALSE)</f>
        <v>4.6100000000000002E-2</v>
      </c>
      <c r="EX135" s="17" t="str">
        <f>IF(VLOOKUP(BR135,Fundamentus!A:U,21,FALSE)&lt;0,"Negativo",IF(VLOOKUP(BR135,Fundamentus!A:U,21,FALSE)&lt;0.05,"Fraco",IF(VLOOKUP(BR135,Fundamentus!A:U,21,FALSE)&lt;0.1,"Bom",IF(VLOOKUP(BR135,Fundamentus!A:U,21,FALSE)&gt;0.1,"Muito bom","n/a"))))</f>
        <v>Muito bom</v>
      </c>
      <c r="EZ135" s="29" t="str">
        <f>IF(VLOOKUP(BR135,Fundamentus!A:U,15,FALSE)&gt;1,"Bom",IF(VLOOKUP(BR135,Fundamentus!A:U,15,FALSE)&lt;1,"Ruim","n/a"))</f>
        <v>Bom</v>
      </c>
      <c r="FA135" s="17" t="str">
        <f>IF(VLOOKUP(BR135,Fundamentus!A:U,20,FALSE)&lt;0.5,"Baixa",IF(VLOOKUP(BR135,Fundamentus!A:U,20,FALSE)&lt;1,"Moderada",IF(VLOOKUP(BR135,Fundamentus!A:U,20,FALSE)&lt;2,"Alerta",IF(VLOOKUP(BR135,Fundamentus!A:U,20,FALSE)&gt;2,"Alta","n/a"))))</f>
        <v>Alta</v>
      </c>
      <c r="FB135" s="10"/>
    </row>
    <row r="136" spans="1:158" s="2" customFormat="1" ht="11.25"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5">
        <v>1</v>
      </c>
      <c r="BC136" s="52">
        <v>1.01</v>
      </c>
      <c r="BD136" s="52">
        <v>0.94</v>
      </c>
      <c r="BE136" s="52">
        <v>0.98</v>
      </c>
      <c r="BF136" s="52">
        <v>0.97</v>
      </c>
      <c r="BG136" s="67">
        <v>0.96</v>
      </c>
      <c r="BH136" s="52">
        <v>0.99</v>
      </c>
      <c r="BI136" s="52">
        <v>0.89</v>
      </c>
      <c r="BJ136" s="52">
        <v>0.88</v>
      </c>
      <c r="BK136" s="52">
        <v>1.0900000000000001</v>
      </c>
      <c r="BL136" s="52">
        <v>1</v>
      </c>
      <c r="BM136" s="52">
        <v>1</v>
      </c>
      <c r="BN136" s="52">
        <v>1.2</v>
      </c>
      <c r="BO136" s="52">
        <v>1.18</v>
      </c>
      <c r="BP136" s="52">
        <v>1.01</v>
      </c>
      <c r="BQ136" s="52" cm="1">
        <f t="array" aca="1" ref="BQ136" ca="1">_FV(EE136,"Preço")</f>
        <v>1.01</v>
      </c>
      <c r="BR136" s="69" t="s">
        <v>132</v>
      </c>
      <c r="BS136" s="36" cm="1">
        <f t="array" aca="1" ref="BS136" ca="1">_FV(EE136,"Média de volume",TRUE)</f>
        <v>844050</v>
      </c>
      <c r="BT136" s="36">
        <v>516000</v>
      </c>
      <c r="BU136" s="36" cm="1">
        <f t="array" aca="1" ref="BU136" ca="1">_FV(EE136,"Volume")</f>
        <v>516000</v>
      </c>
      <c r="BV136" s="24" cm="1">
        <f t="array" aca="1" ref="BV136" ca="1">_FV(EE136,"Beta")</f>
        <v>1.3917999999999999</v>
      </c>
      <c r="BW136" s="71" cm="1">
        <f t="array" aca="1" ref="BW136" ca="1">_FV(EE136,"Variação (%)",TRUE)</f>
        <v>-4.7169999999999997E-2</v>
      </c>
      <c r="BY136" s="17" cm="1">
        <f t="array" aca="1" ref="BY136" ca="1">_FV(EE136,"Baixo")</f>
        <v>1</v>
      </c>
      <c r="BZ136" s="17" cm="1">
        <f t="array" aca="1" ref="BZ136" ca="1">_FV(EE136,"Alto")</f>
        <v>1.0900000000000001</v>
      </c>
      <c r="CA136" s="24"/>
      <c r="CB136" s="63" t="e">
        <f ca="1">SQRT(22.5*(BQ136/VLOOKUP(BR136,Fundamentus!A:U,3,FALSE))*(BQ136/VLOOKUP(BR136,Fundamentus!A:U,4,FALSE)))</f>
        <v>#N/A</v>
      </c>
      <c r="CD136" s="62">
        <f t="shared" ca="1" si="168"/>
        <v>0</v>
      </c>
      <c r="CE136" s="8"/>
      <c r="CF136" s="61">
        <f t="shared" si="169"/>
        <v>0.88</v>
      </c>
      <c r="CG136" s="61">
        <f t="shared" si="170"/>
        <v>3.08</v>
      </c>
      <c r="CH136" s="61">
        <f t="shared" si="171"/>
        <v>1.7292647058823531</v>
      </c>
      <c r="CI136" s="14"/>
      <c r="CJ136" s="35">
        <f t="shared" si="154"/>
        <v>0.92954179397869963</v>
      </c>
      <c r="CK136" s="15">
        <f t="shared" si="172"/>
        <v>1.0999999999999996</v>
      </c>
      <c r="CL136" s="35">
        <f t="shared" si="155"/>
        <v>1.2704582060212997</v>
      </c>
      <c r="CN136" s="14"/>
      <c r="CO136" s="17">
        <f t="shared" si="156"/>
        <v>-1.9666666666666672</v>
      </c>
      <c r="CP136" s="17">
        <f t="shared" si="157"/>
        <v>-0.54333333333333367</v>
      </c>
      <c r="CQ136" s="17">
        <f t="shared" si="158"/>
        <v>0.23333333333333295</v>
      </c>
      <c r="CR136" s="38">
        <f t="shared" si="173"/>
        <v>1.6566666666666665</v>
      </c>
      <c r="CS136" s="17">
        <f t="shared" si="159"/>
        <v>2.4333333333333331</v>
      </c>
      <c r="CT136" s="17">
        <f t="shared" si="160"/>
        <v>3.8566666666666665</v>
      </c>
      <c r="CU136" s="17">
        <f t="shared" si="161"/>
        <v>4.6333333333333329</v>
      </c>
      <c r="CV136" s="2" cm="1">
        <f t="array" aca="1" ref="CV136" ca="1">MAX(_xlfn._xlws.FILTER(CO136:CU136,CO136:CU136&lt;BQ136))</f>
        <v>0.23333333333333295</v>
      </c>
      <c r="CW136" s="2" cm="1">
        <f t="array" aca="1" ref="CW136" ca="1">MIN(_xlfn._xlws.FILTER($CO136:$CU136,$CO136:$CU136&gt;BQ136))</f>
        <v>1.6566666666666665</v>
      </c>
      <c r="CX136" s="16">
        <f t="shared" ca="1" si="136"/>
        <v>6.1000000000000112</v>
      </c>
      <c r="CY136" s="20">
        <f t="shared" ca="1" si="137"/>
        <v>-3.0500000000000056</v>
      </c>
      <c r="CZ136" s="20">
        <f t="shared" ca="1" si="138"/>
        <v>-2.0333333333333372</v>
      </c>
      <c r="DA136" s="20">
        <f t="shared" ca="1" si="139"/>
        <v>-1.2200000000000022</v>
      </c>
      <c r="DB136" s="20">
        <f t="shared" ca="1" si="140"/>
        <v>-0.67777777777777903</v>
      </c>
      <c r="DC136" s="20">
        <f t="shared" ca="1" si="141"/>
        <v>-0.35882352941176537</v>
      </c>
      <c r="DD136" s="20">
        <f t="shared" ca="1" si="142"/>
        <v>-0.18484848484848518</v>
      </c>
      <c r="DE136" s="20">
        <f t="shared" ca="1" si="143"/>
        <v>-9.3846153846154023E-2</v>
      </c>
      <c r="DF136" s="21">
        <f t="shared" ca="1" si="144"/>
        <v>9.3846153846154023E-2</v>
      </c>
      <c r="DG136" s="21">
        <f t="shared" ca="1" si="145"/>
        <v>0.18484848484848518</v>
      </c>
      <c r="DH136" s="21">
        <f t="shared" ca="1" si="146"/>
        <v>0.35882352941176537</v>
      </c>
      <c r="DI136" s="21">
        <f t="shared" ca="1" si="147"/>
        <v>0.67777777777777903</v>
      </c>
      <c r="DJ136" s="21">
        <f t="shared" ca="1" si="148"/>
        <v>1.2200000000000022</v>
      </c>
      <c r="DK136" s="21">
        <f t="shared" ca="1" si="149"/>
        <v>2.0333333333333372</v>
      </c>
      <c r="DL136" s="21">
        <f t="shared" ca="1" si="150"/>
        <v>3.0500000000000056</v>
      </c>
      <c r="DN136" s="16" cm="1">
        <f t="array" aca="1" ref="DN136" ca="1">MAX(_xlfn._xlws.FILTER(CY136:DL136,CY136:DL136&lt;BW136))</f>
        <v>-9.3846153846154023E-2</v>
      </c>
      <c r="DO136" s="16" cm="1">
        <f t="array" aca="1" ref="DO136" ca="1">MIN(_xlfn._xlws.FILTER(CY136:DL136,CY136:DL136&gt;BW136))</f>
        <v>9.3846153846154023E-2</v>
      </c>
      <c r="DP136" s="2" cm="1">
        <f t="array" aca="1" ref="DP136" ca="1">_FV(EE136,"Fechamento anterior",TRUE)</f>
        <v>1.06</v>
      </c>
      <c r="DQ136" s="28">
        <f t="shared" ca="1" si="162"/>
        <v>0.24868543148778244</v>
      </c>
      <c r="DR136" s="15">
        <f t="shared" ca="1" si="151"/>
        <v>0.96052307692307681</v>
      </c>
      <c r="DS136" s="15">
        <f t="shared" ca="1" si="152"/>
        <v>1.1594769230769233</v>
      </c>
      <c r="DT136" s="9"/>
      <c r="DU136" s="9"/>
      <c r="DV136" s="9"/>
      <c r="DW136" s="89">
        <v>5.8812981889905053E-2</v>
      </c>
      <c r="DX136" s="89">
        <f t="shared" ca="1" si="163"/>
        <v>0.18769230769230805</v>
      </c>
      <c r="DY136" s="72">
        <f t="shared" ca="1" si="164"/>
        <v>-0.52798866127192179</v>
      </c>
      <c r="DZ136" s="37"/>
      <c r="EA136" s="35">
        <f t="shared" si="174"/>
        <v>8.5229103010650037E-2</v>
      </c>
      <c r="EB136" s="56"/>
      <c r="EC136" s="56"/>
      <c r="EE136" s="2" t="e" vm="135">
        <v>#VALUE!</v>
      </c>
      <c r="EG136" s="10" cm="1">
        <f t="array" aca="1" ref="EG136" ca="1">_FV(EE136,"Ações em circulação",TRUE)</f>
        <v>122763400</v>
      </c>
      <c r="EH136" s="18" t="e">
        <f>VLOOKUP(BR136,Fundamentus!A:U,5,FALSE)</f>
        <v>#N/A</v>
      </c>
      <c r="EI136" s="2" t="e">
        <f t="shared" ca="1" si="165"/>
        <v>#N/A</v>
      </c>
      <c r="EJ136" s="17" t="e">
        <v>#N/A</v>
      </c>
      <c r="EK136" s="17" t="e">
        <f t="shared" ca="1" si="166"/>
        <v>#N/A</v>
      </c>
      <c r="EM136" s="16" t="e">
        <f t="shared" ca="1" si="153"/>
        <v>#N/A</v>
      </c>
      <c r="EN136" s="32" t="e">
        <f>IF(VLOOKUP(BR136,Fundamentus!A:U,3,FALSE)&lt;15,"Bom",IF(VLOOKUP(BR136,Fundamentus!A:U,3,FALSE)&gt;15,"Ruim","n/a"))</f>
        <v>#N/A</v>
      </c>
      <c r="EO136" s="28" t="e">
        <f>IF(VLOOKUP(BR136,Fundamentus!A:U,4,FALSE)&lt;1,"Baixo",IF(VLOOKUP(BR136,Fundamentus!A:U,4,FALSE)&lt;1.5,"Moderado",IF(VLOOKUP(BR136,Fundamentus!A:U,4,FALSE)&gt;1.5,"Alto","n/a")))</f>
        <v>#N/A</v>
      </c>
      <c r="EP136" s="17" t="e">
        <f>IF(VLOOKUP(BR136,Fundamentus!A:U,8,FALSE)&lt;0,"Risco elevado",IF(VLOOKUP(BR136,Fundamentus!A:U,8,FALSE)&lt;1,"Saudável",IF(VLOOKUP(BR136,Fundamentus!A:U,8,FALSE)&lt;3,"Estável",IF(VLOOKUP(BR136,Fundamentus!A:U,8,FALSE)&gt;3,"Alerta","n/a"))))</f>
        <v>#N/A</v>
      </c>
      <c r="EQ136" s="28" t="e">
        <f t="shared" si="167"/>
        <v>#N/A</v>
      </c>
      <c r="ER136" s="17" t="e">
        <f>IF(VLOOKUP(BR136,Fundamentus!A:U,12,FALSE)&lt;2,"Subvalorizada",IF(VLOOKUP(BR136,Fundamentus!A:U,12,FALSE)&lt;6,"Muita barata",IF(VLOOKUP(BR136,Fundamentus!A:U,12,FALSE)&lt;6,"Barata",IF(VLOOKUP(BR136,Fundamentus!A:U,12,FALSE)&lt;8,"Atrativa",IF(VLOOKUP(BR136,Fundamentus!A:U,12,FALSE)&gt;8,"Supervalorizada","n/a")))))</f>
        <v>#N/A</v>
      </c>
      <c r="ET136" s="17" t="e">
        <f>IF(VLOOKUP(BR136,Fundamentus!A:U,17,FALSE)&lt;0.1,"Fraco retorno",IF(VLOOKUP(BR136,Fundamentus!A:U,17,FALSE)&gt;0.1,"Bom retorno","n/a"))</f>
        <v>#N/A</v>
      </c>
      <c r="EU136" s="17" t="e">
        <f>IF(VLOOKUP(BR136,Fundamentus!A:U,16,FALSE)&lt;0.1,"Ineficiente",IF(VLOOKUP(BR136,Fundamentus!A:U,16,FALSE)&gt;0.1,"Eficiente","n/a"))</f>
        <v>#N/A</v>
      </c>
      <c r="EV136" s="33" t="e">
        <f>IF(VLOOKUP(BR136,Fundamentus!A:U,16,FALSE)&lt;0.1,"Oper. Ineficiente",IF(VLOOKUP(BR136,Fundamentus!A:U,16,FALSE)&gt;0.1,"Oper.Eficiente","n/a"))</f>
        <v>#N/A</v>
      </c>
      <c r="EW136" s="34" t="e">
        <f>VLOOKUP(BR136,Fundamentus!A:U,14,FALSE)</f>
        <v>#N/A</v>
      </c>
      <c r="EX136" s="17" t="e">
        <f>IF(VLOOKUP(BR136,Fundamentus!A:U,21,FALSE)&lt;0,"Negativo",IF(VLOOKUP(BR136,Fundamentus!A:U,21,FALSE)&lt;0.05,"Fraco",IF(VLOOKUP(BR136,Fundamentus!A:U,21,FALSE)&lt;0.1,"Bom",IF(VLOOKUP(BR136,Fundamentus!A:U,21,FALSE)&gt;0.1,"Muito bom","n/a"))))</f>
        <v>#N/A</v>
      </c>
      <c r="EZ136" s="29" t="e">
        <f>IF(VLOOKUP(BR136,Fundamentus!A:U,15,FALSE)&gt;1,"Bom",IF(VLOOKUP(BR136,Fundamentus!A:U,15,FALSE)&lt;1,"Ruim","n/a"))</f>
        <v>#N/A</v>
      </c>
      <c r="FA136" s="17" t="e">
        <f>IF(VLOOKUP(BR136,Fundamentus!A:U,20,FALSE)&lt;0.5,"Baixa",IF(VLOOKUP(BR136,Fundamentus!A:U,20,FALSE)&lt;1,"Moderada",IF(VLOOKUP(BR136,Fundamentus!A:U,20,FALSE)&lt;2,"Alerta",IF(VLOOKUP(BR136,Fundamentus!A:U,20,FALSE)&gt;2,"Alta","n/a"))))</f>
        <v>#N/A</v>
      </c>
      <c r="FB136" s="10"/>
    </row>
    <row r="137" spans="1:158" s="2" customFormat="1" ht="11.25"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5">
        <v>8.35</v>
      </c>
      <c r="BC137" s="52">
        <v>8.67</v>
      </c>
      <c r="BD137" s="52">
        <v>8.51</v>
      </c>
      <c r="BE137" s="52">
        <v>8.36</v>
      </c>
      <c r="BF137" s="52">
        <v>9.2200000000000006</v>
      </c>
      <c r="BG137" s="67">
        <v>9.19</v>
      </c>
      <c r="BH137" s="52">
        <v>8.91</v>
      </c>
      <c r="BI137" s="52">
        <v>8.82</v>
      </c>
      <c r="BJ137" s="52">
        <v>9.3699999999999992</v>
      </c>
      <c r="BK137" s="52">
        <v>9.32</v>
      </c>
      <c r="BL137" s="52">
        <v>9</v>
      </c>
      <c r="BM137" s="52">
        <v>9.5399999999999991</v>
      </c>
      <c r="BN137" s="52">
        <v>8.99</v>
      </c>
      <c r="BO137" s="52">
        <v>9.1199999999999992</v>
      </c>
      <c r="BP137" s="52">
        <v>9.09</v>
      </c>
      <c r="BQ137" s="52" cm="1">
        <f t="array" aca="1" ref="BQ137" ca="1">_FV(EE137,"Preço")</f>
        <v>9.09</v>
      </c>
      <c r="BR137" s="69" t="s">
        <v>133</v>
      </c>
      <c r="BS137" s="36" cm="1">
        <f t="array" aca="1" ref="BS137" ca="1">_FV(EE137,"Média de volume",TRUE)</f>
        <v>7424690</v>
      </c>
      <c r="BT137" s="36">
        <v>4585500</v>
      </c>
      <c r="BU137" s="36" cm="1">
        <f t="array" aca="1" ref="BU137" ca="1">_FV(EE137,"Volume")</f>
        <v>4585500</v>
      </c>
      <c r="BV137" s="24" cm="1">
        <f t="array" aca="1" ref="BV137" ca="1">_FV(EE137,"Beta")</f>
        <v>0.68530000000000002</v>
      </c>
      <c r="BW137" s="71" cm="1">
        <f t="array" aca="1" ref="BW137" ca="1">_FV(EE137,"Variação (%)",TRUE)</f>
        <v>2.2049999999999999E-3</v>
      </c>
      <c r="BY137" s="17" cm="1">
        <f t="array" aca="1" ref="BY137" ca="1">_FV(EE137,"Baixo")</f>
        <v>8.99</v>
      </c>
      <c r="BZ137" s="17" cm="1">
        <f t="array" aca="1" ref="BZ137" ca="1">_FV(EE137,"Alto")</f>
        <v>9.17</v>
      </c>
      <c r="CA137" s="24"/>
      <c r="CB137" s="63">
        <f ca="1">SQRT(22.5*(BQ137/VLOOKUP(BR137,Fundamentus!A:U,3,FALSE))*(BQ137/VLOOKUP(BR137,Fundamentus!A:U,4,FALSE)))</f>
        <v>21.041015258334596</v>
      </c>
      <c r="CD137" s="62">
        <f t="shared" ca="1" si="168"/>
        <v>0</v>
      </c>
      <c r="CE137" s="8"/>
      <c r="CF137" s="61">
        <f t="shared" si="169"/>
        <v>8.16</v>
      </c>
      <c r="CG137" s="61">
        <f t="shared" si="170"/>
        <v>11.57</v>
      </c>
      <c r="CH137" s="61">
        <f t="shared" si="171"/>
        <v>9.901617647058826</v>
      </c>
      <c r="CI137" s="14"/>
      <c r="CJ137" s="35">
        <f t="shared" si="154"/>
        <v>8.4601714635711343</v>
      </c>
      <c r="CK137" s="15">
        <f t="shared" si="172"/>
        <v>8.8799999999999955</v>
      </c>
      <c r="CL137" s="35">
        <f t="shared" si="155"/>
        <v>9.2998285364288567</v>
      </c>
      <c r="CN137" s="14"/>
      <c r="CO137" s="17">
        <f t="shared" si="156"/>
        <v>4.2333333333333343</v>
      </c>
      <c r="CP137" s="17">
        <f t="shared" si="157"/>
        <v>6.1966666666666672</v>
      </c>
      <c r="CQ137" s="17">
        <f t="shared" si="158"/>
        <v>7.6433333333333344</v>
      </c>
      <c r="CR137" s="38">
        <f t="shared" si="173"/>
        <v>9.6066666666666674</v>
      </c>
      <c r="CS137" s="17">
        <f t="shared" si="159"/>
        <v>11.053333333333335</v>
      </c>
      <c r="CT137" s="17">
        <f t="shared" si="160"/>
        <v>13.016666666666667</v>
      </c>
      <c r="CU137" s="17">
        <f t="shared" si="161"/>
        <v>14.463333333333335</v>
      </c>
      <c r="CV137" s="2" cm="1">
        <f t="array" aca="1" ref="CV137" ca="1">MAX(_xlfn._xlws.FILTER(CO137:CU137,CO137:CU137&lt;BQ137))</f>
        <v>7.6433333333333344</v>
      </c>
      <c r="CW137" s="2" cm="1">
        <f t="array" aca="1" ref="CW137" ca="1">MIN(_xlfn._xlws.FILTER($CO137:$CU137,$CO137:$CU137&gt;BQ137))</f>
        <v>9.6066666666666674</v>
      </c>
      <c r="CX137" s="16">
        <f t="shared" ca="1" si="136"/>
        <v>0.2568687309201918</v>
      </c>
      <c r="CY137" s="20">
        <f t="shared" ca="1" si="137"/>
        <v>-0.1284343654600959</v>
      </c>
      <c r="CZ137" s="20">
        <f t="shared" ca="1" si="138"/>
        <v>-8.5622910306730596E-2</v>
      </c>
      <c r="DA137" s="20">
        <f t="shared" ca="1" si="139"/>
        <v>-5.1373746184038359E-2</v>
      </c>
      <c r="DB137" s="20">
        <f t="shared" ca="1" si="140"/>
        <v>-2.8540970102243532E-2</v>
      </c>
      <c r="DC137" s="20">
        <f t="shared" ca="1" si="141"/>
        <v>-1.5109925348246577E-2</v>
      </c>
      <c r="DD137" s="20">
        <f t="shared" ca="1" si="142"/>
        <v>-7.7839009369755092E-3</v>
      </c>
      <c r="DE137" s="20">
        <f t="shared" ca="1" si="143"/>
        <v>-3.9518266295414124E-3</v>
      </c>
      <c r="DF137" s="21">
        <f t="shared" ca="1" si="144"/>
        <v>3.9518266295414124E-3</v>
      </c>
      <c r="DG137" s="21">
        <f t="shared" ca="1" si="145"/>
        <v>7.7839009369755092E-3</v>
      </c>
      <c r="DH137" s="21">
        <f t="shared" ca="1" si="146"/>
        <v>1.5109925348246577E-2</v>
      </c>
      <c r="DI137" s="21">
        <f t="shared" ca="1" si="147"/>
        <v>2.8540970102243532E-2</v>
      </c>
      <c r="DJ137" s="21">
        <f t="shared" ca="1" si="148"/>
        <v>5.1373746184038359E-2</v>
      </c>
      <c r="DK137" s="21">
        <f t="shared" ca="1" si="149"/>
        <v>8.5622910306730596E-2</v>
      </c>
      <c r="DL137" s="21">
        <f t="shared" ca="1" si="150"/>
        <v>0.1284343654600959</v>
      </c>
      <c r="DN137" s="16" cm="1">
        <f t="array" aca="1" ref="DN137" ca="1">MAX(_xlfn._xlws.FILTER(CY137:DL137,CY137:DL137&lt;BW137))</f>
        <v>-3.9518266295414124E-3</v>
      </c>
      <c r="DO137" s="16" cm="1">
        <f t="array" aca="1" ref="DO137" ca="1">MIN(_xlfn._xlws.FILTER(CY137:DL137,CY137:DL137&gt;BW137))</f>
        <v>3.9518266295414124E-3</v>
      </c>
      <c r="DP137" s="2" cm="1">
        <f t="array" aca="1" ref="DP137" ca="1">_FV(EE137,"Fechamento anterior",TRUE)</f>
        <v>9.07</v>
      </c>
      <c r="DQ137" s="28">
        <f t="shared" ca="1" si="162"/>
        <v>0.77899397817015914</v>
      </c>
      <c r="DR137" s="15">
        <f t="shared" ca="1" si="151"/>
        <v>9.0341569324700597</v>
      </c>
      <c r="DS137" s="15">
        <f t="shared" ca="1" si="152"/>
        <v>9.1058430675299409</v>
      </c>
      <c r="DT137" s="9"/>
      <c r="DU137" s="9"/>
      <c r="DV137" s="9"/>
      <c r="DW137" s="89">
        <v>7.2696878980941099E-3</v>
      </c>
      <c r="DX137" s="89">
        <f t="shared" ca="1" si="163"/>
        <v>7.9036532590828247E-3</v>
      </c>
      <c r="DY137" s="72">
        <f t="shared" ca="1" si="164"/>
        <v>0.50020420666566179</v>
      </c>
      <c r="DZ137" s="37"/>
      <c r="EA137" s="35">
        <f t="shared" si="174"/>
        <v>0.20991426821443057</v>
      </c>
      <c r="EB137" s="56"/>
      <c r="EC137" s="56"/>
      <c r="EE137" s="2" t="e" vm="136">
        <v>#VALUE!</v>
      </c>
      <c r="EG137" s="10" cm="1">
        <f t="array" aca="1" ref="EG137" ca="1">_FV(EE137,"Ações em circulação",TRUE)</f>
        <v>993705800</v>
      </c>
      <c r="EH137" s="18">
        <f>VLOOKUP(BR137,Fundamentus!A:U,5,FALSE)</f>
        <v>0.14000000000000001</v>
      </c>
      <c r="EI137" s="2">
        <f t="shared" ca="1" si="165"/>
        <v>64519898014.285706</v>
      </c>
      <c r="EJ137" s="17">
        <v>3135667043.4942851</v>
      </c>
      <c r="EK137" s="17">
        <f t="shared" ca="1" si="166"/>
        <v>3135667043.4942851</v>
      </c>
      <c r="EM137" s="16">
        <f t="shared" ca="1" si="153"/>
        <v>0</v>
      </c>
      <c r="EN137" s="32" t="str">
        <f>IF(VLOOKUP(BR137,Fundamentus!A:U,3,FALSE)&lt;15,"Bom",IF(VLOOKUP(BR137,Fundamentus!A:U,3,FALSE)&gt;15,"Ruim","n/a"))</f>
        <v>Bom</v>
      </c>
      <c r="EO137" s="28" t="str">
        <f>IF(VLOOKUP(BR137,Fundamentus!A:U,4,FALSE)&lt;1,"Baixo",IF(VLOOKUP(BR137,Fundamentus!A:U,4,FALSE)&lt;1.5,"Moderado",IF(VLOOKUP(BR137,Fundamentus!A:U,4,FALSE)&gt;1.5,"Alto","n/a")))</f>
        <v>Baixo</v>
      </c>
      <c r="EP137" s="17" t="str">
        <f>IF(VLOOKUP(BR137,Fundamentus!A:U,8,FALSE)&lt;0,"Risco elevado",IF(VLOOKUP(BR137,Fundamentus!A:U,8,FALSE)&lt;1,"Saudável",IF(VLOOKUP(BR137,Fundamentus!A:U,8,FALSE)&lt;3,"Estável",IF(VLOOKUP(BR137,Fundamentus!A:U,8,FALSE)&gt;3,"Alerta","n/a"))))</f>
        <v>Saudável</v>
      </c>
      <c r="EQ137" s="28" t="str">
        <f t="shared" si="167"/>
        <v>Ruim</v>
      </c>
      <c r="ER137" s="17" t="str">
        <f>IF(VLOOKUP(BR137,Fundamentus!A:U,12,FALSE)&lt;2,"Subvalorizada",IF(VLOOKUP(BR137,Fundamentus!A:U,12,FALSE)&lt;6,"Muita barata",IF(VLOOKUP(BR137,Fundamentus!A:U,12,FALSE)&lt;6,"Barata",IF(VLOOKUP(BR137,Fundamentus!A:U,12,FALSE)&lt;8,"Atrativa",IF(VLOOKUP(BR137,Fundamentus!A:U,12,FALSE)&gt;8,"Supervalorizada","n/a")))))</f>
        <v>Subvalorizada</v>
      </c>
      <c r="ET137" s="17" t="str">
        <f>IF(VLOOKUP(BR137,Fundamentus!A:U,17,FALSE)&lt;0.1,"Fraco retorno",IF(VLOOKUP(BR137,Fundamentus!A:U,17,FALSE)&gt;0.1,"Bom retorno","n/a"))</f>
        <v>Fraco retorno</v>
      </c>
      <c r="EU137" s="17" t="str">
        <f>IF(VLOOKUP(BR137,Fundamentus!A:U,16,FALSE)&lt;0.1,"Ineficiente",IF(VLOOKUP(BR137,Fundamentus!A:U,16,FALSE)&gt;0.1,"Eficiente","n/a"))</f>
        <v>Ineficiente</v>
      </c>
      <c r="EV137" s="33" t="str">
        <f>IF(VLOOKUP(BR137,Fundamentus!A:U,16,FALSE)&lt;0.1,"Oper. Ineficiente",IF(VLOOKUP(BR137,Fundamentus!A:U,16,FALSE)&gt;0.1,"Oper.Eficiente","n/a"))</f>
        <v>Oper. Ineficiente</v>
      </c>
      <c r="EW137" s="34">
        <f>VLOOKUP(BR137,Fundamentus!A:U,14,FALSE)</f>
        <v>4.8599999999999997E-2</v>
      </c>
      <c r="EX137" s="17" t="str">
        <f>IF(VLOOKUP(BR137,Fundamentus!A:U,21,FALSE)&lt;0,"Negativo",IF(VLOOKUP(BR137,Fundamentus!A:U,21,FALSE)&lt;0.05,"Fraco",IF(VLOOKUP(BR137,Fundamentus!A:U,21,FALSE)&lt;0.1,"Bom",IF(VLOOKUP(BR137,Fundamentus!A:U,21,FALSE)&gt;0.1,"Muito bom","n/a"))))</f>
        <v>Fraco</v>
      </c>
      <c r="EZ137" s="29" t="str">
        <f>IF(VLOOKUP(BR137,Fundamentus!A:U,15,FALSE)&gt;1,"Bom",IF(VLOOKUP(BR137,Fundamentus!A:U,15,FALSE)&lt;1,"Ruim","n/a"))</f>
        <v>Bom</v>
      </c>
      <c r="FA137" s="17" t="str">
        <f>IF(VLOOKUP(BR137,Fundamentus!A:U,20,FALSE)&lt;0.5,"Baixa",IF(VLOOKUP(BR137,Fundamentus!A:U,20,FALSE)&lt;1,"Moderada",IF(VLOOKUP(BR137,Fundamentus!A:U,20,FALSE)&lt;2,"Alerta",IF(VLOOKUP(BR137,Fundamentus!A:U,20,FALSE)&gt;2,"Alta","n/a"))))</f>
        <v>Moderada</v>
      </c>
      <c r="FB137" s="10"/>
    </row>
    <row r="138" spans="1:158" s="2" customFormat="1" ht="11.25"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5">
        <v>3.75</v>
      </c>
      <c r="BC138" s="52">
        <v>4.09</v>
      </c>
      <c r="BD138" s="52">
        <v>4.05</v>
      </c>
      <c r="BE138" s="52">
        <v>3.85</v>
      </c>
      <c r="BF138" s="52">
        <v>3.99</v>
      </c>
      <c r="BG138" s="67">
        <v>3.98</v>
      </c>
      <c r="BH138" s="52">
        <v>3.83</v>
      </c>
      <c r="BI138" s="52">
        <v>3.95</v>
      </c>
      <c r="BJ138" s="52">
        <v>4</v>
      </c>
      <c r="BK138" s="52">
        <v>4.33</v>
      </c>
      <c r="BL138" s="52">
        <v>4.25</v>
      </c>
      <c r="BM138" s="52">
        <v>4.3</v>
      </c>
      <c r="BN138" s="52">
        <v>4</v>
      </c>
      <c r="BO138" s="52">
        <v>4.03</v>
      </c>
      <c r="BP138" s="52">
        <v>4</v>
      </c>
      <c r="BQ138" s="52" cm="1">
        <f t="array" aca="1" ref="BQ138" ca="1">_FV(EE138,"Preço")</f>
        <v>4</v>
      </c>
      <c r="BR138" s="69" t="s">
        <v>134</v>
      </c>
      <c r="BS138" s="36" t="e" cm="1" vm="3">
        <f t="array" ref="BS138">_FV(EE138,"Média de volume",TRUE)</f>
        <v>#VALUE!</v>
      </c>
      <c r="BT138" s="36">
        <v>100</v>
      </c>
      <c r="BU138" s="36" cm="1">
        <f t="array" aca="1" ref="BU138" ca="1">_FV(EE138,"Volume")</f>
        <v>100</v>
      </c>
      <c r="BV138" s="24" t="e" cm="1" vm="137">
        <f t="array" ref="BV138">_FV(EE138,"Beta")</f>
        <v>#VALUE!</v>
      </c>
      <c r="BW138" s="71" cm="1">
        <f t="array" aca="1" ref="BW138" ca="1">_FV(EE138,"Variação (%)",TRUE)</f>
        <v>1.7811999999999998E-2</v>
      </c>
      <c r="BY138" s="17" cm="1">
        <f t="array" aca="1" ref="BY138" ca="1">_FV(EE138,"Baixo")</f>
        <v>4</v>
      </c>
      <c r="BZ138" s="17" cm="1">
        <f t="array" aca="1" ref="BZ138" ca="1">_FV(EE138,"Alto")</f>
        <v>4</v>
      </c>
      <c r="CA138" s="24"/>
      <c r="CB138" s="63" t="e">
        <f ca="1">SQRT(22.5*(BQ138/VLOOKUP(BR138,Fundamentus!A:U,3,FALSE))*(BQ138/VLOOKUP(BR138,Fundamentus!A:U,4,FALSE)))</f>
        <v>#NUM!</v>
      </c>
      <c r="CD138" s="62">
        <f t="shared" ca="1" si="168"/>
        <v>0</v>
      </c>
      <c r="CE138" s="8"/>
      <c r="CF138" s="61">
        <f t="shared" si="169"/>
        <v>3.73</v>
      </c>
      <c r="CG138" s="61">
        <f t="shared" si="170"/>
        <v>4.57</v>
      </c>
      <c r="CH138" s="61">
        <f t="shared" si="171"/>
        <v>4.0845588235294121</v>
      </c>
      <c r="CI138" s="14"/>
      <c r="CJ138" s="35">
        <f t="shared" si="154"/>
        <v>3.58689210726771</v>
      </c>
      <c r="CK138" s="15">
        <f t="shared" si="172"/>
        <v>3.8650000000000091</v>
      </c>
      <c r="CL138" s="35">
        <f t="shared" si="155"/>
        <v>4.1431078927323082</v>
      </c>
      <c r="CN138" s="14"/>
      <c r="CO138" s="17">
        <f t="shared" si="156"/>
        <v>2.7900000000000005</v>
      </c>
      <c r="CP138" s="17">
        <f t="shared" si="157"/>
        <v>3.2600000000000002</v>
      </c>
      <c r="CQ138" s="17">
        <f t="shared" si="158"/>
        <v>3.6300000000000008</v>
      </c>
      <c r="CR138" s="38">
        <f t="shared" si="173"/>
        <v>4.1000000000000005</v>
      </c>
      <c r="CS138" s="17">
        <f t="shared" si="159"/>
        <v>4.4700000000000006</v>
      </c>
      <c r="CT138" s="17">
        <f t="shared" si="160"/>
        <v>4.9400000000000013</v>
      </c>
      <c r="CU138" s="17">
        <f t="shared" si="161"/>
        <v>5.3100000000000014</v>
      </c>
      <c r="CV138" s="2" cm="1">
        <f t="array" aca="1" ref="CV138" ca="1">MAX(_xlfn._xlws.FILTER(CO138:CU138,CO138:CU138&lt;BQ138))</f>
        <v>3.6300000000000008</v>
      </c>
      <c r="CW138" s="2" cm="1">
        <f t="array" aca="1" ref="CW138" ca="1">MIN(_xlfn._xlws.FILTER($CO138:$CU138,$CO138:$CU138&gt;BQ138))</f>
        <v>4.1000000000000005</v>
      </c>
      <c r="CX138" s="16">
        <f t="shared" ca="1" si="136"/>
        <v>0.12947658402203843</v>
      </c>
      <c r="CY138" s="20">
        <f t="shared" ca="1" si="137"/>
        <v>-6.4738292011019216E-2</v>
      </c>
      <c r="CZ138" s="20">
        <f t="shared" ca="1" si="138"/>
        <v>-4.3158861340679477E-2</v>
      </c>
      <c r="DA138" s="20">
        <f t="shared" ca="1" si="139"/>
        <v>-2.5895316804407688E-2</v>
      </c>
      <c r="DB138" s="20">
        <f t="shared" ca="1" si="140"/>
        <v>-1.4386287113559826E-2</v>
      </c>
      <c r="DC138" s="20">
        <f t="shared" ca="1" si="141"/>
        <v>-7.6162696483552022E-3</v>
      </c>
      <c r="DD138" s="20">
        <f t="shared" ca="1" si="142"/>
        <v>-3.92353284915268E-3</v>
      </c>
      <c r="DE138" s="20">
        <f t="shared" ca="1" si="143"/>
        <v>-1.9919474464928991E-3</v>
      </c>
      <c r="DF138" s="21">
        <f t="shared" ca="1" si="144"/>
        <v>1.9919474464928991E-3</v>
      </c>
      <c r="DG138" s="21">
        <f t="shared" ca="1" si="145"/>
        <v>3.92353284915268E-3</v>
      </c>
      <c r="DH138" s="21">
        <f t="shared" ca="1" si="146"/>
        <v>7.6162696483552022E-3</v>
      </c>
      <c r="DI138" s="21">
        <f t="shared" ca="1" si="147"/>
        <v>1.4386287113559826E-2</v>
      </c>
      <c r="DJ138" s="21">
        <f t="shared" ca="1" si="148"/>
        <v>2.5895316804407688E-2</v>
      </c>
      <c r="DK138" s="21">
        <f t="shared" ca="1" si="149"/>
        <v>4.3158861340679477E-2</v>
      </c>
      <c r="DL138" s="21">
        <f t="shared" ca="1" si="150"/>
        <v>6.4738292011019216E-2</v>
      </c>
      <c r="DN138" s="16" cm="1">
        <f t="array" aca="1" ref="DN138" ca="1">MAX(_xlfn._xlws.FILTER(CY138:DL138,CY138:DL138&lt;BW138))</f>
        <v>1.4386287113559826E-2</v>
      </c>
      <c r="DO138" s="16" cm="1">
        <f t="array" aca="1" ref="DO138" ca="1">MIN(_xlfn._xlws.FILTER(CY138:DL138,CY138:DL138&gt;BW138))</f>
        <v>2.5895316804407688E-2</v>
      </c>
      <c r="DP138" s="2" cm="1">
        <f t="array" aca="1" ref="DP138" ca="1">_FV(EE138,"Fechamento anterior",TRUE)</f>
        <v>3.93</v>
      </c>
      <c r="DQ138" s="28">
        <f t="shared" ca="1" si="162"/>
        <v>0.29762871528341783</v>
      </c>
      <c r="DR138" s="15">
        <f t="shared" ca="1" si="151"/>
        <v>3.9865381083562901</v>
      </c>
      <c r="DS138" s="15">
        <f t="shared" ca="1" si="152"/>
        <v>4.0317685950413225</v>
      </c>
      <c r="DT138" s="9"/>
      <c r="DU138" s="9"/>
      <c r="DV138" s="9"/>
      <c r="DW138" s="89">
        <v>3.877766069546889E-3</v>
      </c>
      <c r="DX138" s="89">
        <f t="shared" ca="1" si="163"/>
        <v>1.1509029690847862E-2</v>
      </c>
      <c r="DY138" s="72">
        <f t="shared" ca="1" si="164"/>
        <v>0.48542311645192726</v>
      </c>
      <c r="DZ138" s="37"/>
      <c r="EA138" s="35">
        <f t="shared" si="174"/>
        <v>0.13905394636614951</v>
      </c>
      <c r="EB138" s="56"/>
      <c r="EC138" s="56"/>
      <c r="EE138" s="2" t="e" vm="138">
        <v>#VALUE!</v>
      </c>
      <c r="EG138" s="10" cm="1">
        <f t="array" aca="1" ref="EG138" ca="1">_FV(EE138,"Ações em circulação",TRUE)</f>
        <v>75645290</v>
      </c>
      <c r="EH138" s="18">
        <f>VLOOKUP(BR138,Fundamentus!A:U,5,FALSE)</f>
        <v>0.50700000000000001</v>
      </c>
      <c r="EI138" s="2">
        <f t="shared" ca="1" si="165"/>
        <v>596807021.69625247</v>
      </c>
      <c r="EJ138" s="17">
        <v>-3879245.641025641</v>
      </c>
      <c r="EK138" s="17">
        <f t="shared" ca="1" si="166"/>
        <v>-3879245.641025641</v>
      </c>
      <c r="EM138" s="16">
        <f t="shared" ca="1" si="153"/>
        <v>0</v>
      </c>
      <c r="EN138" s="32" t="str">
        <f>IF(VLOOKUP(BR138,Fundamentus!A:U,3,FALSE)&lt;15,"Bom",IF(VLOOKUP(BR138,Fundamentus!A:U,3,FALSE)&gt;15,"Ruim","n/a"))</f>
        <v>Bom</v>
      </c>
      <c r="EO138" s="28" t="str">
        <f>IF(VLOOKUP(BR138,Fundamentus!A:U,4,FALSE)&lt;1,"Baixo",IF(VLOOKUP(BR138,Fundamentus!A:U,4,FALSE)&lt;1.5,"Moderado",IF(VLOOKUP(BR138,Fundamentus!A:U,4,FALSE)&gt;1.5,"Alto","n/a")))</f>
        <v>Baixo</v>
      </c>
      <c r="EP138" s="17" t="str">
        <f>IF(VLOOKUP(BR138,Fundamentus!A:U,8,FALSE)&lt;0,"Risco elevado",IF(VLOOKUP(BR138,Fundamentus!A:U,8,FALSE)&lt;1,"Saudável",IF(VLOOKUP(BR138,Fundamentus!A:U,8,FALSE)&lt;3,"Estável",IF(VLOOKUP(BR138,Fundamentus!A:U,8,FALSE)&gt;3,"Alerta","n/a"))))</f>
        <v>Saudável</v>
      </c>
      <c r="EQ138" s="28" t="str">
        <f t="shared" si="167"/>
        <v>Ruim</v>
      </c>
      <c r="ER138" s="17" t="str">
        <f>IF(VLOOKUP(BR138,Fundamentus!A:U,12,FALSE)&lt;2,"Subvalorizada",IF(VLOOKUP(BR138,Fundamentus!A:U,12,FALSE)&lt;6,"Muita barata",IF(VLOOKUP(BR138,Fundamentus!A:U,12,FALSE)&lt;6,"Barata",IF(VLOOKUP(BR138,Fundamentus!A:U,12,FALSE)&lt;8,"Atrativa",IF(VLOOKUP(BR138,Fundamentus!A:U,12,FALSE)&gt;8,"Supervalorizada","n/a")))))</f>
        <v>Subvalorizada</v>
      </c>
      <c r="ET138" s="17" t="str">
        <f>IF(VLOOKUP(BR138,Fundamentus!A:U,17,FALSE)&lt;0.1,"Fraco retorno",IF(VLOOKUP(BR138,Fundamentus!A:U,17,FALSE)&gt;0.1,"Bom retorno","n/a"))</f>
        <v>Fraco retorno</v>
      </c>
      <c r="EU138" s="17" t="str">
        <f>IF(VLOOKUP(BR138,Fundamentus!A:U,16,FALSE)&lt;0.1,"Ineficiente",IF(VLOOKUP(BR138,Fundamentus!A:U,16,FALSE)&gt;0.1,"Eficiente","n/a"))</f>
        <v>Ineficiente</v>
      </c>
      <c r="EV138" s="33" t="str">
        <f>IF(VLOOKUP(BR138,Fundamentus!A:U,16,FALSE)&lt;0.1,"Oper. Ineficiente",IF(VLOOKUP(BR138,Fundamentus!A:U,16,FALSE)&gt;0.1,"Oper.Eficiente","n/a"))</f>
        <v>Oper. Ineficiente</v>
      </c>
      <c r="EW138" s="34">
        <f>VLOOKUP(BR138,Fundamentus!A:U,14,FALSE)</f>
        <v>-6.4999999999999997E-3</v>
      </c>
      <c r="EX138" s="17" t="str">
        <f>IF(VLOOKUP(BR138,Fundamentus!A:U,21,FALSE)&lt;0,"Negativo",IF(VLOOKUP(BR138,Fundamentus!A:U,21,FALSE)&lt;0.05,"Fraco",IF(VLOOKUP(BR138,Fundamentus!A:U,21,FALSE)&lt;0.1,"Bom",IF(VLOOKUP(BR138,Fundamentus!A:U,21,FALSE)&gt;0.1,"Muito bom","n/a"))))</f>
        <v>Fraco</v>
      </c>
      <c r="EZ138" s="29" t="str">
        <f>IF(VLOOKUP(BR138,Fundamentus!A:U,15,FALSE)&gt;1,"Bom",IF(VLOOKUP(BR138,Fundamentus!A:U,15,FALSE)&lt;1,"Ruim","n/a"))</f>
        <v>Bom</v>
      </c>
      <c r="FA138" s="17" t="str">
        <f>IF(VLOOKUP(BR138,Fundamentus!A:U,20,FALSE)&lt;0.5,"Baixa",IF(VLOOKUP(BR138,Fundamentus!A:U,20,FALSE)&lt;1,"Moderada",IF(VLOOKUP(BR138,Fundamentus!A:U,20,FALSE)&lt;2,"Alerta",IF(VLOOKUP(BR138,Fundamentus!A:U,20,FALSE)&gt;2,"Alta","n/a"))))</f>
        <v>Baixa</v>
      </c>
      <c r="FB138" s="10"/>
    </row>
    <row r="139" spans="1:158" s="2" customFormat="1" ht="11.25"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5">
        <v>20.39</v>
      </c>
      <c r="BC139" s="52">
        <v>20.62</v>
      </c>
      <c r="BD139" s="52">
        <v>21.42</v>
      </c>
      <c r="BE139" s="52">
        <v>20.3</v>
      </c>
      <c r="BF139" s="52">
        <v>20.52</v>
      </c>
      <c r="BG139" s="67">
        <v>21</v>
      </c>
      <c r="BH139" s="52">
        <v>20.79</v>
      </c>
      <c r="BI139" s="52">
        <v>19.899999999999999</v>
      </c>
      <c r="BJ139" s="52">
        <v>19.850000000000001</v>
      </c>
      <c r="BK139" s="52">
        <v>21.88</v>
      </c>
      <c r="BL139" s="52">
        <v>20.399999999999999</v>
      </c>
      <c r="BM139" s="52">
        <v>20.89</v>
      </c>
      <c r="BN139" s="52">
        <v>20.32</v>
      </c>
      <c r="BO139" s="52">
        <v>19.489999999999998</v>
      </c>
      <c r="BP139" s="52">
        <v>19.93</v>
      </c>
      <c r="BQ139" s="52" cm="1">
        <f t="array" aca="1" ref="BQ139" ca="1">_FV(EE139,"Preço")</f>
        <v>19.93</v>
      </c>
      <c r="BR139" s="69" t="s">
        <v>135</v>
      </c>
      <c r="BS139" s="36" cm="1">
        <f t="array" aca="1" ref="BS139" ca="1">_FV(EE139,"Média de volume",TRUE)</f>
        <v>5082470</v>
      </c>
      <c r="BT139" s="36">
        <v>9007500</v>
      </c>
      <c r="BU139" s="36" cm="1">
        <f t="array" aca="1" ref="BU139" ca="1">_FV(EE139,"Volume")</f>
        <v>9007500</v>
      </c>
      <c r="BV139" s="24" cm="1">
        <f t="array" aca="1" ref="BV139" ca="1">_FV(EE139,"Beta")</f>
        <v>1.5538000000000001</v>
      </c>
      <c r="BW139" s="71" cm="1">
        <f t="array" aca="1" ref="BW139" ca="1">_FV(EE139,"Variação (%)",TRUE)</f>
        <v>5.6174000000000002E-2</v>
      </c>
      <c r="BY139" s="17" cm="1">
        <f t="array" aca="1" ref="BY139" ca="1">_FV(EE139,"Baixo")</f>
        <v>18.68</v>
      </c>
      <c r="BZ139" s="17" cm="1">
        <f t="array" aca="1" ref="BZ139" ca="1">_FV(EE139,"Alto")</f>
        <v>20.190000000000001</v>
      </c>
      <c r="CA139" s="24"/>
      <c r="CB139" s="63">
        <f ca="1">SQRT(22.5*(BQ139/VLOOKUP(BR139,Fundamentus!A:U,3,FALSE))*(BQ139/VLOOKUP(BR139,Fundamentus!A:U,4,FALSE)))</f>
        <v>20.259533848692737</v>
      </c>
      <c r="CD139" s="62">
        <f t="shared" ca="1" si="168"/>
        <v>0</v>
      </c>
      <c r="CE139" s="8"/>
      <c r="CF139" s="61">
        <f t="shared" si="169"/>
        <v>16.72</v>
      </c>
      <c r="CG139" s="61">
        <f t="shared" si="170"/>
        <v>28.32</v>
      </c>
      <c r="CH139" s="61">
        <f t="shared" si="171"/>
        <v>21.875588235294124</v>
      </c>
      <c r="CI139" s="14"/>
      <c r="CJ139" s="35">
        <f t="shared" si="154"/>
        <v>17.662091839424278</v>
      </c>
      <c r="CK139" s="15">
        <f t="shared" si="172"/>
        <v>19.230000000000018</v>
      </c>
      <c r="CL139" s="35">
        <f t="shared" si="155"/>
        <v>20.797908160575759</v>
      </c>
      <c r="CN139" s="14"/>
      <c r="CO139" s="17">
        <f t="shared" si="156"/>
        <v>3.3933333333333309</v>
      </c>
      <c r="CP139" s="17">
        <f t="shared" si="157"/>
        <v>10.056666666666665</v>
      </c>
      <c r="CQ139" s="17">
        <f t="shared" si="158"/>
        <v>14.993333333333332</v>
      </c>
      <c r="CR139" s="38">
        <f t="shared" si="173"/>
        <v>21.656666666666666</v>
      </c>
      <c r="CS139" s="17">
        <f t="shared" si="159"/>
        <v>26.593333333333334</v>
      </c>
      <c r="CT139" s="17">
        <f t="shared" si="160"/>
        <v>33.256666666666668</v>
      </c>
      <c r="CU139" s="17">
        <f t="shared" si="161"/>
        <v>38.193333333333335</v>
      </c>
      <c r="CV139" s="2" cm="1">
        <f t="array" aca="1" ref="CV139" ca="1">MAX(_xlfn._xlws.FILTER(CO139:CU139,CO139:CU139&lt;BQ139))</f>
        <v>14.993333333333332</v>
      </c>
      <c r="CW139" s="2" cm="1">
        <f t="array" aca="1" ref="CW139" ca="1">MIN(_xlfn._xlws.FILTER($CO139:$CU139,$CO139:$CU139&gt;BQ139))</f>
        <v>21.656666666666666</v>
      </c>
      <c r="CX139" s="16">
        <f t="shared" ca="1" si="136"/>
        <v>0.44441974210760349</v>
      </c>
      <c r="CY139" s="20">
        <f t="shared" ca="1" si="137"/>
        <v>-0.22220987105380174</v>
      </c>
      <c r="CZ139" s="20">
        <f t="shared" ca="1" si="138"/>
        <v>-0.14813991403586782</v>
      </c>
      <c r="DA139" s="20">
        <f t="shared" ca="1" si="139"/>
        <v>-8.8883948421520698E-2</v>
      </c>
      <c r="DB139" s="20">
        <f t="shared" ca="1" si="140"/>
        <v>-4.9379971345289278E-2</v>
      </c>
      <c r="DC139" s="20">
        <f t="shared" ca="1" si="141"/>
        <v>-2.6142337771035501E-2</v>
      </c>
      <c r="DD139" s="20">
        <f t="shared" ca="1" si="142"/>
        <v>-1.3467264912351621E-2</v>
      </c>
      <c r="DE139" s="20">
        <f t="shared" ca="1" si="143"/>
        <v>-6.8372268016554383E-3</v>
      </c>
      <c r="DF139" s="21">
        <f t="shared" ca="1" si="144"/>
        <v>6.8372268016554383E-3</v>
      </c>
      <c r="DG139" s="21">
        <f t="shared" ca="1" si="145"/>
        <v>1.3467264912351621E-2</v>
      </c>
      <c r="DH139" s="21">
        <f t="shared" ca="1" si="146"/>
        <v>2.6142337771035501E-2</v>
      </c>
      <c r="DI139" s="21">
        <f t="shared" ca="1" si="147"/>
        <v>4.9379971345289278E-2</v>
      </c>
      <c r="DJ139" s="21">
        <f t="shared" ca="1" si="148"/>
        <v>8.8883948421520698E-2</v>
      </c>
      <c r="DK139" s="21">
        <f t="shared" ca="1" si="149"/>
        <v>0.14813991403586782</v>
      </c>
      <c r="DL139" s="21">
        <f t="shared" ca="1" si="150"/>
        <v>0.22220987105380174</v>
      </c>
      <c r="DN139" s="16" cm="1">
        <f t="array" aca="1" ref="DN139" ca="1">MAX(_xlfn._xlws.FILTER(CY139:DL139,CY139:DL139&lt;BW139))</f>
        <v>4.9379971345289278E-2</v>
      </c>
      <c r="DO139" s="16" cm="1">
        <f t="array" aca="1" ref="DO139" ca="1">MIN(_xlfn._xlws.FILTER(CY139:DL139,CY139:DL139&gt;BW139))</f>
        <v>8.8883948421520698E-2</v>
      </c>
      <c r="DP139" s="2" cm="1">
        <f t="array" aca="1" ref="DP139" ca="1">_FV(EE139,"Fechamento anterior",TRUE)</f>
        <v>18.87</v>
      </c>
      <c r="DQ139" s="28">
        <f t="shared" ca="1" si="162"/>
        <v>0.17197887497007289</v>
      </c>
      <c r="DR139" s="15">
        <f t="shared" ca="1" si="151"/>
        <v>19.801800059285611</v>
      </c>
      <c r="DS139" s="15">
        <f t="shared" ca="1" si="152"/>
        <v>20.547240106714096</v>
      </c>
      <c r="DT139" s="9"/>
      <c r="DU139" s="9"/>
      <c r="DV139" s="9"/>
      <c r="DW139" s="89">
        <v>1.4254317111459962E-2</v>
      </c>
      <c r="DX139" s="89">
        <f t="shared" ca="1" si="163"/>
        <v>3.950397707623142E-2</v>
      </c>
      <c r="DY139" s="72">
        <f t="shared" ca="1" si="164"/>
        <v>0.44645472075541692</v>
      </c>
      <c r="DZ139" s="37"/>
      <c r="EA139" s="35">
        <f t="shared" si="174"/>
        <v>0.78395408028787017</v>
      </c>
      <c r="EB139" s="56"/>
      <c r="EC139" s="56"/>
      <c r="EE139" s="2" t="e" vm="139">
        <v>#VALUE!</v>
      </c>
      <c r="EG139" s="10" cm="1">
        <f t="array" aca="1" ref="EG139" ca="1">_FV(EE139,"Ações em circulação",TRUE)</f>
        <v>1682473000</v>
      </c>
      <c r="EH139" s="18">
        <f>VLOOKUP(BR139,Fundamentus!A:U,5,FALSE)</f>
        <v>0.57599999999999996</v>
      </c>
      <c r="EI139" s="2">
        <f t="shared" ca="1" si="165"/>
        <v>58214734184.027779</v>
      </c>
      <c r="EJ139" s="17">
        <v>3923673084.0034723</v>
      </c>
      <c r="EK139" s="17">
        <f t="shared" ca="1" si="166"/>
        <v>3923673084.0034723</v>
      </c>
      <c r="EM139" s="16">
        <f t="shared" ca="1" si="153"/>
        <v>0</v>
      </c>
      <c r="EN139" s="32" t="str">
        <f>IF(VLOOKUP(BR139,Fundamentus!A:U,3,FALSE)&lt;15,"Bom",IF(VLOOKUP(BR139,Fundamentus!A:U,3,FALSE)&gt;15,"Ruim","n/a"))</f>
        <v>Bom</v>
      </c>
      <c r="EO139" s="28" t="str">
        <f>IF(VLOOKUP(BR139,Fundamentus!A:U,4,FALSE)&lt;1,"Baixo",IF(VLOOKUP(BR139,Fundamentus!A:U,4,FALSE)&lt;1.5,"Moderado",IF(VLOOKUP(BR139,Fundamentus!A:U,4,FALSE)&gt;1.5,"Alto","n/a")))</f>
        <v>Alto</v>
      </c>
      <c r="EP139" s="17" t="str">
        <f>IF(VLOOKUP(BR139,Fundamentus!A:U,8,FALSE)&lt;0,"Risco elevado",IF(VLOOKUP(BR139,Fundamentus!A:U,8,FALSE)&lt;1,"Saudável",IF(VLOOKUP(BR139,Fundamentus!A:U,8,FALSE)&lt;3,"Estável",IF(VLOOKUP(BR139,Fundamentus!A:U,8,FALSE)&gt;3,"Alerta","n/a"))))</f>
        <v>Alerta</v>
      </c>
      <c r="EQ139" s="28" t="str">
        <f t="shared" si="167"/>
        <v>Ruim</v>
      </c>
      <c r="ER139" s="17" t="str">
        <f>IF(VLOOKUP(BR139,Fundamentus!A:U,12,FALSE)&lt;2,"Subvalorizada",IF(VLOOKUP(BR139,Fundamentus!A:U,12,FALSE)&lt;6,"Muita barata",IF(VLOOKUP(BR139,Fundamentus!A:U,12,FALSE)&lt;6,"Barata",IF(VLOOKUP(BR139,Fundamentus!A:U,12,FALSE)&lt;8,"Atrativa",IF(VLOOKUP(BR139,Fundamentus!A:U,12,FALSE)&gt;8,"Supervalorizada","n/a")))))</f>
        <v>Muita barata</v>
      </c>
      <c r="ET139" s="17" t="str">
        <f>IF(VLOOKUP(BR139,Fundamentus!A:U,17,FALSE)&lt;0.1,"Fraco retorno",IF(VLOOKUP(BR139,Fundamentus!A:U,17,FALSE)&gt;0.1,"Bom retorno","n/a"))</f>
        <v>Bom retorno</v>
      </c>
      <c r="EU139" s="17" t="str">
        <f>IF(VLOOKUP(BR139,Fundamentus!A:U,16,FALSE)&lt;0.1,"Ineficiente",IF(VLOOKUP(BR139,Fundamentus!A:U,16,FALSE)&gt;0.1,"Eficiente","n/a"))</f>
        <v>Eficiente</v>
      </c>
      <c r="EV139" s="33" t="str">
        <f>IF(VLOOKUP(BR139,Fundamentus!A:U,16,FALSE)&lt;0.1,"Oper. Ineficiente",IF(VLOOKUP(BR139,Fundamentus!A:U,16,FALSE)&gt;0.1,"Oper.Eficiente","n/a"))</f>
        <v>Oper.Eficiente</v>
      </c>
      <c r="EW139" s="34">
        <f>VLOOKUP(BR139,Fundamentus!A:U,14,FALSE)</f>
        <v>6.7400000000000002E-2</v>
      </c>
      <c r="EX139" s="17" t="str">
        <f>IF(VLOOKUP(BR139,Fundamentus!A:U,21,FALSE)&lt;0,"Negativo",IF(VLOOKUP(BR139,Fundamentus!A:U,21,FALSE)&lt;0.05,"Fraco",IF(VLOOKUP(BR139,Fundamentus!A:U,21,FALSE)&lt;0.1,"Bom",IF(VLOOKUP(BR139,Fundamentus!A:U,21,FALSE)&gt;0.1,"Muito bom","n/a"))))</f>
        <v>Bom</v>
      </c>
      <c r="EZ139" s="29" t="str">
        <f>IF(VLOOKUP(BR139,Fundamentus!A:U,15,FALSE)&gt;1,"Bom",IF(VLOOKUP(BR139,Fundamentus!A:U,15,FALSE)&lt;1,"Ruim","n/a"))</f>
        <v>Bom</v>
      </c>
      <c r="FA139" s="17" t="str">
        <f>IF(VLOOKUP(BR139,Fundamentus!A:U,20,FALSE)&lt;0.5,"Baixa",IF(VLOOKUP(BR139,Fundamentus!A:U,20,FALSE)&lt;1,"Moderada",IF(VLOOKUP(BR139,Fundamentus!A:U,20,FALSE)&lt;2,"Alerta",IF(VLOOKUP(BR139,Fundamentus!A:U,20,FALSE)&gt;2,"Alta","n/a"))))</f>
        <v>Alerta</v>
      </c>
      <c r="FB139" s="10"/>
    </row>
    <row r="140" spans="1:158" s="2" customFormat="1" ht="11.25"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5">
        <v>14.28</v>
      </c>
      <c r="BC140" s="52">
        <v>14.47</v>
      </c>
      <c r="BD140" s="52">
        <v>13.91</v>
      </c>
      <c r="BE140" s="52">
        <v>14.7</v>
      </c>
      <c r="BF140" s="52">
        <v>14.01</v>
      </c>
      <c r="BG140" s="67">
        <v>14.87</v>
      </c>
      <c r="BH140" s="52">
        <v>15.67</v>
      </c>
      <c r="BI140" s="52">
        <v>16</v>
      </c>
      <c r="BJ140" s="52">
        <v>15.12</v>
      </c>
      <c r="BK140" s="52">
        <v>14.28</v>
      </c>
      <c r="BL140" s="52">
        <v>14.55</v>
      </c>
      <c r="BM140" s="52">
        <v>15.15</v>
      </c>
      <c r="BN140" s="52">
        <v>13.99</v>
      </c>
      <c r="BO140" s="52">
        <v>12.86</v>
      </c>
      <c r="BP140" s="52">
        <v>12.52</v>
      </c>
      <c r="BQ140" s="52" cm="1">
        <f t="array" aca="1" ref="BQ140" ca="1">_FV(EE140,"Preço")</f>
        <v>12.52</v>
      </c>
      <c r="BR140" s="69" t="s">
        <v>136</v>
      </c>
      <c r="BS140" s="36" cm="1">
        <f t="array" aca="1" ref="BS140" ca="1">_FV(EE140,"Média de volume",TRUE)</f>
        <v>2024460</v>
      </c>
      <c r="BT140" s="36">
        <v>1678400</v>
      </c>
      <c r="BU140" s="36" cm="1">
        <f t="array" aca="1" ref="BU140" ca="1">_FV(EE140,"Volume")</f>
        <v>1678400</v>
      </c>
      <c r="BV140" s="24" cm="1">
        <f t="array" aca="1" ref="BV140" ca="1">_FV(EE140,"Beta")</f>
        <v>1.2475000000000001</v>
      </c>
      <c r="BW140" s="71" cm="1">
        <f t="array" aca="1" ref="BW140" ca="1">_FV(EE140,"Variação (%)",TRUE)</f>
        <v>-5.5600000000000007E-3</v>
      </c>
      <c r="BY140" s="17" cm="1">
        <f t="array" aca="1" ref="BY140" ca="1">_FV(EE140,"Baixo")</f>
        <v>12.44</v>
      </c>
      <c r="BZ140" s="17" cm="1">
        <f t="array" aca="1" ref="BZ140" ca="1">_FV(EE140,"Alto")</f>
        <v>12.68</v>
      </c>
      <c r="CA140" s="24"/>
      <c r="CB140" s="63">
        <f ca="1">SQRT(22.5*(BQ140/VLOOKUP(BR140,Fundamentus!A:U,3,FALSE))*(BQ140/VLOOKUP(BR140,Fundamentus!A:U,4,FALSE)))</f>
        <v>13.713473582105996</v>
      </c>
      <c r="CD140" s="62">
        <f t="shared" ca="1" si="168"/>
        <v>0</v>
      </c>
      <c r="CE140" s="8"/>
      <c r="CF140" s="61">
        <f t="shared" si="169"/>
        <v>11.6</v>
      </c>
      <c r="CG140" s="61">
        <f t="shared" si="170"/>
        <v>23.76</v>
      </c>
      <c r="CH140" s="61">
        <f t="shared" si="171"/>
        <v>17.17330882352941</v>
      </c>
      <c r="CI140" s="14"/>
      <c r="CJ140" s="35">
        <f t="shared" si="154"/>
        <v>9.8609801850702219</v>
      </c>
      <c r="CK140" s="15">
        <f t="shared" si="172"/>
        <v>11.375</v>
      </c>
      <c r="CL140" s="35">
        <f t="shared" si="155"/>
        <v>12.889019814929778</v>
      </c>
      <c r="CN140" s="14"/>
      <c r="CO140" s="17">
        <f t="shared" si="156"/>
        <v>-4.0000000000000053</v>
      </c>
      <c r="CP140" s="17">
        <f t="shared" si="157"/>
        <v>3.7999999999999972</v>
      </c>
      <c r="CQ140" s="17">
        <f t="shared" si="158"/>
        <v>8.1599999999999966</v>
      </c>
      <c r="CR140" s="38">
        <f t="shared" si="173"/>
        <v>15.959999999999999</v>
      </c>
      <c r="CS140" s="17">
        <f t="shared" si="159"/>
        <v>20.32</v>
      </c>
      <c r="CT140" s="17">
        <f t="shared" si="160"/>
        <v>28.12</v>
      </c>
      <c r="CU140" s="17">
        <f t="shared" si="161"/>
        <v>32.480000000000004</v>
      </c>
      <c r="CV140" s="2" cm="1">
        <f t="array" aca="1" ref="CV140" ca="1">MAX(_xlfn._xlws.FILTER(CO140:CU140,CO140:CU140&lt;BQ140))</f>
        <v>8.1599999999999966</v>
      </c>
      <c r="CW140" s="2" cm="1">
        <f t="array" aca="1" ref="CW140" ca="1">MIN(_xlfn._xlws.FILTER($CO140:$CU140,$CO140:$CU140&gt;BQ140))</f>
        <v>15.959999999999999</v>
      </c>
      <c r="CX140" s="16">
        <f t="shared" ca="1" si="136"/>
        <v>0.95588235294117707</v>
      </c>
      <c r="CY140" s="20">
        <f t="shared" ca="1" si="137"/>
        <v>-0.47794117647058854</v>
      </c>
      <c r="CZ140" s="20">
        <f t="shared" ca="1" si="138"/>
        <v>-0.31862745098039236</v>
      </c>
      <c r="DA140" s="20">
        <f t="shared" ca="1" si="139"/>
        <v>-0.19117647058823542</v>
      </c>
      <c r="DB140" s="20">
        <f t="shared" ca="1" si="140"/>
        <v>-0.10620915032679745</v>
      </c>
      <c r="DC140" s="20">
        <f t="shared" ca="1" si="141"/>
        <v>-5.6228373702422181E-2</v>
      </c>
      <c r="DD140" s="20">
        <f t="shared" ca="1" si="142"/>
        <v>-2.8966131907308398E-2</v>
      </c>
      <c r="DE140" s="20">
        <f t="shared" ca="1" si="143"/>
        <v>-1.4705882352941185E-2</v>
      </c>
      <c r="DF140" s="21">
        <f t="shared" ca="1" si="144"/>
        <v>1.4705882352941185E-2</v>
      </c>
      <c r="DG140" s="21">
        <f t="shared" ca="1" si="145"/>
        <v>2.8966131907308398E-2</v>
      </c>
      <c r="DH140" s="21">
        <f t="shared" ca="1" si="146"/>
        <v>5.6228373702422181E-2</v>
      </c>
      <c r="DI140" s="21">
        <f t="shared" ca="1" si="147"/>
        <v>0.10620915032679745</v>
      </c>
      <c r="DJ140" s="21">
        <f t="shared" ca="1" si="148"/>
        <v>0.19117647058823542</v>
      </c>
      <c r="DK140" s="21">
        <f t="shared" ca="1" si="149"/>
        <v>0.31862745098039236</v>
      </c>
      <c r="DL140" s="21">
        <f t="shared" ca="1" si="150"/>
        <v>0.47794117647058854</v>
      </c>
      <c r="DN140" s="16" cm="1">
        <f t="array" aca="1" ref="DN140" ca="1">MAX(_xlfn._xlws.FILTER(CY140:DL140,CY140:DL140&lt;BW140))</f>
        <v>-1.4705882352941185E-2</v>
      </c>
      <c r="DO140" s="16" cm="1">
        <f t="array" aca="1" ref="DO140" ca="1">MIN(_xlfn._xlws.FILTER(CY140:DL140,CY140:DL140&gt;BW140))</f>
        <v>1.4705882352941185E-2</v>
      </c>
      <c r="DP140" s="2" cm="1">
        <f t="array" aca="1" ref="DP140" ca="1">_FV(EE140,"Fechamento anterior",TRUE)</f>
        <v>12.59</v>
      </c>
      <c r="DQ140" s="28">
        <f t="shared" ca="1" si="162"/>
        <v>0.31096108022239832</v>
      </c>
      <c r="DR140" s="15">
        <f t="shared" ca="1" si="151"/>
        <v>12.40485294117647</v>
      </c>
      <c r="DS140" s="15">
        <f t="shared" ca="1" si="152"/>
        <v>12.77514705882353</v>
      </c>
      <c r="DT140" s="9"/>
      <c r="DU140" s="9"/>
      <c r="DV140" s="9"/>
      <c r="DW140" s="89">
        <v>1.3673237202648967E-2</v>
      </c>
      <c r="DX140" s="89">
        <f t="shared" ca="1" si="163"/>
        <v>2.941176470588237E-2</v>
      </c>
      <c r="DY140" s="72">
        <f t="shared" ca="1" si="164"/>
        <v>0.75626487098063899</v>
      </c>
      <c r="DZ140" s="37"/>
      <c r="EA140" s="35">
        <f t="shared" si="174"/>
        <v>0.75700990746488939</v>
      </c>
      <c r="EB140" s="56"/>
      <c r="EC140" s="56"/>
      <c r="EE140" s="2" t="e" vm="140">
        <v>#VALUE!</v>
      </c>
      <c r="EG140" s="10" cm="1">
        <f t="array" aca="1" ref="EG140" ca="1">_FV(EE140,"Ações em circulação",TRUE)</f>
        <v>327611100</v>
      </c>
      <c r="EH140" s="18">
        <f>VLOOKUP(BR140,Fundamentus!A:U,5,FALSE)</f>
        <v>1.0569999999999999</v>
      </c>
      <c r="EI140" s="2">
        <f t="shared" ca="1" si="165"/>
        <v>3880502338.6944184</v>
      </c>
      <c r="EJ140" s="17">
        <v>364767219.83727533</v>
      </c>
      <c r="EK140" s="17">
        <f t="shared" ca="1" si="166"/>
        <v>364767219.83727533</v>
      </c>
      <c r="EM140" s="16">
        <f t="shared" ca="1" si="153"/>
        <v>0</v>
      </c>
      <c r="EN140" s="32" t="str">
        <f>IF(VLOOKUP(BR140,Fundamentus!A:U,3,FALSE)&lt;15,"Bom",IF(VLOOKUP(BR140,Fundamentus!A:U,3,FALSE)&gt;15,"Ruim","n/a"))</f>
        <v>Bom</v>
      </c>
      <c r="EO140" s="28" t="str">
        <f>IF(VLOOKUP(BR140,Fundamentus!A:U,4,FALSE)&lt;1,"Baixo",IF(VLOOKUP(BR140,Fundamentus!A:U,4,FALSE)&lt;1.5,"Moderado",IF(VLOOKUP(BR140,Fundamentus!A:U,4,FALSE)&gt;1.5,"Alto","n/a")))</f>
        <v>Alto</v>
      </c>
      <c r="EP140" s="17" t="str">
        <f>IF(VLOOKUP(BR140,Fundamentus!A:U,8,FALSE)&lt;0,"Risco elevado",IF(VLOOKUP(BR140,Fundamentus!A:U,8,FALSE)&lt;1,"Saudável",IF(VLOOKUP(BR140,Fundamentus!A:U,8,FALSE)&lt;3,"Estável",IF(VLOOKUP(BR140,Fundamentus!A:U,8,FALSE)&gt;3,"Alerta","n/a"))))</f>
        <v>Estável</v>
      </c>
      <c r="EQ140" s="28" t="str">
        <f t="shared" si="167"/>
        <v>Bom</v>
      </c>
      <c r="ER140" s="17" t="str">
        <f>IF(VLOOKUP(BR140,Fundamentus!A:U,12,FALSE)&lt;2,"Subvalorizada",IF(VLOOKUP(BR140,Fundamentus!A:U,12,FALSE)&lt;6,"Muita barata",IF(VLOOKUP(BR140,Fundamentus!A:U,12,FALSE)&lt;6,"Barata",IF(VLOOKUP(BR140,Fundamentus!A:U,12,FALSE)&lt;8,"Atrativa",IF(VLOOKUP(BR140,Fundamentus!A:U,12,FALSE)&gt;8,"Supervalorizada","n/a")))))</f>
        <v>Supervalorizada</v>
      </c>
      <c r="ET140" s="17" t="str">
        <f>IF(VLOOKUP(BR140,Fundamentus!A:U,17,FALSE)&lt;0.1,"Fraco retorno",IF(VLOOKUP(BR140,Fundamentus!A:U,17,FALSE)&gt;0.1,"Bom retorno","n/a"))</f>
        <v>Bom retorno</v>
      </c>
      <c r="EU140" s="17" t="str">
        <f>IF(VLOOKUP(BR140,Fundamentus!A:U,16,FALSE)&lt;0.1,"Ineficiente",IF(VLOOKUP(BR140,Fundamentus!A:U,16,FALSE)&gt;0.1,"Eficiente","n/a"))</f>
        <v>Eficiente</v>
      </c>
      <c r="EV140" s="33" t="str">
        <f>IF(VLOOKUP(BR140,Fundamentus!A:U,16,FALSE)&lt;0.1,"Oper. Ineficiente",IF(VLOOKUP(BR140,Fundamentus!A:U,16,FALSE)&gt;0.1,"Oper.Eficiente","n/a"))</f>
        <v>Oper.Eficiente</v>
      </c>
      <c r="EW140" s="34">
        <f>VLOOKUP(BR140,Fundamentus!A:U,14,FALSE)</f>
        <v>9.4E-2</v>
      </c>
      <c r="EX140" s="17" t="str">
        <f>IF(VLOOKUP(BR140,Fundamentus!A:U,21,FALSE)&lt;0,"Negativo",IF(VLOOKUP(BR140,Fundamentus!A:U,21,FALSE)&lt;0.05,"Fraco",IF(VLOOKUP(BR140,Fundamentus!A:U,21,FALSE)&lt;0.1,"Bom",IF(VLOOKUP(BR140,Fundamentus!A:U,21,FALSE)&gt;0.1,"Muito bom","n/a"))))</f>
        <v>Muito bom</v>
      </c>
      <c r="EZ140" s="29" t="str">
        <f>IF(VLOOKUP(BR140,Fundamentus!A:U,15,FALSE)&gt;1,"Bom",IF(VLOOKUP(BR140,Fundamentus!A:U,15,FALSE)&lt;1,"Ruim","n/a"))</f>
        <v>Bom</v>
      </c>
      <c r="FA140" s="17" t="str">
        <f>IF(VLOOKUP(BR140,Fundamentus!A:U,20,FALSE)&lt;0.5,"Baixa",IF(VLOOKUP(BR140,Fundamentus!A:U,20,FALSE)&lt;1,"Moderada",IF(VLOOKUP(BR140,Fundamentus!A:U,20,FALSE)&lt;2,"Alerta",IF(VLOOKUP(BR140,Fundamentus!A:U,20,FALSE)&gt;2,"Alta","n/a"))))</f>
        <v>Baixa</v>
      </c>
      <c r="FB140" s="10"/>
    </row>
    <row r="141" spans="1:158" s="2" customFormat="1" ht="11.25"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5">
        <v>4.1399999999999997</v>
      </c>
      <c r="BC141" s="52">
        <v>4.78</v>
      </c>
      <c r="BD141" s="52">
        <v>4.68</v>
      </c>
      <c r="BE141" s="52">
        <v>4.7</v>
      </c>
      <c r="BF141" s="52">
        <v>4.37</v>
      </c>
      <c r="BG141" s="67">
        <v>4.3099999999999996</v>
      </c>
      <c r="BH141" s="52">
        <v>4.2</v>
      </c>
      <c r="BI141" s="52">
        <v>4.84</v>
      </c>
      <c r="BJ141" s="52">
        <v>4.8899999999999997</v>
      </c>
      <c r="BK141" s="52">
        <v>4.9000000000000004</v>
      </c>
      <c r="BL141" s="52">
        <v>4.5</v>
      </c>
      <c r="BM141" s="52">
        <v>4.74</v>
      </c>
      <c r="BN141" s="52">
        <v>4.6500000000000004</v>
      </c>
      <c r="BO141" s="52">
        <v>3.5</v>
      </c>
      <c r="BP141" s="52">
        <v>3.09</v>
      </c>
      <c r="BQ141" s="52" cm="1">
        <f t="array" aca="1" ref="BQ141" ca="1">_FV(EE141,"Preço")</f>
        <v>3.09</v>
      </c>
      <c r="BR141" s="69" t="s">
        <v>137</v>
      </c>
      <c r="BS141" s="36" cm="1">
        <f t="array" aca="1" ref="BS141" ca="1">_FV(EE141,"Média de volume",TRUE)</f>
        <v>11015560</v>
      </c>
      <c r="BT141" s="36">
        <v>6389600</v>
      </c>
      <c r="BU141" s="36" cm="1">
        <f t="array" aca="1" ref="BU141" ca="1">_FV(EE141,"Volume")</f>
        <v>6389600</v>
      </c>
      <c r="BV141" s="24" cm="1">
        <f t="array" aca="1" ref="BV141" ca="1">_FV(EE141,"Beta")</f>
        <v>0.91159999999999997</v>
      </c>
      <c r="BW141" s="71" cm="1">
        <f t="array" aca="1" ref="BW141" ca="1">_FV(EE141,"Variação (%)",TRUE)</f>
        <v>1.6447E-2</v>
      </c>
      <c r="BY141" s="17" cm="1">
        <f t="array" aca="1" ref="BY141" ca="1">_FV(EE141,"Baixo")</f>
        <v>3.01</v>
      </c>
      <c r="BZ141" s="17" cm="1">
        <f t="array" aca="1" ref="BZ141" ca="1">_FV(EE141,"Alto")</f>
        <v>3.12</v>
      </c>
      <c r="CA141" s="24"/>
      <c r="CB141" s="63">
        <f ca="1">SQRT(22.5*(BQ141/VLOOKUP(BR141,Fundamentus!A:U,3,FALSE))*(BQ141/VLOOKUP(BR141,Fundamentus!A:U,4,FALSE)))</f>
        <v>4.1376177860989989</v>
      </c>
      <c r="CD141" s="62">
        <f t="shared" ca="1" si="168"/>
        <v>0</v>
      </c>
      <c r="CE141" s="8"/>
      <c r="CF141" s="61">
        <f t="shared" si="169"/>
        <v>3.09</v>
      </c>
      <c r="CG141" s="61">
        <f t="shared" si="170"/>
        <v>7.4</v>
      </c>
      <c r="CH141" s="61">
        <f t="shared" si="171"/>
        <v>5.2393382352941149</v>
      </c>
      <c r="CI141" s="14"/>
      <c r="CJ141" s="35">
        <f t="shared" si="154"/>
        <v>1.477516246984159</v>
      </c>
      <c r="CK141" s="15">
        <f t="shared" si="172"/>
        <v>2.4699999999997999</v>
      </c>
      <c r="CL141" s="35">
        <f t="shared" si="155"/>
        <v>3.4624837530154409</v>
      </c>
      <c r="CN141" s="14"/>
      <c r="CO141" s="17">
        <f t="shared" si="156"/>
        <v>-2.6566666666666681</v>
      </c>
      <c r="CP141" s="17">
        <f t="shared" si="157"/>
        <v>0.2166666666666659</v>
      </c>
      <c r="CQ141" s="17">
        <f t="shared" si="158"/>
        <v>1.6533333333333324</v>
      </c>
      <c r="CR141" s="38">
        <f t="shared" si="173"/>
        <v>4.5266666666666664</v>
      </c>
      <c r="CS141" s="17">
        <f t="shared" si="159"/>
        <v>5.9633333333333329</v>
      </c>
      <c r="CT141" s="17">
        <f t="shared" si="160"/>
        <v>8.836666666666666</v>
      </c>
      <c r="CU141" s="17">
        <f t="shared" si="161"/>
        <v>10.273333333333333</v>
      </c>
      <c r="CV141" s="2" cm="1">
        <f t="array" aca="1" ref="CV141" ca="1">MAX(_xlfn._xlws.FILTER(CO141:CU141,CO141:CU141&lt;BQ141))</f>
        <v>1.6533333333333324</v>
      </c>
      <c r="CW141" s="2" cm="1">
        <f t="array" aca="1" ref="CW141" ca="1">MIN(_xlfn._xlws.FILTER($CO141:$CU141,$CO141:$CU141&gt;BQ141))</f>
        <v>4.5266666666666664</v>
      </c>
      <c r="CX141" s="16">
        <f t="shared" ca="1" si="136"/>
        <v>1.7379032258064528</v>
      </c>
      <c r="CY141" s="20">
        <f t="shared" ca="1" si="137"/>
        <v>-0.86895161290322642</v>
      </c>
      <c r="CZ141" s="20">
        <f t="shared" ca="1" si="138"/>
        <v>-0.57930107526881758</v>
      </c>
      <c r="DA141" s="20">
        <f t="shared" ca="1" si="139"/>
        <v>-0.34758064516129056</v>
      </c>
      <c r="DB141" s="20">
        <f t="shared" ca="1" si="140"/>
        <v>-0.19310035842293921</v>
      </c>
      <c r="DC141" s="20">
        <f t="shared" ca="1" si="141"/>
        <v>-0.10222960151802664</v>
      </c>
      <c r="DD141" s="20">
        <f t="shared" ca="1" si="142"/>
        <v>-5.2663734115347055E-2</v>
      </c>
      <c r="DE141" s="20">
        <f t="shared" ca="1" si="143"/>
        <v>-2.6736972704714659E-2</v>
      </c>
      <c r="DF141" s="21">
        <f t="shared" ca="1" si="144"/>
        <v>2.6736972704714659E-2</v>
      </c>
      <c r="DG141" s="21">
        <f t="shared" ca="1" si="145"/>
        <v>5.2663734115347055E-2</v>
      </c>
      <c r="DH141" s="21">
        <f t="shared" ca="1" si="146"/>
        <v>0.10222960151802664</v>
      </c>
      <c r="DI141" s="21">
        <f t="shared" ca="1" si="147"/>
        <v>0.19310035842293921</v>
      </c>
      <c r="DJ141" s="21">
        <f t="shared" ca="1" si="148"/>
        <v>0.34758064516129056</v>
      </c>
      <c r="DK141" s="21">
        <f t="shared" ca="1" si="149"/>
        <v>0.57930107526881758</v>
      </c>
      <c r="DL141" s="21">
        <f t="shared" ca="1" si="150"/>
        <v>0.86895161290322642</v>
      </c>
      <c r="DN141" s="16" cm="1">
        <f t="array" aca="1" ref="DN141" ca="1">MAX(_xlfn._xlws.FILTER(CY141:DL141,CY141:DL141&lt;BW141))</f>
        <v>-2.6736972704714659E-2</v>
      </c>
      <c r="DO141" s="16" cm="1">
        <f t="array" aca="1" ref="DO141" ca="1">MIN(_xlfn._xlws.FILTER(CY141:DL141,CY141:DL141&gt;BW141))</f>
        <v>2.6736972704714659E-2</v>
      </c>
      <c r="DP141" s="2" cm="1">
        <f t="array" aca="1" ref="DP141" ca="1">_FV(EE141,"Fechamento anterior",TRUE)</f>
        <v>3.04</v>
      </c>
      <c r="DQ141" s="28">
        <f t="shared" ca="1" si="162"/>
        <v>0.80757723775796741</v>
      </c>
      <c r="DR141" s="15">
        <f t="shared" ca="1" si="151"/>
        <v>2.9587196029776677</v>
      </c>
      <c r="DS141" s="15">
        <f t="shared" ca="1" si="152"/>
        <v>3.1212803970223324</v>
      </c>
      <c r="DT141" s="9"/>
      <c r="DU141" s="9"/>
      <c r="DV141" s="9"/>
      <c r="DW141" s="89">
        <v>3.3706044401231587E-2</v>
      </c>
      <c r="DX141" s="89">
        <f t="shared" ca="1" si="163"/>
        <v>5.3473945409429319E-2</v>
      </c>
      <c r="DY141" s="72">
        <f t="shared" ca="1" si="164"/>
        <v>0.62469536465090036</v>
      </c>
      <c r="DZ141" s="37"/>
      <c r="EA141" s="35">
        <f t="shared" si="174"/>
        <v>0.49624187650782053</v>
      </c>
      <c r="EB141" s="56"/>
      <c r="EC141" s="56"/>
      <c r="EE141" s="2" t="e" vm="141">
        <v>#VALUE!</v>
      </c>
      <c r="EG141" s="10" cm="1">
        <f t="array" aca="1" ref="EG141" ca="1">_FV(EE141,"Ações em circulação",TRUE)</f>
        <v>651072700</v>
      </c>
      <c r="EH141" s="18">
        <f>VLOOKUP(BR141,Fundamentus!A:U,5,FALSE)</f>
        <v>0.35199999999999998</v>
      </c>
      <c r="EI141" s="2">
        <f t="shared" ca="1" si="165"/>
        <v>5715382508.522728</v>
      </c>
      <c r="EJ141" s="17">
        <v>188607622.78125003</v>
      </c>
      <c r="EK141" s="17">
        <f t="shared" ca="1" si="166"/>
        <v>188607622.78125003</v>
      </c>
      <c r="EM141" s="16">
        <f t="shared" ca="1" si="153"/>
        <v>0</v>
      </c>
      <c r="EN141" s="32" t="str">
        <f>IF(VLOOKUP(BR141,Fundamentus!A:U,3,FALSE)&lt;15,"Bom",IF(VLOOKUP(BR141,Fundamentus!A:U,3,FALSE)&gt;15,"Ruim","n/a"))</f>
        <v>Ruim</v>
      </c>
      <c r="EO141" s="28" t="str">
        <f>IF(VLOOKUP(BR141,Fundamentus!A:U,4,FALSE)&lt;1,"Baixo",IF(VLOOKUP(BR141,Fundamentus!A:U,4,FALSE)&lt;1.5,"Moderado",IF(VLOOKUP(BR141,Fundamentus!A:U,4,FALSE)&gt;1.5,"Alto","n/a")))</f>
        <v>Baixo</v>
      </c>
      <c r="EP141" s="17" t="str">
        <f>IF(VLOOKUP(BR141,Fundamentus!A:U,8,FALSE)&lt;0,"Risco elevado",IF(VLOOKUP(BR141,Fundamentus!A:U,8,FALSE)&lt;1,"Saudável",IF(VLOOKUP(BR141,Fundamentus!A:U,8,FALSE)&lt;3,"Estável",IF(VLOOKUP(BR141,Fundamentus!A:U,8,FALSE)&gt;3,"Alerta","n/a"))))</f>
        <v>Estável</v>
      </c>
      <c r="EQ141" s="28" t="str">
        <f t="shared" si="167"/>
        <v>Ruim</v>
      </c>
      <c r="ER141" s="17" t="str">
        <f>IF(VLOOKUP(BR141,Fundamentus!A:U,12,FALSE)&lt;2,"Subvalorizada",IF(VLOOKUP(BR141,Fundamentus!A:U,12,FALSE)&lt;6,"Muita barata",IF(VLOOKUP(BR141,Fundamentus!A:U,12,FALSE)&lt;6,"Barata",IF(VLOOKUP(BR141,Fundamentus!A:U,12,FALSE)&lt;8,"Atrativa",IF(VLOOKUP(BR141,Fundamentus!A:U,12,FALSE)&gt;8,"Supervalorizada","n/a")))))</f>
        <v>Muita barata</v>
      </c>
      <c r="ET141" s="17" t="str">
        <f>IF(VLOOKUP(BR141,Fundamentus!A:U,17,FALSE)&lt;0.1,"Fraco retorno",IF(VLOOKUP(BR141,Fundamentus!A:U,17,FALSE)&gt;0.1,"Bom retorno","n/a"))</f>
        <v>Fraco retorno</v>
      </c>
      <c r="EU141" s="17" t="str">
        <f>IF(VLOOKUP(BR141,Fundamentus!A:U,16,FALSE)&lt;0.1,"Ineficiente",IF(VLOOKUP(BR141,Fundamentus!A:U,16,FALSE)&gt;0.1,"Eficiente","n/a"))</f>
        <v>Ineficiente</v>
      </c>
      <c r="EV141" s="33" t="str">
        <f>IF(VLOOKUP(BR141,Fundamentus!A:U,16,FALSE)&lt;0.1,"Oper. Ineficiente",IF(VLOOKUP(BR141,Fundamentus!A:U,16,FALSE)&gt;0.1,"Oper.Eficiente","n/a"))</f>
        <v>Oper. Ineficiente</v>
      </c>
      <c r="EW141" s="34">
        <f>VLOOKUP(BR141,Fundamentus!A:U,14,FALSE)</f>
        <v>3.3000000000000002E-2</v>
      </c>
      <c r="EX141" s="17" t="str">
        <f>IF(VLOOKUP(BR141,Fundamentus!A:U,21,FALSE)&lt;0,"Negativo",IF(VLOOKUP(BR141,Fundamentus!A:U,21,FALSE)&lt;0.05,"Fraco",IF(VLOOKUP(BR141,Fundamentus!A:U,21,FALSE)&lt;0.1,"Bom",IF(VLOOKUP(BR141,Fundamentus!A:U,21,FALSE)&gt;0.1,"Muito bom","n/a"))))</f>
        <v>Negativo</v>
      </c>
      <c r="EZ141" s="29" t="str">
        <f>IF(VLOOKUP(BR141,Fundamentus!A:U,15,FALSE)&gt;1,"Bom",IF(VLOOKUP(BR141,Fundamentus!A:U,15,FALSE)&lt;1,"Ruim","n/a"))</f>
        <v>Bom</v>
      </c>
      <c r="FA141" s="17" t="str">
        <f>IF(VLOOKUP(BR141,Fundamentus!A:U,20,FALSE)&lt;0.5,"Baixa",IF(VLOOKUP(BR141,Fundamentus!A:U,20,FALSE)&lt;1,"Moderada",IF(VLOOKUP(BR141,Fundamentus!A:U,20,FALSE)&lt;2,"Alerta",IF(VLOOKUP(BR141,Fundamentus!A:U,20,FALSE)&gt;2,"Alta","n/a"))))</f>
        <v>Moderada</v>
      </c>
      <c r="FB141" s="10"/>
    </row>
    <row r="142" spans="1:158" s="2" customFormat="1" ht="11.25"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5">
        <v>4.0599999999999996</v>
      </c>
      <c r="BC142" s="52">
        <v>4.0199999999999996</v>
      </c>
      <c r="BD142" s="52">
        <v>3.98</v>
      </c>
      <c r="BE142" s="52">
        <v>3.8</v>
      </c>
      <c r="BF142" s="52">
        <v>3.85</v>
      </c>
      <c r="BG142" s="67">
        <v>3.85</v>
      </c>
      <c r="BH142" s="52">
        <v>3.63</v>
      </c>
      <c r="BI142" s="52">
        <v>3.68</v>
      </c>
      <c r="BJ142" s="52">
        <v>3.99</v>
      </c>
      <c r="BK142" s="52">
        <v>3.81</v>
      </c>
      <c r="BL142" s="52">
        <v>3.84</v>
      </c>
      <c r="BM142" s="52">
        <v>3.81</v>
      </c>
      <c r="BN142" s="52">
        <v>3.75</v>
      </c>
      <c r="BO142" s="52">
        <v>3.85</v>
      </c>
      <c r="BP142" s="52">
        <v>3.68</v>
      </c>
      <c r="BQ142" s="52" cm="1">
        <f t="array" aca="1" ref="BQ142" ca="1">_FV(EE142,"Preço")</f>
        <v>3.68</v>
      </c>
      <c r="BR142" s="69" t="s">
        <v>138</v>
      </c>
      <c r="BS142" s="36" cm="1">
        <f t="array" aca="1" ref="BS142" ca="1">_FV(EE142,"Média de volume",TRUE)</f>
        <v>2169260</v>
      </c>
      <c r="BT142" s="36">
        <v>241300</v>
      </c>
      <c r="BU142" s="36" cm="1">
        <f t="array" aca="1" ref="BU142" ca="1">_FV(EE142,"Volume")</f>
        <v>241300</v>
      </c>
      <c r="BV142" s="24" cm="1">
        <f t="array" aca="1" ref="BV142" ca="1">_FV(EE142,"Beta")</f>
        <v>0.4138</v>
      </c>
      <c r="BW142" s="71" cm="1">
        <f t="array" aca="1" ref="BW142" ca="1">_FV(EE142,"Variação (%)",TRUE)</f>
        <v>-1.8667E-2</v>
      </c>
      <c r="BY142" s="17" cm="1">
        <f t="array" aca="1" ref="BY142" ca="1">_FV(EE142,"Baixo")</f>
        <v>3.67</v>
      </c>
      <c r="BZ142" s="17" cm="1">
        <f t="array" aca="1" ref="BZ142" ca="1">_FV(EE142,"Alto")</f>
        <v>3.76</v>
      </c>
      <c r="CA142" s="24"/>
      <c r="CB142" s="63">
        <f ca="1">SQRT(22.5*(BQ142/VLOOKUP(BR142,Fundamentus!A:U,3,FALSE))*(BQ142/VLOOKUP(BR142,Fundamentus!A:U,4,FALSE)))</f>
        <v>2.9169299691615826</v>
      </c>
      <c r="CD142" s="62">
        <f t="shared" ca="1" si="168"/>
        <v>0</v>
      </c>
      <c r="CE142" s="8"/>
      <c r="CF142" s="61">
        <f t="shared" si="169"/>
        <v>3.63</v>
      </c>
      <c r="CG142" s="61">
        <f t="shared" si="170"/>
        <v>4.9000000000000004</v>
      </c>
      <c r="CH142" s="61">
        <f t="shared" si="171"/>
        <v>4.1855882352941176</v>
      </c>
      <c r="CI142" s="14"/>
      <c r="CJ142" s="35">
        <f t="shared" si="154"/>
        <v>3.6302576169033665</v>
      </c>
      <c r="CK142" s="15">
        <f t="shared" si="172"/>
        <v>3.7000000000000171</v>
      </c>
      <c r="CL142" s="35">
        <f t="shared" si="155"/>
        <v>3.7697423830966676</v>
      </c>
      <c r="CN142" s="14"/>
      <c r="CO142" s="17">
        <f t="shared" si="156"/>
        <v>1.9699999999999998</v>
      </c>
      <c r="CP142" s="17">
        <f t="shared" si="157"/>
        <v>2.8</v>
      </c>
      <c r="CQ142" s="17">
        <f t="shared" si="158"/>
        <v>3.24</v>
      </c>
      <c r="CR142" s="38">
        <f t="shared" si="173"/>
        <v>4.07</v>
      </c>
      <c r="CS142" s="17">
        <f t="shared" si="159"/>
        <v>4.5100000000000007</v>
      </c>
      <c r="CT142" s="17">
        <f t="shared" si="160"/>
        <v>5.3400000000000007</v>
      </c>
      <c r="CU142" s="17">
        <f t="shared" si="161"/>
        <v>5.7800000000000011</v>
      </c>
      <c r="CV142" s="2" cm="1">
        <f t="array" aca="1" ref="CV142" ca="1">MAX(_xlfn._xlws.FILTER(CO142:CU142,CO142:CU142&lt;BQ142))</f>
        <v>3.24</v>
      </c>
      <c r="CW142" s="2" cm="1">
        <f t="array" aca="1" ref="CW142" ca="1">MIN(_xlfn._xlws.FILTER($CO142:$CU142,$CO142:$CU142&gt;BQ142))</f>
        <v>4.07</v>
      </c>
      <c r="CX142" s="16">
        <f t="shared" ca="1" si="136"/>
        <v>0.25617283950617287</v>
      </c>
      <c r="CY142" s="20">
        <f t="shared" ca="1" si="137"/>
        <v>-0.12808641975308643</v>
      </c>
      <c r="CZ142" s="20">
        <f t="shared" ca="1" si="138"/>
        <v>-8.5390946502057627E-2</v>
      </c>
      <c r="DA142" s="20">
        <f t="shared" ca="1" si="139"/>
        <v>-5.1234567901234575E-2</v>
      </c>
      <c r="DB142" s="20">
        <f t="shared" ca="1" si="140"/>
        <v>-2.8463648834019209E-2</v>
      </c>
      <c r="DC142" s="20">
        <f t="shared" ca="1" si="141"/>
        <v>-1.5068990559186639E-2</v>
      </c>
      <c r="DD142" s="20">
        <f t="shared" ca="1" si="142"/>
        <v>-7.762813318368875E-3</v>
      </c>
      <c r="DE142" s="20">
        <f t="shared" ca="1" si="143"/>
        <v>-3.9411206077872747E-3</v>
      </c>
      <c r="DF142" s="21">
        <f t="shared" ca="1" si="144"/>
        <v>3.9411206077872747E-3</v>
      </c>
      <c r="DG142" s="21">
        <f t="shared" ca="1" si="145"/>
        <v>7.762813318368875E-3</v>
      </c>
      <c r="DH142" s="21">
        <f t="shared" ca="1" si="146"/>
        <v>1.5068990559186639E-2</v>
      </c>
      <c r="DI142" s="21">
        <f t="shared" ca="1" si="147"/>
        <v>2.8463648834019209E-2</v>
      </c>
      <c r="DJ142" s="21">
        <f t="shared" ca="1" si="148"/>
        <v>5.1234567901234575E-2</v>
      </c>
      <c r="DK142" s="21">
        <f t="shared" ca="1" si="149"/>
        <v>8.5390946502057627E-2</v>
      </c>
      <c r="DL142" s="21">
        <f t="shared" ca="1" si="150"/>
        <v>0.12808641975308643</v>
      </c>
      <c r="DN142" s="16" cm="1">
        <f t="array" aca="1" ref="DN142" ca="1">MAX(_xlfn._xlws.FILTER(CY142:DL142,CY142:DL142&lt;BW142))</f>
        <v>-2.8463648834019209E-2</v>
      </c>
      <c r="DO142" s="16" cm="1">
        <f t="array" aca="1" ref="DO142" ca="1">MIN(_xlfn._xlws.FILTER(CY142:DL142,CY142:DL142&gt;BW142))</f>
        <v>-1.5068990559186639E-2</v>
      </c>
      <c r="DP142" s="2" cm="1">
        <f t="array" aca="1" ref="DP142" ca="1">_FV(EE142,"Fechamento anterior",TRUE)</f>
        <v>3.75</v>
      </c>
      <c r="DQ142" s="28">
        <f t="shared" ca="1" si="162"/>
        <v>0.73140963855422159</v>
      </c>
      <c r="DR142" s="15">
        <f t="shared" ca="1" si="151"/>
        <v>3.6432613168724282</v>
      </c>
      <c r="DS142" s="15">
        <f t="shared" ca="1" si="152"/>
        <v>3.6934912854030499</v>
      </c>
      <c r="DT142" s="9"/>
      <c r="DU142" s="9"/>
      <c r="DV142" s="9"/>
      <c r="DW142" s="89">
        <v>1.2058368741797583E-2</v>
      </c>
      <c r="DX142" s="89">
        <f t="shared" ca="1" si="163"/>
        <v>1.339465827483257E-2</v>
      </c>
      <c r="DY142" s="72">
        <f t="shared" ca="1" si="164"/>
        <v>-0.28676966733844517</v>
      </c>
      <c r="DZ142" s="37"/>
      <c r="EA142" s="35">
        <f t="shared" si="174"/>
        <v>3.4871191548325381E-2</v>
      </c>
      <c r="EB142" s="56"/>
      <c r="EC142" s="56"/>
      <c r="EE142" s="2" t="e" vm="142">
        <v>#VALUE!</v>
      </c>
      <c r="EG142" s="10" cm="1">
        <f t="array" aca="1" ref="EG142" ca="1">_FV(EE142,"Ações em circulação",TRUE)</f>
        <v>1235936000</v>
      </c>
      <c r="EH142" s="18">
        <f>VLOOKUP(BR142,Fundamentus!A:U,5,FALSE)</f>
        <v>1.1759999999999999</v>
      </c>
      <c r="EI142" s="2">
        <f t="shared" ca="1" si="165"/>
        <v>3867554829.931973</v>
      </c>
      <c r="EJ142" s="17">
        <v>391783304.27210885</v>
      </c>
      <c r="EK142" s="17">
        <f t="shared" ca="1" si="166"/>
        <v>391783304.27210885</v>
      </c>
      <c r="EM142" s="16">
        <f t="shared" ca="1" si="153"/>
        <v>0</v>
      </c>
      <c r="EN142" s="32" t="str">
        <f>IF(VLOOKUP(BR142,Fundamentus!A:U,3,FALSE)&lt;15,"Bom",IF(VLOOKUP(BR142,Fundamentus!A:U,3,FALSE)&gt;15,"Ruim","n/a"))</f>
        <v>Bom</v>
      </c>
      <c r="EO142" s="28" t="str">
        <f>IF(VLOOKUP(BR142,Fundamentus!A:U,4,FALSE)&lt;1,"Baixo",IF(VLOOKUP(BR142,Fundamentus!A:U,4,FALSE)&lt;1.5,"Moderado",IF(VLOOKUP(BR142,Fundamentus!A:U,4,FALSE)&gt;1.5,"Alto","n/a")))</f>
        <v>Alto</v>
      </c>
      <c r="EP142" s="17" t="str">
        <f>IF(VLOOKUP(BR142,Fundamentus!A:U,8,FALSE)&lt;0,"Risco elevado",IF(VLOOKUP(BR142,Fundamentus!A:U,8,FALSE)&lt;1,"Saudável",IF(VLOOKUP(BR142,Fundamentus!A:U,8,FALSE)&lt;3,"Estável",IF(VLOOKUP(BR142,Fundamentus!A:U,8,FALSE)&gt;3,"Alerta","n/a"))))</f>
        <v>Alerta</v>
      </c>
      <c r="EQ142" s="28" t="str">
        <f t="shared" si="167"/>
        <v>Bom</v>
      </c>
      <c r="ER142" s="17" t="str">
        <f>IF(VLOOKUP(BR142,Fundamentus!A:U,12,FALSE)&lt;2,"Subvalorizada",IF(VLOOKUP(BR142,Fundamentus!A:U,12,FALSE)&lt;6,"Muita barata",IF(VLOOKUP(BR142,Fundamentus!A:U,12,FALSE)&lt;6,"Barata",IF(VLOOKUP(BR142,Fundamentus!A:U,12,FALSE)&lt;8,"Atrativa",IF(VLOOKUP(BR142,Fundamentus!A:U,12,FALSE)&gt;8,"Supervalorizada","n/a")))))</f>
        <v>Muita barata</v>
      </c>
      <c r="ET142" s="17" t="str">
        <f>IF(VLOOKUP(BR142,Fundamentus!A:U,17,FALSE)&lt;0.1,"Fraco retorno",IF(VLOOKUP(BR142,Fundamentus!A:U,17,FALSE)&gt;0.1,"Bom retorno","n/a"))</f>
        <v>Bom retorno</v>
      </c>
      <c r="EU142" s="17" t="str">
        <f>IF(VLOOKUP(BR142,Fundamentus!A:U,16,FALSE)&lt;0.1,"Ineficiente",IF(VLOOKUP(BR142,Fundamentus!A:U,16,FALSE)&gt;0.1,"Eficiente","n/a"))</f>
        <v>Ineficiente</v>
      </c>
      <c r="EV142" s="33" t="str">
        <f>IF(VLOOKUP(BR142,Fundamentus!A:U,16,FALSE)&lt;0.1,"Oper. Ineficiente",IF(VLOOKUP(BR142,Fundamentus!A:U,16,FALSE)&gt;0.1,"Oper.Eficiente","n/a"))</f>
        <v>Oper. Ineficiente</v>
      </c>
      <c r="EW142" s="34">
        <f>VLOOKUP(BR142,Fundamentus!A:U,14,FALSE)</f>
        <v>0.1013</v>
      </c>
      <c r="EX142" s="17" t="str">
        <f>IF(VLOOKUP(BR142,Fundamentus!A:U,21,FALSE)&lt;0,"Negativo",IF(VLOOKUP(BR142,Fundamentus!A:U,21,FALSE)&lt;0.05,"Fraco",IF(VLOOKUP(BR142,Fundamentus!A:U,21,FALSE)&lt;0.1,"Bom",IF(VLOOKUP(BR142,Fundamentus!A:U,21,FALSE)&gt;0.1,"Muito bom","n/a"))))</f>
        <v>Bom</v>
      </c>
      <c r="EZ142" s="29" t="str">
        <f>IF(VLOOKUP(BR142,Fundamentus!A:U,15,FALSE)&gt;1,"Bom",IF(VLOOKUP(BR142,Fundamentus!A:U,15,FALSE)&lt;1,"Ruim","n/a"))</f>
        <v>Bom</v>
      </c>
      <c r="FA142" s="17" t="str">
        <f>IF(VLOOKUP(BR142,Fundamentus!A:U,20,FALSE)&lt;0.5,"Baixa",IF(VLOOKUP(BR142,Fundamentus!A:U,20,FALSE)&lt;1,"Moderada",IF(VLOOKUP(BR142,Fundamentus!A:U,20,FALSE)&lt;2,"Alerta",IF(VLOOKUP(BR142,Fundamentus!A:U,20,FALSE)&gt;2,"Alta","n/a"))))</f>
        <v>Alta</v>
      </c>
      <c r="FB142" s="10"/>
    </row>
    <row r="143" spans="1:158" s="2" customFormat="1" ht="11.25"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5">
        <v>7.67</v>
      </c>
      <c r="BC143" s="52">
        <v>7.72</v>
      </c>
      <c r="BD143" s="52">
        <v>7.76</v>
      </c>
      <c r="BE143" s="52">
        <v>7.99</v>
      </c>
      <c r="BF143" s="52">
        <v>7.82</v>
      </c>
      <c r="BG143" s="67">
        <v>7.78</v>
      </c>
      <c r="BH143" s="52">
        <v>7.73</v>
      </c>
      <c r="BI143" s="52">
        <v>7.9</v>
      </c>
      <c r="BJ143" s="52">
        <v>8.08</v>
      </c>
      <c r="BK143" s="52">
        <v>7.95</v>
      </c>
      <c r="BL143" s="52">
        <v>7.71</v>
      </c>
      <c r="BM143" s="52">
        <v>7.58</v>
      </c>
      <c r="BN143" s="52">
        <v>7.37</v>
      </c>
      <c r="BO143" s="52">
        <v>7.69</v>
      </c>
      <c r="BP143" s="52">
        <v>7.04</v>
      </c>
      <c r="BQ143" s="52" cm="1">
        <f t="array" aca="1" ref="BQ143" ca="1">_FV(EE143,"Preço")</f>
        <v>7.04</v>
      </c>
      <c r="BR143" s="69" t="s">
        <v>139</v>
      </c>
      <c r="BS143" s="36" cm="1">
        <f t="array" aca="1" ref="BS143" ca="1">_FV(EE143,"Média de volume",TRUE)</f>
        <v>4950950</v>
      </c>
      <c r="BT143" s="36">
        <v>4863800</v>
      </c>
      <c r="BU143" s="36" cm="1">
        <f t="array" aca="1" ref="BU143" ca="1">_FV(EE143,"Volume")</f>
        <v>4863800</v>
      </c>
      <c r="BV143" s="24" cm="1">
        <f t="array" aca="1" ref="BV143" ca="1">_FV(EE143,"Beta")</f>
        <v>1.3039000000000001</v>
      </c>
      <c r="BW143" s="71" cm="1">
        <f t="array" aca="1" ref="BW143" ca="1">_FV(EE143,"Variação (%)",TRUE)</f>
        <v>0</v>
      </c>
      <c r="BY143" s="17" cm="1">
        <f t="array" aca="1" ref="BY143" ca="1">_FV(EE143,"Baixo")</f>
        <v>6.9</v>
      </c>
      <c r="BZ143" s="17" cm="1">
        <f t="array" aca="1" ref="BZ143" ca="1">_FV(EE143,"Alto")</f>
        <v>7.04</v>
      </c>
      <c r="CA143" s="24"/>
      <c r="CB143" s="63">
        <f ca="1">SQRT(22.5*(BQ143/VLOOKUP(BR143,Fundamentus!A:U,3,FALSE))*(BQ143/VLOOKUP(BR143,Fundamentus!A:U,4,FALSE)))</f>
        <v>7.2902694735309419</v>
      </c>
      <c r="CD143" s="62">
        <f t="shared" ca="1" si="168"/>
        <v>0</v>
      </c>
      <c r="CE143" s="8"/>
      <c r="CF143" s="61">
        <f t="shared" si="169"/>
        <v>5.96</v>
      </c>
      <c r="CG143" s="61">
        <f t="shared" si="170"/>
        <v>8.09</v>
      </c>
      <c r="CH143" s="61">
        <f t="shared" si="171"/>
        <v>7.2969852941176487</v>
      </c>
      <c r="CI143" s="14"/>
      <c r="CJ143" s="35">
        <f t="shared" si="154"/>
        <v>6.7176407547176495</v>
      </c>
      <c r="CK143" s="15">
        <f t="shared" si="172"/>
        <v>7.0949999999999136</v>
      </c>
      <c r="CL143" s="35">
        <f t="shared" si="155"/>
        <v>7.4723592452821777</v>
      </c>
      <c r="CN143" s="14"/>
      <c r="CO143" s="17">
        <f t="shared" si="156"/>
        <v>3.8400000000000007</v>
      </c>
      <c r="CP143" s="17">
        <f t="shared" si="157"/>
        <v>4.9000000000000004</v>
      </c>
      <c r="CQ143" s="17">
        <f t="shared" si="158"/>
        <v>5.9700000000000006</v>
      </c>
      <c r="CR143" s="38">
        <f t="shared" si="173"/>
        <v>7.03</v>
      </c>
      <c r="CS143" s="17">
        <f t="shared" si="159"/>
        <v>8.1000000000000014</v>
      </c>
      <c r="CT143" s="17">
        <f t="shared" si="160"/>
        <v>9.16</v>
      </c>
      <c r="CU143" s="17">
        <f t="shared" si="161"/>
        <v>10.23</v>
      </c>
      <c r="CV143" s="2" cm="1">
        <f t="array" aca="1" ref="CV143" ca="1">MAX(_xlfn._xlws.FILTER(CO143:CU143,CO143:CU143&lt;BQ143))</f>
        <v>7.03</v>
      </c>
      <c r="CW143" s="2" cm="1">
        <f t="array" aca="1" ref="CW143" ca="1">MIN(_xlfn._xlws.FILTER($CO143:$CU143,$CO143:$CU143&gt;BQ143))</f>
        <v>8.1000000000000014</v>
      </c>
      <c r="CX143" s="16">
        <f t="shared" ca="1" si="136"/>
        <v>0.15220483641536298</v>
      </c>
      <c r="CY143" s="20">
        <f t="shared" ca="1" si="137"/>
        <v>-7.6102418207681488E-2</v>
      </c>
      <c r="CZ143" s="20">
        <f t="shared" ca="1" si="138"/>
        <v>-5.0734945471787661E-2</v>
      </c>
      <c r="DA143" s="20">
        <f t="shared" ca="1" si="139"/>
        <v>-3.0440967283072596E-2</v>
      </c>
      <c r="DB143" s="20">
        <f t="shared" ca="1" si="140"/>
        <v>-1.6911648490595885E-2</v>
      </c>
      <c r="DC143" s="20">
        <f t="shared" ca="1" si="141"/>
        <v>-8.9532256714919406E-3</v>
      </c>
      <c r="DD143" s="20">
        <f t="shared" ca="1" si="142"/>
        <v>-4.6122677701625142E-3</v>
      </c>
      <c r="DE143" s="20">
        <f t="shared" ca="1" si="143"/>
        <v>-2.3416128679286611E-3</v>
      </c>
      <c r="DF143" s="21">
        <f t="shared" ca="1" si="144"/>
        <v>2.3416128679286611E-3</v>
      </c>
      <c r="DG143" s="21">
        <f t="shared" ca="1" si="145"/>
        <v>4.6122677701625142E-3</v>
      </c>
      <c r="DH143" s="21">
        <f t="shared" ca="1" si="146"/>
        <v>8.9532256714919406E-3</v>
      </c>
      <c r="DI143" s="21">
        <f t="shared" ca="1" si="147"/>
        <v>1.6911648490595885E-2</v>
      </c>
      <c r="DJ143" s="21">
        <f t="shared" ca="1" si="148"/>
        <v>3.0440967283072596E-2</v>
      </c>
      <c r="DK143" s="21">
        <f t="shared" ca="1" si="149"/>
        <v>5.0734945471787661E-2</v>
      </c>
      <c r="DL143" s="21">
        <f t="shared" ca="1" si="150"/>
        <v>7.6102418207681488E-2</v>
      </c>
      <c r="DN143" s="16" cm="1">
        <f t="array" aca="1" ref="DN143" ca="1">MAX(_xlfn._xlws.FILTER(CY143:DL143,CY143:DL143&lt;BW143))</f>
        <v>-2.3416128679286611E-3</v>
      </c>
      <c r="DO143" s="16" cm="1">
        <f t="array" aca="1" ref="DO143" ca="1">MIN(_xlfn._xlws.FILTER(CY143:DL143,CY143:DL143&gt;BW143))</f>
        <v>2.3416128679286611E-3</v>
      </c>
      <c r="DP143" s="2" cm="1">
        <f t="array" aca="1" ref="DP143" ca="1">_FV(EE143,"Fechamento anterior",TRUE)</f>
        <v>7.04</v>
      </c>
      <c r="DQ143" s="28">
        <f t="shared" ca="1" si="162"/>
        <v>0.5</v>
      </c>
      <c r="DR143" s="15">
        <f t="shared" ca="1" si="151"/>
        <v>7.0235150454097823</v>
      </c>
      <c r="DS143" s="15">
        <f t="shared" ca="1" si="152"/>
        <v>7.0564849545902177</v>
      </c>
      <c r="DT143" s="9"/>
      <c r="DU143" s="9"/>
      <c r="DV143" s="9"/>
      <c r="DW143" s="89">
        <v>2.6488078006017312E-3</v>
      </c>
      <c r="DX143" s="89">
        <f t="shared" ca="1" si="163"/>
        <v>4.6832257358573222E-3</v>
      </c>
      <c r="DY143" s="72">
        <f t="shared" ca="1" si="164"/>
        <v>-0.14574970850064548</v>
      </c>
      <c r="DZ143" s="37"/>
      <c r="EA143" s="35">
        <f t="shared" si="174"/>
        <v>0.18867962264113208</v>
      </c>
      <c r="EB143" s="56"/>
      <c r="EC143" s="56"/>
      <c r="EE143" s="2" t="e" vm="143">
        <v>#VALUE!</v>
      </c>
      <c r="EG143" s="10" cm="1">
        <f t="array" aca="1" ref="EG143" ca="1">_FV(EE143,"Ações em circulação",TRUE)</f>
        <v>2248470000</v>
      </c>
      <c r="EH143" s="18">
        <f>VLOOKUP(BR143,Fundamentus!A:U,5,FALSE)</f>
        <v>0.51800000000000002</v>
      </c>
      <c r="EI143" s="2">
        <f t="shared" ca="1" si="165"/>
        <v>30558356756.756756</v>
      </c>
      <c r="EJ143" s="17">
        <v>1307897669.1891892</v>
      </c>
      <c r="EK143" s="17">
        <f t="shared" ca="1" si="166"/>
        <v>1307897669.1891892</v>
      </c>
      <c r="EM143" s="16">
        <f t="shared" ca="1" si="153"/>
        <v>0</v>
      </c>
      <c r="EN143" s="32" t="str">
        <f>IF(VLOOKUP(BR143,Fundamentus!A:U,3,FALSE)&lt;15,"Bom",IF(VLOOKUP(BR143,Fundamentus!A:U,3,FALSE)&gt;15,"Ruim","n/a"))</f>
        <v>Bom</v>
      </c>
      <c r="EO143" s="28" t="str">
        <f>IF(VLOOKUP(BR143,Fundamentus!A:U,4,FALSE)&lt;1,"Baixo",IF(VLOOKUP(BR143,Fundamentus!A:U,4,FALSE)&lt;1.5,"Moderado",IF(VLOOKUP(BR143,Fundamentus!A:U,4,FALSE)&gt;1.5,"Alto","n/a")))</f>
        <v>Alto</v>
      </c>
      <c r="EP143" s="17" t="str">
        <f>IF(VLOOKUP(BR143,Fundamentus!A:U,8,FALSE)&lt;0,"Risco elevado",IF(VLOOKUP(BR143,Fundamentus!A:U,8,FALSE)&lt;1,"Saudável",IF(VLOOKUP(BR143,Fundamentus!A:U,8,FALSE)&lt;3,"Estável",IF(VLOOKUP(BR143,Fundamentus!A:U,8,FALSE)&gt;3,"Alerta","n/a"))))</f>
        <v>Estável</v>
      </c>
      <c r="EQ143" s="28" t="str">
        <f t="shared" si="167"/>
        <v>Ruim</v>
      </c>
      <c r="ER143" s="17" t="str">
        <f>IF(VLOOKUP(BR143,Fundamentus!A:U,12,FALSE)&lt;2,"Subvalorizada",IF(VLOOKUP(BR143,Fundamentus!A:U,12,FALSE)&lt;6,"Muita barata",IF(VLOOKUP(BR143,Fundamentus!A:U,12,FALSE)&lt;6,"Barata",IF(VLOOKUP(BR143,Fundamentus!A:U,12,FALSE)&lt;8,"Atrativa",IF(VLOOKUP(BR143,Fundamentus!A:U,12,FALSE)&gt;8,"Supervalorizada","n/a")))))</f>
        <v>Atrativa</v>
      </c>
      <c r="ET143" s="17" t="str">
        <f>IF(VLOOKUP(BR143,Fundamentus!A:U,17,FALSE)&lt;0.1,"Fraco retorno",IF(VLOOKUP(BR143,Fundamentus!A:U,17,FALSE)&gt;0.1,"Bom retorno","n/a"))</f>
        <v>Bom retorno</v>
      </c>
      <c r="EU143" s="17" t="str">
        <f>IF(VLOOKUP(BR143,Fundamentus!A:U,16,FALSE)&lt;0.1,"Ineficiente",IF(VLOOKUP(BR143,Fundamentus!A:U,16,FALSE)&gt;0.1,"Eficiente","n/a"))</f>
        <v>Eficiente</v>
      </c>
      <c r="EV143" s="33" t="str">
        <f>IF(VLOOKUP(BR143,Fundamentus!A:U,16,FALSE)&lt;0.1,"Oper. Ineficiente",IF(VLOOKUP(BR143,Fundamentus!A:U,16,FALSE)&gt;0.1,"Oper.Eficiente","n/a"))</f>
        <v>Oper.Eficiente</v>
      </c>
      <c r="EW143" s="34">
        <f>VLOOKUP(BR143,Fundamentus!A:U,14,FALSE)</f>
        <v>4.2799999999999998E-2</v>
      </c>
      <c r="EX143" s="17" t="str">
        <f>IF(VLOOKUP(BR143,Fundamentus!A:U,21,FALSE)&lt;0,"Negativo",IF(VLOOKUP(BR143,Fundamentus!A:U,21,FALSE)&lt;0.05,"Fraco",IF(VLOOKUP(BR143,Fundamentus!A:U,21,FALSE)&lt;0.1,"Bom",IF(VLOOKUP(BR143,Fundamentus!A:U,21,FALSE)&gt;0.1,"Muito bom","n/a"))))</f>
        <v>Muito bom</v>
      </c>
      <c r="EZ143" s="29" t="str">
        <f>IF(VLOOKUP(BR143,Fundamentus!A:U,15,FALSE)&gt;1,"Bom",IF(VLOOKUP(BR143,Fundamentus!A:U,15,FALSE)&lt;1,"Ruim","n/a"))</f>
        <v>Bom</v>
      </c>
      <c r="FA143" s="17" t="str">
        <f>IF(VLOOKUP(BR143,Fundamentus!A:U,20,FALSE)&lt;0.5,"Baixa",IF(VLOOKUP(BR143,Fundamentus!A:U,20,FALSE)&lt;1,"Moderada",IF(VLOOKUP(BR143,Fundamentus!A:U,20,FALSE)&lt;2,"Alerta",IF(VLOOKUP(BR143,Fundamentus!A:U,20,FALSE)&gt;2,"Alta","n/a"))))</f>
        <v>Baixa</v>
      </c>
      <c r="FB143" s="10"/>
    </row>
    <row r="144" spans="1:158" s="2" customFormat="1" ht="11.25"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5">
        <v>19.57</v>
      </c>
      <c r="BC144" s="52">
        <v>19.82</v>
      </c>
      <c r="BD144" s="52">
        <v>19.3</v>
      </c>
      <c r="BE144" s="52">
        <v>19.489999999999998</v>
      </c>
      <c r="BF144" s="52">
        <v>20.149999999999999</v>
      </c>
      <c r="BG144" s="67">
        <v>20.56</v>
      </c>
      <c r="BH144" s="52">
        <v>21.52</v>
      </c>
      <c r="BI144" s="52">
        <v>21.33</v>
      </c>
      <c r="BJ144" s="52">
        <v>22.46</v>
      </c>
      <c r="BK144" s="52">
        <v>21.16</v>
      </c>
      <c r="BL144" s="52">
        <v>20.37</v>
      </c>
      <c r="BM144" s="52">
        <v>19.989999999999998</v>
      </c>
      <c r="BN144" s="52">
        <v>20.72</v>
      </c>
      <c r="BO144" s="52">
        <v>22.36</v>
      </c>
      <c r="BP144" s="52">
        <v>22.3</v>
      </c>
      <c r="BQ144" s="52" cm="1">
        <f t="array" aca="1" ref="BQ144" ca="1">_FV(EE144,"Preço")</f>
        <v>22.3</v>
      </c>
      <c r="BR144" s="69" t="s">
        <v>140</v>
      </c>
      <c r="BS144" s="36" cm="1">
        <f t="array" aca="1" ref="BS144" ca="1">_FV(EE144,"Média de volume",TRUE)</f>
        <v>5107850</v>
      </c>
      <c r="BT144" s="36">
        <v>3656200</v>
      </c>
      <c r="BU144" s="36" cm="1">
        <f t="array" aca="1" ref="BU144" ca="1">_FV(EE144,"Volume")</f>
        <v>3656200</v>
      </c>
      <c r="BV144" s="24" cm="1">
        <f t="array" aca="1" ref="BV144" ca="1">_FV(EE144,"Beta")</f>
        <v>0.67230000000000001</v>
      </c>
      <c r="BW144" s="71" cm="1">
        <f t="array" aca="1" ref="BW144" ca="1">_FV(EE144,"Variação (%)",TRUE)</f>
        <v>2.6979999999999999E-3</v>
      </c>
      <c r="BY144" s="17" cm="1">
        <f t="array" aca="1" ref="BY144" ca="1">_FV(EE144,"Baixo")</f>
        <v>22.07</v>
      </c>
      <c r="BZ144" s="17" cm="1">
        <f t="array" aca="1" ref="BZ144" ca="1">_FV(EE144,"Alto")</f>
        <v>22.34</v>
      </c>
      <c r="CA144" s="24"/>
      <c r="CB144" s="63">
        <f ca="1">SQRT(22.5*(BQ144/VLOOKUP(BR144,Fundamentus!A:U,3,FALSE))*(BQ144/VLOOKUP(BR144,Fundamentus!A:U,4,FALSE)))</f>
        <v>5.6983807848166999</v>
      </c>
      <c r="CD144" s="62">
        <f t="shared" ca="1" si="168"/>
        <v>0</v>
      </c>
      <c r="CE144" s="8"/>
      <c r="CF144" s="61">
        <f t="shared" si="169"/>
        <v>13.82</v>
      </c>
      <c r="CG144" s="61">
        <f t="shared" si="170"/>
        <v>22.46</v>
      </c>
      <c r="CH144" s="61">
        <f t="shared" si="171"/>
        <v>17.625808823529411</v>
      </c>
      <c r="CI144" s="14"/>
      <c r="CJ144" s="35">
        <f t="shared" si="154"/>
        <v>21.850717282719703</v>
      </c>
      <c r="CK144" s="15">
        <f t="shared" si="172"/>
        <v>23.484999999999673</v>
      </c>
      <c r="CL144" s="35">
        <f t="shared" si="155"/>
        <v>25.119282717279642</v>
      </c>
      <c r="CN144" s="14"/>
      <c r="CO144" s="17">
        <f t="shared" si="156"/>
        <v>7.9533333333333331</v>
      </c>
      <c r="CP144" s="17">
        <f t="shared" si="157"/>
        <v>10.886666666666667</v>
      </c>
      <c r="CQ144" s="17">
        <f t="shared" si="158"/>
        <v>16.593333333333334</v>
      </c>
      <c r="CR144" s="38">
        <f t="shared" si="173"/>
        <v>19.526666666666667</v>
      </c>
      <c r="CS144" s="17">
        <f t="shared" si="159"/>
        <v>25.233333333333334</v>
      </c>
      <c r="CT144" s="17">
        <f t="shared" si="160"/>
        <v>28.166666666666668</v>
      </c>
      <c r="CU144" s="17">
        <f t="shared" si="161"/>
        <v>33.873333333333335</v>
      </c>
      <c r="CV144" s="2" cm="1">
        <f t="array" aca="1" ref="CV144" ca="1">MAX(_xlfn._xlws.FILTER(CO144:CU144,CO144:CU144&lt;BQ144))</f>
        <v>19.526666666666667</v>
      </c>
      <c r="CW144" s="2" cm="1">
        <f t="array" aca="1" ref="CW144" ca="1">MIN(_xlfn._xlws.FILTER($CO144:$CU144,$CO144:$CU144&gt;BQ144))</f>
        <v>25.233333333333334</v>
      </c>
      <c r="CX144" s="16">
        <f t="shared" ca="1" si="136"/>
        <v>0.29224991464663708</v>
      </c>
      <c r="CY144" s="20">
        <f t="shared" ca="1" si="137"/>
        <v>-0.14612495732331854</v>
      </c>
      <c r="CZ144" s="20">
        <f t="shared" ca="1" si="138"/>
        <v>-9.7416638215545692E-2</v>
      </c>
      <c r="DA144" s="20">
        <f t="shared" ca="1" si="139"/>
        <v>-5.8449982929327418E-2</v>
      </c>
      <c r="DB144" s="20">
        <f t="shared" ca="1" si="140"/>
        <v>-3.2472212738515228E-2</v>
      </c>
      <c r="DC144" s="20">
        <f t="shared" ca="1" si="141"/>
        <v>-1.719117144980218E-2</v>
      </c>
      <c r="DD144" s="20">
        <f t="shared" ca="1" si="142"/>
        <v>-8.8560580195950634E-3</v>
      </c>
      <c r="DE144" s="20">
        <f t="shared" ca="1" si="143"/>
        <v>-4.4961525330251854E-3</v>
      </c>
      <c r="DF144" s="21">
        <f t="shared" ca="1" si="144"/>
        <v>4.4961525330251854E-3</v>
      </c>
      <c r="DG144" s="21">
        <f t="shared" ca="1" si="145"/>
        <v>8.8560580195950634E-3</v>
      </c>
      <c r="DH144" s="21">
        <f t="shared" ca="1" si="146"/>
        <v>1.719117144980218E-2</v>
      </c>
      <c r="DI144" s="21">
        <f t="shared" ca="1" si="147"/>
        <v>3.2472212738515228E-2</v>
      </c>
      <c r="DJ144" s="21">
        <f t="shared" ca="1" si="148"/>
        <v>5.8449982929327418E-2</v>
      </c>
      <c r="DK144" s="21">
        <f t="shared" ca="1" si="149"/>
        <v>9.7416638215545692E-2</v>
      </c>
      <c r="DL144" s="21">
        <f t="shared" ca="1" si="150"/>
        <v>0.14612495732331854</v>
      </c>
      <c r="DN144" s="16" cm="1">
        <f t="array" aca="1" ref="DN144" ca="1">MAX(_xlfn._xlws.FILTER(CY144:DL144,CY144:DL144&lt;BW144))</f>
        <v>-4.4961525330251854E-3</v>
      </c>
      <c r="DO144" s="16" cm="1">
        <f t="array" aca="1" ref="DO144" ca="1">MIN(_xlfn._xlws.FILTER(CY144:DL144,CY144:DL144&gt;BW144))</f>
        <v>4.4961525330251854E-3</v>
      </c>
      <c r="DP144" s="2" cm="1">
        <f t="array" aca="1" ref="DP144" ca="1">_FV(EE144,"Fechamento anterior",TRUE)</f>
        <v>22.24</v>
      </c>
      <c r="DQ144" s="28">
        <f t="shared" ca="1" si="162"/>
        <v>0.80001670392659041</v>
      </c>
      <c r="DR144" s="15">
        <f t="shared" ca="1" si="151"/>
        <v>22.140005567665519</v>
      </c>
      <c r="DS144" s="15">
        <f t="shared" ca="1" si="152"/>
        <v>22.339994432334478</v>
      </c>
      <c r="DT144" s="9"/>
      <c r="DU144" s="9"/>
      <c r="DV144" s="9"/>
      <c r="DW144" s="89">
        <v>1.5318906098137297E-2</v>
      </c>
      <c r="DX144" s="89">
        <f t="shared" ca="1" si="163"/>
        <v>8.9923050660503708E-3</v>
      </c>
      <c r="DY144" s="72">
        <f t="shared" ca="1" si="164"/>
        <v>-0.72508874227828546</v>
      </c>
      <c r="DZ144" s="37"/>
      <c r="EA144" s="35">
        <f t="shared" si="174"/>
        <v>0.81714135863998483</v>
      </c>
      <c r="EB144" s="56"/>
      <c r="EC144" s="56"/>
      <c r="EE144" s="2" t="e" vm="144">
        <v>#VALUE!</v>
      </c>
      <c r="EG144" s="10" cm="1">
        <f t="array" aca="1" ref="EG144" ca="1">_FV(EE144,"Ações em circulação",TRUE)</f>
        <v>2420804000</v>
      </c>
      <c r="EH144" s="18">
        <f>VLOOKUP(BR144,Fundamentus!A:U,5,FALSE)</f>
        <v>162.40899999999999</v>
      </c>
      <c r="EI144" s="2">
        <f t="shared" ca="1" si="165"/>
        <v>332394936.24121815</v>
      </c>
      <c r="EJ144" s="17">
        <v>310190954.50030476</v>
      </c>
      <c r="EK144" s="17">
        <f t="shared" ca="1" si="166"/>
        <v>310190954.50030476</v>
      </c>
      <c r="EM144" s="16">
        <f t="shared" ca="1" si="153"/>
        <v>0</v>
      </c>
      <c r="EN144" s="32" t="str">
        <f>IF(VLOOKUP(BR144,Fundamentus!A:U,3,FALSE)&lt;15,"Bom",IF(VLOOKUP(BR144,Fundamentus!A:U,3,FALSE)&gt;15,"Ruim","n/a"))</f>
        <v>Ruim</v>
      </c>
      <c r="EO144" s="28" t="str">
        <f>IF(VLOOKUP(BR144,Fundamentus!A:U,4,FALSE)&lt;1,"Baixo",IF(VLOOKUP(BR144,Fundamentus!A:U,4,FALSE)&lt;1.5,"Moderado",IF(VLOOKUP(BR144,Fundamentus!A:U,4,FALSE)&gt;1.5,"Alto","n/a")))</f>
        <v>Alto</v>
      </c>
      <c r="EP144" s="17" t="str">
        <f>IF(VLOOKUP(BR144,Fundamentus!A:U,8,FALSE)&lt;0,"Risco elevado",IF(VLOOKUP(BR144,Fundamentus!A:U,8,FALSE)&lt;1,"Saudável",IF(VLOOKUP(BR144,Fundamentus!A:U,8,FALSE)&lt;3,"Estável",IF(VLOOKUP(BR144,Fundamentus!A:U,8,FALSE)&gt;3,"Alerta","n/a"))))</f>
        <v>Risco elevado</v>
      </c>
      <c r="EQ144" s="28" t="str">
        <f t="shared" si="167"/>
        <v>Bom</v>
      </c>
      <c r="ER144" s="17" t="str">
        <f>IF(VLOOKUP(BR144,Fundamentus!A:U,12,FALSE)&lt;2,"Subvalorizada",IF(VLOOKUP(BR144,Fundamentus!A:U,12,FALSE)&lt;6,"Muita barata",IF(VLOOKUP(BR144,Fundamentus!A:U,12,FALSE)&lt;6,"Barata",IF(VLOOKUP(BR144,Fundamentus!A:U,12,FALSE)&lt;8,"Atrativa",IF(VLOOKUP(BR144,Fundamentus!A:U,12,FALSE)&gt;8,"Supervalorizada","n/a")))))</f>
        <v>Supervalorizada</v>
      </c>
      <c r="ET144" s="17" t="str">
        <f>IF(VLOOKUP(BR144,Fundamentus!A:U,17,FALSE)&lt;0.1,"Fraco retorno",IF(VLOOKUP(BR144,Fundamentus!A:U,17,FALSE)&gt;0.1,"Bom retorno","n/a"))</f>
        <v>Fraco retorno</v>
      </c>
      <c r="EU144" s="17" t="str">
        <f>IF(VLOOKUP(BR144,Fundamentus!A:U,16,FALSE)&lt;0.1,"Ineficiente",IF(VLOOKUP(BR144,Fundamentus!A:U,16,FALSE)&gt;0.1,"Eficiente","n/a"))</f>
        <v>Ineficiente</v>
      </c>
      <c r="EV144" s="33" t="str">
        <f>IF(VLOOKUP(BR144,Fundamentus!A:U,16,FALSE)&lt;0.1,"Oper. Ineficiente",IF(VLOOKUP(BR144,Fundamentus!A:U,16,FALSE)&gt;0.1,"Oper.Eficiente","n/a"))</f>
        <v>Oper. Ineficiente</v>
      </c>
      <c r="EW144" s="34">
        <f>VLOOKUP(BR144,Fundamentus!A:U,14,FALSE)</f>
        <v>0.93320000000000003</v>
      </c>
      <c r="EX144" s="17" t="str">
        <f>IF(VLOOKUP(BR144,Fundamentus!A:U,21,FALSE)&lt;0,"Negativo",IF(VLOOKUP(BR144,Fundamentus!A:U,21,FALSE)&lt;0.05,"Fraco",IF(VLOOKUP(BR144,Fundamentus!A:U,21,FALSE)&lt;0.1,"Bom",IF(VLOOKUP(BR144,Fundamentus!A:U,21,FALSE)&gt;0.1,"Muito bom","n/a"))))</f>
        <v>Negativo</v>
      </c>
      <c r="EZ144" s="29" t="str">
        <f>IF(VLOOKUP(BR144,Fundamentus!A:U,15,FALSE)&gt;1,"Bom",IF(VLOOKUP(BR144,Fundamentus!A:U,15,FALSE)&lt;1,"Ruim","n/a"))</f>
        <v>Ruim</v>
      </c>
      <c r="FA144" s="17" t="str">
        <f>IF(VLOOKUP(BR144,Fundamentus!A:U,20,FALSE)&lt;0.5,"Baixa",IF(VLOOKUP(BR144,Fundamentus!A:U,20,FALSE)&lt;1,"Moderada",IF(VLOOKUP(BR144,Fundamentus!A:U,20,FALSE)&lt;2,"Alerta",IF(VLOOKUP(BR144,Fundamentus!A:U,20,FALSE)&gt;2,"Alta","n/a"))))</f>
        <v>Baixa</v>
      </c>
      <c r="FB144" s="10"/>
    </row>
    <row r="145" spans="1:158" s="2" customFormat="1" ht="11.25"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5">
        <v>22.28</v>
      </c>
      <c r="BC145" s="52">
        <v>22.99</v>
      </c>
      <c r="BD145" s="52">
        <v>22.39</v>
      </c>
      <c r="BE145" s="52">
        <v>22.27</v>
      </c>
      <c r="BF145" s="52">
        <v>22.5</v>
      </c>
      <c r="BG145" s="67">
        <v>22.84</v>
      </c>
      <c r="BH145" s="52">
        <v>22.61</v>
      </c>
      <c r="BI145" s="52">
        <v>22.56</v>
      </c>
      <c r="BJ145" s="52">
        <v>23.45</v>
      </c>
      <c r="BK145" s="52">
        <v>22.5</v>
      </c>
      <c r="BL145" s="52">
        <v>22.64</v>
      </c>
      <c r="BM145" s="52">
        <v>21.78</v>
      </c>
      <c r="BN145" s="52">
        <v>21.19</v>
      </c>
      <c r="BO145" s="52">
        <v>22.1</v>
      </c>
      <c r="BP145" s="52">
        <v>24.25</v>
      </c>
      <c r="BQ145" s="52" cm="1">
        <f t="array" aca="1" ref="BQ145" ca="1">_FV(EE145,"Preço")</f>
        <v>24.25</v>
      </c>
      <c r="BR145" s="69" t="s">
        <v>141</v>
      </c>
      <c r="BS145" s="36" cm="1">
        <f t="array" aca="1" ref="BS145" ca="1">_FV(EE145,"Média de volume",TRUE)</f>
        <v>11213410</v>
      </c>
      <c r="BT145" s="36">
        <v>1500</v>
      </c>
      <c r="BU145" s="36" cm="1">
        <f t="array" aca="1" ref="BU145" ca="1">_FV(EE145,"Volume")</f>
        <v>1500</v>
      </c>
      <c r="BV145" s="24" cm="1">
        <f t="array" aca="1" ref="BV145" ca="1">_FV(EE145,"Beta")</f>
        <v>1.3863000000000001</v>
      </c>
      <c r="BW145" s="71" cm="1">
        <f t="array" aca="1" ref="BW145" ca="1">_FV(EE145,"Variação (%)",TRUE)</f>
        <v>-1.222E-2</v>
      </c>
      <c r="BY145" s="17" cm="1">
        <f t="array" aca="1" ref="BY145" ca="1">_FV(EE145,"Baixo")</f>
        <v>24.22</v>
      </c>
      <c r="BZ145" s="17" cm="1">
        <f t="array" aca="1" ref="BZ145" ca="1">_FV(EE145,"Alto")</f>
        <v>25.3</v>
      </c>
      <c r="CA145" s="24"/>
      <c r="CB145" s="63">
        <f ca="1">SQRT(22.5*(BQ145/VLOOKUP(BR145,Fundamentus!A:U,3,FALSE))*(BQ145/VLOOKUP(BR145,Fundamentus!A:U,4,FALSE)))</f>
        <v>12.185064711620234</v>
      </c>
      <c r="CD145" s="62">
        <f t="shared" ca="1" si="168"/>
        <v>0</v>
      </c>
      <c r="CE145" s="8"/>
      <c r="CF145" s="61">
        <f t="shared" si="169"/>
        <v>13.87</v>
      </c>
      <c r="CG145" s="61">
        <f t="shared" si="170"/>
        <v>24.25</v>
      </c>
      <c r="CH145" s="61">
        <f t="shared" si="171"/>
        <v>17.634705882352943</v>
      </c>
      <c r="CI145" s="14"/>
      <c r="CJ145" s="35">
        <f t="shared" si="154"/>
        <v>23.364904789027143</v>
      </c>
      <c r="CK145" s="15">
        <f t="shared" si="172"/>
        <v>24.410000000000764</v>
      </c>
      <c r="CL145" s="35">
        <f t="shared" si="155"/>
        <v>25.455095210974385</v>
      </c>
      <c r="CN145" s="14"/>
      <c r="CO145" s="17">
        <f t="shared" si="156"/>
        <v>6.9499999999999975</v>
      </c>
      <c r="CP145" s="17">
        <f t="shared" si="157"/>
        <v>10.409999999999998</v>
      </c>
      <c r="CQ145" s="17">
        <f t="shared" si="158"/>
        <v>17.329999999999998</v>
      </c>
      <c r="CR145" s="38">
        <f t="shared" si="173"/>
        <v>20.79</v>
      </c>
      <c r="CS145" s="17">
        <f t="shared" si="159"/>
        <v>27.71</v>
      </c>
      <c r="CT145" s="17">
        <f t="shared" si="160"/>
        <v>31.17</v>
      </c>
      <c r="CU145" s="17">
        <f t="shared" si="161"/>
        <v>38.090000000000003</v>
      </c>
      <c r="CV145" s="2" cm="1">
        <f t="array" aca="1" ref="CV145" ca="1">MAX(_xlfn._xlws.FILTER(CO145:CU145,CO145:CU145&lt;BQ145))</f>
        <v>20.79</v>
      </c>
      <c r="CW145" s="2" cm="1">
        <f t="array" aca="1" ref="CW145" ca="1">MIN(_xlfn._xlws.FILTER($CO145:$CU145,$CO145:$CU145&gt;BQ145))</f>
        <v>27.71</v>
      </c>
      <c r="CX145" s="16">
        <f t="shared" ca="1" si="136"/>
        <v>0.33285233285233295</v>
      </c>
      <c r="CY145" s="20">
        <f t="shared" ca="1" si="137"/>
        <v>-0.16642616642616648</v>
      </c>
      <c r="CZ145" s="20">
        <f t="shared" ca="1" si="138"/>
        <v>-0.11095077761744432</v>
      </c>
      <c r="DA145" s="20">
        <f t="shared" ca="1" si="139"/>
        <v>-6.6570466570466585E-2</v>
      </c>
      <c r="DB145" s="20">
        <f t="shared" ca="1" si="140"/>
        <v>-3.6983592539148104E-2</v>
      </c>
      <c r="DC145" s="20">
        <f t="shared" ca="1" si="141"/>
        <v>-1.9579548991313703E-2</v>
      </c>
      <c r="DD145" s="20">
        <f t="shared" ca="1" si="142"/>
        <v>-1.0086434328858574E-2</v>
      </c>
      <c r="DE145" s="20">
        <f t="shared" ca="1" si="143"/>
        <v>-5.120805120805122E-3</v>
      </c>
      <c r="DF145" s="21">
        <f t="shared" ca="1" si="144"/>
        <v>5.120805120805122E-3</v>
      </c>
      <c r="DG145" s="21">
        <f t="shared" ca="1" si="145"/>
        <v>1.0086434328858574E-2</v>
      </c>
      <c r="DH145" s="21">
        <f t="shared" ca="1" si="146"/>
        <v>1.9579548991313703E-2</v>
      </c>
      <c r="DI145" s="21">
        <f t="shared" ca="1" si="147"/>
        <v>3.6983592539148104E-2</v>
      </c>
      <c r="DJ145" s="21">
        <f t="shared" ca="1" si="148"/>
        <v>6.6570466570466585E-2</v>
      </c>
      <c r="DK145" s="21">
        <f t="shared" ca="1" si="149"/>
        <v>0.11095077761744432</v>
      </c>
      <c r="DL145" s="21">
        <f t="shared" ca="1" si="150"/>
        <v>0.16642616642616648</v>
      </c>
      <c r="DN145" s="16" cm="1">
        <f t="array" aca="1" ref="DN145" ca="1">MAX(_xlfn._xlws.FILTER(CY145:DL145,CY145:DL145&lt;BW145))</f>
        <v>-1.9579548991313703E-2</v>
      </c>
      <c r="DO145" s="16" cm="1">
        <f t="array" aca="1" ref="DO145" ca="1">MIN(_xlfn._xlws.FILTER(CY145:DL145,CY145:DL145&gt;BW145))</f>
        <v>-1.0086434328858574E-2</v>
      </c>
      <c r="DP145" s="2" cm="1">
        <f t="array" aca="1" ref="DP145" ca="1">_FV(EE145,"Fechamento anterior",TRUE)</f>
        <v>24.55</v>
      </c>
      <c r="DQ145" s="28">
        <f t="shared" ca="1" si="162"/>
        <v>0.77525553900851485</v>
      </c>
      <c r="DR145" s="15">
        <f t="shared" ca="1" si="151"/>
        <v>24.069322072263247</v>
      </c>
      <c r="DS145" s="15">
        <f t="shared" ca="1" si="152"/>
        <v>24.302378037226521</v>
      </c>
      <c r="DT145" s="9"/>
      <c r="DU145" s="9"/>
      <c r="DV145" s="9"/>
      <c r="DW145" s="89">
        <v>8.5484700290568844E-3</v>
      </c>
      <c r="DX145" s="89">
        <f t="shared" ca="1" si="163"/>
        <v>9.4931146624551294E-3</v>
      </c>
      <c r="DY145" s="72">
        <f t="shared" ca="1" si="164"/>
        <v>-0.15309609911206698</v>
      </c>
      <c r="DZ145" s="37"/>
      <c r="EA145" s="35">
        <f t="shared" si="174"/>
        <v>0.52254760548681078</v>
      </c>
      <c r="EB145" s="56"/>
      <c r="EC145" s="56"/>
      <c r="EE145" s="2" t="e" vm="145">
        <v>#VALUE!</v>
      </c>
      <c r="EG145" s="10" cm="1">
        <f t="array" aca="1" ref="EG145" ca="1">_FV(EE145,"Ações em circulação",TRUE)</f>
        <v>10108690000</v>
      </c>
      <c r="EH145" s="18">
        <f>VLOOKUP(BR145,Fundamentus!A:U,5,FALSE)</f>
        <v>0</v>
      </c>
      <c r="EI145" s="2" t="e">
        <f t="shared" ca="1" si="165"/>
        <v>#DIV/0!</v>
      </c>
      <c r="EJ145" s="17" t="e">
        <v>#DIV/0!</v>
      </c>
      <c r="EK145" s="17" t="e">
        <f t="shared" ca="1" si="166"/>
        <v>#DIV/0!</v>
      </c>
      <c r="EM145" s="16" t="e">
        <f t="shared" ca="1" si="153"/>
        <v>#DIV/0!</v>
      </c>
      <c r="EN145" s="32" t="str">
        <f>IF(VLOOKUP(BR145,Fundamentus!A:U,3,FALSE)&lt;15,"Bom",IF(VLOOKUP(BR145,Fundamentus!A:U,3,FALSE)&gt;15,"Ruim","n/a"))</f>
        <v>Ruim</v>
      </c>
      <c r="EO145" s="28" t="str">
        <f>IF(VLOOKUP(BR145,Fundamentus!A:U,4,FALSE)&lt;1,"Baixo",IF(VLOOKUP(BR145,Fundamentus!A:U,4,FALSE)&lt;1.5,"Moderado",IF(VLOOKUP(BR145,Fundamentus!A:U,4,FALSE)&gt;1.5,"Alto","n/a")))</f>
        <v>Alto</v>
      </c>
      <c r="EP145" s="17" t="str">
        <f>IF(VLOOKUP(BR145,Fundamentus!A:U,8,FALSE)&lt;0,"Risco elevado",IF(VLOOKUP(BR145,Fundamentus!A:U,8,FALSE)&lt;1,"Saudável",IF(VLOOKUP(BR145,Fundamentus!A:U,8,FALSE)&lt;3,"Estável",IF(VLOOKUP(BR145,Fundamentus!A:U,8,FALSE)&gt;3,"Alerta","n/a"))))</f>
        <v>Saudável</v>
      </c>
      <c r="EQ145" s="28" t="str">
        <f t="shared" si="167"/>
        <v>Ruim</v>
      </c>
      <c r="ER145" s="17" t="str">
        <f>IF(VLOOKUP(BR145,Fundamentus!A:U,12,FALSE)&lt;2,"Subvalorizada",IF(VLOOKUP(BR145,Fundamentus!A:U,12,FALSE)&lt;6,"Muita barata",IF(VLOOKUP(BR145,Fundamentus!A:U,12,FALSE)&lt;6,"Barata",IF(VLOOKUP(BR145,Fundamentus!A:U,12,FALSE)&lt;8,"Atrativa",IF(VLOOKUP(BR145,Fundamentus!A:U,12,FALSE)&gt;8,"Supervalorizada","n/a")))))</f>
        <v>Subvalorizada</v>
      </c>
      <c r="ET145" s="17" t="str">
        <f>IF(VLOOKUP(BR145,Fundamentus!A:U,17,FALSE)&lt;0.1,"Fraco retorno",IF(VLOOKUP(BR145,Fundamentus!A:U,17,FALSE)&gt;0.1,"Bom retorno","n/a"))</f>
        <v>Bom retorno</v>
      </c>
      <c r="EU145" s="17" t="str">
        <f>IF(VLOOKUP(BR145,Fundamentus!A:U,16,FALSE)&lt;0.1,"Ineficiente",IF(VLOOKUP(BR145,Fundamentus!A:U,16,FALSE)&gt;0.1,"Eficiente","n/a"))</f>
        <v>Ineficiente</v>
      </c>
      <c r="EV145" s="33" t="str">
        <f>IF(VLOOKUP(BR145,Fundamentus!A:U,16,FALSE)&lt;0.1,"Oper. Ineficiente",IF(VLOOKUP(BR145,Fundamentus!A:U,16,FALSE)&gt;0.1,"Oper.Eficiente","n/a"))</f>
        <v>Oper. Ineficiente</v>
      </c>
      <c r="EW145" s="34">
        <f>VLOOKUP(BR145,Fundamentus!A:U,14,FALSE)</f>
        <v>0</v>
      </c>
      <c r="EX145" s="17" t="str">
        <f>IF(VLOOKUP(BR145,Fundamentus!A:U,21,FALSE)&lt;0,"Negativo",IF(VLOOKUP(BR145,Fundamentus!A:U,21,FALSE)&lt;0.05,"Fraco",IF(VLOOKUP(BR145,Fundamentus!A:U,21,FALSE)&lt;0.1,"Bom",IF(VLOOKUP(BR145,Fundamentus!A:U,21,FALSE)&gt;0.1,"Muito bom","n/a"))))</f>
        <v>Muito bom</v>
      </c>
      <c r="EZ145" s="29" t="str">
        <f>IF(VLOOKUP(BR145,Fundamentus!A:U,15,FALSE)&gt;1,"Bom",IF(VLOOKUP(BR145,Fundamentus!A:U,15,FALSE)&lt;1,"Ruim","n/a"))</f>
        <v>Ruim</v>
      </c>
      <c r="FA145" s="17" t="str">
        <f>IF(VLOOKUP(BR145,Fundamentus!A:U,20,FALSE)&lt;0.5,"Baixa",IF(VLOOKUP(BR145,Fundamentus!A:U,20,FALSE)&lt;1,"Moderada",IF(VLOOKUP(BR145,Fundamentus!A:U,20,FALSE)&lt;2,"Alerta",IF(VLOOKUP(BR145,Fundamentus!A:U,20,FALSE)&gt;2,"Alta","n/a"))))</f>
        <v>Baixa</v>
      </c>
      <c r="FB145" s="10"/>
    </row>
    <row r="146" spans="1:158" s="2" customFormat="1" ht="11.25"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5">
        <v>21.9</v>
      </c>
      <c r="BC146" s="52">
        <v>24.14</v>
      </c>
      <c r="BD146" s="52">
        <v>24.61</v>
      </c>
      <c r="BE146" s="52">
        <v>25.99</v>
      </c>
      <c r="BF146" s="52">
        <v>24.62</v>
      </c>
      <c r="BG146" s="67">
        <v>24.36</v>
      </c>
      <c r="BH146" s="52">
        <v>25.47</v>
      </c>
      <c r="BI146" s="52">
        <v>26.18</v>
      </c>
      <c r="BJ146" s="52">
        <v>27.23</v>
      </c>
      <c r="BK146" s="52">
        <v>25.51</v>
      </c>
      <c r="BL146" s="52">
        <v>25.58</v>
      </c>
      <c r="BM146" s="52">
        <v>25.25</v>
      </c>
      <c r="BN146" s="52">
        <v>25.72</v>
      </c>
      <c r="BO146" s="52">
        <v>28.4</v>
      </c>
      <c r="BP146" s="52">
        <v>27.23</v>
      </c>
      <c r="BQ146" s="52" cm="1">
        <f t="array" aca="1" ref="BQ146" ca="1">_FV(EE146,"Preço")</f>
        <v>27.23</v>
      </c>
      <c r="BR146" s="69" t="s">
        <v>142</v>
      </c>
      <c r="BS146" s="36" cm="1">
        <f t="array" aca="1" ref="BS146" ca="1">_FV(EE146,"Média de volume",TRUE)</f>
        <v>3603200</v>
      </c>
      <c r="BT146" s="36">
        <v>2374100</v>
      </c>
      <c r="BU146" s="36" cm="1">
        <f t="array" aca="1" ref="BU146" ca="1">_FV(EE146,"Volume")</f>
        <v>2374100</v>
      </c>
      <c r="BV146" s="24" cm="1">
        <f t="array" aca="1" ref="BV146" ca="1">_FV(EE146,"Beta")</f>
        <v>1.4531000000000001</v>
      </c>
      <c r="BW146" s="71" cm="1">
        <f t="array" aca="1" ref="BW146" ca="1">_FV(EE146,"Variação (%)",TRUE)</f>
        <v>1.6045E-2</v>
      </c>
      <c r="BY146" s="17" cm="1">
        <f t="array" aca="1" ref="BY146" ca="1">_FV(EE146,"Baixo")</f>
        <v>26.47</v>
      </c>
      <c r="BZ146" s="17" cm="1">
        <f t="array" aca="1" ref="BZ146" ca="1">_FV(EE146,"Alto")</f>
        <v>27.4</v>
      </c>
      <c r="CA146" s="24"/>
      <c r="CB146" s="63">
        <f ca="1">SQRT(22.5*(BQ146/VLOOKUP(BR146,Fundamentus!A:U,3,FALSE))*(BQ146/VLOOKUP(BR146,Fundamentus!A:U,4,FALSE)))</f>
        <v>29.760007169956342</v>
      </c>
      <c r="CD146" s="62">
        <f t="shared" ca="1" si="168"/>
        <v>0</v>
      </c>
      <c r="CE146" s="8"/>
      <c r="CF146" s="61">
        <f t="shared" si="169"/>
        <v>17.059999999999999</v>
      </c>
      <c r="CG146" s="61">
        <f t="shared" si="170"/>
        <v>28.57</v>
      </c>
      <c r="CH146" s="61">
        <f t="shared" si="171"/>
        <v>23.126249999999999</v>
      </c>
      <c r="CI146" s="14"/>
      <c r="CJ146" s="35">
        <f t="shared" si="154"/>
        <v>26.47689690949845</v>
      </c>
      <c r="CK146" s="15">
        <f t="shared" si="172"/>
        <v>28.804999999999382</v>
      </c>
      <c r="CL146" s="35">
        <f t="shared" si="155"/>
        <v>31.133103090500313</v>
      </c>
      <c r="CN146" s="14"/>
      <c r="CO146" s="17">
        <f t="shared" si="156"/>
        <v>8.4933333333333287</v>
      </c>
      <c r="CP146" s="17">
        <f t="shared" si="157"/>
        <v>12.776666666666664</v>
      </c>
      <c r="CQ146" s="17">
        <f t="shared" si="158"/>
        <v>20.00333333333333</v>
      </c>
      <c r="CR146" s="38">
        <f t="shared" si="173"/>
        <v>24.286666666666665</v>
      </c>
      <c r="CS146" s="17">
        <f t="shared" si="159"/>
        <v>31.513333333333332</v>
      </c>
      <c r="CT146" s="17">
        <f t="shared" si="160"/>
        <v>35.796666666666667</v>
      </c>
      <c r="CU146" s="17">
        <f t="shared" si="161"/>
        <v>43.023333333333333</v>
      </c>
      <c r="CV146" s="2" cm="1">
        <f t="array" aca="1" ref="CV146" ca="1">MAX(_xlfn._xlws.FILTER(CO146:CU146,CO146:CU146&lt;BQ146))</f>
        <v>24.286666666666665</v>
      </c>
      <c r="CW146" s="2" cm="1">
        <f t="array" aca="1" ref="CW146" ca="1">MIN(_xlfn._xlws.FILTER($CO146:$CU146,$CO146:$CU146&gt;BQ146))</f>
        <v>31.513333333333332</v>
      </c>
      <c r="CX146" s="16">
        <f t="shared" ca="1" si="136"/>
        <v>0.29755695855064501</v>
      </c>
      <c r="CY146" s="20">
        <f t="shared" ca="1" si="137"/>
        <v>-0.14877847927532251</v>
      </c>
      <c r="CZ146" s="20">
        <f t="shared" ca="1" si="138"/>
        <v>-9.9185652850215009E-2</v>
      </c>
      <c r="DA146" s="20">
        <f t="shared" ca="1" si="139"/>
        <v>-5.9511391710129001E-2</v>
      </c>
      <c r="DB146" s="20">
        <f t="shared" ca="1" si="140"/>
        <v>-3.3061884283405001E-2</v>
      </c>
      <c r="DC146" s="20">
        <f t="shared" ca="1" si="141"/>
        <v>-1.7503350502979118E-2</v>
      </c>
      <c r="DD146" s="20">
        <f t="shared" ca="1" si="142"/>
        <v>-9.0168775318377279E-3</v>
      </c>
      <c r="DE146" s="20">
        <f t="shared" ca="1" si="143"/>
        <v>-4.5777993623176156E-3</v>
      </c>
      <c r="DF146" s="21">
        <f t="shared" ca="1" si="144"/>
        <v>4.5777993623176156E-3</v>
      </c>
      <c r="DG146" s="21">
        <f t="shared" ca="1" si="145"/>
        <v>9.0168775318377279E-3</v>
      </c>
      <c r="DH146" s="21">
        <f t="shared" ca="1" si="146"/>
        <v>1.7503350502979118E-2</v>
      </c>
      <c r="DI146" s="21">
        <f t="shared" ca="1" si="147"/>
        <v>3.3061884283405001E-2</v>
      </c>
      <c r="DJ146" s="21">
        <f t="shared" ca="1" si="148"/>
        <v>5.9511391710129001E-2</v>
      </c>
      <c r="DK146" s="21">
        <f t="shared" ca="1" si="149"/>
        <v>9.9185652850215009E-2</v>
      </c>
      <c r="DL146" s="21">
        <f t="shared" ca="1" si="150"/>
        <v>0.14877847927532251</v>
      </c>
      <c r="DN146" s="16" cm="1">
        <f t="array" aca="1" ref="DN146" ca="1">MAX(_xlfn._xlws.FILTER(CY146:DL146,CY146:DL146&lt;BW146))</f>
        <v>9.0168775318377279E-3</v>
      </c>
      <c r="DO146" s="16" cm="1">
        <f t="array" aca="1" ref="DO146" ca="1">MIN(_xlfn._xlws.FILTER(CY146:DL146,CY146:DL146&gt;BW146))</f>
        <v>1.7503350502979118E-2</v>
      </c>
      <c r="DP146" s="2" cm="1">
        <f t="array" aca="1" ref="DP146" ca="1">_FV(EE146,"Fechamento anterior",TRUE)</f>
        <v>26.8</v>
      </c>
      <c r="DQ146" s="28">
        <f t="shared" ca="1" si="162"/>
        <v>0.82812949637191513</v>
      </c>
      <c r="DR146" s="15">
        <f t="shared" ca="1" si="151"/>
        <v>27.041652317853252</v>
      </c>
      <c r="DS146" s="15">
        <f t="shared" ca="1" si="152"/>
        <v>27.269089793479843</v>
      </c>
      <c r="DT146" s="9"/>
      <c r="DU146" s="9"/>
      <c r="DV146" s="9"/>
      <c r="DW146" s="89">
        <v>1.6139014478320488E-2</v>
      </c>
      <c r="DX146" s="89">
        <f t="shared" ca="1" si="163"/>
        <v>8.4864729711413896E-3</v>
      </c>
      <c r="DY146" s="72">
        <f t="shared" ca="1" si="164"/>
        <v>-0.67651643366896297</v>
      </c>
      <c r="DZ146" s="37"/>
      <c r="EA146" s="35">
        <f t="shared" si="174"/>
        <v>1.1640515452504665</v>
      </c>
      <c r="EB146" s="56"/>
      <c r="EC146" s="56"/>
      <c r="EE146" s="2" t="e" vm="146">
        <v>#VALUE!</v>
      </c>
      <c r="EG146" s="10" cm="1">
        <f t="array" aca="1" ref="EG146" ca="1">_FV(EE146,"Ações em circulação",TRUE)</f>
        <v>236197800</v>
      </c>
      <c r="EH146" s="18">
        <f>VLOOKUP(BR146,Fundamentus!A:U,5,FALSE)</f>
        <v>2.246</v>
      </c>
      <c r="EI146" s="2">
        <f t="shared" ca="1" si="165"/>
        <v>2863609124.6660728</v>
      </c>
      <c r="EJ146" s="17">
        <v>785774343.80837035</v>
      </c>
      <c r="EK146" s="17">
        <f t="shared" ca="1" si="166"/>
        <v>785774343.80837035</v>
      </c>
      <c r="EM146" s="16">
        <f t="shared" ca="1" si="153"/>
        <v>0</v>
      </c>
      <c r="EN146" s="32" t="str">
        <f>IF(VLOOKUP(BR146,Fundamentus!A:U,3,FALSE)&lt;15,"Bom",IF(VLOOKUP(BR146,Fundamentus!A:U,3,FALSE)&gt;15,"Ruim","n/a"))</f>
        <v>Bom</v>
      </c>
      <c r="EO146" s="28" t="str">
        <f>IF(VLOOKUP(BR146,Fundamentus!A:U,4,FALSE)&lt;1,"Baixo",IF(VLOOKUP(BR146,Fundamentus!A:U,4,FALSE)&lt;1.5,"Moderado",IF(VLOOKUP(BR146,Fundamentus!A:U,4,FALSE)&gt;1.5,"Alto","n/a")))</f>
        <v>Alto</v>
      </c>
      <c r="EP146" s="17" t="str">
        <f>IF(VLOOKUP(BR146,Fundamentus!A:U,8,FALSE)&lt;0,"Risco elevado",IF(VLOOKUP(BR146,Fundamentus!A:U,8,FALSE)&lt;1,"Saudável",IF(VLOOKUP(BR146,Fundamentus!A:U,8,FALSE)&lt;3,"Estável",IF(VLOOKUP(BR146,Fundamentus!A:U,8,FALSE)&gt;3,"Alerta","n/a"))))</f>
        <v>Alerta</v>
      </c>
      <c r="EQ146" s="28" t="str">
        <f t="shared" si="167"/>
        <v>Bom</v>
      </c>
      <c r="ER146" s="17" t="str">
        <f>IF(VLOOKUP(BR146,Fundamentus!A:U,12,FALSE)&lt;2,"Subvalorizada",IF(VLOOKUP(BR146,Fundamentus!A:U,12,FALSE)&lt;6,"Muita barata",IF(VLOOKUP(BR146,Fundamentus!A:U,12,FALSE)&lt;6,"Barata",IF(VLOOKUP(BR146,Fundamentus!A:U,12,FALSE)&lt;8,"Atrativa",IF(VLOOKUP(BR146,Fundamentus!A:U,12,FALSE)&gt;8,"Supervalorizada","n/a")))))</f>
        <v>Atrativa</v>
      </c>
      <c r="ET146" s="17" t="str">
        <f>IF(VLOOKUP(BR146,Fundamentus!A:U,17,FALSE)&lt;0.1,"Fraco retorno",IF(VLOOKUP(BR146,Fundamentus!A:U,17,FALSE)&gt;0.1,"Bom retorno","n/a"))</f>
        <v>Bom retorno</v>
      </c>
      <c r="EU146" s="17" t="str">
        <f>IF(VLOOKUP(BR146,Fundamentus!A:U,16,FALSE)&lt;0.1,"Ineficiente",IF(VLOOKUP(BR146,Fundamentus!A:U,16,FALSE)&gt;0.1,"Eficiente","n/a"))</f>
        <v>Eficiente</v>
      </c>
      <c r="EV146" s="33" t="str">
        <f>IF(VLOOKUP(BR146,Fundamentus!A:U,16,FALSE)&lt;0.1,"Oper. Ineficiente",IF(VLOOKUP(BR146,Fundamentus!A:U,16,FALSE)&gt;0.1,"Oper.Eficiente","n/a"))</f>
        <v>Oper.Eficiente</v>
      </c>
      <c r="EW146" s="34">
        <f>VLOOKUP(BR146,Fundamentus!A:U,14,FALSE)</f>
        <v>0.27439999999999998</v>
      </c>
      <c r="EX146" s="17" t="str">
        <f>IF(VLOOKUP(BR146,Fundamentus!A:U,21,FALSE)&lt;0,"Negativo",IF(VLOOKUP(BR146,Fundamentus!A:U,21,FALSE)&lt;0.05,"Fraco",IF(VLOOKUP(BR146,Fundamentus!A:U,21,FALSE)&lt;0.1,"Bom",IF(VLOOKUP(BR146,Fundamentus!A:U,21,FALSE)&gt;0.1,"Muito bom","n/a"))))</f>
        <v>Muito bom</v>
      </c>
      <c r="EZ146" s="29" t="str">
        <f>IF(VLOOKUP(BR146,Fundamentus!A:U,15,FALSE)&gt;1,"Bom",IF(VLOOKUP(BR146,Fundamentus!A:U,15,FALSE)&lt;1,"Ruim","n/a"))</f>
        <v>Bom</v>
      </c>
      <c r="FA146" s="17" t="str">
        <f>IF(VLOOKUP(BR146,Fundamentus!A:U,20,FALSE)&lt;0.5,"Baixa",IF(VLOOKUP(BR146,Fundamentus!A:U,20,FALSE)&lt;1,"Moderada",IF(VLOOKUP(BR146,Fundamentus!A:U,20,FALSE)&lt;2,"Alerta",IF(VLOOKUP(BR146,Fundamentus!A:U,20,FALSE)&gt;2,"Alta","n/a"))))</f>
        <v>Baixa</v>
      </c>
      <c r="FB146" s="10"/>
    </row>
    <row r="147" spans="1:158" s="2" customFormat="1" ht="11.25"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5">
        <v>20.75</v>
      </c>
      <c r="BC147" s="52">
        <v>21.32</v>
      </c>
      <c r="BD147" s="52">
        <v>21.63</v>
      </c>
      <c r="BE147" s="52">
        <v>21.14</v>
      </c>
      <c r="BF147" s="52">
        <v>21.56</v>
      </c>
      <c r="BG147" s="67">
        <v>20.73</v>
      </c>
      <c r="BH147" s="52">
        <v>20.73</v>
      </c>
      <c r="BI147" s="52">
        <v>20.72</v>
      </c>
      <c r="BJ147" s="52">
        <v>20.78</v>
      </c>
      <c r="BK147" s="52">
        <v>20.09</v>
      </c>
      <c r="BL147" s="52">
        <v>19.79</v>
      </c>
      <c r="BM147" s="52">
        <v>20.5</v>
      </c>
      <c r="BN147" s="52">
        <v>20.420000000000002</v>
      </c>
      <c r="BO147" s="52">
        <v>20.29</v>
      </c>
      <c r="BP147" s="52">
        <v>20.61</v>
      </c>
      <c r="BQ147" s="52" cm="1">
        <f t="array" aca="1" ref="BQ147" ca="1">_FV(EE147,"Preço")</f>
        <v>20.61</v>
      </c>
      <c r="BR147" s="69" t="s">
        <v>143</v>
      </c>
      <c r="BS147" s="36" cm="1">
        <f t="array" aca="1" ref="BS147" ca="1">_FV(EE147,"Média de volume",TRUE)</f>
        <v>342750</v>
      </c>
      <c r="BT147" s="36">
        <v>184700</v>
      </c>
      <c r="BU147" s="36" cm="1">
        <f t="array" aca="1" ref="BU147" ca="1">_FV(EE147,"Volume")</f>
        <v>184700</v>
      </c>
      <c r="BV147" s="24" cm="1">
        <f t="array" aca="1" ref="BV147" ca="1">_FV(EE147,"Beta")</f>
        <v>1.1068</v>
      </c>
      <c r="BW147" s="71" cm="1">
        <f t="array" aca="1" ref="BW147" ca="1">_FV(EE147,"Variação (%)",TRUE)</f>
        <v>-6.2680000000000001E-3</v>
      </c>
      <c r="BY147" s="17" cm="1">
        <f t="array" aca="1" ref="BY147" ca="1">_FV(EE147,"Baixo")</f>
        <v>20.3</v>
      </c>
      <c r="BZ147" s="17" cm="1">
        <f t="array" aca="1" ref="BZ147" ca="1">_FV(EE147,"Alto")</f>
        <v>20.8</v>
      </c>
      <c r="CA147" s="24"/>
      <c r="CB147" s="63">
        <f ca="1">SQRT(22.5*(BQ147/VLOOKUP(BR147,Fundamentus!A:U,3,FALSE))*(BQ147/VLOOKUP(BR147,Fundamentus!A:U,4,FALSE)))</f>
        <v>66.200509449655939</v>
      </c>
      <c r="CD147" s="62">
        <f t="shared" ca="1" si="168"/>
        <v>0</v>
      </c>
      <c r="CE147" s="8"/>
      <c r="CF147" s="61">
        <f t="shared" si="169"/>
        <v>16.55</v>
      </c>
      <c r="CG147" s="61">
        <f t="shared" si="170"/>
        <v>24.74</v>
      </c>
      <c r="CH147" s="61">
        <f t="shared" si="171"/>
        <v>20.949558823529411</v>
      </c>
      <c r="CI147" s="14"/>
      <c r="CJ147" s="35">
        <f t="shared" si="154"/>
        <v>19.995035295338962</v>
      </c>
      <c r="CK147" s="15">
        <f t="shared" si="172"/>
        <v>20.504999999999981</v>
      </c>
      <c r="CL147" s="35">
        <f t="shared" si="155"/>
        <v>21.014964704661001</v>
      </c>
      <c r="CN147" s="14"/>
      <c r="CO147" s="17">
        <f t="shared" si="156"/>
        <v>8.3366666666666696</v>
      </c>
      <c r="CP147" s="17">
        <f t="shared" si="157"/>
        <v>12.443333333333335</v>
      </c>
      <c r="CQ147" s="17">
        <f t="shared" si="158"/>
        <v>16.526666666666667</v>
      </c>
      <c r="CR147" s="38">
        <f t="shared" si="173"/>
        <v>20.633333333333333</v>
      </c>
      <c r="CS147" s="17">
        <f t="shared" si="159"/>
        <v>24.716666666666665</v>
      </c>
      <c r="CT147" s="17">
        <f t="shared" si="160"/>
        <v>28.823333333333331</v>
      </c>
      <c r="CU147" s="17">
        <f t="shared" si="161"/>
        <v>32.906666666666666</v>
      </c>
      <c r="CV147" s="2" cm="1">
        <f t="array" aca="1" ref="CV147" ca="1">MAX(_xlfn._xlws.FILTER(CO147:CU147,CO147:CU147&lt;BQ147))</f>
        <v>16.526666666666667</v>
      </c>
      <c r="CW147" s="2" cm="1">
        <f t="array" aca="1" ref="CW147" ca="1">MIN(_xlfn._xlws.FILTER($CO147:$CU147,$CO147:$CU147&gt;BQ147))</f>
        <v>20.633333333333333</v>
      </c>
      <c r="CX147" s="16">
        <f t="shared" ref="CX147:CX178" ca="1" si="175">(CW147/CV147)-1</f>
        <v>0.24848729326341257</v>
      </c>
      <c r="CY147" s="20">
        <f t="shared" ref="CY147:CY178" ca="1" si="176">-$CX147/2</f>
        <v>-0.12424364663170628</v>
      </c>
      <c r="CZ147" s="20">
        <f t="shared" ref="CZ147:CZ178" ca="1" si="177">-$CX147/3</f>
        <v>-8.2829097754470851E-2</v>
      </c>
      <c r="DA147" s="20">
        <f t="shared" ref="DA147:DA178" ca="1" si="178">-$CX147/5</f>
        <v>-4.9697458652682512E-2</v>
      </c>
      <c r="DB147" s="20">
        <f t="shared" ref="DB147:DB178" ca="1" si="179">-$CX147/9</f>
        <v>-2.7609699251490285E-2</v>
      </c>
      <c r="DC147" s="20">
        <f t="shared" ref="DC147:DC178" ca="1" si="180">-$CX147/17</f>
        <v>-1.4616899603730152E-2</v>
      </c>
      <c r="DD147" s="20">
        <f t="shared" ref="DD147:DD178" ca="1" si="181">-$CX147/33</f>
        <v>-7.5299179776791691E-3</v>
      </c>
      <c r="DE147" s="20">
        <f t="shared" ref="DE147:DE178" ca="1" si="182">-$CX147/65</f>
        <v>-3.8228814348217318E-3</v>
      </c>
      <c r="DF147" s="21">
        <f t="shared" ref="DF147:DF178" ca="1" si="183">-$CX147/65*-1</f>
        <v>3.8228814348217318E-3</v>
      </c>
      <c r="DG147" s="21">
        <f t="shared" ref="DG147:DG178" ca="1" si="184">-$CX147/33*-1</f>
        <v>7.5299179776791691E-3</v>
      </c>
      <c r="DH147" s="21">
        <f t="shared" ref="DH147:DH178" ca="1" si="185">-$CX147/17*-1</f>
        <v>1.4616899603730152E-2</v>
      </c>
      <c r="DI147" s="21">
        <f t="shared" ref="DI147:DI178" ca="1" si="186">-$CX147/9*-1</f>
        <v>2.7609699251490285E-2</v>
      </c>
      <c r="DJ147" s="21">
        <f t="shared" ref="DJ147:DJ178" ca="1" si="187">-$CX147/5*-1</f>
        <v>4.9697458652682512E-2</v>
      </c>
      <c r="DK147" s="21">
        <f t="shared" ref="DK147:DK178" ca="1" si="188">-$CX147/3*-1</f>
        <v>8.2829097754470851E-2</v>
      </c>
      <c r="DL147" s="21">
        <f t="shared" ref="DL147:DL178" ca="1" si="189">-$CX147/2*-1</f>
        <v>0.12424364663170628</v>
      </c>
      <c r="DN147" s="16" cm="1">
        <f t="array" aca="1" ref="DN147" ca="1">MAX(_xlfn._xlws.FILTER(CY147:DL147,CY147:DL147&lt;BW147))</f>
        <v>-7.5299179776791691E-3</v>
      </c>
      <c r="DO147" s="16" cm="1">
        <f t="array" aca="1" ref="DO147" ca="1">MIN(_xlfn._xlws.FILTER(CY147:DL147,CY147:DL147&gt;BW147))</f>
        <v>-3.8228814348217318E-3</v>
      </c>
      <c r="DP147" s="2" cm="1">
        <f t="array" aca="1" ref="DP147" ca="1">_FV(EE147,"Fechamento anterior",TRUE)</f>
        <v>20.74</v>
      </c>
      <c r="DQ147" s="28">
        <f t="shared" ca="1" si="162"/>
        <v>0.34038967789985369</v>
      </c>
      <c r="DR147" s="15">
        <f t="shared" ref="DR147:DR178" ca="1" si="190">DP147+(DP147*DN147)</f>
        <v>20.583829501142933</v>
      </c>
      <c r="DS147" s="15">
        <f t="shared" ref="DS147:DS178" ca="1" si="191">DP147+(DP147*DO147)</f>
        <v>20.660713439041796</v>
      </c>
      <c r="DT147" s="9"/>
      <c r="DU147" s="9"/>
      <c r="DV147" s="9"/>
      <c r="DW147" s="89">
        <v>3.8530601669138605E-3</v>
      </c>
      <c r="DX147" s="89">
        <f t="shared" ca="1" si="163"/>
        <v>3.7070365428574373E-3</v>
      </c>
      <c r="DY147" s="72">
        <f t="shared" ca="1" si="164"/>
        <v>0.20589660233410298</v>
      </c>
      <c r="DZ147" s="37"/>
      <c r="EA147" s="35">
        <f t="shared" si="174"/>
        <v>0.25498235233050986</v>
      </c>
      <c r="EB147" s="56"/>
      <c r="EC147" s="56"/>
      <c r="EE147" s="2" t="e" vm="147">
        <v>#VALUE!</v>
      </c>
      <c r="EG147" s="10" cm="1">
        <f t="array" aca="1" ref="EG147" ca="1">_FV(EE147,"Ações em circulação",TRUE)</f>
        <v>87859150</v>
      </c>
      <c r="EH147" s="18">
        <f>VLOOKUP(BR147,Fundamentus!A:U,5,FALSE)</f>
        <v>7.8550000000000004</v>
      </c>
      <c r="EI147" s="2">
        <f t="shared" ca="1" si="165"/>
        <v>230525408.21133035</v>
      </c>
      <c r="EJ147" s="17">
        <v>391224670.27544874</v>
      </c>
      <c r="EK147" s="17">
        <f t="shared" ca="1" si="166"/>
        <v>391224670.27544874</v>
      </c>
      <c r="EM147" s="16">
        <f t="shared" ca="1" si="153"/>
        <v>0</v>
      </c>
      <c r="EN147" s="32" t="str">
        <f>IF(VLOOKUP(BR147,Fundamentus!A:U,3,FALSE)&lt;15,"Bom",IF(VLOOKUP(BR147,Fundamentus!A:U,3,FALSE)&gt;15,"Ruim","n/a"))</f>
        <v>Bom</v>
      </c>
      <c r="EO147" s="28" t="str">
        <f>IF(VLOOKUP(BR147,Fundamentus!A:U,4,FALSE)&lt;1,"Baixo",IF(VLOOKUP(BR147,Fundamentus!A:U,4,FALSE)&lt;1.5,"Moderado",IF(VLOOKUP(BR147,Fundamentus!A:U,4,FALSE)&gt;1.5,"Alto","n/a")))</f>
        <v>Baixo</v>
      </c>
      <c r="EP147" s="17" t="str">
        <f>IF(VLOOKUP(BR147,Fundamentus!A:U,8,FALSE)&lt;0,"Risco elevado",IF(VLOOKUP(BR147,Fundamentus!A:U,8,FALSE)&lt;1,"Saudável",IF(VLOOKUP(BR147,Fundamentus!A:U,8,FALSE)&lt;3,"Estável",IF(VLOOKUP(BR147,Fundamentus!A:U,8,FALSE)&gt;3,"Alerta","n/a"))))</f>
        <v>Alerta</v>
      </c>
      <c r="EQ147" s="28" t="str">
        <f t="shared" si="167"/>
        <v>Bom</v>
      </c>
      <c r="ER147" s="17" t="str">
        <f>IF(VLOOKUP(BR147,Fundamentus!A:U,12,FALSE)&lt;2,"Subvalorizada",IF(VLOOKUP(BR147,Fundamentus!A:U,12,FALSE)&lt;6,"Muita barata",IF(VLOOKUP(BR147,Fundamentus!A:U,12,FALSE)&lt;6,"Barata",IF(VLOOKUP(BR147,Fundamentus!A:U,12,FALSE)&lt;8,"Atrativa",IF(VLOOKUP(BR147,Fundamentus!A:U,12,FALSE)&gt;8,"Supervalorizada","n/a")))))</f>
        <v>Supervalorizada</v>
      </c>
      <c r="ET147" s="17" t="str">
        <f>IF(VLOOKUP(BR147,Fundamentus!A:U,17,FALSE)&lt;0.1,"Fraco retorno",IF(VLOOKUP(BR147,Fundamentus!A:U,17,FALSE)&gt;0.1,"Bom retorno","n/a"))</f>
        <v>Bom retorno</v>
      </c>
      <c r="EU147" s="17" t="str">
        <f>IF(VLOOKUP(BR147,Fundamentus!A:U,16,FALSE)&lt;0.1,"Ineficiente",IF(VLOOKUP(BR147,Fundamentus!A:U,16,FALSE)&gt;0.1,"Eficiente","n/a"))</f>
        <v>Ineficiente</v>
      </c>
      <c r="EV147" s="33" t="str">
        <f>IF(VLOOKUP(BR147,Fundamentus!A:U,16,FALSE)&lt;0.1,"Oper. Ineficiente",IF(VLOOKUP(BR147,Fundamentus!A:U,16,FALSE)&gt;0.1,"Oper.Eficiente","n/a"))</f>
        <v>Oper. Ineficiente</v>
      </c>
      <c r="EW147" s="34">
        <f>VLOOKUP(BR147,Fundamentus!A:U,14,FALSE)</f>
        <v>1.6971000000000001</v>
      </c>
      <c r="EX147" s="17" t="str">
        <f>IF(VLOOKUP(BR147,Fundamentus!A:U,21,FALSE)&lt;0,"Negativo",IF(VLOOKUP(BR147,Fundamentus!A:U,21,FALSE)&lt;0.05,"Fraco",IF(VLOOKUP(BR147,Fundamentus!A:U,21,FALSE)&lt;0.1,"Bom",IF(VLOOKUP(BR147,Fundamentus!A:U,21,FALSE)&gt;0.1,"Muito bom","n/a"))))</f>
        <v>Muito bom</v>
      </c>
      <c r="EZ147" s="29" t="str">
        <f>IF(VLOOKUP(BR147,Fundamentus!A:U,15,FALSE)&gt;1,"Bom",IF(VLOOKUP(BR147,Fundamentus!A:U,15,FALSE)&lt;1,"Ruim","n/a"))</f>
        <v>Bom</v>
      </c>
      <c r="FA147" s="17" t="str">
        <f>IF(VLOOKUP(BR147,Fundamentus!A:U,20,FALSE)&lt;0.5,"Baixa",IF(VLOOKUP(BR147,Fundamentus!A:U,20,FALSE)&lt;1,"Moderada",IF(VLOOKUP(BR147,Fundamentus!A:U,20,FALSE)&lt;2,"Alerta",IF(VLOOKUP(BR147,Fundamentus!A:U,20,FALSE)&gt;2,"Alta","n/a"))))</f>
        <v>Moderada</v>
      </c>
      <c r="FB147" s="10"/>
    </row>
    <row r="148" spans="1:158" s="2" customFormat="1" ht="11.25"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5">
        <v>2.0699999999999998</v>
      </c>
      <c r="BC148" s="52">
        <v>2.2400000000000002</v>
      </c>
      <c r="BD148" s="52">
        <v>2.19</v>
      </c>
      <c r="BE148" s="52">
        <v>2.13</v>
      </c>
      <c r="BF148" s="52">
        <v>2.1</v>
      </c>
      <c r="BG148" s="67">
        <v>1.91</v>
      </c>
      <c r="BH148" s="52">
        <v>1.77</v>
      </c>
      <c r="BI148" s="52">
        <v>1.83</v>
      </c>
      <c r="BJ148" s="52">
        <v>1.85</v>
      </c>
      <c r="BK148" s="52">
        <v>1.77</v>
      </c>
      <c r="BL148" s="52">
        <v>1.67</v>
      </c>
      <c r="BM148" s="52">
        <v>1.66</v>
      </c>
      <c r="BN148" s="52">
        <v>1.64</v>
      </c>
      <c r="BO148" s="52">
        <v>1.74</v>
      </c>
      <c r="BP148" s="52">
        <v>1.83</v>
      </c>
      <c r="BQ148" s="52" cm="1">
        <f t="array" aca="1" ref="BQ148" ca="1">_FV(EE148,"Preço")</f>
        <v>1.83</v>
      </c>
      <c r="BR148" s="69" t="s">
        <v>144</v>
      </c>
      <c r="BS148" s="36" cm="1">
        <f t="array" aca="1" ref="BS148" ca="1">_FV(EE148,"Média de volume",TRUE)</f>
        <v>2054540</v>
      </c>
      <c r="BT148" s="36">
        <v>2554100</v>
      </c>
      <c r="BU148" s="36" cm="1">
        <f t="array" aca="1" ref="BU148" ca="1">_FV(EE148,"Volume")</f>
        <v>2554100</v>
      </c>
      <c r="BV148" s="24" cm="1">
        <f t="array" aca="1" ref="BV148" ca="1">_FV(EE148,"Beta")</f>
        <v>1.49</v>
      </c>
      <c r="BW148" s="71" cm="1">
        <f t="array" aca="1" ref="BW148" ca="1">_FV(EE148,"Variação (%)",TRUE)</f>
        <v>4.5713999999999998E-2</v>
      </c>
      <c r="BY148" s="17" cm="1">
        <f t="array" aca="1" ref="BY148" ca="1">_FV(EE148,"Baixo")</f>
        <v>1.74</v>
      </c>
      <c r="BZ148" s="17" cm="1">
        <f t="array" aca="1" ref="BZ148" ca="1">_FV(EE148,"Alto")</f>
        <v>1.84</v>
      </c>
      <c r="CA148" s="24"/>
      <c r="CB148" s="63">
        <f ca="1">SQRT(22.5*(BQ148/VLOOKUP(BR148,Fundamentus!A:U,3,FALSE))*(BQ148/VLOOKUP(BR148,Fundamentus!A:U,4,FALSE)))</f>
        <v>1.2717781955224507</v>
      </c>
      <c r="CD148" s="62">
        <f t="shared" ca="1" si="168"/>
        <v>0</v>
      </c>
      <c r="CE148" s="8"/>
      <c r="CF148" s="61">
        <f t="shared" si="169"/>
        <v>1.39</v>
      </c>
      <c r="CG148" s="61">
        <f t="shared" si="170"/>
        <v>2.31</v>
      </c>
      <c r="CH148" s="61">
        <f t="shared" si="171"/>
        <v>1.8799264705882348</v>
      </c>
      <c r="CI148" s="14"/>
      <c r="CJ148" s="35">
        <f t="shared" si="154"/>
        <v>1.7699200319744299</v>
      </c>
      <c r="CK148" s="15">
        <f t="shared" si="172"/>
        <v>1.8700000000000045</v>
      </c>
      <c r="CL148" s="35">
        <f t="shared" si="155"/>
        <v>1.9700799680255792</v>
      </c>
      <c r="CN148" s="14"/>
      <c r="CO148" s="17">
        <f t="shared" si="156"/>
        <v>0.45666666666666678</v>
      </c>
      <c r="CP148" s="17">
        <f t="shared" si="157"/>
        <v>0.92333333333333334</v>
      </c>
      <c r="CQ148" s="17">
        <f t="shared" si="158"/>
        <v>1.3766666666666669</v>
      </c>
      <c r="CR148" s="38">
        <f t="shared" si="173"/>
        <v>1.8433333333333335</v>
      </c>
      <c r="CS148" s="17">
        <f t="shared" si="159"/>
        <v>2.2966666666666669</v>
      </c>
      <c r="CT148" s="17">
        <f t="shared" si="160"/>
        <v>2.7633333333333336</v>
      </c>
      <c r="CU148" s="17">
        <f t="shared" si="161"/>
        <v>3.2166666666666672</v>
      </c>
      <c r="CV148" s="2" cm="1">
        <f t="array" aca="1" ref="CV148" ca="1">MAX(_xlfn._xlws.FILTER(CO148:CU148,CO148:CU148&lt;BQ148))</f>
        <v>1.3766666666666669</v>
      </c>
      <c r="CW148" s="2" cm="1">
        <f t="array" aca="1" ref="CW148" ca="1">MIN(_xlfn._xlws.FILTER($CO148:$CU148,$CO148:$CU148&gt;BQ148))</f>
        <v>1.8433333333333335</v>
      </c>
      <c r="CX148" s="16">
        <f t="shared" ca="1" si="175"/>
        <v>0.33898305084745739</v>
      </c>
      <c r="CY148" s="20">
        <f t="shared" ca="1" si="176"/>
        <v>-0.1694915254237287</v>
      </c>
      <c r="CZ148" s="20">
        <f t="shared" ca="1" si="177"/>
        <v>-0.11299435028248579</v>
      </c>
      <c r="DA148" s="20">
        <f t="shared" ca="1" si="178"/>
        <v>-6.7796610169491484E-2</v>
      </c>
      <c r="DB148" s="20">
        <f t="shared" ca="1" si="179"/>
        <v>-3.7664783427495269E-2</v>
      </c>
      <c r="DC148" s="20">
        <f t="shared" ca="1" si="180"/>
        <v>-1.9940179461615141E-2</v>
      </c>
      <c r="DD148" s="20">
        <f t="shared" ca="1" si="181"/>
        <v>-1.0272213662044163E-2</v>
      </c>
      <c r="DE148" s="20">
        <f t="shared" ca="1" si="182"/>
        <v>-5.2151238591916522E-3</v>
      </c>
      <c r="DF148" s="21">
        <f t="shared" ca="1" si="183"/>
        <v>5.2151238591916522E-3</v>
      </c>
      <c r="DG148" s="21">
        <f t="shared" ca="1" si="184"/>
        <v>1.0272213662044163E-2</v>
      </c>
      <c r="DH148" s="21">
        <f t="shared" ca="1" si="185"/>
        <v>1.9940179461615141E-2</v>
      </c>
      <c r="DI148" s="21">
        <f t="shared" ca="1" si="186"/>
        <v>3.7664783427495269E-2</v>
      </c>
      <c r="DJ148" s="21">
        <f t="shared" ca="1" si="187"/>
        <v>6.7796610169491484E-2</v>
      </c>
      <c r="DK148" s="21">
        <f t="shared" ca="1" si="188"/>
        <v>0.11299435028248579</v>
      </c>
      <c r="DL148" s="21">
        <f t="shared" ca="1" si="189"/>
        <v>0.1694915254237287</v>
      </c>
      <c r="DN148" s="16" cm="1">
        <f t="array" aca="1" ref="DN148" ca="1">MAX(_xlfn._xlws.FILTER(CY148:DL148,CY148:DL148&lt;BW148))</f>
        <v>3.7664783427495269E-2</v>
      </c>
      <c r="DO148" s="16" cm="1">
        <f t="array" aca="1" ref="DO148" ca="1">MIN(_xlfn._xlws.FILTER(CY148:DL148,CY148:DL148&gt;BW148))</f>
        <v>6.7796610169491484E-2</v>
      </c>
      <c r="DP148" s="2" cm="1">
        <f t="array" aca="1" ref="DP148" ca="1">_FV(EE148,"Fechamento anterior",TRUE)</f>
        <v>1.75</v>
      </c>
      <c r="DQ148" s="28">
        <f t="shared" ca="1" si="162"/>
        <v>0.26714285714285868</v>
      </c>
      <c r="DR148" s="15">
        <f t="shared" ca="1" si="190"/>
        <v>1.8159133709981168</v>
      </c>
      <c r="DS148" s="15">
        <f t="shared" ca="1" si="191"/>
        <v>1.8686440677966101</v>
      </c>
      <c r="DT148" s="9"/>
      <c r="DU148" s="9"/>
      <c r="DV148" s="9"/>
      <c r="DW148" s="89">
        <v>3.3530239099859339E-2</v>
      </c>
      <c r="DX148" s="89">
        <f t="shared" ca="1" si="163"/>
        <v>3.0131826741996215E-2</v>
      </c>
      <c r="DY148" s="72">
        <f t="shared" ca="1" si="164"/>
        <v>-0.39968038348875973</v>
      </c>
      <c r="DZ148" s="37"/>
      <c r="EA148" s="35">
        <f t="shared" si="174"/>
        <v>5.003998401278726E-2</v>
      </c>
      <c r="EB148" s="56"/>
      <c r="EC148" s="56"/>
      <c r="EE148" s="2" t="e" vm="148">
        <v>#VALUE!</v>
      </c>
      <c r="EG148" s="10" cm="1">
        <f t="array" aca="1" ref="EG148" ca="1">_FV(EE148,"Ações em circulação",TRUE)</f>
        <v>284014300</v>
      </c>
      <c r="EH148" s="18">
        <f>VLOOKUP(BR148,Fundamentus!A:U,5,FALSE)</f>
        <v>0.30599999999999999</v>
      </c>
      <c r="EI148" s="2">
        <f t="shared" ca="1" si="165"/>
        <v>1698516892.1568627</v>
      </c>
      <c r="EJ148" s="17">
        <v>13588135.137254903</v>
      </c>
      <c r="EK148" s="17">
        <f t="shared" ca="1" si="166"/>
        <v>13588135.137254903</v>
      </c>
      <c r="EM148" s="16">
        <f t="shared" ca="1" si="153"/>
        <v>0</v>
      </c>
      <c r="EN148" s="32" t="str">
        <f>IF(VLOOKUP(BR148,Fundamentus!A:U,3,FALSE)&lt;15,"Bom",IF(VLOOKUP(BR148,Fundamentus!A:U,3,FALSE)&gt;15,"Ruim","n/a"))</f>
        <v>Ruim</v>
      </c>
      <c r="EO148" s="28" t="str">
        <f>IF(VLOOKUP(BR148,Fundamentus!A:U,4,FALSE)&lt;1,"Baixo",IF(VLOOKUP(BR148,Fundamentus!A:U,4,FALSE)&lt;1.5,"Moderado",IF(VLOOKUP(BR148,Fundamentus!A:U,4,FALSE)&gt;1.5,"Alto","n/a")))</f>
        <v>Baixo</v>
      </c>
      <c r="EP148" s="17" t="str">
        <f>IF(VLOOKUP(BR148,Fundamentus!A:U,8,FALSE)&lt;0,"Risco elevado",IF(VLOOKUP(BR148,Fundamentus!A:U,8,FALSE)&lt;1,"Saudável",IF(VLOOKUP(BR148,Fundamentus!A:U,8,FALSE)&lt;3,"Estável",IF(VLOOKUP(BR148,Fundamentus!A:U,8,FALSE)&gt;3,"Alerta","n/a"))))</f>
        <v>Alerta</v>
      </c>
      <c r="EQ148" s="28" t="str">
        <f t="shared" si="167"/>
        <v>Ruim</v>
      </c>
      <c r="ER148" s="17" t="str">
        <f>IF(VLOOKUP(BR148,Fundamentus!A:U,12,FALSE)&lt;2,"Subvalorizada",IF(VLOOKUP(BR148,Fundamentus!A:U,12,FALSE)&lt;6,"Muita barata",IF(VLOOKUP(BR148,Fundamentus!A:U,12,FALSE)&lt;6,"Barata",IF(VLOOKUP(BR148,Fundamentus!A:U,12,FALSE)&lt;8,"Atrativa",IF(VLOOKUP(BR148,Fundamentus!A:U,12,FALSE)&gt;8,"Supervalorizada","n/a")))))</f>
        <v>Subvalorizada</v>
      </c>
      <c r="ET148" s="17" t="str">
        <f>IF(VLOOKUP(BR148,Fundamentus!A:U,17,FALSE)&lt;0.1,"Fraco retorno",IF(VLOOKUP(BR148,Fundamentus!A:U,17,FALSE)&gt;0.1,"Bom retorno","n/a"))</f>
        <v>Fraco retorno</v>
      </c>
      <c r="EU148" s="17" t="str">
        <f>IF(VLOOKUP(BR148,Fundamentus!A:U,16,FALSE)&lt;0.1,"Ineficiente",IF(VLOOKUP(BR148,Fundamentus!A:U,16,FALSE)&gt;0.1,"Eficiente","n/a"))</f>
        <v>Eficiente</v>
      </c>
      <c r="EV148" s="33" t="str">
        <f>IF(VLOOKUP(BR148,Fundamentus!A:U,16,FALSE)&lt;0.1,"Oper. Ineficiente",IF(VLOOKUP(BR148,Fundamentus!A:U,16,FALSE)&gt;0.1,"Oper.Eficiente","n/a"))</f>
        <v>Oper.Eficiente</v>
      </c>
      <c r="EW148" s="34">
        <f>VLOOKUP(BR148,Fundamentus!A:U,14,FALSE)</f>
        <v>8.0000000000000002E-3</v>
      </c>
      <c r="EX148" s="17" t="str">
        <f>IF(VLOOKUP(BR148,Fundamentus!A:U,21,FALSE)&lt;0,"Negativo",IF(VLOOKUP(BR148,Fundamentus!A:U,21,FALSE)&lt;0.05,"Fraco",IF(VLOOKUP(BR148,Fundamentus!A:U,21,FALSE)&lt;0.1,"Bom",IF(VLOOKUP(BR148,Fundamentus!A:U,21,FALSE)&gt;0.1,"Muito bom","n/a"))))</f>
        <v>Negativo</v>
      </c>
      <c r="EZ148" s="29" t="str">
        <f>IF(VLOOKUP(BR148,Fundamentus!A:U,15,FALSE)&gt;1,"Bom",IF(VLOOKUP(BR148,Fundamentus!A:U,15,FALSE)&lt;1,"Ruim","n/a"))</f>
        <v>Bom</v>
      </c>
      <c r="FA148" s="17" t="str">
        <f>IF(VLOOKUP(BR148,Fundamentus!A:U,20,FALSE)&lt;0.5,"Baixa",IF(VLOOKUP(BR148,Fundamentus!A:U,20,FALSE)&lt;1,"Moderada",IF(VLOOKUP(BR148,Fundamentus!A:U,20,FALSE)&lt;2,"Alerta",IF(VLOOKUP(BR148,Fundamentus!A:U,20,FALSE)&gt;2,"Alta","n/a"))))</f>
        <v>Alerta</v>
      </c>
      <c r="FB148" s="10"/>
    </row>
    <row r="149" spans="1:158" s="2" customFormat="1" ht="11.25"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5">
        <v>9.1999999999999993</v>
      </c>
      <c r="BC149" s="52">
        <v>9</v>
      </c>
      <c r="BD149" s="52">
        <v>8.74</v>
      </c>
      <c r="BE149" s="52">
        <v>8.6999999999999993</v>
      </c>
      <c r="BF149" s="52">
        <v>8.4</v>
      </c>
      <c r="BG149" s="67">
        <v>8.18</v>
      </c>
      <c r="BH149" s="52">
        <v>8.9600000000000009</v>
      </c>
      <c r="BI149" s="52">
        <v>9.52</v>
      </c>
      <c r="BJ149" s="52">
        <v>9.5399999999999991</v>
      </c>
      <c r="BK149" s="52">
        <v>9.34</v>
      </c>
      <c r="BL149" s="52">
        <v>9.09</v>
      </c>
      <c r="BM149" s="52">
        <v>9.2799999999999994</v>
      </c>
      <c r="BN149" s="52">
        <v>9.1199999999999992</v>
      </c>
      <c r="BO149" s="52">
        <v>10.210000000000001</v>
      </c>
      <c r="BP149" s="52">
        <v>9.99</v>
      </c>
      <c r="BQ149" s="52" cm="1">
        <f t="array" aca="1" ref="BQ149" ca="1">_FV(EE149,"Preço")</f>
        <v>9.99</v>
      </c>
      <c r="BR149" s="69" t="s">
        <v>145</v>
      </c>
      <c r="BS149" s="36" cm="1">
        <f t="array" aca="1" ref="BS149" ca="1">_FV(EE149,"Média de volume",TRUE)</f>
        <v>359290</v>
      </c>
      <c r="BT149" s="36">
        <v>360800</v>
      </c>
      <c r="BU149" s="36" cm="1">
        <f t="array" aca="1" ref="BU149" ca="1">_FV(EE149,"Volume")</f>
        <v>360800</v>
      </c>
      <c r="BV149" s="24" cm="1">
        <f t="array" aca="1" ref="BV149" ca="1">_FV(EE149,"Beta")</f>
        <v>1.1883999999999999</v>
      </c>
      <c r="BW149" s="71" cm="1">
        <f t="array" aca="1" ref="BW149" ca="1">_FV(EE149,"Variação (%)",TRUE)</f>
        <v>-1.3819999999999999E-2</v>
      </c>
      <c r="BY149" s="17" cm="1">
        <f t="array" aca="1" ref="BY149" ca="1">_FV(EE149,"Baixo")</f>
        <v>9.8000000000000007</v>
      </c>
      <c r="BZ149" s="17" cm="1">
        <f t="array" aca="1" ref="BZ149" ca="1">_FV(EE149,"Alto")</f>
        <v>10.220000000000001</v>
      </c>
      <c r="CA149" s="24"/>
      <c r="CB149" s="63">
        <f ca="1">SQRT(22.5*(BQ149/VLOOKUP(BR149,Fundamentus!A:U,3,FALSE))*(BQ149/VLOOKUP(BR149,Fundamentus!A:U,4,FALSE)))</f>
        <v>11.832492202948673</v>
      </c>
      <c r="CD149" s="62">
        <f t="shared" ca="1" si="168"/>
        <v>0</v>
      </c>
      <c r="CE149" s="8"/>
      <c r="CF149" s="61">
        <f t="shared" si="169"/>
        <v>8.08</v>
      </c>
      <c r="CG149" s="61">
        <f t="shared" si="170"/>
        <v>11.51</v>
      </c>
      <c r="CH149" s="61">
        <f t="shared" si="171"/>
        <v>9.4595588235294112</v>
      </c>
      <c r="CI149" s="14"/>
      <c r="CJ149" s="35">
        <f t="shared" si="154"/>
        <v>9.6312136199236047</v>
      </c>
      <c r="CK149" s="15">
        <f t="shared" si="172"/>
        <v>10.455000000000382</v>
      </c>
      <c r="CL149" s="35">
        <f t="shared" si="155"/>
        <v>11.278786380077159</v>
      </c>
      <c r="CN149" s="14"/>
      <c r="CO149" s="17">
        <f t="shared" si="156"/>
        <v>4.7799999999999994</v>
      </c>
      <c r="CP149" s="17">
        <f t="shared" si="157"/>
        <v>6.43</v>
      </c>
      <c r="CQ149" s="17">
        <f t="shared" si="158"/>
        <v>8.2099999999999991</v>
      </c>
      <c r="CR149" s="38">
        <f t="shared" si="173"/>
        <v>9.86</v>
      </c>
      <c r="CS149" s="17">
        <f t="shared" si="159"/>
        <v>11.639999999999999</v>
      </c>
      <c r="CT149" s="17">
        <f t="shared" si="160"/>
        <v>13.29</v>
      </c>
      <c r="CU149" s="17">
        <f t="shared" si="161"/>
        <v>15.069999999999999</v>
      </c>
      <c r="CV149" s="2" cm="1">
        <f t="array" aca="1" ref="CV149" ca="1">MAX(_xlfn._xlws.FILTER(CO149:CU149,CO149:CU149&lt;BQ149))</f>
        <v>9.86</v>
      </c>
      <c r="CW149" s="2" cm="1">
        <f t="array" aca="1" ref="CW149" ca="1">MIN(_xlfn._xlws.FILTER($CO149:$CU149,$CO149:$CU149&gt;BQ149))</f>
        <v>11.639999999999999</v>
      </c>
      <c r="CX149" s="16">
        <f t="shared" ca="1" si="175"/>
        <v>0.18052738336713992</v>
      </c>
      <c r="CY149" s="20">
        <f t="shared" ca="1" si="176"/>
        <v>-9.0263691683569958E-2</v>
      </c>
      <c r="CZ149" s="20">
        <f t="shared" ca="1" si="177"/>
        <v>-6.0175794455713305E-2</v>
      </c>
      <c r="DA149" s="20">
        <f t="shared" ca="1" si="178"/>
        <v>-3.6105476673427984E-2</v>
      </c>
      <c r="DB149" s="20">
        <f t="shared" ca="1" si="179"/>
        <v>-2.0058598151904434E-2</v>
      </c>
      <c r="DC149" s="20">
        <f t="shared" ca="1" si="180"/>
        <v>-1.0619257845125877E-2</v>
      </c>
      <c r="DD149" s="20">
        <f t="shared" ca="1" si="181"/>
        <v>-5.4705267687012093E-3</v>
      </c>
      <c r="DE149" s="20">
        <f t="shared" ca="1" si="182"/>
        <v>-2.7773443594944604E-3</v>
      </c>
      <c r="DF149" s="21">
        <f t="shared" ca="1" si="183"/>
        <v>2.7773443594944604E-3</v>
      </c>
      <c r="DG149" s="21">
        <f t="shared" ca="1" si="184"/>
        <v>5.4705267687012093E-3</v>
      </c>
      <c r="DH149" s="21">
        <f t="shared" ca="1" si="185"/>
        <v>1.0619257845125877E-2</v>
      </c>
      <c r="DI149" s="21">
        <f t="shared" ca="1" si="186"/>
        <v>2.0058598151904434E-2</v>
      </c>
      <c r="DJ149" s="21">
        <f t="shared" ca="1" si="187"/>
        <v>3.6105476673427984E-2</v>
      </c>
      <c r="DK149" s="21">
        <f t="shared" ca="1" si="188"/>
        <v>6.0175794455713305E-2</v>
      </c>
      <c r="DL149" s="21">
        <f t="shared" ca="1" si="189"/>
        <v>9.0263691683569958E-2</v>
      </c>
      <c r="DN149" s="16" cm="1">
        <f t="array" aca="1" ref="DN149" ca="1">MAX(_xlfn._xlws.FILTER(CY149:DL149,CY149:DL149&lt;BW149))</f>
        <v>-2.0058598151904434E-2</v>
      </c>
      <c r="DO149" s="16" cm="1">
        <f t="array" aca="1" ref="DO149" ca="1">MIN(_xlfn._xlws.FILTER(CY149:DL149,CY149:DL149&gt;BW149))</f>
        <v>-1.0619257845125877E-2</v>
      </c>
      <c r="DP149" s="2" cm="1">
        <f t="array" aca="1" ref="DP149" ca="1">_FV(EE149,"Fechamento anterior",TRUE)</f>
        <v>10.130000000000001</v>
      </c>
      <c r="DQ149" s="28">
        <f t="shared" ca="1" si="162"/>
        <v>0.66087907760905718</v>
      </c>
      <c r="DR149" s="15">
        <f t="shared" ca="1" si="190"/>
        <v>9.9268064007212082</v>
      </c>
      <c r="DS149" s="15">
        <f t="shared" ca="1" si="191"/>
        <v>10.022426918028875</v>
      </c>
      <c r="DT149" s="9"/>
      <c r="DU149" s="9"/>
      <c r="DV149" s="9"/>
      <c r="DW149" s="89">
        <v>9.7556696056498651E-3</v>
      </c>
      <c r="DX149" s="89">
        <f t="shared" ca="1" si="163"/>
        <v>9.4393403067785566E-3</v>
      </c>
      <c r="DY149" s="72">
        <f t="shared" ca="1" si="164"/>
        <v>-0.56446672492575511</v>
      </c>
      <c r="DZ149" s="37"/>
      <c r="EA149" s="35">
        <f t="shared" si="174"/>
        <v>0.41189319003838898</v>
      </c>
      <c r="EB149" s="56"/>
      <c r="EC149" s="56"/>
      <c r="EE149" s="2" t="e" vm="149">
        <v>#VALUE!</v>
      </c>
      <c r="EG149" s="10" cm="1">
        <f t="array" aca="1" ref="EG149" ca="1">_FV(EE149,"Ações em circulação",TRUE)</f>
        <v>150377500</v>
      </c>
      <c r="EH149" s="18">
        <f>VLOOKUP(BR149,Fundamentus!A:U,5,FALSE)</f>
        <v>0.28100000000000003</v>
      </c>
      <c r="EI149" s="2">
        <f t="shared" ca="1" si="165"/>
        <v>5346160943.0604973</v>
      </c>
      <c r="EJ149" s="17">
        <v>104784754.48398574</v>
      </c>
      <c r="EK149" s="17">
        <f t="shared" ca="1" si="166"/>
        <v>104784754.48398574</v>
      </c>
      <c r="EM149" s="16">
        <f t="shared" ca="1" si="153"/>
        <v>0</v>
      </c>
      <c r="EN149" s="32" t="str">
        <f>IF(VLOOKUP(BR149,Fundamentus!A:U,3,FALSE)&lt;15,"Bom",IF(VLOOKUP(BR149,Fundamentus!A:U,3,FALSE)&gt;15,"Ruim","n/a"))</f>
        <v>Bom</v>
      </c>
      <c r="EO149" s="28" t="str">
        <f>IF(VLOOKUP(BR149,Fundamentus!A:U,4,FALSE)&lt;1,"Baixo",IF(VLOOKUP(BR149,Fundamentus!A:U,4,FALSE)&lt;1.5,"Moderado",IF(VLOOKUP(BR149,Fundamentus!A:U,4,FALSE)&gt;1.5,"Alto","n/a")))</f>
        <v>Moderado</v>
      </c>
      <c r="EP149" s="17" t="str">
        <f>IF(VLOOKUP(BR149,Fundamentus!A:U,8,FALSE)&lt;0,"Risco elevado",IF(VLOOKUP(BR149,Fundamentus!A:U,8,FALSE)&lt;1,"Saudável",IF(VLOOKUP(BR149,Fundamentus!A:U,8,FALSE)&lt;3,"Estável",IF(VLOOKUP(BR149,Fundamentus!A:U,8,FALSE)&gt;3,"Alerta","n/a"))))</f>
        <v>Estável</v>
      </c>
      <c r="EQ149" s="28" t="str">
        <f t="shared" si="167"/>
        <v>Ruim</v>
      </c>
      <c r="ER149" s="17" t="str">
        <f>IF(VLOOKUP(BR149,Fundamentus!A:U,12,FALSE)&lt;2,"Subvalorizada",IF(VLOOKUP(BR149,Fundamentus!A:U,12,FALSE)&lt;6,"Muita barata",IF(VLOOKUP(BR149,Fundamentus!A:U,12,FALSE)&lt;6,"Barata",IF(VLOOKUP(BR149,Fundamentus!A:U,12,FALSE)&lt;8,"Atrativa",IF(VLOOKUP(BR149,Fundamentus!A:U,12,FALSE)&gt;8,"Supervalorizada","n/a")))))</f>
        <v>Atrativa</v>
      </c>
      <c r="ET149" s="17" t="str">
        <f>IF(VLOOKUP(BR149,Fundamentus!A:U,17,FALSE)&lt;0.1,"Fraco retorno",IF(VLOOKUP(BR149,Fundamentus!A:U,17,FALSE)&gt;0.1,"Bom retorno","n/a"))</f>
        <v>Fraco retorno</v>
      </c>
      <c r="EU149" s="17" t="str">
        <f>IF(VLOOKUP(BR149,Fundamentus!A:U,16,FALSE)&lt;0.1,"Ineficiente",IF(VLOOKUP(BR149,Fundamentus!A:U,16,FALSE)&gt;0.1,"Eficiente","n/a"))</f>
        <v>Ineficiente</v>
      </c>
      <c r="EV149" s="33" t="str">
        <f>IF(VLOOKUP(BR149,Fundamentus!A:U,16,FALSE)&lt;0.1,"Oper. Ineficiente",IF(VLOOKUP(BR149,Fundamentus!A:U,16,FALSE)&gt;0.1,"Oper.Eficiente","n/a"))</f>
        <v>Oper. Ineficiente</v>
      </c>
      <c r="EW149" s="34">
        <f>VLOOKUP(BR149,Fundamentus!A:U,14,FALSE)</f>
        <v>1.9599999999999999E-2</v>
      </c>
      <c r="EX149" s="17" t="str">
        <f>IF(VLOOKUP(BR149,Fundamentus!A:U,21,FALSE)&lt;0,"Negativo",IF(VLOOKUP(BR149,Fundamentus!A:U,21,FALSE)&lt;0.05,"Fraco",IF(VLOOKUP(BR149,Fundamentus!A:U,21,FALSE)&lt;0.1,"Bom",IF(VLOOKUP(BR149,Fundamentus!A:U,21,FALSE)&gt;0.1,"Muito bom","n/a"))))</f>
        <v>Muito bom</v>
      </c>
      <c r="EZ149" s="29" t="str">
        <f>IF(VLOOKUP(BR149,Fundamentus!A:U,15,FALSE)&gt;1,"Bom",IF(VLOOKUP(BR149,Fundamentus!A:U,15,FALSE)&lt;1,"Ruim","n/a"))</f>
        <v>Bom</v>
      </c>
      <c r="FA149" s="17" t="str">
        <f>IF(VLOOKUP(BR149,Fundamentus!A:U,20,FALSE)&lt;0.5,"Baixa",IF(VLOOKUP(BR149,Fundamentus!A:U,20,FALSE)&lt;1,"Moderada",IF(VLOOKUP(BR149,Fundamentus!A:U,20,FALSE)&lt;2,"Alerta",IF(VLOOKUP(BR149,Fundamentus!A:U,20,FALSE)&gt;2,"Alta","n/a"))))</f>
        <v>Moderada</v>
      </c>
      <c r="FB149" s="10"/>
    </row>
    <row r="150" spans="1:158" s="2" customFormat="1" ht="11.25"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5">
        <v>9.9600000000000009</v>
      </c>
      <c r="BC150" s="52">
        <v>10.59</v>
      </c>
      <c r="BD150" s="52">
        <v>10.61</v>
      </c>
      <c r="BE150" s="52">
        <v>10.74</v>
      </c>
      <c r="BF150" s="52">
        <v>10.74</v>
      </c>
      <c r="BG150" s="67">
        <v>10.77</v>
      </c>
      <c r="BH150" s="52">
        <v>10.8</v>
      </c>
      <c r="BI150" s="52">
        <v>11</v>
      </c>
      <c r="BJ150" s="52">
        <v>11.34</v>
      </c>
      <c r="BK150" s="52">
        <v>11.03</v>
      </c>
      <c r="BL150" s="52">
        <v>11.22</v>
      </c>
      <c r="BM150" s="52">
        <v>11.44</v>
      </c>
      <c r="BN150" s="52">
        <v>11.09</v>
      </c>
      <c r="BO150" s="52">
        <v>11.33</v>
      </c>
      <c r="BP150" s="52">
        <v>11.32</v>
      </c>
      <c r="BQ150" s="52" cm="1">
        <f t="array" aca="1" ref="BQ150" ca="1">_FV(EE150,"Preço")</f>
        <v>11.32</v>
      </c>
      <c r="BR150" s="69" t="s">
        <v>146</v>
      </c>
      <c r="BS150" s="36" t="e" cm="1" vm="3">
        <f t="array" ref="BS150">_FV(EE150,"Média de volume",TRUE)</f>
        <v>#VALUE!</v>
      </c>
      <c r="BT150" s="36">
        <v>400</v>
      </c>
      <c r="BU150" s="36" cm="1">
        <f t="array" aca="1" ref="BU150" ca="1">_FV(EE150,"Volume")</f>
        <v>400</v>
      </c>
      <c r="BV150" s="24" t="e" cm="1" vm="137">
        <f t="array" ref="BV150">_FV(EE150,"Beta")</f>
        <v>#VALUE!</v>
      </c>
      <c r="BW150" s="71" cm="1">
        <f t="array" aca="1" ref="BW150" ca="1">_FV(EE150,"Variação (%)",TRUE)</f>
        <v>-1.7639999999999999E-3</v>
      </c>
      <c r="BY150" s="17" cm="1">
        <f t="array" aca="1" ref="BY150" ca="1">_FV(EE150,"Baixo")</f>
        <v>11.32</v>
      </c>
      <c r="BZ150" s="17" cm="1">
        <f t="array" aca="1" ref="BZ150" ca="1">_FV(EE150,"Alto")</f>
        <v>11.32</v>
      </c>
      <c r="CA150" s="24"/>
      <c r="CB150" s="63" t="e">
        <f ca="1">SQRT(22.5*(BQ150/VLOOKUP(BR150,Fundamentus!A:U,3,FALSE))*(BQ150/VLOOKUP(BR150,Fundamentus!A:U,4,FALSE)))</f>
        <v>#N/A</v>
      </c>
      <c r="CD150" s="62">
        <f t="shared" ca="1" si="168"/>
        <v>0</v>
      </c>
      <c r="CE150" s="8"/>
      <c r="CF150" s="61">
        <f t="shared" si="169"/>
        <v>7</v>
      </c>
      <c r="CG150" s="61">
        <f t="shared" si="170"/>
        <v>11.44</v>
      </c>
      <c r="CH150" s="61">
        <f t="shared" si="171"/>
        <v>9.5213970588235313</v>
      </c>
      <c r="CI150" s="14"/>
      <c r="CJ150" s="35">
        <f t="shared" si="154"/>
        <v>10.963696166635737</v>
      </c>
      <c r="CK150" s="15">
        <f t="shared" si="172"/>
        <v>11.265000000000001</v>
      </c>
      <c r="CL150" s="35">
        <f t="shared" si="155"/>
        <v>11.566303833364264</v>
      </c>
      <c r="CN150" s="14"/>
      <c r="CO150" s="17">
        <f t="shared" si="156"/>
        <v>3.9600000000000009</v>
      </c>
      <c r="CP150" s="17">
        <f t="shared" si="157"/>
        <v>5.48</v>
      </c>
      <c r="CQ150" s="17">
        <f t="shared" si="158"/>
        <v>8.4</v>
      </c>
      <c r="CR150" s="38">
        <f t="shared" si="173"/>
        <v>9.92</v>
      </c>
      <c r="CS150" s="17">
        <f t="shared" si="159"/>
        <v>12.84</v>
      </c>
      <c r="CT150" s="17">
        <f t="shared" si="160"/>
        <v>14.36</v>
      </c>
      <c r="CU150" s="17">
        <f t="shared" si="161"/>
        <v>17.28</v>
      </c>
      <c r="CV150" s="2" cm="1">
        <f t="array" aca="1" ref="CV150" ca="1">MAX(_xlfn._xlws.FILTER(CO150:CU150,CO150:CU150&lt;BQ150))</f>
        <v>9.92</v>
      </c>
      <c r="CW150" s="2" cm="1">
        <f t="array" aca="1" ref="CW150" ca="1">MIN(_xlfn._xlws.FILTER($CO150:$CU150,$CO150:$CU150&gt;BQ150))</f>
        <v>12.84</v>
      </c>
      <c r="CX150" s="16">
        <f t="shared" ca="1" si="175"/>
        <v>0.29435483870967749</v>
      </c>
      <c r="CY150" s="20">
        <f t="shared" ca="1" si="176"/>
        <v>-0.14717741935483875</v>
      </c>
      <c r="CZ150" s="20">
        <f t="shared" ca="1" si="177"/>
        <v>-9.8118279569892497E-2</v>
      </c>
      <c r="DA150" s="20">
        <f t="shared" ca="1" si="178"/>
        <v>-5.8870967741935495E-2</v>
      </c>
      <c r="DB150" s="20">
        <f t="shared" ca="1" si="179"/>
        <v>-3.2706093189964168E-2</v>
      </c>
      <c r="DC150" s="20">
        <f t="shared" ca="1" si="180"/>
        <v>-1.7314990512333969E-2</v>
      </c>
      <c r="DD150" s="20">
        <f t="shared" ca="1" si="181"/>
        <v>-8.9198435972629546E-3</v>
      </c>
      <c r="DE150" s="20">
        <f t="shared" ca="1" si="182"/>
        <v>-4.5285359801488841E-3</v>
      </c>
      <c r="DF150" s="21">
        <f t="shared" ca="1" si="183"/>
        <v>4.5285359801488841E-3</v>
      </c>
      <c r="DG150" s="21">
        <f t="shared" ca="1" si="184"/>
        <v>8.9198435972629546E-3</v>
      </c>
      <c r="DH150" s="21">
        <f t="shared" ca="1" si="185"/>
        <v>1.7314990512333969E-2</v>
      </c>
      <c r="DI150" s="21">
        <f t="shared" ca="1" si="186"/>
        <v>3.2706093189964168E-2</v>
      </c>
      <c r="DJ150" s="21">
        <f t="shared" ca="1" si="187"/>
        <v>5.8870967741935495E-2</v>
      </c>
      <c r="DK150" s="21">
        <f t="shared" ca="1" si="188"/>
        <v>9.8118279569892497E-2</v>
      </c>
      <c r="DL150" s="21">
        <f t="shared" ca="1" si="189"/>
        <v>0.14717741935483875</v>
      </c>
      <c r="DN150" s="16" cm="1">
        <f t="array" aca="1" ref="DN150" ca="1">MAX(_xlfn._xlws.FILTER(CY150:DL150,CY150:DL150&lt;BW150))</f>
        <v>-4.5285359801488841E-3</v>
      </c>
      <c r="DO150" s="16" cm="1">
        <f t="array" aca="1" ref="DO150" ca="1">MIN(_xlfn._xlws.FILTER(CY150:DL150,CY150:DL150&gt;BW150))</f>
        <v>4.5285359801488841E-3</v>
      </c>
      <c r="DP150" s="2" cm="1">
        <f t="array" aca="1" ref="DP150" ca="1">_FV(EE150,"Fechamento anterior",TRUE)</f>
        <v>11.34</v>
      </c>
      <c r="DQ150" s="28">
        <f t="shared" ca="1" si="162"/>
        <v>0.30527167741779915</v>
      </c>
      <c r="DR150" s="15">
        <f t="shared" ca="1" si="190"/>
        <v>11.288646401985112</v>
      </c>
      <c r="DS150" s="15">
        <f t="shared" ca="1" si="191"/>
        <v>11.391353598014888</v>
      </c>
      <c r="DT150" s="9"/>
      <c r="DU150" s="9"/>
      <c r="DV150" s="9"/>
      <c r="DW150" s="89">
        <v>9.064365261879535E-3</v>
      </c>
      <c r="DX150" s="89">
        <f t="shared" ca="1" si="163"/>
        <v>9.0570719602977683E-3</v>
      </c>
      <c r="DY150" s="72">
        <f t="shared" ca="1" si="164"/>
        <v>0.18253999421742179</v>
      </c>
      <c r="DZ150" s="37"/>
      <c r="EA150" s="35">
        <f t="shared" si="174"/>
        <v>0.1506519166821319</v>
      </c>
      <c r="EB150" s="56"/>
      <c r="EC150" s="56"/>
      <c r="EE150" s="2" t="e" vm="150">
        <v>#VALUE!</v>
      </c>
      <c r="EG150" s="10" t="e" cm="1" vm="151">
        <f t="array" ref="EG150">_FV(EE150,"Ações em circulação",TRUE)</f>
        <v>#VALUE!</v>
      </c>
      <c r="EH150" s="18" t="e">
        <f>VLOOKUP(BR150,Fundamentus!A:U,5,FALSE)</f>
        <v>#N/A</v>
      </c>
      <c r="EI150" s="2" t="e" vm="152">
        <f t="shared" ca="1" si="165"/>
        <v>#VALUE!</v>
      </c>
      <c r="EJ150" s="17" t="e" vm="152">
        <v>#VALUE!</v>
      </c>
      <c r="EK150" s="17" t="e" vm="152">
        <f t="shared" ca="1" si="166"/>
        <v>#VALUE!</v>
      </c>
      <c r="EM150" s="16" t="e" vm="152">
        <f t="shared" ca="1" si="153"/>
        <v>#VALUE!</v>
      </c>
      <c r="EN150" s="32" t="e">
        <f>IF(VLOOKUP(BR150,Fundamentus!A:U,3,FALSE)&lt;15,"Bom",IF(VLOOKUP(BR150,Fundamentus!A:U,3,FALSE)&gt;15,"Ruim","n/a"))</f>
        <v>#N/A</v>
      </c>
      <c r="EO150" s="28" t="e">
        <f>IF(VLOOKUP(BR150,Fundamentus!A:U,4,FALSE)&lt;1,"Baixo",IF(VLOOKUP(BR150,Fundamentus!A:U,4,FALSE)&lt;1.5,"Moderado",IF(VLOOKUP(BR150,Fundamentus!A:U,4,FALSE)&gt;1.5,"Alto","n/a")))</f>
        <v>#N/A</v>
      </c>
      <c r="EP150" s="17" t="e">
        <f>IF(VLOOKUP(BR150,Fundamentus!A:U,8,FALSE)&lt;0,"Risco elevado",IF(VLOOKUP(BR150,Fundamentus!A:U,8,FALSE)&lt;1,"Saudável",IF(VLOOKUP(BR150,Fundamentus!A:U,8,FALSE)&lt;3,"Estável",IF(VLOOKUP(BR150,Fundamentus!A:U,8,FALSE)&gt;3,"Alerta","n/a"))))</f>
        <v>#N/A</v>
      </c>
      <c r="EQ150" s="28" t="e">
        <f t="shared" si="167"/>
        <v>#N/A</v>
      </c>
      <c r="ER150" s="17" t="e">
        <f>IF(VLOOKUP(BR150,Fundamentus!A:U,12,FALSE)&lt;2,"Subvalorizada",IF(VLOOKUP(BR150,Fundamentus!A:U,12,FALSE)&lt;6,"Muita barata",IF(VLOOKUP(BR150,Fundamentus!A:U,12,FALSE)&lt;6,"Barata",IF(VLOOKUP(BR150,Fundamentus!A:U,12,FALSE)&lt;8,"Atrativa",IF(VLOOKUP(BR150,Fundamentus!A:U,12,FALSE)&gt;8,"Supervalorizada","n/a")))))</f>
        <v>#N/A</v>
      </c>
      <c r="ET150" s="17" t="e">
        <f>IF(VLOOKUP(BR150,Fundamentus!A:U,17,FALSE)&lt;0.1,"Fraco retorno",IF(VLOOKUP(BR150,Fundamentus!A:U,17,FALSE)&gt;0.1,"Bom retorno","n/a"))</f>
        <v>#N/A</v>
      </c>
      <c r="EU150" s="17" t="e">
        <f>IF(VLOOKUP(BR150,Fundamentus!A:U,16,FALSE)&lt;0.1,"Ineficiente",IF(VLOOKUP(BR150,Fundamentus!A:U,16,FALSE)&gt;0.1,"Eficiente","n/a"))</f>
        <v>#N/A</v>
      </c>
      <c r="EV150" s="33" t="e">
        <f>IF(VLOOKUP(BR150,Fundamentus!A:U,16,FALSE)&lt;0.1,"Oper. Ineficiente",IF(VLOOKUP(BR150,Fundamentus!A:U,16,FALSE)&gt;0.1,"Oper.Eficiente","n/a"))</f>
        <v>#N/A</v>
      </c>
      <c r="EW150" s="34" t="e">
        <f>VLOOKUP(BR150,Fundamentus!A:U,14,FALSE)</f>
        <v>#N/A</v>
      </c>
      <c r="EX150" s="17" t="e">
        <f>IF(VLOOKUP(BR150,Fundamentus!A:U,21,FALSE)&lt;0,"Negativo",IF(VLOOKUP(BR150,Fundamentus!A:U,21,FALSE)&lt;0.05,"Fraco",IF(VLOOKUP(BR150,Fundamentus!A:U,21,FALSE)&lt;0.1,"Bom",IF(VLOOKUP(BR150,Fundamentus!A:U,21,FALSE)&gt;0.1,"Muito bom","n/a"))))</f>
        <v>#N/A</v>
      </c>
      <c r="EZ150" s="29" t="e">
        <f>IF(VLOOKUP(BR150,Fundamentus!A:U,15,FALSE)&gt;1,"Bom",IF(VLOOKUP(BR150,Fundamentus!A:U,15,FALSE)&lt;1,"Ruim","n/a"))</f>
        <v>#N/A</v>
      </c>
      <c r="FA150" s="17" t="e">
        <f>IF(VLOOKUP(BR150,Fundamentus!A:U,20,FALSE)&lt;0.5,"Baixa",IF(VLOOKUP(BR150,Fundamentus!A:U,20,FALSE)&lt;1,"Moderada",IF(VLOOKUP(BR150,Fundamentus!A:U,20,FALSE)&lt;2,"Alerta",IF(VLOOKUP(BR150,Fundamentus!A:U,20,FALSE)&gt;2,"Alta","n/a"))))</f>
        <v>#N/A</v>
      </c>
      <c r="FB150" s="10"/>
    </row>
    <row r="151" spans="1:158" s="2" customFormat="1" ht="11.25"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5">
        <v>3.94</v>
      </c>
      <c r="BC151" s="52">
        <v>3.91</v>
      </c>
      <c r="BD151" s="52">
        <v>3.83</v>
      </c>
      <c r="BE151" s="52">
        <v>3.67</v>
      </c>
      <c r="BF151" s="52">
        <v>3.64</v>
      </c>
      <c r="BG151" s="67">
        <v>3.64</v>
      </c>
      <c r="BH151" s="52">
        <v>3.5</v>
      </c>
      <c r="BI151" s="52">
        <v>3.58</v>
      </c>
      <c r="BJ151" s="52">
        <v>3.89</v>
      </c>
      <c r="BK151" s="52">
        <v>3.7</v>
      </c>
      <c r="BL151" s="52">
        <v>3.73</v>
      </c>
      <c r="BM151" s="52">
        <v>3.74</v>
      </c>
      <c r="BN151" s="52">
        <v>3.64</v>
      </c>
      <c r="BO151" s="52">
        <v>3.77</v>
      </c>
      <c r="BP151" s="52">
        <v>3.61</v>
      </c>
      <c r="BQ151" s="52" cm="1">
        <f t="array" aca="1" ref="BQ151" ca="1">_FV(EE151,"Preço")</f>
        <v>3.61</v>
      </c>
      <c r="BR151" s="69" t="s">
        <v>147</v>
      </c>
      <c r="BS151" s="36" cm="1">
        <f t="array" aca="1" ref="BS151" ca="1">_FV(EE151,"Média de volume",TRUE)</f>
        <v>2169260</v>
      </c>
      <c r="BT151" s="36">
        <v>1339600</v>
      </c>
      <c r="BU151" s="36" cm="1">
        <f t="array" aca="1" ref="BU151" ca="1">_FV(EE151,"Volume")</f>
        <v>1339600</v>
      </c>
      <c r="BV151" s="24" cm="1">
        <f t="array" aca="1" ref="BV151" ca="1">_FV(EE151,"Beta")</f>
        <v>0.4138</v>
      </c>
      <c r="BW151" s="71" cm="1">
        <f t="array" aca="1" ref="BW151" ca="1">_FV(EE151,"Variação (%)",TRUE)</f>
        <v>0</v>
      </c>
      <c r="BY151" s="17" cm="1">
        <f t="array" aca="1" ref="BY151" ca="1">_FV(EE151,"Baixo")</f>
        <v>3.6</v>
      </c>
      <c r="BZ151" s="17" cm="1">
        <f t="array" aca="1" ref="BZ151" ca="1">_FV(EE151,"Alto")</f>
        <v>3.68</v>
      </c>
      <c r="CA151" s="24"/>
      <c r="CB151" s="63">
        <f ca="1">SQRT(22.5*(BQ151/VLOOKUP(BR151,Fundamentus!A:U,3,FALSE))*(BQ151/VLOOKUP(BR151,Fundamentus!A:U,4,FALSE)))</f>
        <v>2.9563692141746332</v>
      </c>
      <c r="CD151" s="62">
        <f t="shared" ca="1" si="168"/>
        <v>0</v>
      </c>
      <c r="CE151" s="8"/>
      <c r="CF151" s="61">
        <f t="shared" si="169"/>
        <v>3.5</v>
      </c>
      <c r="CG151" s="61">
        <f t="shared" si="170"/>
        <v>4.72</v>
      </c>
      <c r="CH151" s="61">
        <f t="shared" si="171"/>
        <v>4.0810294117647068</v>
      </c>
      <c r="CI151" s="14"/>
      <c r="CJ151" s="35">
        <f t="shared" si="154"/>
        <v>3.5368183692597772</v>
      </c>
      <c r="CK151" s="15">
        <f t="shared" si="172"/>
        <v>3.6249999999999716</v>
      </c>
      <c r="CL151" s="35">
        <f t="shared" si="155"/>
        <v>3.7131816307401659</v>
      </c>
      <c r="CN151" s="14"/>
      <c r="CO151" s="17">
        <f t="shared" si="156"/>
        <v>1.9466666666666663</v>
      </c>
      <c r="CP151" s="17">
        <f t="shared" si="157"/>
        <v>2.7233333333333332</v>
      </c>
      <c r="CQ151" s="17">
        <f t="shared" si="158"/>
        <v>3.1666666666666661</v>
      </c>
      <c r="CR151" s="38">
        <f t="shared" si="173"/>
        <v>3.9433333333333329</v>
      </c>
      <c r="CS151" s="17">
        <f t="shared" si="159"/>
        <v>4.3866666666666658</v>
      </c>
      <c r="CT151" s="17">
        <f t="shared" si="160"/>
        <v>5.1633333333333322</v>
      </c>
      <c r="CU151" s="17">
        <f t="shared" si="161"/>
        <v>5.6066666666666656</v>
      </c>
      <c r="CV151" s="2" cm="1">
        <f t="array" aca="1" ref="CV151" ca="1">MAX(_xlfn._xlws.FILTER(CO151:CU151,CO151:CU151&lt;BQ151))</f>
        <v>3.1666666666666661</v>
      </c>
      <c r="CW151" s="2" cm="1">
        <f t="array" aca="1" ref="CW151" ca="1">MIN(_xlfn._xlws.FILTER($CO151:$CU151,$CO151:$CU151&gt;BQ151))</f>
        <v>3.9433333333333329</v>
      </c>
      <c r="CX151" s="16">
        <f t="shared" ca="1" si="175"/>
        <v>0.24526315789473685</v>
      </c>
      <c r="CY151" s="20">
        <f t="shared" ca="1" si="176"/>
        <v>-0.12263157894736842</v>
      </c>
      <c r="CZ151" s="20">
        <f t="shared" ca="1" si="177"/>
        <v>-8.1754385964912288E-2</v>
      </c>
      <c r="DA151" s="20">
        <f t="shared" ca="1" si="178"/>
        <v>-4.9052631578947369E-2</v>
      </c>
      <c r="DB151" s="20">
        <f t="shared" ca="1" si="179"/>
        <v>-2.7251461988304096E-2</v>
      </c>
      <c r="DC151" s="20">
        <f t="shared" ca="1" si="180"/>
        <v>-1.4427244582043345E-2</v>
      </c>
      <c r="DD151" s="20">
        <f t="shared" ca="1" si="181"/>
        <v>-7.4322169059011164E-3</v>
      </c>
      <c r="DE151" s="20">
        <f t="shared" ca="1" si="182"/>
        <v>-3.7732793522267209E-3</v>
      </c>
      <c r="DF151" s="21">
        <f t="shared" ca="1" si="183"/>
        <v>3.7732793522267209E-3</v>
      </c>
      <c r="DG151" s="21">
        <f t="shared" ca="1" si="184"/>
        <v>7.4322169059011164E-3</v>
      </c>
      <c r="DH151" s="21">
        <f t="shared" ca="1" si="185"/>
        <v>1.4427244582043345E-2</v>
      </c>
      <c r="DI151" s="21">
        <f t="shared" ca="1" si="186"/>
        <v>2.7251461988304096E-2</v>
      </c>
      <c r="DJ151" s="21">
        <f t="shared" ca="1" si="187"/>
        <v>4.9052631578947369E-2</v>
      </c>
      <c r="DK151" s="21">
        <f t="shared" ca="1" si="188"/>
        <v>8.1754385964912288E-2</v>
      </c>
      <c r="DL151" s="21">
        <f t="shared" ca="1" si="189"/>
        <v>0.12263157894736842</v>
      </c>
      <c r="DN151" s="16" cm="1">
        <f t="array" aca="1" ref="DN151" ca="1">MAX(_xlfn._xlws.FILTER(CY151:DL151,CY151:DL151&lt;BW151))</f>
        <v>-3.7732793522267209E-3</v>
      </c>
      <c r="DO151" s="16" cm="1">
        <f t="array" aca="1" ref="DO151" ca="1">MIN(_xlfn._xlws.FILTER(CY151:DL151,CY151:DL151&gt;BW151))</f>
        <v>3.7732793522267209E-3</v>
      </c>
      <c r="DP151" s="2" cm="1">
        <f t="array" aca="1" ref="DP151" ca="1">_FV(EE151,"Fechamento anterior",TRUE)</f>
        <v>3.61</v>
      </c>
      <c r="DQ151" s="28">
        <f t="shared" ca="1" si="162"/>
        <v>0.5</v>
      </c>
      <c r="DR151" s="15">
        <f t="shared" ca="1" si="190"/>
        <v>3.5963784615384613</v>
      </c>
      <c r="DS151" s="15">
        <f t="shared" ca="1" si="191"/>
        <v>3.6236215384615384</v>
      </c>
      <c r="DT151" s="9"/>
      <c r="DU151" s="9"/>
      <c r="DV151" s="9"/>
      <c r="DW151" s="89">
        <v>1.1554384143338266E-2</v>
      </c>
      <c r="DX151" s="89">
        <f t="shared" ca="1" si="163"/>
        <v>7.5465587044534418E-3</v>
      </c>
      <c r="DY151" s="72">
        <f t="shared" ca="1" si="164"/>
        <v>-0.17010345435962212</v>
      </c>
      <c r="DZ151" s="37"/>
      <c r="EA151" s="35">
        <f t="shared" si="174"/>
        <v>4.4090815370097174E-2</v>
      </c>
      <c r="EB151" s="56"/>
      <c r="EC151" s="56"/>
      <c r="EE151" s="2" t="e" vm="153">
        <v>#VALUE!</v>
      </c>
      <c r="EG151" s="10" cm="1">
        <f t="array" aca="1" ref="EG151" ca="1">_FV(EE151,"Ações em circulação",TRUE)</f>
        <v>1235936000</v>
      </c>
      <c r="EH151" s="18">
        <f>VLOOKUP(BR151,Fundamentus!A:U,5,FALSE)</f>
        <v>1.139</v>
      </c>
      <c r="EI151" s="2">
        <f t="shared" ca="1" si="165"/>
        <v>3917233503.0728707</v>
      </c>
      <c r="EJ151" s="17">
        <v>396815753.86128181</v>
      </c>
      <c r="EK151" s="17">
        <f t="shared" ca="1" si="166"/>
        <v>396815753.86128181</v>
      </c>
      <c r="EM151" s="16">
        <f t="shared" ca="1" si="153"/>
        <v>0</v>
      </c>
      <c r="EN151" s="32" t="str">
        <f>IF(VLOOKUP(BR151,Fundamentus!A:U,3,FALSE)&lt;15,"Bom",IF(VLOOKUP(BR151,Fundamentus!A:U,3,FALSE)&gt;15,"Ruim","n/a"))</f>
        <v>Bom</v>
      </c>
      <c r="EO151" s="28" t="str">
        <f>IF(VLOOKUP(BR151,Fundamentus!A:U,4,FALSE)&lt;1,"Baixo",IF(VLOOKUP(BR151,Fundamentus!A:U,4,FALSE)&lt;1.5,"Moderado",IF(VLOOKUP(BR151,Fundamentus!A:U,4,FALSE)&gt;1.5,"Alto","n/a")))</f>
        <v>Alto</v>
      </c>
      <c r="EP151" s="17" t="str">
        <f>IF(VLOOKUP(BR151,Fundamentus!A:U,8,FALSE)&lt;0,"Risco elevado",IF(VLOOKUP(BR151,Fundamentus!A:U,8,FALSE)&lt;1,"Saudável",IF(VLOOKUP(BR151,Fundamentus!A:U,8,FALSE)&lt;3,"Estável",IF(VLOOKUP(BR151,Fundamentus!A:U,8,FALSE)&gt;3,"Alerta","n/a"))))</f>
        <v>Alerta</v>
      </c>
      <c r="EQ151" s="28" t="str">
        <f t="shared" si="167"/>
        <v>Bom</v>
      </c>
      <c r="ER151" s="17" t="str">
        <f>IF(VLOOKUP(BR151,Fundamentus!A:U,12,FALSE)&lt;2,"Subvalorizada",IF(VLOOKUP(BR151,Fundamentus!A:U,12,FALSE)&lt;6,"Muita barata",IF(VLOOKUP(BR151,Fundamentus!A:U,12,FALSE)&lt;6,"Barata",IF(VLOOKUP(BR151,Fundamentus!A:U,12,FALSE)&lt;8,"Atrativa",IF(VLOOKUP(BR151,Fundamentus!A:U,12,FALSE)&gt;8,"Supervalorizada","n/a")))))</f>
        <v>Muita barata</v>
      </c>
      <c r="ET151" s="17" t="str">
        <f>IF(VLOOKUP(BR151,Fundamentus!A:U,17,FALSE)&lt;0.1,"Fraco retorno",IF(VLOOKUP(BR151,Fundamentus!A:U,17,FALSE)&gt;0.1,"Bom retorno","n/a"))</f>
        <v>Bom retorno</v>
      </c>
      <c r="EU151" s="17" t="str">
        <f>IF(VLOOKUP(BR151,Fundamentus!A:U,16,FALSE)&lt;0.1,"Ineficiente",IF(VLOOKUP(BR151,Fundamentus!A:U,16,FALSE)&gt;0.1,"Eficiente","n/a"))</f>
        <v>Ineficiente</v>
      </c>
      <c r="EV151" s="33" t="str">
        <f>IF(VLOOKUP(BR151,Fundamentus!A:U,16,FALSE)&lt;0.1,"Oper. Ineficiente",IF(VLOOKUP(BR151,Fundamentus!A:U,16,FALSE)&gt;0.1,"Oper.Eficiente","n/a"))</f>
        <v>Oper. Ineficiente</v>
      </c>
      <c r="EW151" s="34">
        <f>VLOOKUP(BR151,Fundamentus!A:U,14,FALSE)</f>
        <v>0.1013</v>
      </c>
      <c r="EX151" s="17" t="str">
        <f>IF(VLOOKUP(BR151,Fundamentus!A:U,21,FALSE)&lt;0,"Negativo",IF(VLOOKUP(BR151,Fundamentus!A:U,21,FALSE)&lt;0.05,"Fraco",IF(VLOOKUP(BR151,Fundamentus!A:U,21,FALSE)&lt;0.1,"Bom",IF(VLOOKUP(BR151,Fundamentus!A:U,21,FALSE)&gt;0.1,"Muito bom","n/a"))))</f>
        <v>Bom</v>
      </c>
      <c r="EZ151" s="29" t="str">
        <f>IF(VLOOKUP(BR151,Fundamentus!A:U,15,FALSE)&gt;1,"Bom",IF(VLOOKUP(BR151,Fundamentus!A:U,15,FALSE)&lt;1,"Ruim","n/a"))</f>
        <v>Bom</v>
      </c>
      <c r="FA151" s="17" t="str">
        <f>IF(VLOOKUP(BR151,Fundamentus!A:U,20,FALSE)&lt;0.5,"Baixa",IF(VLOOKUP(BR151,Fundamentus!A:U,20,FALSE)&lt;1,"Moderada",IF(VLOOKUP(BR151,Fundamentus!A:U,20,FALSE)&lt;2,"Alerta",IF(VLOOKUP(BR151,Fundamentus!A:U,20,FALSE)&gt;2,"Alta","n/a"))))</f>
        <v>Alta</v>
      </c>
      <c r="FB151" s="10"/>
    </row>
    <row r="152" spans="1:158" s="2" customFormat="1" ht="11.25"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5">
        <v>8.99</v>
      </c>
      <c r="BC152" s="52">
        <v>8.77</v>
      </c>
      <c r="BD152" s="52">
        <v>8.8000000000000007</v>
      </c>
      <c r="BE152" s="52">
        <v>8.44</v>
      </c>
      <c r="BF152" s="52">
        <v>8.64</v>
      </c>
      <c r="BG152" s="67">
        <v>8.8000000000000007</v>
      </c>
      <c r="BH152" s="52">
        <v>9</v>
      </c>
      <c r="BI152" s="52">
        <v>9.39</v>
      </c>
      <c r="BJ152" s="52">
        <v>9.41</v>
      </c>
      <c r="BK152" s="52">
        <v>8.99</v>
      </c>
      <c r="BL152" s="52">
        <v>8.8699999999999992</v>
      </c>
      <c r="BM152" s="52">
        <v>8.66</v>
      </c>
      <c r="BN152" s="52">
        <v>8.8699999999999992</v>
      </c>
      <c r="BO152" s="52">
        <v>9.32</v>
      </c>
      <c r="BP152" s="52">
        <v>9.85</v>
      </c>
      <c r="BQ152" s="52" cm="1">
        <f t="array" aca="1" ref="BQ152" ca="1">_FV(EE152,"Preço")</f>
        <v>9.85</v>
      </c>
      <c r="BR152" s="69" t="s">
        <v>148</v>
      </c>
      <c r="BS152" s="36" cm="1">
        <f t="array" aca="1" ref="BS152" ca="1">_FV(EE152,"Média de volume",TRUE)</f>
        <v>11213410</v>
      </c>
      <c r="BT152" s="36">
        <v>3000</v>
      </c>
      <c r="BU152" s="36" cm="1">
        <f t="array" aca="1" ref="BU152" ca="1">_FV(EE152,"Volume")</f>
        <v>3000</v>
      </c>
      <c r="BV152" s="24" cm="1">
        <f t="array" aca="1" ref="BV152" ca="1">_FV(EE152,"Beta")</f>
        <v>1.3863000000000001</v>
      </c>
      <c r="BW152" s="71" cm="1">
        <f t="array" aca="1" ref="BW152" ca="1">_FV(EE152,"Variação (%)",TRUE)</f>
        <v>-1.1044E-2</v>
      </c>
      <c r="BY152" s="17" cm="1">
        <f t="array" aca="1" ref="BY152" ca="1">_FV(EE152,"Baixo")</f>
        <v>9.84</v>
      </c>
      <c r="BZ152" s="17" cm="1">
        <f t="array" aca="1" ref="BZ152" ca="1">_FV(EE152,"Alto")</f>
        <v>10.01</v>
      </c>
      <c r="CA152" s="24"/>
      <c r="CB152" s="63">
        <f ca="1">SQRT(22.5*(BQ152/VLOOKUP(BR152,Fundamentus!A:U,3,FALSE))*(BQ152/VLOOKUP(BR152,Fundamentus!A:U,4,FALSE)))</f>
        <v>12.270138892852366</v>
      </c>
      <c r="CD152" s="62">
        <f t="shared" ca="1" si="168"/>
        <v>0</v>
      </c>
      <c r="CE152" s="8"/>
      <c r="CF152" s="61">
        <f t="shared" si="169"/>
        <v>6.95</v>
      </c>
      <c r="CG152" s="61">
        <f t="shared" si="170"/>
        <v>9.85</v>
      </c>
      <c r="CH152" s="61">
        <f t="shared" si="171"/>
        <v>8.389705882352942</v>
      </c>
      <c r="CI152" s="14"/>
      <c r="CJ152" s="35">
        <f t="shared" si="154"/>
        <v>9.7463365360100678</v>
      </c>
      <c r="CK152" s="15">
        <f t="shared" si="172"/>
        <v>10.180000000000291</v>
      </c>
      <c r="CL152" s="35">
        <f t="shared" si="155"/>
        <v>10.613663463990514</v>
      </c>
      <c r="CN152" s="14"/>
      <c r="CO152" s="17">
        <f t="shared" si="156"/>
        <v>5.0166666666666666</v>
      </c>
      <c r="CP152" s="17">
        <f t="shared" si="157"/>
        <v>5.9833333333333334</v>
      </c>
      <c r="CQ152" s="17">
        <f t="shared" si="158"/>
        <v>7.9166666666666661</v>
      </c>
      <c r="CR152" s="38">
        <f t="shared" si="173"/>
        <v>8.8833333333333329</v>
      </c>
      <c r="CS152" s="17">
        <f t="shared" si="159"/>
        <v>10.816666666666666</v>
      </c>
      <c r="CT152" s="17">
        <f t="shared" si="160"/>
        <v>11.783333333333331</v>
      </c>
      <c r="CU152" s="17">
        <f t="shared" si="161"/>
        <v>13.716666666666665</v>
      </c>
      <c r="CV152" s="2" cm="1">
        <f t="array" aca="1" ref="CV152" ca="1">MAX(_xlfn._xlws.FILTER(CO152:CU152,CO152:CU152&lt;BQ152))</f>
        <v>8.8833333333333329</v>
      </c>
      <c r="CW152" s="2" cm="1">
        <f t="array" aca="1" ref="CW152" ca="1">MIN(_xlfn._xlws.FILTER($CO152:$CU152,$CO152:$CU152&gt;BQ152))</f>
        <v>10.816666666666666</v>
      </c>
      <c r="CX152" s="16">
        <f t="shared" ca="1" si="175"/>
        <v>0.21763602251407144</v>
      </c>
      <c r="CY152" s="20">
        <f t="shared" ca="1" si="176"/>
        <v>-0.10881801125703572</v>
      </c>
      <c r="CZ152" s="20">
        <f t="shared" ca="1" si="177"/>
        <v>-7.2545340838023817E-2</v>
      </c>
      <c r="DA152" s="20">
        <f t="shared" ca="1" si="178"/>
        <v>-4.352720450281429E-2</v>
      </c>
      <c r="DB152" s="20">
        <f t="shared" ca="1" si="179"/>
        <v>-2.4181780279341272E-2</v>
      </c>
      <c r="DC152" s="20">
        <f t="shared" ca="1" si="180"/>
        <v>-1.2802118971415966E-2</v>
      </c>
      <c r="DD152" s="20">
        <f t="shared" ca="1" si="181"/>
        <v>-6.595030985274892E-3</v>
      </c>
      <c r="DE152" s="20">
        <f t="shared" ca="1" si="182"/>
        <v>-3.3482465002164837E-3</v>
      </c>
      <c r="DF152" s="21">
        <f t="shared" ca="1" si="183"/>
        <v>3.3482465002164837E-3</v>
      </c>
      <c r="DG152" s="21">
        <f t="shared" ca="1" si="184"/>
        <v>6.595030985274892E-3</v>
      </c>
      <c r="DH152" s="21">
        <f t="shared" ca="1" si="185"/>
        <v>1.2802118971415966E-2</v>
      </c>
      <c r="DI152" s="21">
        <f t="shared" ca="1" si="186"/>
        <v>2.4181780279341272E-2</v>
      </c>
      <c r="DJ152" s="21">
        <f t="shared" ca="1" si="187"/>
        <v>4.352720450281429E-2</v>
      </c>
      <c r="DK152" s="21">
        <f t="shared" ca="1" si="188"/>
        <v>7.2545340838023817E-2</v>
      </c>
      <c r="DL152" s="21">
        <f t="shared" ca="1" si="189"/>
        <v>0.10881801125703572</v>
      </c>
      <c r="DN152" s="16" cm="1">
        <f t="array" aca="1" ref="DN152" ca="1">MAX(_xlfn._xlws.FILTER(CY152:DL152,CY152:DL152&lt;BW152))</f>
        <v>-1.2802118971415966E-2</v>
      </c>
      <c r="DO152" s="16" cm="1">
        <f t="array" aca="1" ref="DO152" ca="1">MIN(_xlfn._xlws.FILTER(CY152:DL152,CY152:DL152&gt;BW152))</f>
        <v>-6.595030985274892E-3</v>
      </c>
      <c r="DP152" s="2" cm="1">
        <f t="array" aca="1" ref="DP152" ca="1">_FV(EE152,"Fechamento anterior",TRUE)</f>
        <v>9.9600000000000009</v>
      </c>
      <c r="DQ152" s="28">
        <f t="shared" ca="1" si="162"/>
        <v>0.28321529653093097</v>
      </c>
      <c r="DR152" s="15">
        <f t="shared" ca="1" si="190"/>
        <v>9.8324908950446979</v>
      </c>
      <c r="DS152" s="15">
        <f t="shared" ca="1" si="191"/>
        <v>9.8943134913866633</v>
      </c>
      <c r="DT152" s="9"/>
      <c r="DU152" s="9"/>
      <c r="DV152" s="9"/>
      <c r="DW152" s="89">
        <v>1.0356963298139765E-2</v>
      </c>
      <c r="DX152" s="89">
        <f t="shared" ca="1" si="163"/>
        <v>6.2070879861410742E-3</v>
      </c>
      <c r="DY152" s="72">
        <f t="shared" ca="1" si="164"/>
        <v>-0.76095873275534021</v>
      </c>
      <c r="DZ152" s="37"/>
      <c r="EA152" s="35">
        <f t="shared" si="174"/>
        <v>0.21683173199511199</v>
      </c>
      <c r="EB152" s="56"/>
      <c r="EC152" s="56"/>
      <c r="EE152" s="2" t="e" vm="154">
        <v>#VALUE!</v>
      </c>
      <c r="EG152" s="10" cm="1">
        <f t="array" aca="1" ref="EG152" ca="1">_FV(EE152,"Ações em circulação",TRUE)</f>
        <v>10108690000</v>
      </c>
      <c r="EH152" s="18">
        <f>VLOOKUP(BR152,Fundamentus!A:U,5,FALSE)</f>
        <v>0</v>
      </c>
      <c r="EI152" s="2" t="e">
        <f t="shared" ca="1" si="165"/>
        <v>#DIV/0!</v>
      </c>
      <c r="EJ152" s="17" t="e">
        <v>#DIV/0!</v>
      </c>
      <c r="EK152" s="17" t="e">
        <f t="shared" ca="1" si="166"/>
        <v>#DIV/0!</v>
      </c>
      <c r="EM152" s="16" t="e">
        <f t="shared" ca="1" si="153"/>
        <v>#DIV/0!</v>
      </c>
      <c r="EN152" s="32" t="str">
        <f>IF(VLOOKUP(BR152,Fundamentus!A:U,3,FALSE)&lt;15,"Bom",IF(VLOOKUP(BR152,Fundamentus!A:U,3,FALSE)&gt;15,"Ruim","n/a"))</f>
        <v>Bom</v>
      </c>
      <c r="EO152" s="28" t="str">
        <f>IF(VLOOKUP(BR152,Fundamentus!A:U,4,FALSE)&lt;1,"Baixo",IF(VLOOKUP(BR152,Fundamentus!A:U,4,FALSE)&lt;1.5,"Moderado",IF(VLOOKUP(BR152,Fundamentus!A:U,4,FALSE)&gt;1.5,"Alto","n/a")))</f>
        <v>Alto</v>
      </c>
      <c r="EP152" s="17" t="str">
        <f>IF(VLOOKUP(BR152,Fundamentus!A:U,8,FALSE)&lt;0,"Risco elevado",IF(VLOOKUP(BR152,Fundamentus!A:U,8,FALSE)&lt;1,"Saudável",IF(VLOOKUP(BR152,Fundamentus!A:U,8,FALSE)&lt;3,"Estável",IF(VLOOKUP(BR152,Fundamentus!A:U,8,FALSE)&gt;3,"Alerta","n/a"))))</f>
        <v>Saudável</v>
      </c>
      <c r="EQ152" s="28" t="str">
        <f t="shared" si="167"/>
        <v>Ruim</v>
      </c>
      <c r="ER152" s="17" t="str">
        <f>IF(VLOOKUP(BR152,Fundamentus!A:U,12,FALSE)&lt;2,"Subvalorizada",IF(VLOOKUP(BR152,Fundamentus!A:U,12,FALSE)&lt;6,"Muita barata",IF(VLOOKUP(BR152,Fundamentus!A:U,12,FALSE)&lt;6,"Barata",IF(VLOOKUP(BR152,Fundamentus!A:U,12,FALSE)&lt;8,"Atrativa",IF(VLOOKUP(BR152,Fundamentus!A:U,12,FALSE)&gt;8,"Supervalorizada","n/a")))))</f>
        <v>Subvalorizada</v>
      </c>
      <c r="ET152" s="17" t="str">
        <f>IF(VLOOKUP(BR152,Fundamentus!A:U,17,FALSE)&lt;0.1,"Fraco retorno",IF(VLOOKUP(BR152,Fundamentus!A:U,17,FALSE)&gt;0.1,"Bom retorno","n/a"))</f>
        <v>Bom retorno</v>
      </c>
      <c r="EU152" s="17" t="str">
        <f>IF(VLOOKUP(BR152,Fundamentus!A:U,16,FALSE)&lt;0.1,"Ineficiente",IF(VLOOKUP(BR152,Fundamentus!A:U,16,FALSE)&gt;0.1,"Eficiente","n/a"))</f>
        <v>Ineficiente</v>
      </c>
      <c r="EV152" s="33" t="str">
        <f>IF(VLOOKUP(BR152,Fundamentus!A:U,16,FALSE)&lt;0.1,"Oper. Ineficiente",IF(VLOOKUP(BR152,Fundamentus!A:U,16,FALSE)&gt;0.1,"Oper.Eficiente","n/a"))</f>
        <v>Oper. Ineficiente</v>
      </c>
      <c r="EW152" s="34">
        <f>VLOOKUP(BR152,Fundamentus!A:U,14,FALSE)</f>
        <v>0</v>
      </c>
      <c r="EX152" s="17" t="str">
        <f>IF(VLOOKUP(BR152,Fundamentus!A:U,21,FALSE)&lt;0,"Negativo",IF(VLOOKUP(BR152,Fundamentus!A:U,21,FALSE)&lt;0.05,"Fraco",IF(VLOOKUP(BR152,Fundamentus!A:U,21,FALSE)&lt;0.1,"Bom",IF(VLOOKUP(BR152,Fundamentus!A:U,21,FALSE)&gt;0.1,"Muito bom","n/a"))))</f>
        <v>Muito bom</v>
      </c>
      <c r="EZ152" s="29" t="str">
        <f>IF(VLOOKUP(BR152,Fundamentus!A:U,15,FALSE)&gt;1,"Bom",IF(VLOOKUP(BR152,Fundamentus!A:U,15,FALSE)&lt;1,"Ruim","n/a"))</f>
        <v>Ruim</v>
      </c>
      <c r="FA152" s="17" t="str">
        <f>IF(VLOOKUP(BR152,Fundamentus!A:U,20,FALSE)&lt;0.5,"Baixa",IF(VLOOKUP(BR152,Fundamentus!A:U,20,FALSE)&lt;1,"Moderada",IF(VLOOKUP(BR152,Fundamentus!A:U,20,FALSE)&lt;2,"Alerta",IF(VLOOKUP(BR152,Fundamentus!A:U,20,FALSE)&gt;2,"Alta","n/a"))))</f>
        <v>Baixa</v>
      </c>
      <c r="FB152" s="10"/>
    </row>
    <row r="153" spans="1:158" s="2" customFormat="1" ht="11.25"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5">
        <v>37.97</v>
      </c>
      <c r="BC153" s="52">
        <v>38.15</v>
      </c>
      <c r="BD153" s="52">
        <v>39.479999999999997</v>
      </c>
      <c r="BE153" s="52">
        <v>40.659999999999997</v>
      </c>
      <c r="BF153" s="52">
        <v>40.71</v>
      </c>
      <c r="BG153" s="67">
        <v>39.46</v>
      </c>
      <c r="BH153" s="52">
        <v>42.15</v>
      </c>
      <c r="BI153" s="52">
        <v>42.44</v>
      </c>
      <c r="BJ153" s="52">
        <v>41.09</v>
      </c>
      <c r="BK153" s="52">
        <v>39.590000000000003</v>
      </c>
      <c r="BL153" s="52">
        <v>40.26</v>
      </c>
      <c r="BM153" s="52">
        <v>38.299999999999997</v>
      </c>
      <c r="BN153" s="52">
        <v>39.22</v>
      </c>
      <c r="BO153" s="52">
        <v>41.08</v>
      </c>
      <c r="BP153" s="52">
        <v>14.23</v>
      </c>
      <c r="BQ153" s="52" cm="1">
        <f t="array" aca="1" ref="BQ153" ca="1">_FV(EE153,"Preço")</f>
        <v>14.23</v>
      </c>
      <c r="BR153" s="69" t="s">
        <v>120</v>
      </c>
      <c r="BS153" s="36" cm="1">
        <f t="array" aca="1" ref="BS153" ca="1">_FV(EE153,"Média de volume",TRUE)</f>
        <v>5121130</v>
      </c>
      <c r="BT153" s="36">
        <v>2443800</v>
      </c>
      <c r="BU153" s="36" cm="1">
        <f t="array" aca="1" ref="BU153" ca="1">_FV(EE153,"Volume")</f>
        <v>2443800</v>
      </c>
      <c r="BV153" s="24" cm="1">
        <f t="array" aca="1" ref="BV153" ca="1">_FV(EE153,"Beta")</f>
        <v>1.0366</v>
      </c>
      <c r="BW153" s="71" cm="1">
        <f t="array" aca="1" ref="BW153" ca="1">_FV(EE153,"Variação (%)",TRUE)</f>
        <v>5.6540000000000002E-3</v>
      </c>
      <c r="BY153" s="17" cm="1">
        <f t="array" aca="1" ref="BY153" ca="1">_FV(EE153,"Baixo")</f>
        <v>14</v>
      </c>
      <c r="BZ153" s="17" cm="1">
        <f t="array" aca="1" ref="BZ153" ca="1">_FV(EE153,"Alto")</f>
        <v>14.31</v>
      </c>
      <c r="CA153" s="24"/>
      <c r="CB153" s="63">
        <f ca="1">SQRT(22.5*(BQ153/VLOOKUP(BR153,Fundamentus!A:U,3,FALSE))*(BQ153/VLOOKUP(BR153,Fundamentus!A:U,4,FALSE)))</f>
        <v>11.73670618652625</v>
      </c>
      <c r="CD153" s="62">
        <f t="shared" ca="1" si="168"/>
        <v>0</v>
      </c>
      <c r="CE153" s="8"/>
      <c r="CF153" s="61">
        <f t="shared" si="169"/>
        <v>14.23</v>
      </c>
      <c r="CG153" s="61">
        <f t="shared" si="170"/>
        <v>42.44</v>
      </c>
      <c r="CH153" s="61">
        <f t="shared" si="171"/>
        <v>31.136617647058817</v>
      </c>
      <c r="CI153" s="14"/>
      <c r="CJ153" s="35">
        <f t="shared" si="154"/>
        <v>13.739574516228437</v>
      </c>
      <c r="CK153" s="15">
        <f t="shared" si="172"/>
        <v>15.619999999995343</v>
      </c>
      <c r="CL153" s="35">
        <f t="shared" si="155"/>
        <v>17.50042548376225</v>
      </c>
      <c r="CN153" s="14"/>
      <c r="CO153" s="17">
        <f t="shared" si="156"/>
        <v>-23.383333333333322</v>
      </c>
      <c r="CP153" s="17">
        <f t="shared" si="157"/>
        <v>-4.5766666666666609</v>
      </c>
      <c r="CQ153" s="17">
        <f t="shared" si="158"/>
        <v>4.8266666666666751</v>
      </c>
      <c r="CR153" s="38">
        <f t="shared" si="173"/>
        <v>23.633333333333336</v>
      </c>
      <c r="CS153" s="17">
        <f t="shared" si="159"/>
        <v>33.036666666666676</v>
      </c>
      <c r="CT153" s="17">
        <f t="shared" si="160"/>
        <v>51.843333333333334</v>
      </c>
      <c r="CU153" s="17">
        <f t="shared" si="161"/>
        <v>61.24666666666667</v>
      </c>
      <c r="CV153" s="2" cm="1">
        <f t="array" aca="1" ref="CV153" ca="1">MAX(_xlfn._xlws.FILTER(CO153:CU153,CO153:CU153&lt;BQ153))</f>
        <v>4.8266666666666751</v>
      </c>
      <c r="CW153" s="2" cm="1">
        <f t="array" aca="1" ref="CW153" ca="1">MIN(_xlfn._xlws.FILTER($CO153:$CU153,$CO153:$CU153&gt;BQ153))</f>
        <v>23.633333333333336</v>
      </c>
      <c r="CX153" s="16">
        <f t="shared" ca="1" si="175"/>
        <v>3.8964088397789975</v>
      </c>
      <c r="CY153" s="20">
        <f t="shared" ca="1" si="176"/>
        <v>-1.9482044198894988</v>
      </c>
      <c r="CZ153" s="20">
        <f t="shared" ca="1" si="177"/>
        <v>-1.2988029465929991</v>
      </c>
      <c r="DA153" s="20">
        <f t="shared" ca="1" si="178"/>
        <v>-0.77928176795579951</v>
      </c>
      <c r="DB153" s="20">
        <f t="shared" ca="1" si="179"/>
        <v>-0.4329343155309997</v>
      </c>
      <c r="DC153" s="20">
        <f t="shared" ca="1" si="180"/>
        <v>-0.22920051998699986</v>
      </c>
      <c r="DD153" s="20">
        <f t="shared" ca="1" si="181"/>
        <v>-0.1180729951448181</v>
      </c>
      <c r="DE153" s="20">
        <f t="shared" ca="1" si="182"/>
        <v>-5.9944751381215348E-2</v>
      </c>
      <c r="DF153" s="21">
        <f t="shared" ca="1" si="183"/>
        <v>5.9944751381215348E-2</v>
      </c>
      <c r="DG153" s="21">
        <f t="shared" ca="1" si="184"/>
        <v>0.1180729951448181</v>
      </c>
      <c r="DH153" s="21">
        <f t="shared" ca="1" si="185"/>
        <v>0.22920051998699986</v>
      </c>
      <c r="DI153" s="21">
        <f t="shared" ca="1" si="186"/>
        <v>0.4329343155309997</v>
      </c>
      <c r="DJ153" s="21">
        <f t="shared" ca="1" si="187"/>
        <v>0.77928176795579951</v>
      </c>
      <c r="DK153" s="21">
        <f t="shared" ca="1" si="188"/>
        <v>1.2988029465929991</v>
      </c>
      <c r="DL153" s="21">
        <f t="shared" ca="1" si="189"/>
        <v>1.9482044198894988</v>
      </c>
      <c r="DN153" s="16" cm="1">
        <f t="array" aca="1" ref="DN153" ca="1">MAX(_xlfn._xlws.FILTER(CY153:DL153,CY153:DL153&lt;BW153))</f>
        <v>-5.9944751381215348E-2</v>
      </c>
      <c r="DO153" s="16" cm="1">
        <f t="array" aca="1" ref="DO153" ca="1">MIN(_xlfn._xlws.FILTER(CY153:DL153,CY153:DL153&gt;BW153))</f>
        <v>5.9944751381215348E-2</v>
      </c>
      <c r="DP153" s="2" cm="1">
        <f t="array" aca="1" ref="DP153" ca="1">_FV(EE153,"Fechamento anterior",TRUE)</f>
        <v>14.15</v>
      </c>
      <c r="DQ153" s="28">
        <f t="shared" ca="1" si="162"/>
        <v>0.5471576753350379</v>
      </c>
      <c r="DR153" s="15">
        <f t="shared" ca="1" si="190"/>
        <v>13.301781767955804</v>
      </c>
      <c r="DS153" s="15">
        <f t="shared" ca="1" si="191"/>
        <v>14.998218232044197</v>
      </c>
      <c r="DT153" s="9"/>
      <c r="DU153" s="9"/>
      <c r="DV153" s="9"/>
      <c r="DW153" s="89">
        <v>4.8799718902811685E-3</v>
      </c>
      <c r="DX153" s="89">
        <f t="shared" ca="1" si="163"/>
        <v>0.1198895027624307</v>
      </c>
      <c r="DY153" s="72">
        <f t="shared" ca="1" si="164"/>
        <v>-0.7391944067950339</v>
      </c>
      <c r="DZ153" s="37"/>
      <c r="EA153" s="35">
        <f t="shared" si="174"/>
        <v>0.94021274188345283</v>
      </c>
      <c r="EB153" s="56"/>
      <c r="EC153" s="56"/>
      <c r="EE153" s="2" t="e" vm="155">
        <v>#VALUE!</v>
      </c>
      <c r="EG153" s="10" cm="1">
        <f t="array" aca="1" ref="EG153" ca="1">_FV(EE153,"Ações em circulação",TRUE)</f>
        <v>520500000</v>
      </c>
      <c r="EH153" s="18">
        <f>VLOOKUP(BR153,Fundamentus!A:U,5,FALSE)</f>
        <v>1.9179999999999999</v>
      </c>
      <c r="EI153" s="2">
        <f t="shared" ca="1" si="165"/>
        <v>3861686652.7632952</v>
      </c>
      <c r="EJ153" s="17">
        <v>810568028.4150157</v>
      </c>
      <c r="EK153" s="17">
        <f t="shared" ca="1" si="166"/>
        <v>810568028.4150157</v>
      </c>
      <c r="EM153" s="16">
        <f t="shared" ca="1" si="153"/>
        <v>0</v>
      </c>
      <c r="EN153" s="32" t="str">
        <f>IF(VLOOKUP(BR153,Fundamentus!A:U,3,FALSE)&lt;15,"Bom",IF(VLOOKUP(BR153,Fundamentus!A:U,3,FALSE)&gt;15,"Ruim","n/a"))</f>
        <v>Bom</v>
      </c>
      <c r="EO153" s="28" t="str">
        <f>IF(VLOOKUP(BR153,Fundamentus!A:U,4,FALSE)&lt;1,"Baixo",IF(VLOOKUP(BR153,Fundamentus!A:U,4,FALSE)&lt;1.5,"Moderado",IF(VLOOKUP(BR153,Fundamentus!A:U,4,FALSE)&gt;1.5,"Alto","n/a")))</f>
        <v>Alto</v>
      </c>
      <c r="EP153" s="17" t="str">
        <f>IF(VLOOKUP(BR153,Fundamentus!A:U,8,FALSE)&lt;0,"Risco elevado",IF(VLOOKUP(BR153,Fundamentus!A:U,8,FALSE)&lt;1,"Saudável",IF(VLOOKUP(BR153,Fundamentus!A:U,8,FALSE)&lt;3,"Estável",IF(VLOOKUP(BR153,Fundamentus!A:U,8,FALSE)&gt;3,"Alerta","n/a"))))</f>
        <v>Estável</v>
      </c>
      <c r="EQ153" s="28" t="str">
        <f t="shared" si="167"/>
        <v>Bom</v>
      </c>
      <c r="ER153" s="17" t="str">
        <f>IF(VLOOKUP(BR153,Fundamentus!A:U,12,FALSE)&lt;2,"Subvalorizada",IF(VLOOKUP(BR153,Fundamentus!A:U,12,FALSE)&lt;6,"Muita barata",IF(VLOOKUP(BR153,Fundamentus!A:U,12,FALSE)&lt;6,"Barata",IF(VLOOKUP(BR153,Fundamentus!A:U,12,FALSE)&lt;8,"Atrativa",IF(VLOOKUP(BR153,Fundamentus!A:U,12,FALSE)&gt;8,"Supervalorizada","n/a")))))</f>
        <v>Supervalorizada</v>
      </c>
      <c r="ET153" s="17" t="str">
        <f>IF(VLOOKUP(BR153,Fundamentus!A:U,17,FALSE)&lt;0.1,"Fraco retorno",IF(VLOOKUP(BR153,Fundamentus!A:U,17,FALSE)&gt;0.1,"Bom retorno","n/a"))</f>
        <v>Bom retorno</v>
      </c>
      <c r="EU153" s="17" t="str">
        <f>IF(VLOOKUP(BR153,Fundamentus!A:U,16,FALSE)&lt;0.1,"Ineficiente",IF(VLOOKUP(BR153,Fundamentus!A:U,16,FALSE)&gt;0.1,"Eficiente","n/a"))</f>
        <v>Ineficiente</v>
      </c>
      <c r="EV153" s="33" t="str">
        <f>IF(VLOOKUP(BR153,Fundamentus!A:U,16,FALSE)&lt;0.1,"Oper. Ineficiente",IF(VLOOKUP(BR153,Fundamentus!A:U,16,FALSE)&gt;0.1,"Oper.Eficiente","n/a"))</f>
        <v>Oper. Ineficiente</v>
      </c>
      <c r="EW153" s="34">
        <f>VLOOKUP(BR153,Fundamentus!A:U,14,FALSE)</f>
        <v>0.2099</v>
      </c>
      <c r="EX153" s="17" t="str">
        <f>IF(VLOOKUP(BR153,Fundamentus!A:U,21,FALSE)&lt;0,"Negativo",IF(VLOOKUP(BR153,Fundamentus!A:U,21,FALSE)&lt;0.05,"Fraco",IF(VLOOKUP(BR153,Fundamentus!A:U,21,FALSE)&lt;0.1,"Bom",IF(VLOOKUP(BR153,Fundamentus!A:U,21,FALSE)&gt;0.1,"Muito bom","n/a"))))</f>
        <v>Muito bom</v>
      </c>
      <c r="EZ153" s="29" t="str">
        <f>IF(VLOOKUP(BR153,Fundamentus!A:U,15,FALSE)&gt;1,"Bom",IF(VLOOKUP(BR153,Fundamentus!A:U,15,FALSE)&lt;1,"Ruim","n/a"))</f>
        <v>Bom</v>
      </c>
      <c r="FA153" s="17" t="str">
        <f>IF(VLOOKUP(BR153,Fundamentus!A:U,20,FALSE)&lt;0.5,"Baixa",IF(VLOOKUP(BR153,Fundamentus!A:U,20,FALSE)&lt;1,"Moderada",IF(VLOOKUP(BR153,Fundamentus!A:U,20,FALSE)&lt;2,"Alerta",IF(VLOOKUP(BR153,Fundamentus!A:U,20,FALSE)&gt;2,"Alta","n/a"))))</f>
        <v>Moderada</v>
      </c>
      <c r="FB153" s="10">
        <v>2</v>
      </c>
    </row>
    <row r="154" spans="1:158" s="2" customFormat="1" ht="11.25"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5">
        <v>12.06</v>
      </c>
      <c r="BC154" s="52">
        <v>12.36</v>
      </c>
      <c r="BD154" s="52">
        <v>12.04</v>
      </c>
      <c r="BE154" s="52">
        <v>12.15</v>
      </c>
      <c r="BF154" s="52">
        <v>12.59</v>
      </c>
      <c r="BG154" s="67">
        <v>13.1</v>
      </c>
      <c r="BH154" s="52">
        <v>12.9</v>
      </c>
      <c r="BI154" s="52">
        <v>13.36</v>
      </c>
      <c r="BJ154" s="52">
        <v>13.41</v>
      </c>
      <c r="BK154" s="52">
        <v>13.5</v>
      </c>
      <c r="BL154" s="52">
        <v>13.75</v>
      </c>
      <c r="BM154" s="52">
        <v>14.2</v>
      </c>
      <c r="BN154" s="52">
        <v>14.38</v>
      </c>
      <c r="BO154" s="52">
        <v>13.91</v>
      </c>
      <c r="BP154" s="52">
        <v>14.17</v>
      </c>
      <c r="BQ154" s="52" cm="1">
        <f t="array" aca="1" ref="BQ154" ca="1">_FV(EE154,"Preço")</f>
        <v>14.17</v>
      </c>
      <c r="BR154" s="69" t="s">
        <v>150</v>
      </c>
      <c r="BS154" s="36" cm="1">
        <f t="array" aca="1" ref="BS154" ca="1">_FV(EE154,"Média de volume",TRUE)</f>
        <v>1020650</v>
      </c>
      <c r="BT154" s="36">
        <v>923700</v>
      </c>
      <c r="BU154" s="36" cm="1">
        <f t="array" aca="1" ref="BU154" ca="1">_FV(EE154,"Volume")</f>
        <v>923700</v>
      </c>
      <c r="BV154" s="24" cm="1">
        <f t="array" aca="1" ref="BV154" ca="1">_FV(EE154,"Beta")</f>
        <v>0.37959999999999999</v>
      </c>
      <c r="BW154" s="71" cm="1">
        <f t="array" aca="1" ref="BW154" ca="1">_FV(EE154,"Variação (%)",TRUE)</f>
        <v>4.9649999999999998E-3</v>
      </c>
      <c r="BY154" s="17" cm="1">
        <f t="array" aca="1" ref="BY154" ca="1">_FV(EE154,"Baixo")</f>
        <v>13.98</v>
      </c>
      <c r="BZ154" s="17" cm="1">
        <f t="array" aca="1" ref="BZ154" ca="1">_FV(EE154,"Alto")</f>
        <v>14.21</v>
      </c>
      <c r="CA154" s="24"/>
      <c r="CB154" s="63">
        <f ca="1">SQRT(22.5*(BQ154/VLOOKUP(BR154,Fundamentus!A:U,3,FALSE))*(BQ154/VLOOKUP(BR154,Fundamentus!A:U,4,FALSE)))</f>
        <v>30.839995392176597</v>
      </c>
      <c r="CD154" s="62">
        <f t="shared" ca="1" si="168"/>
        <v>0</v>
      </c>
      <c r="CE154" s="8"/>
      <c r="CF154" s="61">
        <f t="shared" si="169"/>
        <v>9.93</v>
      </c>
      <c r="CG154" s="61">
        <f t="shared" si="170"/>
        <v>14.38</v>
      </c>
      <c r="CH154" s="61">
        <f t="shared" si="171"/>
        <v>12.141617647058823</v>
      </c>
      <c r="CI154" s="14"/>
      <c r="CJ154" s="35">
        <f t="shared" si="154"/>
        <v>13.39795614188483</v>
      </c>
      <c r="CK154" s="15">
        <f t="shared" si="172"/>
        <v>14.025000000000034</v>
      </c>
      <c r="CL154" s="35">
        <f t="shared" si="155"/>
        <v>14.652043858115238</v>
      </c>
      <c r="CN154" s="14"/>
      <c r="CO154" s="17">
        <f t="shared" si="156"/>
        <v>6.8233333333333341</v>
      </c>
      <c r="CP154" s="17">
        <f t="shared" si="157"/>
        <v>8.3766666666666669</v>
      </c>
      <c r="CQ154" s="17">
        <f t="shared" si="158"/>
        <v>11.273333333333335</v>
      </c>
      <c r="CR154" s="38">
        <f t="shared" si="173"/>
        <v>12.826666666666668</v>
      </c>
      <c r="CS154" s="17">
        <f t="shared" si="159"/>
        <v>15.723333333333336</v>
      </c>
      <c r="CT154" s="17">
        <f t="shared" si="160"/>
        <v>17.276666666666671</v>
      </c>
      <c r="CU154" s="17">
        <f t="shared" si="161"/>
        <v>20.173333333333339</v>
      </c>
      <c r="CV154" s="2" cm="1">
        <f t="array" aca="1" ref="CV154" ca="1">MAX(_xlfn._xlws.FILTER(CO154:CU154,CO154:CU154&lt;BQ154))</f>
        <v>12.826666666666668</v>
      </c>
      <c r="CW154" s="2" cm="1">
        <f t="array" aca="1" ref="CW154" ca="1">MIN(_xlfn._xlws.FILTER($CO154:$CU154,$CO154:$CU154&gt;BQ154))</f>
        <v>15.723333333333336</v>
      </c>
      <c r="CX154" s="16">
        <f t="shared" ca="1" si="175"/>
        <v>0.22583160083160103</v>
      </c>
      <c r="CY154" s="20">
        <f t="shared" ca="1" si="176"/>
        <v>-0.11291580041580052</v>
      </c>
      <c r="CZ154" s="20">
        <f t="shared" ca="1" si="177"/>
        <v>-7.5277200277200348E-2</v>
      </c>
      <c r="DA154" s="20">
        <f t="shared" ca="1" si="178"/>
        <v>-4.5166320166320204E-2</v>
      </c>
      <c r="DB154" s="20">
        <f t="shared" ca="1" si="179"/>
        <v>-2.5092400092400116E-2</v>
      </c>
      <c r="DC154" s="20">
        <f t="shared" ca="1" si="180"/>
        <v>-1.3284211813623589E-2</v>
      </c>
      <c r="DD154" s="20">
        <f t="shared" ca="1" si="181"/>
        <v>-6.8433818433818495E-3</v>
      </c>
      <c r="DE154" s="20">
        <f t="shared" ca="1" si="182"/>
        <v>-3.4743323204861698E-3</v>
      </c>
      <c r="DF154" s="21">
        <f t="shared" ca="1" si="183"/>
        <v>3.4743323204861698E-3</v>
      </c>
      <c r="DG154" s="21">
        <f t="shared" ca="1" si="184"/>
        <v>6.8433818433818495E-3</v>
      </c>
      <c r="DH154" s="21">
        <f t="shared" ca="1" si="185"/>
        <v>1.3284211813623589E-2</v>
      </c>
      <c r="DI154" s="21">
        <f t="shared" ca="1" si="186"/>
        <v>2.5092400092400116E-2</v>
      </c>
      <c r="DJ154" s="21">
        <f t="shared" ca="1" si="187"/>
        <v>4.5166320166320204E-2</v>
      </c>
      <c r="DK154" s="21">
        <f t="shared" ca="1" si="188"/>
        <v>7.5277200277200348E-2</v>
      </c>
      <c r="DL154" s="21">
        <f t="shared" ca="1" si="189"/>
        <v>0.11291580041580052</v>
      </c>
      <c r="DN154" s="16" cm="1">
        <f t="array" aca="1" ref="DN154" ca="1">MAX(_xlfn._xlws.FILTER(CY154:DL154,CY154:DL154&lt;BW154))</f>
        <v>3.4743323204861698E-3</v>
      </c>
      <c r="DO154" s="16" cm="1">
        <f t="array" aca="1" ref="DO154" ca="1">MIN(_xlfn._xlws.FILTER(CY154:DL154,CY154:DL154&gt;BW154))</f>
        <v>6.8433818433818495E-3</v>
      </c>
      <c r="DP154" s="2" cm="1">
        <f t="array" aca="1" ref="DP154" ca="1">_FV(EE154,"Fechamento anterior",TRUE)</f>
        <v>14.1</v>
      </c>
      <c r="DQ154" s="28">
        <f t="shared" ca="1" si="162"/>
        <v>0.44232258281711839</v>
      </c>
      <c r="DR154" s="15">
        <f t="shared" ca="1" si="190"/>
        <v>14.148988085718855</v>
      </c>
      <c r="DS154" s="15">
        <f t="shared" ca="1" si="191"/>
        <v>14.196491683991685</v>
      </c>
      <c r="DT154" s="9"/>
      <c r="DU154" s="9"/>
      <c r="DV154" s="9"/>
      <c r="DW154" s="89">
        <v>1.9605791034362462E-2</v>
      </c>
      <c r="DX154" s="89">
        <f t="shared" ca="1" si="163"/>
        <v>3.3690495228956797E-3</v>
      </c>
      <c r="DY154" s="72">
        <f t="shared" ca="1" si="164"/>
        <v>0.23124379279595073</v>
      </c>
      <c r="DZ154" s="37"/>
      <c r="EA154" s="35">
        <f t="shared" si="174"/>
        <v>0.31352192905760207</v>
      </c>
      <c r="EB154" s="56"/>
      <c r="EC154" s="56"/>
      <c r="EE154" s="2" t="e" vm="156">
        <v>#VALUE!</v>
      </c>
      <c r="EG154" s="10" cm="1">
        <f t="array" aca="1" ref="EG154" ca="1">_FV(EE154,"Ações em circulação",TRUE)</f>
        <v>153719600</v>
      </c>
      <c r="EH154" s="18">
        <f>VLOOKUP(BR154,Fundamentus!A:U,5,FALSE)</f>
        <v>0.13700000000000001</v>
      </c>
      <c r="EI154" s="2">
        <f t="shared" ca="1" si="165"/>
        <v>15899319211.678831</v>
      </c>
      <c r="EJ154" s="17">
        <v>338655499.20875907</v>
      </c>
      <c r="EK154" s="17">
        <f t="shared" ca="1" si="166"/>
        <v>338655499.20875907</v>
      </c>
      <c r="EM154" s="16">
        <f t="shared" ca="1" si="153"/>
        <v>0</v>
      </c>
      <c r="EN154" s="32" t="str">
        <f>IF(VLOOKUP(BR154,Fundamentus!A:U,3,FALSE)&lt;15,"Bom",IF(VLOOKUP(BR154,Fundamentus!A:U,3,FALSE)&gt;15,"Ruim","n/a"))</f>
        <v>Bom</v>
      </c>
      <c r="EO154" s="28" t="str">
        <f>IF(VLOOKUP(BR154,Fundamentus!A:U,4,FALSE)&lt;1,"Baixo",IF(VLOOKUP(BR154,Fundamentus!A:U,4,FALSE)&lt;1.5,"Moderado",IF(VLOOKUP(BR154,Fundamentus!A:U,4,FALSE)&gt;1.5,"Alto","n/a")))</f>
        <v>Baixo</v>
      </c>
      <c r="EP154" s="17" t="str">
        <f>IF(VLOOKUP(BR154,Fundamentus!A:U,8,FALSE)&lt;0,"Risco elevado",IF(VLOOKUP(BR154,Fundamentus!A:U,8,FALSE)&lt;1,"Saudável",IF(VLOOKUP(BR154,Fundamentus!A:U,8,FALSE)&lt;3,"Estável",IF(VLOOKUP(BR154,Fundamentus!A:U,8,FALSE)&gt;3,"Alerta","n/a"))))</f>
        <v>Saudável</v>
      </c>
      <c r="EQ154" s="28" t="str">
        <f t="shared" si="167"/>
        <v>Ruim</v>
      </c>
      <c r="ER154" s="17" t="str">
        <f>IF(VLOOKUP(BR154,Fundamentus!A:U,12,FALSE)&lt;2,"Subvalorizada",IF(VLOOKUP(BR154,Fundamentus!A:U,12,FALSE)&lt;6,"Muita barata",IF(VLOOKUP(BR154,Fundamentus!A:U,12,FALSE)&lt;6,"Barata",IF(VLOOKUP(BR154,Fundamentus!A:U,12,FALSE)&lt;8,"Atrativa",IF(VLOOKUP(BR154,Fundamentus!A:U,12,FALSE)&gt;8,"Supervalorizada","n/a")))))</f>
        <v>Muita barata</v>
      </c>
      <c r="ET154" s="17" t="str">
        <f>IF(VLOOKUP(BR154,Fundamentus!A:U,17,FALSE)&lt;0.1,"Fraco retorno",IF(VLOOKUP(BR154,Fundamentus!A:U,17,FALSE)&gt;0.1,"Bom retorno","n/a"))</f>
        <v>Fraco retorno</v>
      </c>
      <c r="EU154" s="17" t="str">
        <f>IF(VLOOKUP(BR154,Fundamentus!A:U,16,FALSE)&lt;0.1,"Ineficiente",IF(VLOOKUP(BR154,Fundamentus!A:U,16,FALSE)&gt;0.1,"Eficiente","n/a"))</f>
        <v>Ineficiente</v>
      </c>
      <c r="EV154" s="33" t="str">
        <f>IF(VLOOKUP(BR154,Fundamentus!A:U,16,FALSE)&lt;0.1,"Oper. Ineficiente",IF(VLOOKUP(BR154,Fundamentus!A:U,16,FALSE)&gt;0.1,"Oper.Eficiente","n/a"))</f>
        <v>Oper. Ineficiente</v>
      </c>
      <c r="EW154" s="34">
        <f>VLOOKUP(BR154,Fundamentus!A:U,14,FALSE)</f>
        <v>2.1299999999999999E-2</v>
      </c>
      <c r="EX154" s="17" t="str">
        <f>IF(VLOOKUP(BR154,Fundamentus!A:U,21,FALSE)&lt;0,"Negativo",IF(VLOOKUP(BR154,Fundamentus!A:U,21,FALSE)&lt;0.05,"Fraco",IF(VLOOKUP(BR154,Fundamentus!A:U,21,FALSE)&lt;0.1,"Bom",IF(VLOOKUP(BR154,Fundamentus!A:U,21,FALSE)&gt;0.1,"Muito bom","n/a"))))</f>
        <v>Bom</v>
      </c>
      <c r="EZ154" s="29" t="str">
        <f>IF(VLOOKUP(BR154,Fundamentus!A:U,15,FALSE)&gt;1,"Bom",IF(VLOOKUP(BR154,Fundamentus!A:U,15,FALSE)&lt;1,"Ruim","n/a"))</f>
        <v>Bom</v>
      </c>
      <c r="FA154" s="17" t="str">
        <f>IF(VLOOKUP(BR154,Fundamentus!A:U,20,FALSE)&lt;0.5,"Baixa",IF(VLOOKUP(BR154,Fundamentus!A:U,20,FALSE)&lt;1,"Moderada",IF(VLOOKUP(BR154,Fundamentus!A:U,20,FALSE)&lt;2,"Alerta",IF(VLOOKUP(BR154,Fundamentus!A:U,20,FALSE)&gt;2,"Alta","n/a"))))</f>
        <v>Alerta</v>
      </c>
      <c r="FB154" s="10"/>
    </row>
    <row r="155" spans="1:158" s="2" customFormat="1" ht="11.25"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5">
        <v>33.700000000000003</v>
      </c>
      <c r="BC155" s="52">
        <v>35.229999999999997</v>
      </c>
      <c r="BD155" s="52">
        <v>36.9</v>
      </c>
      <c r="BE155" s="52">
        <v>37.78</v>
      </c>
      <c r="BF155" s="52">
        <v>35.840000000000003</v>
      </c>
      <c r="BG155" s="67">
        <v>35.1</v>
      </c>
      <c r="BH155" s="52">
        <v>34.799999999999997</v>
      </c>
      <c r="BI155" s="52">
        <v>34.9</v>
      </c>
      <c r="BJ155" s="52">
        <v>34.93</v>
      </c>
      <c r="BK155" s="52">
        <v>33.299999999999997</v>
      </c>
      <c r="BL155" s="52">
        <v>32.89</v>
      </c>
      <c r="BM155" s="52">
        <v>32.520000000000003</v>
      </c>
      <c r="BN155" s="52">
        <v>32.4</v>
      </c>
      <c r="BO155" s="52">
        <v>36.25</v>
      </c>
      <c r="BP155" s="52">
        <v>37.53</v>
      </c>
      <c r="BQ155" s="52" cm="1">
        <f t="array" aca="1" ref="BQ155" ca="1">_FV(EE155,"Preço")</f>
        <v>37.53</v>
      </c>
      <c r="BR155" s="69" t="s">
        <v>176</v>
      </c>
      <c r="BS155" s="36" cm="1">
        <f t="array" aca="1" ref="BS155" ca="1">_FV(EE155,"Média de volume",TRUE)</f>
        <v>5539080</v>
      </c>
      <c r="BT155" s="36">
        <v>6412000</v>
      </c>
      <c r="BU155" s="36" cm="1">
        <f t="array" aca="1" ref="BU155" ca="1">_FV(EE155,"Volume")</f>
        <v>6412000</v>
      </c>
      <c r="BV155" s="24" cm="1">
        <f t="array" aca="1" ref="BV155" ca="1">_FV(EE155,"Beta")</f>
        <v>1.5416000000000001</v>
      </c>
      <c r="BW155" s="71" cm="1">
        <f t="array" aca="1" ref="BW155" ca="1">_FV(EE155,"Variação (%)",TRUE)</f>
        <v>1.2408999999999998E-2</v>
      </c>
      <c r="BY155" s="17" cm="1">
        <f t="array" aca="1" ref="BY155" ca="1">_FV(EE155,"Baixo")</f>
        <v>36.950000000000003</v>
      </c>
      <c r="BZ155" s="17" cm="1">
        <f t="array" aca="1" ref="BZ155" ca="1">_FV(EE155,"Alto")</f>
        <v>37.68</v>
      </c>
      <c r="CA155" s="24"/>
      <c r="CB155" s="63">
        <f ca="1">SQRT(22.5*(BQ155/VLOOKUP(BR155,Fundamentus!A:U,3,FALSE))*(BQ155/VLOOKUP(BR155,Fundamentus!A:U,4,FALSE)))</f>
        <v>23.738841638069538</v>
      </c>
      <c r="CD155" s="62">
        <f t="shared" ca="1" si="168"/>
        <v>0</v>
      </c>
      <c r="CE155" s="8"/>
      <c r="CF155" s="61">
        <f t="shared" si="169"/>
        <v>25.15</v>
      </c>
      <c r="CG155" s="61">
        <f t="shared" si="170"/>
        <v>37.78</v>
      </c>
      <c r="CH155" s="61">
        <f t="shared" si="171"/>
        <v>30.245808823529416</v>
      </c>
      <c r="CI155" s="14"/>
      <c r="CJ155" s="35">
        <f t="shared" si="154"/>
        <v>36.546691027994349</v>
      </c>
      <c r="CK155" s="15">
        <f t="shared" si="172"/>
        <v>39.394999999998618</v>
      </c>
      <c r="CL155" s="35">
        <f t="shared" si="155"/>
        <v>42.243308972002886</v>
      </c>
      <c r="CN155" s="14"/>
      <c r="CO155" s="17">
        <f t="shared" si="156"/>
        <v>16.56333333333334</v>
      </c>
      <c r="CP155" s="17">
        <f t="shared" si="157"/>
        <v>20.856666666666669</v>
      </c>
      <c r="CQ155" s="17">
        <f t="shared" si="158"/>
        <v>29.193333333333342</v>
      </c>
      <c r="CR155" s="38">
        <f t="shared" si="173"/>
        <v>33.486666666666672</v>
      </c>
      <c r="CS155" s="17">
        <f t="shared" si="159"/>
        <v>41.823333333333345</v>
      </c>
      <c r="CT155" s="17">
        <f t="shared" si="160"/>
        <v>46.116666666666674</v>
      </c>
      <c r="CU155" s="17">
        <f t="shared" si="161"/>
        <v>54.453333333333347</v>
      </c>
      <c r="CV155" s="2" cm="1">
        <f t="array" aca="1" ref="CV155" ca="1">MAX(_xlfn._xlws.FILTER(CO155:CU155,CO155:CU155&lt;BQ155))</f>
        <v>33.486666666666672</v>
      </c>
      <c r="CW155" s="2" cm="1">
        <f t="array" aca="1" ref="CW155" ca="1">MIN(_xlfn._xlws.FILTER($CO155:$CU155,$CO155:$CU155&gt;BQ155))</f>
        <v>41.823333333333345</v>
      </c>
      <c r="CX155" s="16">
        <f t="shared" ca="1" si="175"/>
        <v>0.24895480788373492</v>
      </c>
      <c r="CY155" s="20">
        <f t="shared" ca="1" si="176"/>
        <v>-0.12447740394186746</v>
      </c>
      <c r="CZ155" s="20">
        <f t="shared" ca="1" si="177"/>
        <v>-8.2984935961244968E-2</v>
      </c>
      <c r="DA155" s="20">
        <f t="shared" ca="1" si="178"/>
        <v>-4.9790961576746985E-2</v>
      </c>
      <c r="DB155" s="20">
        <f t="shared" ca="1" si="179"/>
        <v>-2.7661645320414992E-2</v>
      </c>
      <c r="DC155" s="20">
        <f t="shared" ca="1" si="180"/>
        <v>-1.4644400463749112E-2</v>
      </c>
      <c r="DD155" s="20">
        <f t="shared" ca="1" si="181"/>
        <v>-7.5440850873859065E-3</v>
      </c>
      <c r="DE155" s="20">
        <f t="shared" ca="1" si="182"/>
        <v>-3.8300739674420755E-3</v>
      </c>
      <c r="DF155" s="21">
        <f t="shared" ca="1" si="183"/>
        <v>3.8300739674420755E-3</v>
      </c>
      <c r="DG155" s="21">
        <f t="shared" ca="1" si="184"/>
        <v>7.5440850873859065E-3</v>
      </c>
      <c r="DH155" s="21">
        <f t="shared" ca="1" si="185"/>
        <v>1.4644400463749112E-2</v>
      </c>
      <c r="DI155" s="21">
        <f t="shared" ca="1" si="186"/>
        <v>2.7661645320414992E-2</v>
      </c>
      <c r="DJ155" s="21">
        <f t="shared" ca="1" si="187"/>
        <v>4.9790961576746985E-2</v>
      </c>
      <c r="DK155" s="21">
        <f t="shared" ca="1" si="188"/>
        <v>8.2984935961244968E-2</v>
      </c>
      <c r="DL155" s="21">
        <f t="shared" ca="1" si="189"/>
        <v>0.12447740394186746</v>
      </c>
      <c r="DN155" s="16" cm="1">
        <f t="array" aca="1" ref="DN155" ca="1">MAX(_xlfn._xlws.FILTER(CY155:DL155,CY155:DL155&lt;BW155))</f>
        <v>7.5440850873859065E-3</v>
      </c>
      <c r="DO155" s="16" cm="1">
        <f t="array" aca="1" ref="DO155" ca="1">MIN(_xlfn._xlws.FILTER(CY155:DL155,CY155:DL155&gt;BW155))</f>
        <v>1.4644400463749112E-2</v>
      </c>
      <c r="DP155" s="2" cm="1">
        <f t="array" aca="1" ref="DP155" ca="1">_FV(EE155,"Fechamento anterior",TRUE)</f>
        <v>37.07</v>
      </c>
      <c r="DQ155" s="28">
        <f t="shared" ca="1" si="162"/>
        <v>0.68516265600584414</v>
      </c>
      <c r="DR155" s="15">
        <f t="shared" ca="1" si="190"/>
        <v>37.349659234189396</v>
      </c>
      <c r="DS155" s="15">
        <f t="shared" ca="1" si="191"/>
        <v>37.612867925191182</v>
      </c>
      <c r="DT155" s="9"/>
      <c r="DU155" s="9"/>
      <c r="DV155" s="9"/>
      <c r="DW155" s="89">
        <v>6.8238701739288914E-3</v>
      </c>
      <c r="DX155" s="89">
        <f t="shared" ca="1" si="163"/>
        <v>7.1003153763632056E-3</v>
      </c>
      <c r="DY155" s="72">
        <f t="shared" ca="1" si="164"/>
        <v>-0.65477447086306528</v>
      </c>
      <c r="DZ155" s="37"/>
      <c r="EA155" s="35">
        <f t="shared" si="174"/>
        <v>1.4241544860021329</v>
      </c>
      <c r="EB155" s="56"/>
      <c r="EC155" s="56"/>
      <c r="EE155" s="2" t="e" vm="157">
        <v>#VALUE!</v>
      </c>
      <c r="EG155" s="10" cm="1">
        <f t="array" aca="1" ref="EG155" ca="1">_FV(EE155,"Ações em circulação",TRUE)</f>
        <v>2289292000</v>
      </c>
      <c r="EH155" s="18">
        <f>VLOOKUP(BR155,Fundamentus!A:U,5,FALSE)</f>
        <v>1.476</v>
      </c>
      <c r="EI155" s="2">
        <f t="shared" ca="1" si="165"/>
        <v>58209436829.268295</v>
      </c>
      <c r="EJ155" s="17">
        <v>4720785326.8536587</v>
      </c>
      <c r="EK155" s="17">
        <f t="shared" ca="1" si="166"/>
        <v>4720785326.8536587</v>
      </c>
      <c r="EM155" s="16">
        <f t="shared" ca="1" si="153"/>
        <v>0</v>
      </c>
      <c r="EN155" s="32" t="str">
        <f>IF(VLOOKUP(BR155,Fundamentus!A:U,3,FALSE)&lt;15,"Bom",IF(VLOOKUP(BR155,Fundamentus!A:U,3,FALSE)&gt;15,"Ruim","n/a"))</f>
        <v>Ruim</v>
      </c>
      <c r="EO155" s="28" t="str">
        <f>IF(VLOOKUP(BR155,Fundamentus!A:U,4,FALSE)&lt;1,"Baixo",IF(VLOOKUP(BR155,Fundamentus!A:U,4,FALSE)&lt;1.5,"Moderado",IF(VLOOKUP(BR155,Fundamentus!A:U,4,FALSE)&gt;1.5,"Alto","n/a")))</f>
        <v>Alto</v>
      </c>
      <c r="EP155" s="17" t="str">
        <f>IF(VLOOKUP(BR155,Fundamentus!A:U,8,FALSE)&lt;0,"Risco elevado",IF(VLOOKUP(BR155,Fundamentus!A:U,8,FALSE)&lt;1,"Saudável",IF(VLOOKUP(BR155,Fundamentus!A:U,8,FALSE)&lt;3,"Estável",IF(VLOOKUP(BR155,Fundamentus!A:U,8,FALSE)&gt;3,"Alerta","n/a"))))</f>
        <v>Estável</v>
      </c>
      <c r="EQ155" s="28" t="str">
        <f t="shared" si="167"/>
        <v>Bom</v>
      </c>
      <c r="ER155" s="17" t="str">
        <f>IF(VLOOKUP(BR155,Fundamentus!A:U,12,FALSE)&lt;2,"Subvalorizada",IF(VLOOKUP(BR155,Fundamentus!A:U,12,FALSE)&lt;6,"Muita barata",IF(VLOOKUP(BR155,Fundamentus!A:U,12,FALSE)&lt;6,"Barata",IF(VLOOKUP(BR155,Fundamentus!A:U,12,FALSE)&lt;8,"Atrativa",IF(VLOOKUP(BR155,Fundamentus!A:U,12,FALSE)&gt;8,"Supervalorizada","n/a")))))</f>
        <v>Atrativa</v>
      </c>
      <c r="ET155" s="17" t="str">
        <f>IF(VLOOKUP(BR155,Fundamentus!A:U,17,FALSE)&lt;0.1,"Fraco retorno",IF(VLOOKUP(BR155,Fundamentus!A:U,17,FALSE)&gt;0.1,"Bom retorno","n/a"))</f>
        <v>Bom retorno</v>
      </c>
      <c r="EU155" s="17" t="str">
        <f>IF(VLOOKUP(BR155,Fundamentus!A:U,16,FALSE)&lt;0.1,"Ineficiente",IF(VLOOKUP(BR155,Fundamentus!A:U,16,FALSE)&gt;0.1,"Eficiente","n/a"))</f>
        <v>Eficiente</v>
      </c>
      <c r="EV155" s="33" t="str">
        <f>IF(VLOOKUP(BR155,Fundamentus!A:U,16,FALSE)&lt;0.1,"Oper. Ineficiente",IF(VLOOKUP(BR155,Fundamentus!A:U,16,FALSE)&gt;0.1,"Oper.Eficiente","n/a"))</f>
        <v>Oper.Eficiente</v>
      </c>
      <c r="EW155" s="34">
        <f>VLOOKUP(BR155,Fundamentus!A:U,14,FALSE)</f>
        <v>8.1100000000000005E-2</v>
      </c>
      <c r="EX155" s="17" t="str">
        <f>IF(VLOOKUP(BR155,Fundamentus!A:U,21,FALSE)&lt;0,"Negativo",IF(VLOOKUP(BR155,Fundamentus!A:U,21,FALSE)&lt;0.05,"Fraco",IF(VLOOKUP(BR155,Fundamentus!A:U,21,FALSE)&lt;0.1,"Bom",IF(VLOOKUP(BR155,Fundamentus!A:U,21,FALSE)&gt;0.1,"Muito bom","n/a"))))</f>
        <v>Muito bom</v>
      </c>
      <c r="EZ155" s="29" t="str">
        <f>IF(VLOOKUP(BR155,Fundamentus!A:U,15,FALSE)&gt;1,"Bom",IF(VLOOKUP(BR155,Fundamentus!A:U,15,FALSE)&lt;1,"Ruim","n/a"))</f>
        <v>Bom</v>
      </c>
      <c r="FA155" s="17" t="str">
        <f>IF(VLOOKUP(BR155,Fundamentus!A:U,20,FALSE)&lt;0.5,"Baixa",IF(VLOOKUP(BR155,Fundamentus!A:U,20,FALSE)&lt;1,"Moderada",IF(VLOOKUP(BR155,Fundamentus!A:U,20,FALSE)&lt;2,"Alerta",IF(VLOOKUP(BR155,Fundamentus!A:U,20,FALSE)&gt;2,"Alta","n/a"))))</f>
        <v>Alerta</v>
      </c>
      <c r="FB155" s="10">
        <v>1</v>
      </c>
    </row>
    <row r="156" spans="1:158" s="2" customFormat="1" ht="11.25"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5">
        <v>27.91</v>
      </c>
      <c r="BC156" s="52">
        <v>28.15</v>
      </c>
      <c r="BD156" s="52">
        <v>27.66</v>
      </c>
      <c r="BE156" s="52">
        <v>28.66</v>
      </c>
      <c r="BF156" s="52">
        <v>28.78</v>
      </c>
      <c r="BG156" s="67">
        <v>29.79</v>
      </c>
      <c r="BH156" s="52">
        <v>30.28</v>
      </c>
      <c r="BI156" s="52">
        <v>30.4</v>
      </c>
      <c r="BJ156" s="52">
        <v>32.4</v>
      </c>
      <c r="BK156" s="52">
        <v>32.1</v>
      </c>
      <c r="BL156" s="52">
        <v>30.95</v>
      </c>
      <c r="BM156" s="52">
        <v>30.7</v>
      </c>
      <c r="BN156" s="52">
        <v>31.58</v>
      </c>
      <c r="BO156" s="52">
        <v>32.950000000000003</v>
      </c>
      <c r="BP156" s="52">
        <v>33.43</v>
      </c>
      <c r="BQ156" s="52" cm="1">
        <f t="array" aca="1" ref="BQ156" ca="1">_FV(EE156,"Preço")</f>
        <v>33.43</v>
      </c>
      <c r="BR156" s="69" t="s">
        <v>152</v>
      </c>
      <c r="BS156" s="36" cm="1">
        <f t="array" aca="1" ref="BS156" ca="1">_FV(EE156,"Média de volume",TRUE)</f>
        <v>5839690</v>
      </c>
      <c r="BT156" s="36">
        <v>4408600</v>
      </c>
      <c r="BU156" s="36" cm="1">
        <f t="array" aca="1" ref="BU156" ca="1">_FV(EE156,"Volume")</f>
        <v>4408600</v>
      </c>
      <c r="BV156" s="24" cm="1">
        <f t="array" aca="1" ref="BV156" ca="1">_FV(EE156,"Beta")</f>
        <v>0.54579999999999995</v>
      </c>
      <c r="BW156" s="71" cm="1">
        <f t="array" aca="1" ref="BW156" ca="1">_FV(EE156,"Variação (%)",TRUE)</f>
        <v>7.8380000000000012E-3</v>
      </c>
      <c r="BY156" s="17" cm="1">
        <f t="array" aca="1" ref="BY156" ca="1">_FV(EE156,"Baixo")</f>
        <v>32.950000000000003</v>
      </c>
      <c r="BZ156" s="17" cm="1">
        <f t="array" aca="1" ref="BZ156" ca="1">_FV(EE156,"Alto")</f>
        <v>33.5</v>
      </c>
      <c r="CA156" s="24"/>
      <c r="CB156" s="63">
        <f ca="1">SQRT(22.5*(BQ156/VLOOKUP(BR156,Fundamentus!A:U,3,FALSE))*(BQ156/VLOOKUP(BR156,Fundamentus!A:U,4,FALSE)))</f>
        <v>31.237625231833025</v>
      </c>
      <c r="CD156" s="62">
        <f t="shared" ca="1" si="168"/>
        <v>0</v>
      </c>
      <c r="CE156" s="8"/>
      <c r="CF156" s="61">
        <f t="shared" si="169"/>
        <v>26.41</v>
      </c>
      <c r="CG156" s="61">
        <f t="shared" si="170"/>
        <v>55.6</v>
      </c>
      <c r="CH156" s="61">
        <f t="shared" si="171"/>
        <v>44.714264705882336</v>
      </c>
      <c r="CI156" s="14"/>
      <c r="CJ156" s="35">
        <f t="shared" si="154"/>
        <v>32.93272505412952</v>
      </c>
      <c r="CK156" s="15">
        <f t="shared" si="172"/>
        <v>34.555000000000291</v>
      </c>
      <c r="CL156" s="35">
        <f t="shared" si="155"/>
        <v>36.177274945871062</v>
      </c>
      <c r="CN156" s="14"/>
      <c r="CO156" s="17">
        <f t="shared" si="156"/>
        <v>-7.830000000000009</v>
      </c>
      <c r="CP156" s="17">
        <f t="shared" si="157"/>
        <v>9.2899999999999956</v>
      </c>
      <c r="CQ156" s="17">
        <f t="shared" si="158"/>
        <v>21.359999999999992</v>
      </c>
      <c r="CR156" s="38">
        <f t="shared" si="173"/>
        <v>38.479999999999997</v>
      </c>
      <c r="CS156" s="17">
        <f t="shared" si="159"/>
        <v>50.55</v>
      </c>
      <c r="CT156" s="17">
        <f t="shared" si="160"/>
        <v>67.67</v>
      </c>
      <c r="CU156" s="17">
        <f t="shared" si="161"/>
        <v>79.739999999999995</v>
      </c>
      <c r="CV156" s="2" cm="1">
        <f t="array" aca="1" ref="CV156" ca="1">MAX(_xlfn._xlws.FILTER(CO156:CU156,CO156:CU156&lt;BQ156))</f>
        <v>21.359999999999992</v>
      </c>
      <c r="CW156" s="2" cm="1">
        <f t="array" aca="1" ref="CW156" ca="1">MIN(_xlfn._xlws.FILTER($CO156:$CU156,$CO156:$CU156&gt;BQ156))</f>
        <v>38.479999999999997</v>
      </c>
      <c r="CX156" s="16">
        <f t="shared" ca="1" si="175"/>
        <v>0.80149812734082437</v>
      </c>
      <c r="CY156" s="20">
        <f t="shared" ca="1" si="176"/>
        <v>-0.40074906367041219</v>
      </c>
      <c r="CZ156" s="20">
        <f t="shared" ca="1" si="177"/>
        <v>-0.26716604244694148</v>
      </c>
      <c r="DA156" s="20">
        <f t="shared" ca="1" si="178"/>
        <v>-0.16029962546816487</v>
      </c>
      <c r="DB156" s="20">
        <f t="shared" ca="1" si="179"/>
        <v>-8.9055347482313821E-2</v>
      </c>
      <c r="DC156" s="20">
        <f t="shared" ca="1" si="180"/>
        <v>-4.7146948667107315E-2</v>
      </c>
      <c r="DD156" s="20">
        <f t="shared" ca="1" si="181"/>
        <v>-2.4287822040631041E-2</v>
      </c>
      <c r="DE156" s="20">
        <f t="shared" ca="1" si="182"/>
        <v>-1.2330740420628067E-2</v>
      </c>
      <c r="DF156" s="21">
        <f t="shared" ca="1" si="183"/>
        <v>1.2330740420628067E-2</v>
      </c>
      <c r="DG156" s="21">
        <f t="shared" ca="1" si="184"/>
        <v>2.4287822040631041E-2</v>
      </c>
      <c r="DH156" s="21">
        <f t="shared" ca="1" si="185"/>
        <v>4.7146948667107315E-2</v>
      </c>
      <c r="DI156" s="21">
        <f t="shared" ca="1" si="186"/>
        <v>8.9055347482313821E-2</v>
      </c>
      <c r="DJ156" s="21">
        <f t="shared" ca="1" si="187"/>
        <v>0.16029962546816487</v>
      </c>
      <c r="DK156" s="21">
        <f t="shared" ca="1" si="188"/>
        <v>0.26716604244694148</v>
      </c>
      <c r="DL156" s="21">
        <f t="shared" ca="1" si="189"/>
        <v>0.40074906367041219</v>
      </c>
      <c r="DN156" s="16" cm="1">
        <f t="array" aca="1" ref="DN156" ca="1">MAX(_xlfn._xlws.FILTER(CY156:DL156,CY156:DL156&lt;BW156))</f>
        <v>-1.2330740420628067E-2</v>
      </c>
      <c r="DO156" s="16" cm="1">
        <f t="array" aca="1" ref="DO156" ca="1">MIN(_xlfn._xlws.FILTER(CY156:DL156,CY156:DL156&gt;BW156))</f>
        <v>1.2330740420628067E-2</v>
      </c>
      <c r="DP156" s="2" cm="1">
        <f t="array" aca="1" ref="DP156" ca="1">_FV(EE156,"Fechamento anterior",TRUE)</f>
        <v>33.17</v>
      </c>
      <c r="DQ156" s="28">
        <f t="shared" ca="1" si="162"/>
        <v>0.81784012690219154</v>
      </c>
      <c r="DR156" s="15">
        <f t="shared" ca="1" si="190"/>
        <v>32.760989340247768</v>
      </c>
      <c r="DS156" s="15">
        <f t="shared" ca="1" si="191"/>
        <v>33.579010659752235</v>
      </c>
      <c r="DT156" s="9"/>
      <c r="DU156" s="9"/>
      <c r="DV156" s="9"/>
      <c r="DW156" s="89">
        <v>2.5270546943550749E-2</v>
      </c>
      <c r="DX156" s="89">
        <f t="shared" ca="1" si="163"/>
        <v>2.4661480841256134E-2</v>
      </c>
      <c r="DY156" s="72">
        <f t="shared" ca="1" si="164"/>
        <v>-0.69347061228048323</v>
      </c>
      <c r="DZ156" s="37"/>
      <c r="EA156" s="35">
        <f t="shared" si="174"/>
        <v>0.81113747293538496</v>
      </c>
      <c r="EB156" s="56"/>
      <c r="EC156" s="56"/>
      <c r="EE156" s="2" t="e" vm="158">
        <v>#VALUE!</v>
      </c>
      <c r="EG156" s="10" cm="1">
        <f t="array" aca="1" ref="EG156" ca="1">_FV(EE156,"Ações em circulação",TRUE)</f>
        <v>3226547000</v>
      </c>
      <c r="EH156" s="18">
        <f>VLOOKUP(BR156,Fundamentus!A:U,5,FALSE)</f>
        <v>1.766</v>
      </c>
      <c r="EI156" s="2">
        <f t="shared" ca="1" si="165"/>
        <v>61077840436.013588</v>
      </c>
      <c r="EJ156" s="17">
        <v>6162754099.9937716</v>
      </c>
      <c r="EK156" s="17">
        <f t="shared" ca="1" si="166"/>
        <v>6162754099.9937716</v>
      </c>
      <c r="EM156" s="16">
        <f t="shared" ca="1" si="153"/>
        <v>0</v>
      </c>
      <c r="EN156" s="32" t="str">
        <f>IF(VLOOKUP(BR156,Fundamentus!A:U,3,FALSE)&lt;15,"Bom",IF(VLOOKUP(BR156,Fundamentus!A:U,3,FALSE)&gt;15,"Ruim","n/a"))</f>
        <v>Ruim</v>
      </c>
      <c r="EO156" s="28" t="str">
        <f>IF(VLOOKUP(BR156,Fundamentus!A:U,4,FALSE)&lt;1,"Baixo",IF(VLOOKUP(BR156,Fundamentus!A:U,4,FALSE)&lt;1.5,"Moderado",IF(VLOOKUP(BR156,Fundamentus!A:U,4,FALSE)&gt;1.5,"Alto","n/a")))</f>
        <v>Moderado</v>
      </c>
      <c r="EP156" s="17" t="str">
        <f>IF(VLOOKUP(BR156,Fundamentus!A:U,8,FALSE)&lt;0,"Risco elevado",IF(VLOOKUP(BR156,Fundamentus!A:U,8,FALSE)&lt;1,"Saudável",IF(VLOOKUP(BR156,Fundamentus!A:U,8,FALSE)&lt;3,"Estável",IF(VLOOKUP(BR156,Fundamentus!A:U,8,FALSE)&gt;3,"Alerta","n/a"))))</f>
        <v>Risco elevado</v>
      </c>
      <c r="EQ156" s="28" t="str">
        <f t="shared" si="167"/>
        <v>Bom</v>
      </c>
      <c r="ER156" s="17" t="str">
        <f>IF(VLOOKUP(BR156,Fundamentus!A:U,12,FALSE)&lt;2,"Subvalorizada",IF(VLOOKUP(BR156,Fundamentus!A:U,12,FALSE)&lt;6,"Muita barata",IF(VLOOKUP(BR156,Fundamentus!A:U,12,FALSE)&lt;6,"Barata",IF(VLOOKUP(BR156,Fundamentus!A:U,12,FALSE)&lt;8,"Atrativa",IF(VLOOKUP(BR156,Fundamentus!A:U,12,FALSE)&gt;8,"Supervalorizada","n/a")))))</f>
        <v>Muita barata</v>
      </c>
      <c r="ET156" s="17" t="str">
        <f>IF(VLOOKUP(BR156,Fundamentus!A:U,17,FALSE)&lt;0.1,"Fraco retorno",IF(VLOOKUP(BR156,Fundamentus!A:U,17,FALSE)&gt;0.1,"Bom retorno","n/a"))</f>
        <v>Fraco retorno</v>
      </c>
      <c r="EU156" s="17" t="str">
        <f>IF(VLOOKUP(BR156,Fundamentus!A:U,16,FALSE)&lt;0.1,"Ineficiente",IF(VLOOKUP(BR156,Fundamentus!A:U,16,FALSE)&gt;0.1,"Eficiente","n/a"))</f>
        <v>Ineficiente</v>
      </c>
      <c r="EV156" s="33" t="str">
        <f>IF(VLOOKUP(BR156,Fundamentus!A:U,16,FALSE)&lt;0.1,"Oper. Ineficiente",IF(VLOOKUP(BR156,Fundamentus!A:U,16,FALSE)&gt;0.1,"Oper.Eficiente","n/a"))</f>
        <v>Oper. Ineficiente</v>
      </c>
      <c r="EW156" s="34">
        <f>VLOOKUP(BR156,Fundamentus!A:U,14,FALSE)</f>
        <v>0.1009</v>
      </c>
      <c r="EX156" s="17" t="str">
        <f>IF(VLOOKUP(BR156,Fundamentus!A:U,21,FALSE)&lt;0,"Negativo",IF(VLOOKUP(BR156,Fundamentus!A:U,21,FALSE)&lt;0.05,"Fraco",IF(VLOOKUP(BR156,Fundamentus!A:U,21,FALSE)&lt;0.1,"Bom",IF(VLOOKUP(BR156,Fundamentus!A:U,21,FALSE)&gt;0.1,"Muito bom","n/a"))))</f>
        <v>Bom</v>
      </c>
      <c r="EZ156" s="29" t="str">
        <f>IF(VLOOKUP(BR156,Fundamentus!A:U,15,FALSE)&gt;1,"Bom",IF(VLOOKUP(BR156,Fundamentus!A:U,15,FALSE)&lt;1,"Ruim","n/a"))</f>
        <v>Ruim</v>
      </c>
      <c r="FA156" s="17" t="str">
        <f>IF(VLOOKUP(BR156,Fundamentus!A:U,20,FALSE)&lt;0.5,"Baixa",IF(VLOOKUP(BR156,Fundamentus!A:U,20,FALSE)&lt;1,"Moderada",IF(VLOOKUP(BR156,Fundamentus!A:U,20,FALSE)&lt;2,"Alerta",IF(VLOOKUP(BR156,Fundamentus!A:U,20,FALSE)&gt;2,"Alta","n/a"))))</f>
        <v>Baixa</v>
      </c>
      <c r="FB156" s="10"/>
    </row>
    <row r="157" spans="1:158" s="2" customFormat="1" ht="11.25"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5">
        <v>3.47</v>
      </c>
      <c r="BC157" s="52">
        <v>3.33</v>
      </c>
      <c r="BD157" s="52">
        <v>3.32</v>
      </c>
      <c r="BE157" s="52">
        <v>3.48</v>
      </c>
      <c r="BF157" s="52">
        <v>3.43</v>
      </c>
      <c r="BG157" s="67">
        <v>3.34</v>
      </c>
      <c r="BH157" s="52">
        <v>3.43</v>
      </c>
      <c r="BI157" s="52">
        <v>3.43</v>
      </c>
      <c r="BJ157" s="52">
        <v>3.39</v>
      </c>
      <c r="BK157" s="52">
        <v>3.34</v>
      </c>
      <c r="BL157" s="52">
        <v>3.41</v>
      </c>
      <c r="BM157" s="52">
        <v>3.48</v>
      </c>
      <c r="BN157" s="52">
        <v>3.92</v>
      </c>
      <c r="BO157" s="52">
        <v>3.82</v>
      </c>
      <c r="BP157" s="52">
        <v>3.63</v>
      </c>
      <c r="BQ157" s="52" cm="1">
        <f t="array" aca="1" ref="BQ157" ca="1">_FV(EE157,"Preço")</f>
        <v>3.63</v>
      </c>
      <c r="BR157" s="69" t="s">
        <v>153</v>
      </c>
      <c r="BS157" s="36" cm="1">
        <f t="array" aca="1" ref="BS157" ca="1">_FV(EE157,"Média de volume",TRUE)</f>
        <v>1192410</v>
      </c>
      <c r="BT157" s="36">
        <v>779800</v>
      </c>
      <c r="BU157" s="36" cm="1">
        <f t="array" aca="1" ref="BU157" ca="1">_FV(EE157,"Volume")</f>
        <v>779800</v>
      </c>
      <c r="BV157" s="24" cm="1">
        <f t="array" aca="1" ref="BV157" ca="1">_FV(EE157,"Beta")</f>
        <v>1.2514000000000001</v>
      </c>
      <c r="BW157" s="71" cm="1">
        <f t="array" aca="1" ref="BW157" ca="1">_FV(EE157,"Variação (%)",TRUE)</f>
        <v>1.3966000000000001E-2</v>
      </c>
      <c r="BY157" s="17" cm="1">
        <f t="array" aca="1" ref="BY157" ca="1">_FV(EE157,"Baixo")</f>
        <v>3.53</v>
      </c>
      <c r="BZ157" s="17" cm="1">
        <f t="array" aca="1" ref="BZ157" ca="1">_FV(EE157,"Alto")</f>
        <v>3.65</v>
      </c>
      <c r="CA157" s="24"/>
      <c r="CB157" s="63">
        <f ca="1">SQRT(22.5*(BQ157/VLOOKUP(BR157,Fundamentus!A:U,3,FALSE))*(BQ157/VLOOKUP(BR157,Fundamentus!A:U,4,FALSE)))</f>
        <v>4.899146797582441</v>
      </c>
      <c r="CD157" s="62">
        <f t="shared" ca="1" si="168"/>
        <v>0</v>
      </c>
      <c r="CE157" s="8"/>
      <c r="CF157" s="61">
        <f t="shared" si="169"/>
        <v>2.2400000000000002</v>
      </c>
      <c r="CG157" s="61">
        <f t="shared" si="170"/>
        <v>3.92</v>
      </c>
      <c r="CH157" s="61">
        <f t="shared" si="171"/>
        <v>3.0595588235294113</v>
      </c>
      <c r="CI157" s="14"/>
      <c r="CJ157" s="35">
        <f t="shared" si="154"/>
        <v>3.3363449558130642</v>
      </c>
      <c r="CK157" s="15">
        <f t="shared" si="172"/>
        <v>3.8000000000000114</v>
      </c>
      <c r="CL157" s="35">
        <f t="shared" si="155"/>
        <v>4.2636550441869581</v>
      </c>
      <c r="CN157" s="14"/>
      <c r="CO157" s="17">
        <f t="shared" si="156"/>
        <v>0.92666666666666675</v>
      </c>
      <c r="CP157" s="17">
        <f t="shared" si="157"/>
        <v>1.5833333333333335</v>
      </c>
      <c r="CQ157" s="17">
        <f t="shared" si="158"/>
        <v>2.6066666666666665</v>
      </c>
      <c r="CR157" s="38">
        <f t="shared" si="173"/>
        <v>3.2633333333333332</v>
      </c>
      <c r="CS157" s="17">
        <f t="shared" si="159"/>
        <v>4.2866666666666662</v>
      </c>
      <c r="CT157" s="17">
        <f t="shared" si="160"/>
        <v>4.9433333333333334</v>
      </c>
      <c r="CU157" s="17">
        <f t="shared" si="161"/>
        <v>5.9666666666666659</v>
      </c>
      <c r="CV157" s="2" cm="1">
        <f t="array" aca="1" ref="CV157" ca="1">MAX(_xlfn._xlws.FILTER(CO157:CU157,CO157:CU157&lt;BQ157))</f>
        <v>3.2633333333333332</v>
      </c>
      <c r="CW157" s="2" cm="1">
        <f t="array" aca="1" ref="CW157" ca="1">MIN(_xlfn._xlws.FILTER($CO157:$CU157,$CO157:$CU157&gt;BQ157))</f>
        <v>4.2866666666666662</v>
      </c>
      <c r="CX157" s="16">
        <f t="shared" ca="1" si="175"/>
        <v>0.31358529111338096</v>
      </c>
      <c r="CY157" s="20">
        <f t="shared" ca="1" si="176"/>
        <v>-0.15679264555669048</v>
      </c>
      <c r="CZ157" s="20">
        <f t="shared" ca="1" si="177"/>
        <v>-0.10452843037112698</v>
      </c>
      <c r="DA157" s="20">
        <f t="shared" ca="1" si="178"/>
        <v>-6.2717058222676189E-2</v>
      </c>
      <c r="DB157" s="20">
        <f t="shared" ca="1" si="179"/>
        <v>-3.4842810123708996E-2</v>
      </c>
      <c r="DC157" s="20">
        <f t="shared" ca="1" si="180"/>
        <v>-1.8446193594904764E-2</v>
      </c>
      <c r="DD157" s="20">
        <f t="shared" ca="1" si="181"/>
        <v>-9.5025845791933631E-3</v>
      </c>
      <c r="DE157" s="20">
        <f t="shared" ca="1" si="182"/>
        <v>-4.8243890940520145E-3</v>
      </c>
      <c r="DF157" s="21">
        <f t="shared" ca="1" si="183"/>
        <v>4.8243890940520145E-3</v>
      </c>
      <c r="DG157" s="21">
        <f t="shared" ca="1" si="184"/>
        <v>9.5025845791933631E-3</v>
      </c>
      <c r="DH157" s="21">
        <f t="shared" ca="1" si="185"/>
        <v>1.8446193594904764E-2</v>
      </c>
      <c r="DI157" s="21">
        <f t="shared" ca="1" si="186"/>
        <v>3.4842810123708996E-2</v>
      </c>
      <c r="DJ157" s="21">
        <f t="shared" ca="1" si="187"/>
        <v>6.2717058222676189E-2</v>
      </c>
      <c r="DK157" s="21">
        <f t="shared" ca="1" si="188"/>
        <v>0.10452843037112698</v>
      </c>
      <c r="DL157" s="21">
        <f t="shared" ca="1" si="189"/>
        <v>0.15679264555669048</v>
      </c>
      <c r="DN157" s="16" cm="1">
        <f t="array" aca="1" ref="DN157" ca="1">MAX(_xlfn._xlws.FILTER(CY157:DL157,CY157:DL157&lt;BW157))</f>
        <v>9.5025845791933631E-3</v>
      </c>
      <c r="DO157" s="16" cm="1">
        <f t="array" aca="1" ref="DO157" ca="1">MIN(_xlfn._xlws.FILTER(CY157:DL157,CY157:DL157&gt;BW157))</f>
        <v>1.8446193594904764E-2</v>
      </c>
      <c r="DP157" s="2" cm="1">
        <f t="array" aca="1" ref="DP157" ca="1">_FV(EE157,"Fechamento anterior",TRUE)</f>
        <v>3.58</v>
      </c>
      <c r="DQ157" s="28">
        <f t="shared" ca="1" si="162"/>
        <v>0.49911572161664786</v>
      </c>
      <c r="DR157" s="15">
        <f t="shared" ca="1" si="190"/>
        <v>3.6140192527935122</v>
      </c>
      <c r="DS157" s="15">
        <f t="shared" ca="1" si="191"/>
        <v>3.6460373730697593</v>
      </c>
      <c r="DT157" s="9"/>
      <c r="DU157" s="9"/>
      <c r="DV157" s="9"/>
      <c r="DW157" s="89">
        <v>1.7079911456900729E-2</v>
      </c>
      <c r="DX157" s="89">
        <f t="shared" ca="1" si="163"/>
        <v>8.9436090157114009E-3</v>
      </c>
      <c r="DY157" s="72">
        <f t="shared" ca="1" si="164"/>
        <v>-0.36665189375458829</v>
      </c>
      <c r="DZ157" s="37"/>
      <c r="EA157" s="35">
        <f t="shared" si="174"/>
        <v>0.23182752209347357</v>
      </c>
      <c r="EB157" s="56"/>
      <c r="EC157" s="56"/>
      <c r="EE157" s="2" t="e" vm="159">
        <v>#VALUE!</v>
      </c>
      <c r="EG157" s="10" cm="1">
        <f t="array" aca="1" ref="EG157" ca="1">_FV(EE157,"Ações em circulação",TRUE)</f>
        <v>622672700</v>
      </c>
      <c r="EH157" s="18">
        <f>VLOOKUP(BR157,Fundamentus!A:U,5,FALSE)</f>
        <v>0.16800000000000001</v>
      </c>
      <c r="EI157" s="2">
        <f t="shared" ca="1" si="165"/>
        <v>13454177982.142857</v>
      </c>
      <c r="EJ157" s="17">
        <v>149341375.60178572</v>
      </c>
      <c r="EK157" s="17">
        <f t="shared" ca="1" si="166"/>
        <v>149341375.60178572</v>
      </c>
      <c r="EM157" s="16">
        <f t="shared" ca="1" si="153"/>
        <v>0</v>
      </c>
      <c r="EN157" s="32" t="str">
        <f>IF(VLOOKUP(BR157,Fundamentus!A:U,3,FALSE)&lt;15,"Bom",IF(VLOOKUP(BR157,Fundamentus!A:U,3,FALSE)&gt;15,"Ruim","n/a"))</f>
        <v>Ruim</v>
      </c>
      <c r="EO157" s="28" t="str">
        <f>IF(VLOOKUP(BR157,Fundamentus!A:U,4,FALSE)&lt;1,"Baixo",IF(VLOOKUP(BR157,Fundamentus!A:U,4,FALSE)&lt;1.5,"Moderado",IF(VLOOKUP(BR157,Fundamentus!A:U,4,FALSE)&gt;1.5,"Alto","n/a")))</f>
        <v>Baixo</v>
      </c>
      <c r="EP157" s="17" t="str">
        <f>IF(VLOOKUP(BR157,Fundamentus!A:U,8,FALSE)&lt;0,"Risco elevado",IF(VLOOKUP(BR157,Fundamentus!A:U,8,FALSE)&lt;1,"Saudável",IF(VLOOKUP(BR157,Fundamentus!A:U,8,FALSE)&lt;3,"Estável",IF(VLOOKUP(BR157,Fundamentus!A:U,8,FALSE)&gt;3,"Alerta","n/a"))))</f>
        <v>Estável</v>
      </c>
      <c r="EQ157" s="28" t="str">
        <f t="shared" si="167"/>
        <v>Ruim</v>
      </c>
      <c r="ER157" s="17" t="str">
        <f>IF(VLOOKUP(BR157,Fundamentus!A:U,12,FALSE)&lt;2,"Subvalorizada",IF(VLOOKUP(BR157,Fundamentus!A:U,12,FALSE)&lt;6,"Muita barata",IF(VLOOKUP(BR157,Fundamentus!A:U,12,FALSE)&lt;6,"Barata",IF(VLOOKUP(BR157,Fundamentus!A:U,12,FALSE)&lt;8,"Atrativa",IF(VLOOKUP(BR157,Fundamentus!A:U,12,FALSE)&gt;8,"Supervalorizada","n/a")))))</f>
        <v>Muita barata</v>
      </c>
      <c r="ET157" s="17" t="str">
        <f>IF(VLOOKUP(BR157,Fundamentus!A:U,17,FALSE)&lt;0.1,"Fraco retorno",IF(VLOOKUP(BR157,Fundamentus!A:U,17,FALSE)&gt;0.1,"Bom retorno","n/a"))</f>
        <v>Fraco retorno</v>
      </c>
      <c r="EU157" s="17" t="str">
        <f>IF(VLOOKUP(BR157,Fundamentus!A:U,16,FALSE)&lt;0.1,"Ineficiente",IF(VLOOKUP(BR157,Fundamentus!A:U,16,FALSE)&gt;0.1,"Eficiente","n/a"))</f>
        <v>Ineficiente</v>
      </c>
      <c r="EV157" s="33" t="str">
        <f>IF(VLOOKUP(BR157,Fundamentus!A:U,16,FALSE)&lt;0.1,"Oper. Ineficiente",IF(VLOOKUP(BR157,Fundamentus!A:U,16,FALSE)&gt;0.1,"Oper.Eficiente","n/a"))</f>
        <v>Oper. Ineficiente</v>
      </c>
      <c r="EW157" s="34">
        <f>VLOOKUP(BR157,Fundamentus!A:U,14,FALSE)</f>
        <v>1.11E-2</v>
      </c>
      <c r="EX157" s="17" t="str">
        <f>IF(VLOOKUP(BR157,Fundamentus!A:U,21,FALSE)&lt;0,"Negativo",IF(VLOOKUP(BR157,Fundamentus!A:U,21,FALSE)&lt;0.05,"Fraco",IF(VLOOKUP(BR157,Fundamentus!A:U,21,FALSE)&lt;0.1,"Bom",IF(VLOOKUP(BR157,Fundamentus!A:U,21,FALSE)&gt;0.1,"Muito bom","n/a"))))</f>
        <v>Muito bom</v>
      </c>
      <c r="EZ157" s="29" t="str">
        <f>IF(VLOOKUP(BR157,Fundamentus!A:U,15,FALSE)&gt;1,"Bom",IF(VLOOKUP(BR157,Fundamentus!A:U,15,FALSE)&lt;1,"Ruim","n/a"))</f>
        <v>Bom</v>
      </c>
      <c r="FA157" s="17" t="str">
        <f>IF(VLOOKUP(BR157,Fundamentus!A:U,20,FALSE)&lt;0.5,"Baixa",IF(VLOOKUP(BR157,Fundamentus!A:U,20,FALSE)&lt;1,"Moderada",IF(VLOOKUP(BR157,Fundamentus!A:U,20,FALSE)&lt;2,"Alerta",IF(VLOOKUP(BR157,Fundamentus!A:U,20,FALSE)&gt;2,"Alta","n/a"))))</f>
        <v>Moderada</v>
      </c>
      <c r="FB157" s="10"/>
    </row>
    <row r="158" spans="1:158" s="2" customFormat="1" ht="11.25"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5">
        <v>11.55</v>
      </c>
      <c r="BC158" s="52">
        <v>13.15</v>
      </c>
      <c r="BD158" s="52">
        <v>13.92</v>
      </c>
      <c r="BE158" s="52">
        <v>14.49</v>
      </c>
      <c r="BF158" s="52">
        <v>14.64</v>
      </c>
      <c r="BG158" s="67">
        <v>14.98</v>
      </c>
      <c r="BH158" s="52">
        <v>14.36</v>
      </c>
      <c r="BI158" s="52">
        <v>14.55</v>
      </c>
      <c r="BJ158" s="52">
        <v>15.08</v>
      </c>
      <c r="BK158" s="52">
        <v>14.42</v>
      </c>
      <c r="BL158" s="52">
        <v>14.33</v>
      </c>
      <c r="BM158" s="52">
        <v>14.29</v>
      </c>
      <c r="BN158" s="52">
        <v>14.6</v>
      </c>
      <c r="BO158" s="52">
        <v>15.09</v>
      </c>
      <c r="BP158" s="52">
        <v>15.81</v>
      </c>
      <c r="BQ158" s="52" cm="1">
        <f t="array" aca="1" ref="BQ158" ca="1">_FV(EE158,"Preço")</f>
        <v>15.81</v>
      </c>
      <c r="BR158" s="70" t="s">
        <v>154</v>
      </c>
      <c r="BS158" s="36" cm="1">
        <f t="array" aca="1" ref="BS158" ca="1">_FV(EE158,"Média de volume",TRUE)</f>
        <v>623690</v>
      </c>
      <c r="BT158" s="36">
        <v>1246600</v>
      </c>
      <c r="BU158" s="36" cm="1">
        <f t="array" aca="1" ref="BU158" ca="1">_FV(EE158,"Volume")</f>
        <v>1246600</v>
      </c>
      <c r="BV158" s="24" cm="1">
        <f t="array" aca="1" ref="BV158" ca="1">_FV(EE158,"Beta")</f>
        <v>1.0903</v>
      </c>
      <c r="BW158" s="71" cm="1">
        <f t="array" aca="1" ref="BW158" ca="1">_FV(EE158,"Variação (%)",TRUE)</f>
        <v>3.2658E-2</v>
      </c>
      <c r="BY158" s="17" cm="1">
        <f t="array" aca="1" ref="BY158" ca="1">_FV(EE158,"Baixo")</f>
        <v>15.41</v>
      </c>
      <c r="BZ158" s="17" cm="1">
        <f t="array" aca="1" ref="BZ158" ca="1">_FV(EE158,"Alto")</f>
        <v>16.03</v>
      </c>
      <c r="CA158" s="24"/>
      <c r="CB158" s="63">
        <f ca="1">SQRT(22.5*(BQ158/VLOOKUP(BR158,Fundamentus!A:U,3,FALSE))*(BQ158/VLOOKUP(BR158,Fundamentus!A:U,4,FALSE)))</f>
        <v>8.5118178715395967</v>
      </c>
      <c r="CD158" s="62">
        <f t="shared" ca="1" si="168"/>
        <v>0</v>
      </c>
      <c r="CE158" s="8"/>
      <c r="CF158" s="61">
        <f t="shared" si="169"/>
        <v>8.59</v>
      </c>
      <c r="CG158" s="61">
        <f t="shared" si="170"/>
        <v>15.81</v>
      </c>
      <c r="CH158" s="61">
        <f t="shared" si="171"/>
        <v>11.377941176470586</v>
      </c>
      <c r="CI158" s="14"/>
      <c r="CJ158" s="35">
        <f t="shared" si="154"/>
        <v>15.625589185589943</v>
      </c>
      <c r="CK158" s="15">
        <f t="shared" si="172"/>
        <v>16.210000000000491</v>
      </c>
      <c r="CL158" s="35">
        <f t="shared" si="155"/>
        <v>16.794410814411041</v>
      </c>
      <c r="CN158" s="14"/>
      <c r="CO158" s="17">
        <f t="shared" si="156"/>
        <v>3.7766666666666673</v>
      </c>
      <c r="CP158" s="17">
        <f t="shared" si="157"/>
        <v>6.1833333333333336</v>
      </c>
      <c r="CQ158" s="17">
        <f t="shared" si="158"/>
        <v>10.996666666666668</v>
      </c>
      <c r="CR158" s="38">
        <f t="shared" si="173"/>
        <v>13.403333333333334</v>
      </c>
      <c r="CS158" s="17">
        <f t="shared" si="159"/>
        <v>18.216666666666669</v>
      </c>
      <c r="CT158" s="17">
        <f t="shared" si="160"/>
        <v>20.623333333333335</v>
      </c>
      <c r="CU158" s="17">
        <f t="shared" si="161"/>
        <v>25.436666666666667</v>
      </c>
      <c r="CV158" s="2" cm="1">
        <f t="array" aca="1" ref="CV158" ca="1">MAX(_xlfn._xlws.FILTER(CO158:CU158,CO158:CU158&lt;BQ158))</f>
        <v>13.403333333333334</v>
      </c>
      <c r="CW158" s="2" cm="1">
        <f t="array" aca="1" ref="CW158" ca="1">MIN(_xlfn._xlws.FILTER($CO158:$CU158,$CO158:$CU158&gt;BQ158))</f>
        <v>18.216666666666669</v>
      </c>
      <c r="CX158" s="16">
        <f t="shared" ca="1" si="175"/>
        <v>0.35911464809748828</v>
      </c>
      <c r="CY158" s="20">
        <f t="shared" ca="1" si="176"/>
        <v>-0.17955732404874414</v>
      </c>
      <c r="CZ158" s="20">
        <f t="shared" ca="1" si="177"/>
        <v>-0.11970488269916275</v>
      </c>
      <c r="DA158" s="20">
        <f t="shared" ca="1" si="178"/>
        <v>-7.1822929619497655E-2</v>
      </c>
      <c r="DB158" s="20">
        <f t="shared" ca="1" si="179"/>
        <v>-3.9901627566387585E-2</v>
      </c>
      <c r="DC158" s="20">
        <f t="shared" ca="1" si="180"/>
        <v>-2.1124391064558132E-2</v>
      </c>
      <c r="DD158" s="20">
        <f t="shared" ca="1" si="181"/>
        <v>-1.0882262063560251E-2</v>
      </c>
      <c r="DE158" s="20">
        <f t="shared" ca="1" si="182"/>
        <v>-5.5248407399613583E-3</v>
      </c>
      <c r="DF158" s="21">
        <f t="shared" ca="1" si="183"/>
        <v>5.5248407399613583E-3</v>
      </c>
      <c r="DG158" s="21">
        <f t="shared" ca="1" si="184"/>
        <v>1.0882262063560251E-2</v>
      </c>
      <c r="DH158" s="21">
        <f t="shared" ca="1" si="185"/>
        <v>2.1124391064558132E-2</v>
      </c>
      <c r="DI158" s="21">
        <f t="shared" ca="1" si="186"/>
        <v>3.9901627566387585E-2</v>
      </c>
      <c r="DJ158" s="21">
        <f t="shared" ca="1" si="187"/>
        <v>7.1822929619497655E-2</v>
      </c>
      <c r="DK158" s="21">
        <f t="shared" ca="1" si="188"/>
        <v>0.11970488269916275</v>
      </c>
      <c r="DL158" s="21">
        <f t="shared" ca="1" si="189"/>
        <v>0.17955732404874414</v>
      </c>
      <c r="DN158" s="16" cm="1">
        <f t="array" aca="1" ref="DN158" ca="1">MAX(_xlfn._xlws.FILTER(CY158:DL158,CY158:DL158&lt;BW158))</f>
        <v>2.1124391064558132E-2</v>
      </c>
      <c r="DO158" s="16" cm="1">
        <f t="array" aca="1" ref="DO158" ca="1">MIN(_xlfn._xlws.FILTER(CY158:DL158,CY158:DL158&gt;BW158))</f>
        <v>3.9901627566387585E-2</v>
      </c>
      <c r="DP158" s="2" cm="1">
        <f t="array" aca="1" ref="DP158" ca="1">_FV(EE158,"Fechamento anterior",TRUE)</f>
        <v>15.31</v>
      </c>
      <c r="DQ158" s="28">
        <f t="shared" ca="1" si="162"/>
        <v>0.61425450658686509</v>
      </c>
      <c r="DR158" s="15">
        <f t="shared" ca="1" si="190"/>
        <v>15.633414427198385</v>
      </c>
      <c r="DS158" s="15">
        <f t="shared" ca="1" si="191"/>
        <v>15.920893918041394</v>
      </c>
      <c r="DT158" s="9"/>
      <c r="DU158" s="9"/>
      <c r="DV158" s="9"/>
      <c r="DW158" s="89">
        <v>9.5632315814688507E-3</v>
      </c>
      <c r="DX158" s="89">
        <f t="shared" ca="1" si="163"/>
        <v>1.8777236501829452E-2</v>
      </c>
      <c r="DY158" s="72">
        <f t="shared" ca="1" si="164"/>
        <v>-0.68445003093233492</v>
      </c>
      <c r="DZ158" s="37"/>
      <c r="EA158" s="35">
        <f t="shared" si="174"/>
        <v>0.2922054072052741</v>
      </c>
      <c r="EB158" s="56"/>
      <c r="EC158" s="56"/>
      <c r="EE158" s="2" t="e" vm="160">
        <v>#VALUE!</v>
      </c>
      <c r="EG158" s="10" cm="1">
        <f t="array" aca="1" ref="EG158" ca="1">_FV(EE158,"Ações em circulação",TRUE)</f>
        <v>65492860</v>
      </c>
      <c r="EH158" s="18">
        <f>VLOOKUP(BR158,Fundamentus!A:U,5,FALSE)</f>
        <v>2.4660000000000002</v>
      </c>
      <c r="EI158" s="2">
        <f t="shared" ca="1" si="165"/>
        <v>419887314.11192214</v>
      </c>
      <c r="EJ158" s="17">
        <v>60043885.918004863</v>
      </c>
      <c r="EK158" s="17">
        <f t="shared" ca="1" si="166"/>
        <v>60043885.918004863</v>
      </c>
      <c r="EM158" s="16">
        <f t="shared" ca="1" si="153"/>
        <v>0</v>
      </c>
      <c r="EN158" s="32" t="str">
        <f>IF(VLOOKUP(BR158,Fundamentus!A:U,3,FALSE)&lt;15,"Bom",IF(VLOOKUP(BR158,Fundamentus!A:U,3,FALSE)&gt;15,"Ruim","n/a"))</f>
        <v>Ruim</v>
      </c>
      <c r="EO158" s="28" t="str">
        <f>IF(VLOOKUP(BR158,Fundamentus!A:U,4,FALSE)&lt;1,"Baixo",IF(VLOOKUP(BR158,Fundamentus!A:U,4,FALSE)&lt;1.5,"Moderado",IF(VLOOKUP(BR158,Fundamentus!A:U,4,FALSE)&gt;1.5,"Alto","n/a")))</f>
        <v>Alto</v>
      </c>
      <c r="EP158" s="17" t="str">
        <f>IF(VLOOKUP(BR158,Fundamentus!A:U,8,FALSE)&lt;0,"Risco elevado",IF(VLOOKUP(BR158,Fundamentus!A:U,8,FALSE)&lt;1,"Saudável",IF(VLOOKUP(BR158,Fundamentus!A:U,8,FALSE)&lt;3,"Estável",IF(VLOOKUP(BR158,Fundamentus!A:U,8,FALSE)&gt;3,"Alerta","n/a"))))</f>
        <v>Alerta</v>
      </c>
      <c r="EQ158" s="28" t="str">
        <f t="shared" si="167"/>
        <v>Bom</v>
      </c>
      <c r="ER158" s="17" t="str">
        <f>IF(VLOOKUP(BR158,Fundamentus!A:U,12,FALSE)&lt;2,"Subvalorizada",IF(VLOOKUP(BR158,Fundamentus!A:U,12,FALSE)&lt;6,"Muita barata",IF(VLOOKUP(BR158,Fundamentus!A:U,12,FALSE)&lt;6,"Barata",IF(VLOOKUP(BR158,Fundamentus!A:U,12,FALSE)&lt;8,"Atrativa",IF(VLOOKUP(BR158,Fundamentus!A:U,12,FALSE)&gt;8,"Supervalorizada","n/a")))))</f>
        <v>Supervalorizada</v>
      </c>
      <c r="ET158" s="17" t="str">
        <f>IF(VLOOKUP(BR158,Fundamentus!A:U,17,FALSE)&lt;0.1,"Fraco retorno",IF(VLOOKUP(BR158,Fundamentus!A:U,17,FALSE)&gt;0.1,"Bom retorno","n/a"))</f>
        <v>Bom retorno</v>
      </c>
      <c r="EU158" s="17" t="str">
        <f>IF(VLOOKUP(BR158,Fundamentus!A:U,16,FALSE)&lt;0.1,"Ineficiente",IF(VLOOKUP(BR158,Fundamentus!A:U,16,FALSE)&gt;0.1,"Eficiente","n/a"))</f>
        <v>Eficiente</v>
      </c>
      <c r="EV158" s="33" t="str">
        <f>IF(VLOOKUP(BR158,Fundamentus!A:U,16,FALSE)&lt;0.1,"Oper. Ineficiente",IF(VLOOKUP(BR158,Fundamentus!A:U,16,FALSE)&gt;0.1,"Oper.Eficiente","n/a"))</f>
        <v>Oper.Eficiente</v>
      </c>
      <c r="EW158" s="34">
        <f>VLOOKUP(BR158,Fundamentus!A:U,14,FALSE)</f>
        <v>0.14299999999999999</v>
      </c>
      <c r="EX158" s="17" t="str">
        <f>IF(VLOOKUP(BR158,Fundamentus!A:U,21,FALSE)&lt;0,"Negativo",IF(VLOOKUP(BR158,Fundamentus!A:U,21,FALSE)&lt;0.05,"Fraco",IF(VLOOKUP(BR158,Fundamentus!A:U,21,FALSE)&lt;0.1,"Bom",IF(VLOOKUP(BR158,Fundamentus!A:U,21,FALSE)&gt;0.1,"Muito bom","n/a"))))</f>
        <v>Muito bom</v>
      </c>
      <c r="EZ158" s="29" t="str">
        <f>IF(VLOOKUP(BR158,Fundamentus!A:U,15,FALSE)&gt;1,"Bom",IF(VLOOKUP(BR158,Fundamentus!A:U,15,FALSE)&lt;1,"Ruim","n/a"))</f>
        <v>Bom</v>
      </c>
      <c r="FA158" s="17" t="str">
        <f>IF(VLOOKUP(BR158,Fundamentus!A:U,20,FALSE)&lt;0.5,"Baixa",IF(VLOOKUP(BR158,Fundamentus!A:U,20,FALSE)&lt;1,"Moderada",IF(VLOOKUP(BR158,Fundamentus!A:U,20,FALSE)&lt;2,"Alerta",IF(VLOOKUP(BR158,Fundamentus!A:U,20,FALSE)&gt;2,"Alta","n/a"))))</f>
        <v>Baixa</v>
      </c>
      <c r="FB158" s="10"/>
    </row>
    <row r="159" spans="1:158" s="2" customFormat="1" ht="11.25"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5">
        <v>14.08</v>
      </c>
      <c r="BC159" s="52">
        <v>14.5</v>
      </c>
      <c r="BD159" s="52">
        <v>14.17</v>
      </c>
      <c r="BE159" s="52">
        <v>13.97</v>
      </c>
      <c r="BF159" s="52">
        <v>13.85</v>
      </c>
      <c r="BG159" s="67">
        <v>13.57</v>
      </c>
      <c r="BH159" s="52">
        <v>13.75</v>
      </c>
      <c r="BI159" s="52">
        <v>13.51</v>
      </c>
      <c r="BJ159" s="52">
        <v>13.9</v>
      </c>
      <c r="BK159" s="52">
        <v>13.28</v>
      </c>
      <c r="BL159" s="52">
        <v>13.69</v>
      </c>
      <c r="BM159" s="52">
        <v>13.67</v>
      </c>
      <c r="BN159" s="52">
        <v>13.53</v>
      </c>
      <c r="BO159" s="52">
        <v>14.11</v>
      </c>
      <c r="BP159" s="52">
        <v>14.08</v>
      </c>
      <c r="BQ159" s="52" cm="1">
        <f t="array" aca="1" ref="BQ159" ca="1">_FV(EE159,"Preço")</f>
        <v>14.08</v>
      </c>
      <c r="BR159" s="69" t="s">
        <v>155</v>
      </c>
      <c r="BS159" s="36" cm="1">
        <f t="array" aca="1" ref="BS159" ca="1">_FV(EE159,"Média de volume",TRUE)</f>
        <v>6131990</v>
      </c>
      <c r="BT159" s="36">
        <v>6330000</v>
      </c>
      <c r="BU159" s="36" cm="1">
        <f t="array" aca="1" ref="BU159" ca="1">_FV(EE159,"Volume")</f>
        <v>6330000</v>
      </c>
      <c r="BV159" s="24" cm="1">
        <f t="array" aca="1" ref="BV159" ca="1">_FV(EE159,"Beta")</f>
        <v>0.86480000000000001</v>
      </c>
      <c r="BW159" s="71" cm="1">
        <f t="array" aca="1" ref="BW159" ca="1">_FV(EE159,"Variação (%)",TRUE)</f>
        <v>-4.947E-3</v>
      </c>
      <c r="BY159" s="17" cm="1">
        <f t="array" aca="1" ref="BY159" ca="1">_FV(EE159,"Baixo")</f>
        <v>13.99</v>
      </c>
      <c r="BZ159" s="17" cm="1">
        <f t="array" aca="1" ref="BZ159" ca="1">_FV(EE159,"Alto")</f>
        <v>14.25</v>
      </c>
      <c r="CA159" s="24"/>
      <c r="CB159" s="63">
        <f ca="1">SQRT(22.5*(BQ159/VLOOKUP(BR159,Fundamentus!A:U,3,FALSE))*(BQ159/VLOOKUP(BR159,Fundamentus!A:U,4,FALSE)))</f>
        <v>7.5157667624286244</v>
      </c>
      <c r="CD159" s="62">
        <f t="shared" ca="1" si="168"/>
        <v>0</v>
      </c>
      <c r="CE159" s="8"/>
      <c r="CF159" s="61">
        <f t="shared" si="169"/>
        <v>10.07</v>
      </c>
      <c r="CG159" s="61">
        <f t="shared" si="170"/>
        <v>14.5</v>
      </c>
      <c r="CH159" s="61">
        <f t="shared" si="171"/>
        <v>12.792058823529414</v>
      </c>
      <c r="CI159" s="14"/>
      <c r="CJ159" s="35">
        <f t="shared" si="154"/>
        <v>13.75983706161932</v>
      </c>
      <c r="CK159" s="15">
        <f t="shared" si="172"/>
        <v>14.299999999999955</v>
      </c>
      <c r="CL159" s="35">
        <f t="shared" si="155"/>
        <v>14.840162938380589</v>
      </c>
      <c r="CN159" s="14"/>
      <c r="CO159" s="17">
        <f t="shared" si="156"/>
        <v>6.836666666666666</v>
      </c>
      <c r="CP159" s="17">
        <f t="shared" si="157"/>
        <v>8.4533333333333331</v>
      </c>
      <c r="CQ159" s="17">
        <f t="shared" si="158"/>
        <v>11.266666666666666</v>
      </c>
      <c r="CR159" s="38">
        <f t="shared" si="173"/>
        <v>12.883333333333333</v>
      </c>
      <c r="CS159" s="17">
        <f t="shared" si="159"/>
        <v>15.696666666666665</v>
      </c>
      <c r="CT159" s="17">
        <f t="shared" si="160"/>
        <v>17.313333333333333</v>
      </c>
      <c r="CU159" s="17">
        <f t="shared" si="161"/>
        <v>20.126666666666665</v>
      </c>
      <c r="CV159" s="2" cm="1">
        <f t="array" aca="1" ref="CV159" ca="1">MAX(_xlfn._xlws.FILTER(CO159:CU159,CO159:CU159&lt;BQ159))</f>
        <v>12.883333333333333</v>
      </c>
      <c r="CW159" s="2" cm="1">
        <f t="array" aca="1" ref="CW159" ca="1">MIN(_xlfn._xlws.FILTER($CO159:$CU159,$CO159:$CU159&gt;BQ159))</f>
        <v>15.696666666666665</v>
      </c>
      <c r="CX159" s="16">
        <f t="shared" ca="1" si="175"/>
        <v>0.21836998706338928</v>
      </c>
      <c r="CY159" s="20">
        <f t="shared" ca="1" si="176"/>
        <v>-0.10918499353169464</v>
      </c>
      <c r="CZ159" s="20">
        <f t="shared" ca="1" si="177"/>
        <v>-7.2789995687796427E-2</v>
      </c>
      <c r="DA159" s="20">
        <f t="shared" ca="1" si="178"/>
        <v>-4.3673997412677856E-2</v>
      </c>
      <c r="DB159" s="20">
        <f t="shared" ca="1" si="179"/>
        <v>-2.4263331895932144E-2</v>
      </c>
      <c r="DC159" s="20">
        <f t="shared" ca="1" si="180"/>
        <v>-1.2845293356669958E-2</v>
      </c>
      <c r="DD159" s="20">
        <f t="shared" ca="1" si="181"/>
        <v>-6.6172723352542206E-3</v>
      </c>
      <c r="DE159" s="20">
        <f t="shared" ca="1" si="182"/>
        <v>-3.3595382625136814E-3</v>
      </c>
      <c r="DF159" s="21">
        <f t="shared" ca="1" si="183"/>
        <v>3.3595382625136814E-3</v>
      </c>
      <c r="DG159" s="21">
        <f t="shared" ca="1" si="184"/>
        <v>6.6172723352542206E-3</v>
      </c>
      <c r="DH159" s="21">
        <f t="shared" ca="1" si="185"/>
        <v>1.2845293356669958E-2</v>
      </c>
      <c r="DI159" s="21">
        <f t="shared" ca="1" si="186"/>
        <v>2.4263331895932144E-2</v>
      </c>
      <c r="DJ159" s="21">
        <f t="shared" ca="1" si="187"/>
        <v>4.3673997412677856E-2</v>
      </c>
      <c r="DK159" s="21">
        <f t="shared" ca="1" si="188"/>
        <v>7.2789995687796427E-2</v>
      </c>
      <c r="DL159" s="21">
        <f t="shared" ca="1" si="189"/>
        <v>0.10918499353169464</v>
      </c>
      <c r="DN159" s="16" cm="1">
        <f t="array" aca="1" ref="DN159" ca="1">MAX(_xlfn._xlws.FILTER(CY159:DL159,CY159:DL159&lt;BW159))</f>
        <v>-6.6172723352542206E-3</v>
      </c>
      <c r="DO159" s="16" cm="1">
        <f t="array" aca="1" ref="DO159" ca="1">MIN(_xlfn._xlws.FILTER(CY159:DL159,CY159:DL159&gt;BW159))</f>
        <v>-3.3595382625136814E-3</v>
      </c>
      <c r="DP159" s="2" cm="1">
        <f t="array" aca="1" ref="DP159" ca="1">_FV(EE159,"Fechamento anterior",TRUE)</f>
        <v>14.15</v>
      </c>
      <c r="DQ159" s="28">
        <f t="shared" ca="1" si="162"/>
        <v>0.51271093082745722</v>
      </c>
      <c r="DR159" s="15">
        <f t="shared" ca="1" si="190"/>
        <v>14.056365596456153</v>
      </c>
      <c r="DS159" s="15">
        <f t="shared" ca="1" si="191"/>
        <v>14.102462533585431</v>
      </c>
      <c r="DT159" s="9"/>
      <c r="DU159" s="9"/>
      <c r="DV159" s="9"/>
      <c r="DW159" s="89">
        <v>1.1449736737162977E-2</v>
      </c>
      <c r="DX159" s="89">
        <f t="shared" ca="1" si="163"/>
        <v>3.2577340727405393E-3</v>
      </c>
      <c r="DY159" s="72">
        <f t="shared" ca="1" si="164"/>
        <v>-0.40728451429766194</v>
      </c>
      <c r="DZ159" s="37"/>
      <c r="EA159" s="35">
        <f t="shared" si="174"/>
        <v>0.27008146919031678</v>
      </c>
      <c r="EB159" s="56"/>
      <c r="EC159" s="56"/>
      <c r="EE159" s="2" t="e" vm="161">
        <v>#VALUE!</v>
      </c>
      <c r="EG159" s="10" cm="1">
        <f t="array" aca="1" ref="EG159" ca="1">_FV(EE159,"Ações em circulação",TRUE)</f>
        <v>1932592000</v>
      </c>
      <c r="EH159" s="18">
        <f>VLOOKUP(BR159,Fundamentus!A:U,5,FALSE)</f>
        <v>1.9630000000000001</v>
      </c>
      <c r="EI159" s="2">
        <f t="shared" ca="1" si="165"/>
        <v>13861892694.854813</v>
      </c>
      <c r="EJ159" s="17">
        <v>955084406.67549658</v>
      </c>
      <c r="EK159" s="17">
        <f t="shared" ca="1" si="166"/>
        <v>955084406.67549658</v>
      </c>
      <c r="EM159" s="16">
        <f t="shared" ca="1" si="153"/>
        <v>0</v>
      </c>
      <c r="EN159" s="32" t="str">
        <f>IF(VLOOKUP(BR159,Fundamentus!A:U,3,FALSE)&lt;15,"Bom",IF(VLOOKUP(BR159,Fundamentus!A:U,3,FALSE)&gt;15,"Ruim","n/a"))</f>
        <v>Ruim</v>
      </c>
      <c r="EO159" s="28" t="str">
        <f>IF(VLOOKUP(BR159,Fundamentus!A:U,4,FALSE)&lt;1,"Baixo",IF(VLOOKUP(BR159,Fundamentus!A:U,4,FALSE)&lt;1.5,"Moderado",IF(VLOOKUP(BR159,Fundamentus!A:U,4,FALSE)&gt;1.5,"Alto","n/a")))</f>
        <v>Moderado</v>
      </c>
      <c r="EP159" s="17" t="str">
        <f>IF(VLOOKUP(BR159,Fundamentus!A:U,8,FALSE)&lt;0,"Risco elevado",IF(VLOOKUP(BR159,Fundamentus!A:U,8,FALSE)&lt;1,"Saudável",IF(VLOOKUP(BR159,Fundamentus!A:U,8,FALSE)&lt;3,"Estável",IF(VLOOKUP(BR159,Fundamentus!A:U,8,FALSE)&gt;3,"Alerta","n/a"))))</f>
        <v>Alerta</v>
      </c>
      <c r="EQ159" s="28" t="str">
        <f t="shared" si="167"/>
        <v>Bom</v>
      </c>
      <c r="ER159" s="17" t="str">
        <f>IF(VLOOKUP(BR159,Fundamentus!A:U,12,FALSE)&lt;2,"Subvalorizada",IF(VLOOKUP(BR159,Fundamentus!A:U,12,FALSE)&lt;6,"Muita barata",IF(VLOOKUP(BR159,Fundamentus!A:U,12,FALSE)&lt;6,"Barata",IF(VLOOKUP(BR159,Fundamentus!A:U,12,FALSE)&lt;8,"Atrativa",IF(VLOOKUP(BR159,Fundamentus!A:U,12,FALSE)&gt;8,"Supervalorizada","n/a")))))</f>
        <v>Supervalorizada</v>
      </c>
      <c r="ET159" s="17" t="str">
        <f>IF(VLOOKUP(BR159,Fundamentus!A:U,17,FALSE)&lt;0.1,"Fraco retorno",IF(VLOOKUP(BR159,Fundamentus!A:U,17,FALSE)&gt;0.1,"Bom retorno","n/a"))</f>
        <v>Fraco retorno</v>
      </c>
      <c r="EU159" s="17" t="str">
        <f>IF(VLOOKUP(BR159,Fundamentus!A:U,16,FALSE)&lt;0.1,"Ineficiente",IF(VLOOKUP(BR159,Fundamentus!A:U,16,FALSE)&gt;0.1,"Eficiente","n/a"))</f>
        <v>Ineficiente</v>
      </c>
      <c r="EV159" s="33" t="str">
        <f>IF(VLOOKUP(BR159,Fundamentus!A:U,16,FALSE)&lt;0.1,"Oper. Ineficiente",IF(VLOOKUP(BR159,Fundamentus!A:U,16,FALSE)&gt;0.1,"Oper.Eficiente","n/a"))</f>
        <v>Oper. Ineficiente</v>
      </c>
      <c r="EW159" s="34">
        <f>VLOOKUP(BR159,Fundamentus!A:U,14,FALSE)</f>
        <v>6.8900000000000003E-2</v>
      </c>
      <c r="EX159" s="17" t="str">
        <f>IF(VLOOKUP(BR159,Fundamentus!A:U,21,FALSE)&lt;0,"Negativo",IF(VLOOKUP(BR159,Fundamentus!A:U,21,FALSE)&lt;0.05,"Fraco",IF(VLOOKUP(BR159,Fundamentus!A:U,21,FALSE)&lt;0.1,"Bom",IF(VLOOKUP(BR159,Fundamentus!A:U,21,FALSE)&gt;0.1,"Muito bom","n/a"))))</f>
        <v>Muito bom</v>
      </c>
      <c r="EZ159" s="29" t="str">
        <f>IF(VLOOKUP(BR159,Fundamentus!A:U,15,FALSE)&gt;1,"Bom",IF(VLOOKUP(BR159,Fundamentus!A:U,15,FALSE)&lt;1,"Ruim","n/a"))</f>
        <v>Bom</v>
      </c>
      <c r="FA159" s="17" t="str">
        <f>IF(VLOOKUP(BR159,Fundamentus!A:U,20,FALSE)&lt;0.5,"Baixa",IF(VLOOKUP(BR159,Fundamentus!A:U,20,FALSE)&lt;1,"Moderada",IF(VLOOKUP(BR159,Fundamentus!A:U,20,FALSE)&lt;2,"Alerta",IF(VLOOKUP(BR159,Fundamentus!A:U,20,FALSE)&gt;2,"Alta","n/a"))))</f>
        <v>Alerta</v>
      </c>
      <c r="FB159" s="10"/>
    </row>
    <row r="160" spans="1:158" s="2" customFormat="1" ht="11.25"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5">
        <v>5</v>
      </c>
      <c r="BC160" s="52">
        <v>5.55</v>
      </c>
      <c r="BD160" s="52">
        <v>6.26</v>
      </c>
      <c r="BE160" s="52">
        <v>6.2</v>
      </c>
      <c r="BF160" s="52">
        <v>6.78</v>
      </c>
      <c r="BG160" s="67">
        <v>7.02</v>
      </c>
      <c r="BH160" s="52">
        <v>7.19</v>
      </c>
      <c r="BI160" s="52">
        <v>6.83</v>
      </c>
      <c r="BJ160" s="52">
        <v>6.58</v>
      </c>
      <c r="BK160" s="52">
        <v>5.63</v>
      </c>
      <c r="BL160" s="52">
        <v>5.87</v>
      </c>
      <c r="BM160" s="52">
        <v>6.05</v>
      </c>
      <c r="BN160" s="52">
        <v>5.91</v>
      </c>
      <c r="BO160" s="52">
        <v>6.64</v>
      </c>
      <c r="BP160" s="52">
        <v>6.1</v>
      </c>
      <c r="BQ160" s="52" cm="1">
        <f t="array" aca="1" ref="BQ160" ca="1">_FV(EE160,"Preço")</f>
        <v>6.1</v>
      </c>
      <c r="BR160" s="69" t="s">
        <v>156</v>
      </c>
      <c r="BS160" s="36" cm="1">
        <f t="array" aca="1" ref="BS160" ca="1">_FV(EE160,"Média de volume",TRUE)</f>
        <v>1848900</v>
      </c>
      <c r="BT160" s="36">
        <v>3004000</v>
      </c>
      <c r="BU160" s="36" cm="1">
        <f t="array" aca="1" ref="BU160" ca="1">_FV(EE160,"Volume")</f>
        <v>3004000</v>
      </c>
      <c r="BV160" s="24" cm="1">
        <f t="array" aca="1" ref="BV160" ca="1">_FV(EE160,"Beta")</f>
        <v>2.1694</v>
      </c>
      <c r="BW160" s="71" cm="1">
        <f t="array" aca="1" ref="BW160" ca="1">_FV(EE160,"Variação (%)",TRUE)</f>
        <v>-0.12857100000000002</v>
      </c>
      <c r="BY160" s="17" cm="1">
        <f t="array" aca="1" ref="BY160" ca="1">_FV(EE160,"Baixo")</f>
        <v>5.99</v>
      </c>
      <c r="BZ160" s="17" cm="1">
        <f t="array" aca="1" ref="BZ160" ca="1">_FV(EE160,"Alto")</f>
        <v>7.08</v>
      </c>
      <c r="CA160" s="24"/>
      <c r="CB160" s="63">
        <f ca="1">SQRT(22.5*(BQ160/VLOOKUP(BR160,Fundamentus!A:U,3,FALSE))*(BQ160/VLOOKUP(BR160,Fundamentus!A:U,4,FALSE)))</f>
        <v>46.362555162339802</v>
      </c>
      <c r="CD160" s="62">
        <f t="shared" ca="1" si="168"/>
        <v>0</v>
      </c>
      <c r="CE160" s="8"/>
      <c r="CF160" s="61">
        <f t="shared" si="169"/>
        <v>3.79</v>
      </c>
      <c r="CG160" s="61">
        <f t="shared" si="170"/>
        <v>8.0500000000000007</v>
      </c>
      <c r="CH160" s="61">
        <f t="shared" si="171"/>
        <v>5.2642647058823524</v>
      </c>
      <c r="CI160" s="14"/>
      <c r="CJ160" s="35">
        <f t="shared" si="154"/>
        <v>5.718538618988358</v>
      </c>
      <c r="CK160" s="15">
        <f t="shared" si="172"/>
        <v>6.3949999999998681</v>
      </c>
      <c r="CL160" s="35">
        <f t="shared" si="155"/>
        <v>7.0714613810113782</v>
      </c>
      <c r="CN160" s="14"/>
      <c r="CO160" s="17">
        <f t="shared" si="156"/>
        <v>-0.35000000000000231</v>
      </c>
      <c r="CP160" s="17">
        <f t="shared" si="157"/>
        <v>1.7199999999999989</v>
      </c>
      <c r="CQ160" s="17">
        <f t="shared" si="158"/>
        <v>3.9099999999999984</v>
      </c>
      <c r="CR160" s="38">
        <f t="shared" si="173"/>
        <v>5.9799999999999995</v>
      </c>
      <c r="CS160" s="17">
        <f t="shared" si="159"/>
        <v>8.1699999999999982</v>
      </c>
      <c r="CT160" s="17">
        <f t="shared" si="160"/>
        <v>10.24</v>
      </c>
      <c r="CU160" s="17">
        <f t="shared" si="161"/>
        <v>12.43</v>
      </c>
      <c r="CV160" s="2" cm="1">
        <f t="array" aca="1" ref="CV160" ca="1">MAX(_xlfn._xlws.FILTER(CO160:CU160,CO160:CU160&lt;BQ160))</f>
        <v>5.9799999999999995</v>
      </c>
      <c r="CW160" s="2" cm="1">
        <f t="array" aca="1" ref="CW160" ca="1">MIN(_xlfn._xlws.FILTER($CO160:$CU160,$CO160:$CU160&gt;BQ160))</f>
        <v>8.1699999999999982</v>
      </c>
      <c r="CX160" s="16">
        <f t="shared" ca="1" si="175"/>
        <v>0.36622073578595304</v>
      </c>
      <c r="CY160" s="20">
        <f t="shared" ca="1" si="176"/>
        <v>-0.18311036789297652</v>
      </c>
      <c r="CZ160" s="20">
        <f t="shared" ca="1" si="177"/>
        <v>-0.12207357859531769</v>
      </c>
      <c r="DA160" s="20">
        <f t="shared" ca="1" si="178"/>
        <v>-7.3244147157190603E-2</v>
      </c>
      <c r="DB160" s="20">
        <f t="shared" ca="1" si="179"/>
        <v>-4.0691192865105891E-2</v>
      </c>
      <c r="DC160" s="20">
        <f t="shared" ca="1" si="180"/>
        <v>-2.1542396222703122E-2</v>
      </c>
      <c r="DD160" s="20">
        <f t="shared" ca="1" si="181"/>
        <v>-1.1097598054119789E-2</v>
      </c>
      <c r="DE160" s="20">
        <f t="shared" ca="1" si="182"/>
        <v>-5.6341651659377393E-3</v>
      </c>
      <c r="DF160" s="21">
        <f t="shared" ca="1" si="183"/>
        <v>5.6341651659377393E-3</v>
      </c>
      <c r="DG160" s="21">
        <f t="shared" ca="1" si="184"/>
        <v>1.1097598054119789E-2</v>
      </c>
      <c r="DH160" s="21">
        <f t="shared" ca="1" si="185"/>
        <v>2.1542396222703122E-2</v>
      </c>
      <c r="DI160" s="21">
        <f t="shared" ca="1" si="186"/>
        <v>4.0691192865105891E-2</v>
      </c>
      <c r="DJ160" s="21">
        <f t="shared" ca="1" si="187"/>
        <v>7.3244147157190603E-2</v>
      </c>
      <c r="DK160" s="21">
        <f t="shared" ca="1" si="188"/>
        <v>0.12207357859531769</v>
      </c>
      <c r="DL160" s="21">
        <f t="shared" ca="1" si="189"/>
        <v>0.18311036789297652</v>
      </c>
      <c r="DN160" s="16" cm="1">
        <f t="array" aca="1" ref="DN160" ca="1">MAX(_xlfn._xlws.FILTER(CY160:DL160,CY160:DL160&lt;BW160))</f>
        <v>-0.18311036789297652</v>
      </c>
      <c r="DO160" s="16" cm="1">
        <f t="array" aca="1" ref="DO160" ca="1">MIN(_xlfn._xlws.FILTER(CY160:DL160,CY160:DL160&gt;BW160))</f>
        <v>-0.12207357859531769</v>
      </c>
      <c r="DP160" s="2" cm="1">
        <f t="array" aca="1" ref="DP160" ca="1">_FV(EE160,"Fechamento anterior",TRUE)</f>
        <v>7</v>
      </c>
      <c r="DQ160" s="28">
        <f t="shared" ca="1" si="162"/>
        <v>0.89354207436399158</v>
      </c>
      <c r="DR160" s="15">
        <f t="shared" ca="1" si="190"/>
        <v>5.7182274247491645</v>
      </c>
      <c r="DS160" s="15">
        <f t="shared" ca="1" si="191"/>
        <v>6.1454849498327757</v>
      </c>
      <c r="DT160" s="9"/>
      <c r="DU160" s="9"/>
      <c r="DV160" s="9"/>
      <c r="DW160" s="89">
        <v>2.0117137764196592E-2</v>
      </c>
      <c r="DX160" s="89">
        <f t="shared" ca="1" si="163"/>
        <v>6.1036789297658836E-2</v>
      </c>
      <c r="DY160" s="72">
        <f t="shared" ca="1" si="164"/>
        <v>-0.43609289204175428</v>
      </c>
      <c r="DZ160" s="37"/>
      <c r="EA160" s="35">
        <f t="shared" si="174"/>
        <v>0.33823069050575516</v>
      </c>
      <c r="EB160" s="56"/>
      <c r="EC160" s="56"/>
      <c r="EE160" s="2" t="e" vm="162">
        <v>#VALUE!</v>
      </c>
      <c r="EG160" s="10" cm="1">
        <f t="array" aca="1" ref="EG160" ca="1">_FV(EE160,"Ações em circulação",TRUE)</f>
        <v>372555300</v>
      </c>
      <c r="EH160" s="18">
        <f>VLOOKUP(BR160,Fundamentus!A:U,5,FALSE)</f>
        <v>0.151</v>
      </c>
      <c r="EI160" s="2">
        <f t="shared" ca="1" si="165"/>
        <v>15050247218.543047</v>
      </c>
      <c r="EJ160" s="17">
        <v>2380949109.9735103</v>
      </c>
      <c r="EK160" s="17">
        <f t="shared" ca="1" si="166"/>
        <v>2380949109.9735103</v>
      </c>
      <c r="EM160" s="16">
        <f t="shared" ca="1" si="153"/>
        <v>0</v>
      </c>
      <c r="EN160" s="32" t="str">
        <f>IF(VLOOKUP(BR160,Fundamentus!A:U,3,FALSE)&lt;15,"Bom",IF(VLOOKUP(BR160,Fundamentus!A:U,3,FALSE)&gt;15,"Ruim","n/a"))</f>
        <v>Bom</v>
      </c>
      <c r="EO160" s="28" t="str">
        <f>IF(VLOOKUP(BR160,Fundamentus!A:U,4,FALSE)&lt;1,"Baixo",IF(VLOOKUP(BR160,Fundamentus!A:U,4,FALSE)&lt;1.5,"Moderado",IF(VLOOKUP(BR160,Fundamentus!A:U,4,FALSE)&gt;1.5,"Alto","n/a")))</f>
        <v>Baixo</v>
      </c>
      <c r="EP160" s="17" t="str">
        <f>IF(VLOOKUP(BR160,Fundamentus!A:U,8,FALSE)&lt;0,"Risco elevado",IF(VLOOKUP(BR160,Fundamentus!A:U,8,FALSE)&lt;1,"Saudável",IF(VLOOKUP(BR160,Fundamentus!A:U,8,FALSE)&lt;3,"Estável",IF(VLOOKUP(BR160,Fundamentus!A:U,8,FALSE)&gt;3,"Alerta","n/a"))))</f>
        <v>Saudável</v>
      </c>
      <c r="EQ160" s="28" t="str">
        <f t="shared" si="167"/>
        <v>Ruim</v>
      </c>
      <c r="ER160" s="17" t="str">
        <f>IF(VLOOKUP(BR160,Fundamentus!A:U,12,FALSE)&lt;2,"Subvalorizada",IF(VLOOKUP(BR160,Fundamentus!A:U,12,FALSE)&lt;6,"Muita barata",IF(VLOOKUP(BR160,Fundamentus!A:U,12,FALSE)&lt;6,"Barata",IF(VLOOKUP(BR160,Fundamentus!A:U,12,FALSE)&lt;8,"Atrativa",IF(VLOOKUP(BR160,Fundamentus!A:U,12,FALSE)&gt;8,"Supervalorizada","n/a")))))</f>
        <v>Muita barata</v>
      </c>
      <c r="ET160" s="17" t="str">
        <f>IF(VLOOKUP(BR160,Fundamentus!A:U,17,FALSE)&lt;0.1,"Fraco retorno",IF(VLOOKUP(BR160,Fundamentus!A:U,17,FALSE)&gt;0.1,"Bom retorno","n/a"))</f>
        <v>Bom retorno</v>
      </c>
      <c r="EU160" s="17" t="str">
        <f>IF(VLOOKUP(BR160,Fundamentus!A:U,16,FALSE)&lt;0.1,"Ineficiente",IF(VLOOKUP(BR160,Fundamentus!A:U,16,FALSE)&gt;0.1,"Eficiente","n/a"))</f>
        <v>Ineficiente</v>
      </c>
      <c r="EV160" s="33" t="str">
        <f>IF(VLOOKUP(BR160,Fundamentus!A:U,16,FALSE)&lt;0.1,"Oper. Ineficiente",IF(VLOOKUP(BR160,Fundamentus!A:U,16,FALSE)&gt;0.1,"Oper.Eficiente","n/a"))</f>
        <v>Oper. Ineficiente</v>
      </c>
      <c r="EW160" s="34">
        <f>VLOOKUP(BR160,Fundamentus!A:U,14,FALSE)</f>
        <v>0.15820000000000001</v>
      </c>
      <c r="EX160" s="17" t="str">
        <f>IF(VLOOKUP(BR160,Fundamentus!A:U,21,FALSE)&lt;0,"Negativo",IF(VLOOKUP(BR160,Fundamentus!A:U,21,FALSE)&lt;0.05,"Fraco",IF(VLOOKUP(BR160,Fundamentus!A:U,21,FALSE)&lt;0.1,"Bom",IF(VLOOKUP(BR160,Fundamentus!A:U,21,FALSE)&gt;0.1,"Muito bom","n/a"))))</f>
        <v>Fraco</v>
      </c>
      <c r="EZ160" s="29" t="str">
        <f>IF(VLOOKUP(BR160,Fundamentus!A:U,15,FALSE)&gt;1,"Bom",IF(VLOOKUP(BR160,Fundamentus!A:U,15,FALSE)&lt;1,"Ruim","n/a"))</f>
        <v>Bom</v>
      </c>
      <c r="FA160" s="17" t="str">
        <f>IF(VLOOKUP(BR160,Fundamentus!A:U,20,FALSE)&lt;0.5,"Baixa",IF(VLOOKUP(BR160,Fundamentus!A:U,20,FALSE)&lt;1,"Moderada",IF(VLOOKUP(BR160,Fundamentus!A:U,20,FALSE)&lt;2,"Alerta",IF(VLOOKUP(BR160,Fundamentus!A:U,20,FALSE)&gt;2,"Alta","n/a"))))</f>
        <v>Alerta</v>
      </c>
      <c r="FB160" s="10"/>
    </row>
    <row r="161" spans="1:158" s="2" customFormat="1" ht="11.25"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5">
        <v>4.08</v>
      </c>
      <c r="BC161" s="52">
        <v>4.3099999999999996</v>
      </c>
      <c r="BD161" s="52">
        <v>5.12</v>
      </c>
      <c r="BE161" s="52">
        <v>5.28</v>
      </c>
      <c r="BF161" s="52">
        <v>4.97</v>
      </c>
      <c r="BG161" s="67">
        <v>5.2</v>
      </c>
      <c r="BH161" s="52">
        <v>5.17</v>
      </c>
      <c r="BI161" s="52">
        <v>5.0999999999999996</v>
      </c>
      <c r="BJ161" s="52">
        <v>5.0999999999999996</v>
      </c>
      <c r="BK161" s="52">
        <v>4.8</v>
      </c>
      <c r="BL161" s="52">
        <v>4.8499999999999996</v>
      </c>
      <c r="BM161" s="52">
        <v>4.88</v>
      </c>
      <c r="BN161" s="52">
        <v>5.07</v>
      </c>
      <c r="BO161" s="52">
        <v>5.05</v>
      </c>
      <c r="BP161" s="52">
        <v>4.63</v>
      </c>
      <c r="BQ161" s="52" cm="1">
        <f t="array" aca="1" ref="BQ161" ca="1">_FV(EE161,"Preço")</f>
        <v>4.63</v>
      </c>
      <c r="BR161" s="69" t="s">
        <v>157</v>
      </c>
      <c r="BS161" s="36" cm="1">
        <f t="array" aca="1" ref="BS161" ca="1">_FV(EE161,"Média de volume",TRUE)</f>
        <v>259550</v>
      </c>
      <c r="BT161" s="36">
        <v>925300</v>
      </c>
      <c r="BU161" s="36" cm="1">
        <f t="array" aca="1" ref="BU161" ca="1">_FV(EE161,"Volume")</f>
        <v>925300</v>
      </c>
      <c r="BV161" s="24" cm="1">
        <f t="array" aca="1" ref="BV161" ca="1">_FV(EE161,"Beta")</f>
        <v>2.2938999999999998</v>
      </c>
      <c r="BW161" s="71" cm="1">
        <f t="array" aca="1" ref="BW161" ca="1">_FV(EE161,"Variação (%)",TRUE)</f>
        <v>-0.10097099999999999</v>
      </c>
      <c r="BY161" s="17" cm="1">
        <f t="array" aca="1" ref="BY161" ca="1">_FV(EE161,"Baixo")</f>
        <v>4.57</v>
      </c>
      <c r="BZ161" s="17" cm="1">
        <f t="array" aca="1" ref="BZ161" ca="1">_FV(EE161,"Alto")</f>
        <v>5.15</v>
      </c>
      <c r="CA161" s="24"/>
      <c r="CB161" s="63">
        <f ca="1">SQRT(22.5*(BQ161/VLOOKUP(BR161,Fundamentus!A:U,3,FALSE))*(BQ161/VLOOKUP(BR161,Fundamentus!A:U,4,FALSE)))</f>
        <v>6.7011585234405313</v>
      </c>
      <c r="CD161" s="62">
        <f t="shared" ca="1" si="168"/>
        <v>0</v>
      </c>
      <c r="CE161" s="8"/>
      <c r="CF161" s="61">
        <f t="shared" si="169"/>
        <v>2.99</v>
      </c>
      <c r="CG161" s="61">
        <f t="shared" si="170"/>
        <v>5.28</v>
      </c>
      <c r="CH161" s="61">
        <f t="shared" si="171"/>
        <v>3.9239705882352949</v>
      </c>
      <c r="CI161" s="14"/>
      <c r="CJ161" s="35">
        <f t="shared" si="154"/>
        <v>4.4962764301681544</v>
      </c>
      <c r="CK161" s="15">
        <f t="shared" si="172"/>
        <v>4.7150000000000318</v>
      </c>
      <c r="CL161" s="35">
        <f t="shared" si="155"/>
        <v>4.9337235698319093</v>
      </c>
      <c r="CN161" s="14"/>
      <c r="CO161" s="17">
        <f t="shared" si="156"/>
        <v>1.0299999999999994</v>
      </c>
      <c r="CP161" s="17">
        <f t="shared" si="157"/>
        <v>2.0099999999999998</v>
      </c>
      <c r="CQ161" s="17">
        <f t="shared" si="158"/>
        <v>3.3199999999999994</v>
      </c>
      <c r="CR161" s="38">
        <f t="shared" si="173"/>
        <v>4.3</v>
      </c>
      <c r="CS161" s="17">
        <f t="shared" si="159"/>
        <v>5.6099999999999994</v>
      </c>
      <c r="CT161" s="17">
        <f t="shared" si="160"/>
        <v>6.59</v>
      </c>
      <c r="CU161" s="17">
        <f t="shared" si="161"/>
        <v>7.8999999999999995</v>
      </c>
      <c r="CV161" s="2" cm="1">
        <f t="array" aca="1" ref="CV161" ca="1">MAX(_xlfn._xlws.FILTER(CO161:CU161,CO161:CU161&lt;BQ161))</f>
        <v>4.3</v>
      </c>
      <c r="CW161" s="2" cm="1">
        <f t="array" aca="1" ref="CW161" ca="1">MIN(_xlfn._xlws.FILTER($CO161:$CU161,$CO161:$CU161&gt;BQ161))</f>
        <v>5.6099999999999994</v>
      </c>
      <c r="CX161" s="16">
        <f t="shared" ca="1" si="175"/>
        <v>0.30465116279069759</v>
      </c>
      <c r="CY161" s="20">
        <f t="shared" ca="1" si="176"/>
        <v>-0.1523255813953488</v>
      </c>
      <c r="CZ161" s="20">
        <f t="shared" ca="1" si="177"/>
        <v>-0.1015503875968992</v>
      </c>
      <c r="DA161" s="20">
        <f t="shared" ca="1" si="178"/>
        <v>-6.0930232558139522E-2</v>
      </c>
      <c r="DB161" s="20">
        <f t="shared" ca="1" si="179"/>
        <v>-3.3850129198966399E-2</v>
      </c>
      <c r="DC161" s="20">
        <f t="shared" ca="1" si="180"/>
        <v>-1.7920656634746918E-2</v>
      </c>
      <c r="DD161" s="20">
        <f t="shared" ca="1" si="181"/>
        <v>-9.2318534178999264E-3</v>
      </c>
      <c r="DE161" s="20">
        <f t="shared" ca="1" si="182"/>
        <v>-4.686940966010732E-3</v>
      </c>
      <c r="DF161" s="21">
        <f t="shared" ca="1" si="183"/>
        <v>4.686940966010732E-3</v>
      </c>
      <c r="DG161" s="21">
        <f t="shared" ca="1" si="184"/>
        <v>9.2318534178999264E-3</v>
      </c>
      <c r="DH161" s="21">
        <f t="shared" ca="1" si="185"/>
        <v>1.7920656634746918E-2</v>
      </c>
      <c r="DI161" s="21">
        <f t="shared" ca="1" si="186"/>
        <v>3.3850129198966399E-2</v>
      </c>
      <c r="DJ161" s="21">
        <f t="shared" ca="1" si="187"/>
        <v>6.0930232558139522E-2</v>
      </c>
      <c r="DK161" s="21">
        <f t="shared" ca="1" si="188"/>
        <v>0.1015503875968992</v>
      </c>
      <c r="DL161" s="21">
        <f t="shared" ca="1" si="189"/>
        <v>0.1523255813953488</v>
      </c>
      <c r="DN161" s="16" cm="1">
        <f t="array" aca="1" ref="DN161" ca="1">MAX(_xlfn._xlws.FILTER(CY161:DL161,CY161:DL161&lt;BW161))</f>
        <v>-0.1015503875968992</v>
      </c>
      <c r="DO161" s="16" cm="1">
        <f t="array" aca="1" ref="DO161" ca="1">MIN(_xlfn._xlws.FILTER(CY161:DL161,CY161:DL161&gt;BW161))</f>
        <v>-6.0930232558139522E-2</v>
      </c>
      <c r="DP161" s="2" cm="1">
        <f t="array" aca="1" ref="DP161" ca="1">_FV(EE161,"Fechamento anterior",TRUE)</f>
        <v>5.15</v>
      </c>
      <c r="DQ161" s="28">
        <f t="shared" ca="1" si="162"/>
        <v>1.4266656784996742E-2</v>
      </c>
      <c r="DR161" s="15">
        <f t="shared" ca="1" si="190"/>
        <v>4.6270155038759695</v>
      </c>
      <c r="DS161" s="15">
        <f t="shared" ca="1" si="191"/>
        <v>4.8362093023255817</v>
      </c>
      <c r="DT161" s="9"/>
      <c r="DU161" s="9"/>
      <c r="DV161" s="9"/>
      <c r="DW161" s="89">
        <v>4.8720048720048729E-3</v>
      </c>
      <c r="DX161" s="89">
        <f t="shared" ca="1" si="163"/>
        <v>4.0620155038759681E-2</v>
      </c>
      <c r="DY161" s="72">
        <f t="shared" ca="1" si="164"/>
        <v>-0.38861838285360578</v>
      </c>
      <c r="DZ161" s="37"/>
      <c r="EA161" s="35">
        <f t="shared" si="174"/>
        <v>0.10936178491593866</v>
      </c>
      <c r="EB161" s="56"/>
      <c r="EC161" s="56"/>
      <c r="EE161" s="2" t="e" vm="163">
        <v>#VALUE!</v>
      </c>
      <c r="EG161" s="10" cm="1">
        <f t="array" aca="1" ref="EG161" ca="1">_FV(EE161,"Ações em circulação",TRUE)</f>
        <v>364542500</v>
      </c>
      <c r="EH161" s="18">
        <f>VLOOKUP(BR161,Fundamentus!A:U,5,FALSE)</f>
        <v>0.68200000000000005</v>
      </c>
      <c r="EI161" s="2">
        <f t="shared" ca="1" si="165"/>
        <v>2474826649.5601172</v>
      </c>
      <c r="EJ161" s="17">
        <v>180662345.41788855</v>
      </c>
      <c r="EK161" s="17">
        <f t="shared" ca="1" si="166"/>
        <v>180662345.41788855</v>
      </c>
      <c r="EM161" s="16">
        <f t="shared" ca="1" si="153"/>
        <v>0</v>
      </c>
      <c r="EN161" s="32" t="str">
        <f>IF(VLOOKUP(BR161,Fundamentus!A:U,3,FALSE)&lt;15,"Bom",IF(VLOOKUP(BR161,Fundamentus!A:U,3,FALSE)&gt;15,"Ruim","n/a"))</f>
        <v>Bom</v>
      </c>
      <c r="EO161" s="28" t="str">
        <f>IF(VLOOKUP(BR161,Fundamentus!A:U,4,FALSE)&lt;1,"Baixo",IF(VLOOKUP(BR161,Fundamentus!A:U,4,FALSE)&lt;1.5,"Moderado",IF(VLOOKUP(BR161,Fundamentus!A:U,4,FALSE)&gt;1.5,"Alto","n/a")))</f>
        <v>Moderado</v>
      </c>
      <c r="EP161" s="17" t="str">
        <f>IF(VLOOKUP(BR161,Fundamentus!A:U,8,FALSE)&lt;0,"Risco elevado",IF(VLOOKUP(BR161,Fundamentus!A:U,8,FALSE)&lt;1,"Saudável",IF(VLOOKUP(BR161,Fundamentus!A:U,8,FALSE)&lt;3,"Estável",IF(VLOOKUP(BR161,Fundamentus!A:U,8,FALSE)&gt;3,"Alerta","n/a"))))</f>
        <v>Alerta</v>
      </c>
      <c r="EQ161" s="28" t="str">
        <f t="shared" si="167"/>
        <v>Ruim</v>
      </c>
      <c r="ER161" s="17" t="str">
        <f>IF(VLOOKUP(BR161,Fundamentus!A:U,12,FALSE)&lt;2,"Subvalorizada",IF(VLOOKUP(BR161,Fundamentus!A:U,12,FALSE)&lt;6,"Muita barata",IF(VLOOKUP(BR161,Fundamentus!A:U,12,FALSE)&lt;6,"Barata",IF(VLOOKUP(BR161,Fundamentus!A:U,12,FALSE)&lt;8,"Atrativa",IF(VLOOKUP(BR161,Fundamentus!A:U,12,FALSE)&gt;8,"Supervalorizada","n/a")))))</f>
        <v>Muita barata</v>
      </c>
      <c r="ET161" s="17" t="str">
        <f>IF(VLOOKUP(BR161,Fundamentus!A:U,17,FALSE)&lt;0.1,"Fraco retorno",IF(VLOOKUP(BR161,Fundamentus!A:U,17,FALSE)&gt;0.1,"Bom retorno","n/a"))</f>
        <v>Bom retorno</v>
      </c>
      <c r="EU161" s="17" t="str">
        <f>IF(VLOOKUP(BR161,Fundamentus!A:U,16,FALSE)&lt;0.1,"Ineficiente",IF(VLOOKUP(BR161,Fundamentus!A:U,16,FALSE)&gt;0.1,"Eficiente","n/a"))</f>
        <v>Eficiente</v>
      </c>
      <c r="EV161" s="33" t="str">
        <f>IF(VLOOKUP(BR161,Fundamentus!A:U,16,FALSE)&lt;0.1,"Oper. Ineficiente",IF(VLOOKUP(BR161,Fundamentus!A:U,16,FALSE)&gt;0.1,"Oper.Eficiente","n/a"))</f>
        <v>Oper.Eficiente</v>
      </c>
      <c r="EW161" s="34">
        <f>VLOOKUP(BR161,Fundamentus!A:U,14,FALSE)</f>
        <v>7.2999999999999995E-2</v>
      </c>
      <c r="EX161" s="17" t="str">
        <f>IF(VLOOKUP(BR161,Fundamentus!A:U,21,FALSE)&lt;0,"Negativo",IF(VLOOKUP(BR161,Fundamentus!A:U,21,FALSE)&lt;0.05,"Fraco",IF(VLOOKUP(BR161,Fundamentus!A:U,21,FALSE)&lt;0.1,"Bom",IF(VLOOKUP(BR161,Fundamentus!A:U,21,FALSE)&gt;0.1,"Muito bom","n/a"))))</f>
        <v>Muito bom</v>
      </c>
      <c r="EZ161" s="29" t="str">
        <f>IF(VLOOKUP(BR161,Fundamentus!A:U,15,FALSE)&gt;1,"Bom",IF(VLOOKUP(BR161,Fundamentus!A:U,15,FALSE)&lt;1,"Ruim","n/a"))</f>
        <v>Bom</v>
      </c>
      <c r="FA161" s="17" t="str">
        <f>IF(VLOOKUP(BR161,Fundamentus!A:U,20,FALSE)&lt;0.5,"Baixa",IF(VLOOKUP(BR161,Fundamentus!A:U,20,FALSE)&lt;1,"Moderada",IF(VLOOKUP(BR161,Fundamentus!A:U,20,FALSE)&lt;2,"Alerta",IF(VLOOKUP(BR161,Fundamentus!A:U,20,FALSE)&gt;2,"Alta","n/a"))))</f>
        <v>Moderada</v>
      </c>
      <c r="FB161" s="10"/>
    </row>
    <row r="162" spans="1:158" s="2" customFormat="1" ht="11.25"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5">
        <v>26.02</v>
      </c>
      <c r="BC162" s="52">
        <v>25.84</v>
      </c>
      <c r="BD162" s="52">
        <v>25.9</v>
      </c>
      <c r="BE162" s="52">
        <v>26.88</v>
      </c>
      <c r="BF162" s="52">
        <v>26.26</v>
      </c>
      <c r="BG162" s="67">
        <v>25.7</v>
      </c>
      <c r="BH162" s="52">
        <v>25.85</v>
      </c>
      <c r="BI162" s="52">
        <v>27.04</v>
      </c>
      <c r="BJ162" s="52">
        <v>27.17</v>
      </c>
      <c r="BK162" s="52">
        <v>25.9</v>
      </c>
      <c r="BL162" s="52">
        <v>25.24</v>
      </c>
      <c r="BM162" s="52">
        <v>25.25</v>
      </c>
      <c r="BN162" s="52">
        <v>25.65</v>
      </c>
      <c r="BO162" s="52">
        <v>26.01</v>
      </c>
      <c r="BP162" s="52">
        <v>26.61</v>
      </c>
      <c r="BQ162" s="52" cm="1">
        <f t="array" aca="1" ref="BQ162" ca="1">_FV(EE162,"Preço")</f>
        <v>26.61</v>
      </c>
      <c r="BR162" s="69" t="s">
        <v>158</v>
      </c>
      <c r="BS162" s="36" cm="1">
        <f t="array" aca="1" ref="BS162" ca="1">_FV(EE162,"Média de volume",TRUE)</f>
        <v>3375190</v>
      </c>
      <c r="BT162" s="36">
        <v>2872600</v>
      </c>
      <c r="BU162" s="36" cm="1">
        <f t="array" aca="1" ref="BU162" ca="1">_FV(EE162,"Volume")</f>
        <v>2872600</v>
      </c>
      <c r="BV162" s="24" cm="1">
        <f t="array" aca="1" ref="BV162" ca="1">_FV(EE162,"Beta")</f>
        <v>1.0428999999999999</v>
      </c>
      <c r="BW162" s="71" cm="1">
        <f t="array" aca="1" ref="BW162" ca="1">_FV(EE162,"Variação (%)",TRUE)</f>
        <v>3.7719999999999997E-3</v>
      </c>
      <c r="BY162" s="17" cm="1">
        <f t="array" aca="1" ref="BY162" ca="1">_FV(EE162,"Baixo")</f>
        <v>26.3</v>
      </c>
      <c r="BZ162" s="17" cm="1">
        <f t="array" aca="1" ref="BZ162" ca="1">_FV(EE162,"Alto")</f>
        <v>26.65</v>
      </c>
      <c r="CA162" s="24"/>
      <c r="CB162" s="63">
        <f ca="1">SQRT(22.5*(BQ162/VLOOKUP(BR162,Fundamentus!A:U,3,FALSE))*(BQ162/VLOOKUP(BR162,Fundamentus!A:U,4,FALSE)))</f>
        <v>26.188554553133255</v>
      </c>
      <c r="CD162" s="62">
        <f t="shared" ca="1" si="168"/>
        <v>0</v>
      </c>
      <c r="CE162" s="8"/>
      <c r="CF162" s="61">
        <f t="shared" si="169"/>
        <v>20.239999999999998</v>
      </c>
      <c r="CG162" s="61">
        <f t="shared" si="170"/>
        <v>27.52</v>
      </c>
      <c r="CH162" s="61">
        <f t="shared" si="171"/>
        <v>24.292352941176475</v>
      </c>
      <c r="CI162" s="14"/>
      <c r="CJ162" s="35">
        <f t="shared" si="154"/>
        <v>26.349875012204883</v>
      </c>
      <c r="CK162" s="15">
        <f t="shared" si="172"/>
        <v>26.990000000000236</v>
      </c>
      <c r="CL162" s="35">
        <f t="shared" si="155"/>
        <v>27.63012498779559</v>
      </c>
      <c r="CN162" s="14"/>
      <c r="CO162" s="17">
        <f t="shared" si="156"/>
        <v>14.780000000000005</v>
      </c>
      <c r="CP162" s="17">
        <f t="shared" si="157"/>
        <v>17.510000000000002</v>
      </c>
      <c r="CQ162" s="17">
        <f t="shared" si="158"/>
        <v>22.060000000000006</v>
      </c>
      <c r="CR162" s="38">
        <f t="shared" si="173"/>
        <v>24.790000000000003</v>
      </c>
      <c r="CS162" s="17">
        <f t="shared" si="159"/>
        <v>29.340000000000007</v>
      </c>
      <c r="CT162" s="17">
        <f t="shared" si="160"/>
        <v>32.070000000000007</v>
      </c>
      <c r="CU162" s="17">
        <f t="shared" si="161"/>
        <v>36.620000000000005</v>
      </c>
      <c r="CV162" s="2" cm="1">
        <f t="array" aca="1" ref="CV162" ca="1">MAX(_xlfn._xlws.FILTER(CO162:CU162,CO162:CU162&lt;BQ162))</f>
        <v>24.790000000000003</v>
      </c>
      <c r="CW162" s="2" cm="1">
        <f t="array" aca="1" ref="CW162" ca="1">MIN(_xlfn._xlws.FILTER($CO162:$CU162,$CO162:$CU162&gt;BQ162))</f>
        <v>29.340000000000007</v>
      </c>
      <c r="CX162" s="16">
        <f t="shared" ca="1" si="175"/>
        <v>0.18354175070593004</v>
      </c>
      <c r="CY162" s="20">
        <f t="shared" ca="1" si="176"/>
        <v>-9.177087535296502E-2</v>
      </c>
      <c r="CZ162" s="20">
        <f t="shared" ca="1" si="177"/>
        <v>-6.1180583568643344E-2</v>
      </c>
      <c r="DA162" s="20">
        <f t="shared" ca="1" si="178"/>
        <v>-3.6708350141186008E-2</v>
      </c>
      <c r="DB162" s="20">
        <f t="shared" ca="1" si="179"/>
        <v>-2.0393527856214448E-2</v>
      </c>
      <c r="DC162" s="20">
        <f t="shared" ca="1" si="180"/>
        <v>-1.0796573570937062E-2</v>
      </c>
      <c r="DD162" s="20">
        <f t="shared" ca="1" si="181"/>
        <v>-5.5618712335130313E-3</v>
      </c>
      <c r="DE162" s="20">
        <f t="shared" ca="1" si="182"/>
        <v>-2.823719241629693E-3</v>
      </c>
      <c r="DF162" s="21">
        <f t="shared" ca="1" si="183"/>
        <v>2.823719241629693E-3</v>
      </c>
      <c r="DG162" s="21">
        <f t="shared" ca="1" si="184"/>
        <v>5.5618712335130313E-3</v>
      </c>
      <c r="DH162" s="21">
        <f t="shared" ca="1" si="185"/>
        <v>1.0796573570937062E-2</v>
      </c>
      <c r="DI162" s="21">
        <f t="shared" ca="1" si="186"/>
        <v>2.0393527856214448E-2</v>
      </c>
      <c r="DJ162" s="21">
        <f t="shared" ca="1" si="187"/>
        <v>3.6708350141186008E-2</v>
      </c>
      <c r="DK162" s="21">
        <f t="shared" ca="1" si="188"/>
        <v>6.1180583568643344E-2</v>
      </c>
      <c r="DL162" s="21">
        <f t="shared" ca="1" si="189"/>
        <v>9.177087535296502E-2</v>
      </c>
      <c r="DN162" s="16" cm="1">
        <f t="array" aca="1" ref="DN162" ca="1">MAX(_xlfn._xlws.FILTER(CY162:DL162,CY162:DL162&lt;BW162))</f>
        <v>2.823719241629693E-3</v>
      </c>
      <c r="DO162" s="16" cm="1">
        <f t="array" aca="1" ref="DO162" ca="1">MIN(_xlfn._xlws.FILTER(CY162:DL162,CY162:DL162&gt;BW162))</f>
        <v>5.5618712335130313E-3</v>
      </c>
      <c r="DP162" s="2" cm="1">
        <f t="array" aca="1" ref="DP162" ca="1">_FV(EE162,"Fechamento anterior",TRUE)</f>
        <v>26.51</v>
      </c>
      <c r="DQ162" s="28">
        <f t="shared" ca="1" si="162"/>
        <v>0.34638040901005296</v>
      </c>
      <c r="DR162" s="15">
        <f t="shared" ca="1" si="190"/>
        <v>26.584856797095604</v>
      </c>
      <c r="DS162" s="15">
        <f t="shared" ca="1" si="191"/>
        <v>26.657445206400432</v>
      </c>
      <c r="DT162" s="9"/>
      <c r="DU162" s="9"/>
      <c r="DV162" s="9"/>
      <c r="DW162" s="89">
        <v>2.6390851929688863E-3</v>
      </c>
      <c r="DX162" s="89">
        <f t="shared" ca="1" si="163"/>
        <v>2.7381519918833384E-3</v>
      </c>
      <c r="DY162" s="72">
        <f t="shared" ca="1" si="164"/>
        <v>-0.59363406716708633</v>
      </c>
      <c r="DZ162" s="37"/>
      <c r="EA162" s="35">
        <f t="shared" si="174"/>
        <v>0.3200624938976766</v>
      </c>
      <c r="EB162" s="56"/>
      <c r="EC162" s="56"/>
      <c r="EE162" s="2" t="e" vm="164">
        <v>#VALUE!</v>
      </c>
      <c r="EG162" s="10" cm="1">
        <f t="array" aca="1" ref="EG162" ca="1">_FV(EE162,"Ações em circulação",TRUE)</f>
        <v>513163700</v>
      </c>
      <c r="EH162" s="18">
        <f>VLOOKUP(BR162,Fundamentus!A:U,5,FALSE)</f>
        <v>5.1879999999999997</v>
      </c>
      <c r="EI162" s="2">
        <f t="shared" ca="1" si="165"/>
        <v>2632090604.6646109</v>
      </c>
      <c r="EJ162" s="17">
        <v>1351841734.5557439</v>
      </c>
      <c r="EK162" s="17">
        <f t="shared" ca="1" si="166"/>
        <v>1351841734.5557439</v>
      </c>
      <c r="EM162" s="16">
        <f t="shared" ca="1" si="153"/>
        <v>0</v>
      </c>
      <c r="EN162" s="32" t="str">
        <f>IF(VLOOKUP(BR162,Fundamentus!A:U,3,FALSE)&lt;15,"Bom",IF(VLOOKUP(BR162,Fundamentus!A:U,3,FALSE)&gt;15,"Ruim","n/a"))</f>
        <v>Bom</v>
      </c>
      <c r="EO162" s="28" t="str">
        <f>IF(VLOOKUP(BR162,Fundamentus!A:U,4,FALSE)&lt;1,"Baixo",IF(VLOOKUP(BR162,Fundamentus!A:U,4,FALSE)&lt;1.5,"Moderado",IF(VLOOKUP(BR162,Fundamentus!A:U,4,FALSE)&gt;1.5,"Alto","n/a")))</f>
        <v>Alto</v>
      </c>
      <c r="EP162" s="17" t="str">
        <f>IF(VLOOKUP(BR162,Fundamentus!A:U,8,FALSE)&lt;0,"Risco elevado",IF(VLOOKUP(BR162,Fundamentus!A:U,8,FALSE)&lt;1,"Saudável",IF(VLOOKUP(BR162,Fundamentus!A:U,8,FALSE)&lt;3,"Estável",IF(VLOOKUP(BR162,Fundamentus!A:U,8,FALSE)&gt;3,"Alerta","n/a"))))</f>
        <v>Alerta</v>
      </c>
      <c r="EQ162" s="28" t="str">
        <f t="shared" si="167"/>
        <v>Bom</v>
      </c>
      <c r="ER162" s="17" t="str">
        <f>IF(VLOOKUP(BR162,Fundamentus!A:U,12,FALSE)&lt;2,"Subvalorizada",IF(VLOOKUP(BR162,Fundamentus!A:U,12,FALSE)&lt;6,"Muita barata",IF(VLOOKUP(BR162,Fundamentus!A:U,12,FALSE)&lt;6,"Barata",IF(VLOOKUP(BR162,Fundamentus!A:U,12,FALSE)&lt;8,"Atrativa",IF(VLOOKUP(BR162,Fundamentus!A:U,12,FALSE)&gt;8,"Supervalorizada","n/a")))))</f>
        <v>Supervalorizada</v>
      </c>
      <c r="ET162" s="17" t="str">
        <f>IF(VLOOKUP(BR162,Fundamentus!A:U,17,FALSE)&lt;0.1,"Fraco retorno",IF(VLOOKUP(BR162,Fundamentus!A:U,17,FALSE)&gt;0.1,"Bom retorno","n/a"))</f>
        <v>Bom retorno</v>
      </c>
      <c r="EU162" s="17" t="str">
        <f>IF(VLOOKUP(BR162,Fundamentus!A:U,16,FALSE)&lt;0.1,"Ineficiente",IF(VLOOKUP(BR162,Fundamentus!A:U,16,FALSE)&gt;0.1,"Eficiente","n/a"))</f>
        <v>Eficiente</v>
      </c>
      <c r="EV162" s="33" t="str">
        <f>IF(VLOOKUP(BR162,Fundamentus!A:U,16,FALSE)&lt;0.1,"Oper. Ineficiente",IF(VLOOKUP(BR162,Fundamentus!A:U,16,FALSE)&gt;0.1,"Oper.Eficiente","n/a"))</f>
        <v>Oper.Eficiente</v>
      </c>
      <c r="EW162" s="34">
        <f>VLOOKUP(BR162,Fundamentus!A:U,14,FALSE)</f>
        <v>0.51359999999999995</v>
      </c>
      <c r="EX162" s="17" t="str">
        <f>IF(VLOOKUP(BR162,Fundamentus!A:U,21,FALSE)&lt;0,"Negativo",IF(VLOOKUP(BR162,Fundamentus!A:U,21,FALSE)&lt;0.05,"Fraco",IF(VLOOKUP(BR162,Fundamentus!A:U,21,FALSE)&lt;0.1,"Bom",IF(VLOOKUP(BR162,Fundamentus!A:U,21,FALSE)&gt;0.1,"Muito bom","n/a"))))</f>
        <v>Muito bom</v>
      </c>
      <c r="EZ162" s="29" t="str">
        <f>IF(VLOOKUP(BR162,Fundamentus!A:U,15,FALSE)&gt;1,"Bom",IF(VLOOKUP(BR162,Fundamentus!A:U,15,FALSE)&lt;1,"Ruim","n/a"))</f>
        <v>Bom</v>
      </c>
      <c r="FA162" s="17" t="str">
        <f>IF(VLOOKUP(BR162,Fundamentus!A:U,20,FALSE)&lt;0.5,"Baixa",IF(VLOOKUP(BR162,Fundamentus!A:U,20,FALSE)&lt;1,"Moderada",IF(VLOOKUP(BR162,Fundamentus!A:U,20,FALSE)&lt;2,"Alerta",IF(VLOOKUP(BR162,Fundamentus!A:U,20,FALSE)&gt;2,"Alta","n/a"))))</f>
        <v>Moderada</v>
      </c>
      <c r="FB162" s="10"/>
    </row>
    <row r="163" spans="1:158" s="2" customFormat="1" ht="11.25"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5">
        <v>9.31</v>
      </c>
      <c r="BC163" s="52">
        <v>9.4499999999999993</v>
      </c>
      <c r="BD163" s="52">
        <v>9.48</v>
      </c>
      <c r="BE163" s="52">
        <v>9.8800000000000008</v>
      </c>
      <c r="BF163" s="52">
        <v>9.9</v>
      </c>
      <c r="BG163" s="67">
        <v>10.02</v>
      </c>
      <c r="BH163" s="52">
        <v>9.8000000000000007</v>
      </c>
      <c r="BI163" s="52">
        <v>9.98</v>
      </c>
      <c r="BJ163" s="52">
        <v>9.8000000000000007</v>
      </c>
      <c r="BK163" s="52">
        <v>9.11</v>
      </c>
      <c r="BL163" s="52">
        <v>8.94</v>
      </c>
      <c r="BM163" s="52">
        <v>9.6</v>
      </c>
      <c r="BN163" s="52">
        <v>9.65</v>
      </c>
      <c r="BO163" s="52">
        <v>9.74</v>
      </c>
      <c r="BP163" s="52">
        <v>9.9499999999999993</v>
      </c>
      <c r="BQ163" s="52" cm="1">
        <f t="array" aca="1" ref="BQ163" ca="1">_FV(EE163,"Preço")</f>
        <v>9.9499999999999993</v>
      </c>
      <c r="BR163" s="69" t="s">
        <v>87</v>
      </c>
      <c r="BS163" s="36" cm="1">
        <f t="array" aca="1" ref="BS163" ca="1">_FV(EE163,"Média de volume",TRUE)</f>
        <v>3792940</v>
      </c>
      <c r="BT163" s="36">
        <v>7304300</v>
      </c>
      <c r="BU163" s="36" cm="1">
        <f t="array" aca="1" ref="BU163" ca="1">_FV(EE163,"Volume")</f>
        <v>7304300</v>
      </c>
      <c r="BV163" s="24" cm="1">
        <f t="array" aca="1" ref="BV163" ca="1">_FV(EE163,"Beta")</f>
        <v>0.60340000000000005</v>
      </c>
      <c r="BW163" s="71" cm="1">
        <f t="array" aca="1" ref="BW163" ca="1">_FV(EE163,"Variação (%)",TRUE)</f>
        <v>1.3238000000000002E-2</v>
      </c>
      <c r="BY163" s="17" cm="1">
        <f t="array" aca="1" ref="BY163" ca="1">_FV(EE163,"Baixo")</f>
        <v>9.76</v>
      </c>
      <c r="BZ163" s="17" cm="1">
        <f t="array" aca="1" ref="BZ163" ca="1">_FV(EE163,"Alto")</f>
        <v>10.02</v>
      </c>
      <c r="CA163" s="24"/>
      <c r="CB163" s="63">
        <f ca="1">SQRT(22.5*(BQ163/VLOOKUP(BR163,Fundamentus!A:U,3,FALSE))*(BQ163/VLOOKUP(BR163,Fundamentus!A:U,4,FALSE)))</f>
        <v>1.2837331174349371</v>
      </c>
      <c r="CD163" s="62">
        <f t="shared" ca="1" si="168"/>
        <v>0</v>
      </c>
      <c r="CE163" s="8"/>
      <c r="CF163" s="61">
        <f t="shared" si="169"/>
        <v>7.59</v>
      </c>
      <c r="CG163" s="61">
        <f t="shared" si="170"/>
        <v>12.48</v>
      </c>
      <c r="CH163" s="61">
        <f t="shared" si="171"/>
        <v>9.9415441176470587</v>
      </c>
      <c r="CI163" s="14"/>
      <c r="CJ163" s="35">
        <f t="shared" si="154"/>
        <v>9.379075667492625</v>
      </c>
      <c r="CK163" s="15">
        <f t="shared" si="172"/>
        <v>10.019999999999982</v>
      </c>
      <c r="CL163" s="35">
        <f t="shared" si="155"/>
        <v>10.660924332507339</v>
      </c>
      <c r="CN163" s="14"/>
      <c r="CO163" s="17">
        <f t="shared" si="156"/>
        <v>2.6433333333333309</v>
      </c>
      <c r="CP163" s="17">
        <f t="shared" si="157"/>
        <v>5.1166666666666654</v>
      </c>
      <c r="CQ163" s="17">
        <f t="shared" si="158"/>
        <v>7.5333333333333314</v>
      </c>
      <c r="CR163" s="38">
        <f t="shared" si="173"/>
        <v>10.006666666666666</v>
      </c>
      <c r="CS163" s="17">
        <f t="shared" si="159"/>
        <v>12.423333333333332</v>
      </c>
      <c r="CT163" s="17">
        <f t="shared" si="160"/>
        <v>14.896666666666667</v>
      </c>
      <c r="CU163" s="17">
        <f t="shared" si="161"/>
        <v>17.313333333333333</v>
      </c>
      <c r="CV163" s="2" cm="1">
        <f t="array" aca="1" ref="CV163" ca="1">MAX(_xlfn._xlws.FILTER(CO163:CU163,CO163:CU163&lt;BQ163))</f>
        <v>7.5333333333333314</v>
      </c>
      <c r="CW163" s="2" cm="1">
        <f t="array" aca="1" ref="CW163" ca="1">MIN(_xlfn._xlws.FILTER($CO163:$CU163,$CO163:$CU163&gt;BQ163))</f>
        <v>10.006666666666666</v>
      </c>
      <c r="CX163" s="16">
        <f t="shared" ca="1" si="175"/>
        <v>0.32831858407079673</v>
      </c>
      <c r="CY163" s="20">
        <f t="shared" ca="1" si="176"/>
        <v>-0.16415929203539836</v>
      </c>
      <c r="CZ163" s="20">
        <f t="shared" ca="1" si="177"/>
        <v>-0.10943952802359891</v>
      </c>
      <c r="DA163" s="20">
        <f t="shared" ca="1" si="178"/>
        <v>-6.5663716814159348E-2</v>
      </c>
      <c r="DB163" s="20">
        <f t="shared" ca="1" si="179"/>
        <v>-3.647984267453297E-2</v>
      </c>
      <c r="DC163" s="20">
        <f t="shared" ca="1" si="180"/>
        <v>-1.9312857886517456E-2</v>
      </c>
      <c r="DD163" s="20">
        <f t="shared" ca="1" si="181"/>
        <v>-9.9490480021453553E-3</v>
      </c>
      <c r="DE163" s="20">
        <f t="shared" ca="1" si="182"/>
        <v>-5.0510551395507187E-3</v>
      </c>
      <c r="DF163" s="21">
        <f t="shared" ca="1" si="183"/>
        <v>5.0510551395507187E-3</v>
      </c>
      <c r="DG163" s="21">
        <f t="shared" ca="1" si="184"/>
        <v>9.9490480021453553E-3</v>
      </c>
      <c r="DH163" s="21">
        <f t="shared" ca="1" si="185"/>
        <v>1.9312857886517456E-2</v>
      </c>
      <c r="DI163" s="21">
        <f t="shared" ca="1" si="186"/>
        <v>3.647984267453297E-2</v>
      </c>
      <c r="DJ163" s="21">
        <f t="shared" ca="1" si="187"/>
        <v>6.5663716814159348E-2</v>
      </c>
      <c r="DK163" s="21">
        <f t="shared" ca="1" si="188"/>
        <v>0.10943952802359891</v>
      </c>
      <c r="DL163" s="21">
        <f t="shared" ca="1" si="189"/>
        <v>0.16415929203539836</v>
      </c>
      <c r="DN163" s="16" cm="1">
        <f t="array" aca="1" ref="DN163" ca="1">MAX(_xlfn._xlws.FILTER(CY163:DL163,CY163:DL163&lt;BW163))</f>
        <v>9.9490480021453553E-3</v>
      </c>
      <c r="DO163" s="16" cm="1">
        <f t="array" aca="1" ref="DO163" ca="1">MIN(_xlfn._xlws.FILTER(CY163:DL163,CY163:DL163&gt;BW163))</f>
        <v>1.9312857886517456E-2</v>
      </c>
      <c r="DP163" s="2" cm="1">
        <f t="array" aca="1" ref="DP163" ca="1">_FV(EE163,"Fechamento anterior",TRUE)</f>
        <v>9.82</v>
      </c>
      <c r="DQ163" s="28">
        <f t="shared" ca="1" si="162"/>
        <v>0.35127167725252989</v>
      </c>
      <c r="DR163" s="15">
        <f t="shared" ca="1" si="190"/>
        <v>9.9176996513810671</v>
      </c>
      <c r="DS163" s="15">
        <f t="shared" ca="1" si="191"/>
        <v>10.009652264445602</v>
      </c>
      <c r="DT163" s="9"/>
      <c r="DU163" s="9"/>
      <c r="DV163" s="9"/>
      <c r="DW163" s="89">
        <v>9.8111545626529944E-3</v>
      </c>
      <c r="DX163" s="89">
        <f t="shared" ca="1" si="163"/>
        <v>9.3638098843721006E-3</v>
      </c>
      <c r="DY163" s="72">
        <f t="shared" ca="1" si="164"/>
        <v>-0.10921726083660434</v>
      </c>
      <c r="DZ163" s="37"/>
      <c r="EA163" s="35">
        <f t="shared" si="174"/>
        <v>0.3204621662536784</v>
      </c>
      <c r="EB163" s="56"/>
      <c r="EC163" s="56"/>
      <c r="EE163" s="2" t="e" vm="165">
        <v>#VALUE!</v>
      </c>
      <c r="EG163" s="10" cm="1">
        <f t="array" aca="1" ref="EG163" ca="1">_FV(EE163,"Ações em circulação",TRUE)</f>
        <v>1050378000</v>
      </c>
      <c r="EH163" s="18">
        <f>VLOOKUP(BR163,Fundamentus!A:U,5,FALSE)</f>
        <v>1.0620000000000001</v>
      </c>
      <c r="EI163" s="2">
        <f t="shared" ca="1" si="165"/>
        <v>9841112146.8926544</v>
      </c>
      <c r="EJ163" s="17">
        <v>73808341.101694912</v>
      </c>
      <c r="EK163" s="17">
        <f t="shared" ca="1" si="166"/>
        <v>73808341.101694912</v>
      </c>
      <c r="EM163" s="16">
        <f t="shared" ca="1" si="153"/>
        <v>0</v>
      </c>
      <c r="EN163" s="32" t="str">
        <f>IF(VLOOKUP(BR163,Fundamentus!A:U,3,FALSE)&lt;15,"Bom",IF(VLOOKUP(BR163,Fundamentus!A:U,3,FALSE)&gt;15,"Ruim","n/a"))</f>
        <v>Ruim</v>
      </c>
      <c r="EO163" s="28" t="str">
        <f>IF(VLOOKUP(BR163,Fundamentus!A:U,4,FALSE)&lt;1,"Baixo",IF(VLOOKUP(BR163,Fundamentus!A:U,4,FALSE)&lt;1.5,"Moderado",IF(VLOOKUP(BR163,Fundamentus!A:U,4,FALSE)&gt;1.5,"Alto","n/a")))</f>
        <v>Baixo</v>
      </c>
      <c r="EP163" s="17" t="str">
        <f>IF(VLOOKUP(BR163,Fundamentus!A:U,8,FALSE)&lt;0,"Risco elevado",IF(VLOOKUP(BR163,Fundamentus!A:U,8,FALSE)&lt;1,"Saudável",IF(VLOOKUP(BR163,Fundamentus!A:U,8,FALSE)&lt;3,"Estável",IF(VLOOKUP(BR163,Fundamentus!A:U,8,FALSE)&gt;3,"Alerta","n/a"))))</f>
        <v>Estável</v>
      </c>
      <c r="EQ163" s="28" t="str">
        <f t="shared" si="167"/>
        <v>Bom</v>
      </c>
      <c r="ER163" s="17" t="str">
        <f>IF(VLOOKUP(BR163,Fundamentus!A:U,12,FALSE)&lt;2,"Subvalorizada",IF(VLOOKUP(BR163,Fundamentus!A:U,12,FALSE)&lt;6,"Muita barata",IF(VLOOKUP(BR163,Fundamentus!A:U,12,FALSE)&lt;6,"Barata",IF(VLOOKUP(BR163,Fundamentus!A:U,12,FALSE)&lt;8,"Atrativa",IF(VLOOKUP(BR163,Fundamentus!A:U,12,FALSE)&gt;8,"Supervalorizada","n/a")))))</f>
        <v>Supervalorizada</v>
      </c>
      <c r="ET163" s="17" t="str">
        <f>IF(VLOOKUP(BR163,Fundamentus!A:U,17,FALSE)&lt;0.1,"Fraco retorno",IF(VLOOKUP(BR163,Fundamentus!A:U,17,FALSE)&gt;0.1,"Bom retorno","n/a"))</f>
        <v>Fraco retorno</v>
      </c>
      <c r="EU163" s="17" t="str">
        <f>IF(VLOOKUP(BR163,Fundamentus!A:U,16,FALSE)&lt;0.1,"Ineficiente",IF(VLOOKUP(BR163,Fundamentus!A:U,16,FALSE)&gt;0.1,"Eficiente","n/a"))</f>
        <v>Ineficiente</v>
      </c>
      <c r="EV163" s="33" t="str">
        <f>IF(VLOOKUP(BR163,Fundamentus!A:U,16,FALSE)&lt;0.1,"Oper. Ineficiente",IF(VLOOKUP(BR163,Fundamentus!A:U,16,FALSE)&gt;0.1,"Oper.Eficiente","n/a"))</f>
        <v>Oper. Ineficiente</v>
      </c>
      <c r="EW163" s="34">
        <f>VLOOKUP(BR163,Fundamentus!A:U,14,FALSE)</f>
        <v>7.4999999999999997E-3</v>
      </c>
      <c r="EX163" s="17" t="str">
        <f>IF(VLOOKUP(BR163,Fundamentus!A:U,21,FALSE)&lt;0,"Negativo",IF(VLOOKUP(BR163,Fundamentus!A:U,21,FALSE)&lt;0.05,"Fraco",IF(VLOOKUP(BR163,Fundamentus!A:U,21,FALSE)&lt;0.1,"Bom",IF(VLOOKUP(BR163,Fundamentus!A:U,21,FALSE)&gt;0.1,"Muito bom","n/a"))))</f>
        <v>Muito bom</v>
      </c>
      <c r="EZ163" s="29" t="str">
        <f>IF(VLOOKUP(BR163,Fundamentus!A:U,15,FALSE)&gt;1,"Bom",IF(VLOOKUP(BR163,Fundamentus!A:U,15,FALSE)&lt;1,"Ruim","n/a"))</f>
        <v>Bom</v>
      </c>
      <c r="FA163" s="17" t="str">
        <f>IF(VLOOKUP(BR163,Fundamentus!A:U,20,FALSE)&lt;0.5,"Baixa",IF(VLOOKUP(BR163,Fundamentus!A:U,20,FALSE)&lt;1,"Moderada",IF(VLOOKUP(BR163,Fundamentus!A:U,20,FALSE)&lt;2,"Alerta",IF(VLOOKUP(BR163,Fundamentus!A:U,20,FALSE)&gt;2,"Alta","n/a"))))</f>
        <v>Alerta</v>
      </c>
      <c r="FB163" s="10"/>
    </row>
    <row r="164" spans="1:158" s="2" customFormat="1" ht="11.25"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5">
        <v>19.82</v>
      </c>
      <c r="BC164" s="52">
        <v>18.7</v>
      </c>
      <c r="BD164" s="52">
        <v>18.93</v>
      </c>
      <c r="BE164" s="52">
        <v>19.25</v>
      </c>
      <c r="BF164" s="52">
        <v>18.48</v>
      </c>
      <c r="BG164" s="67">
        <v>19.079999999999998</v>
      </c>
      <c r="BH164" s="52">
        <v>18.190000000000001</v>
      </c>
      <c r="BI164" s="52">
        <v>18.2</v>
      </c>
      <c r="BJ164" s="52">
        <v>18.07</v>
      </c>
      <c r="BK164" s="52">
        <v>17.7</v>
      </c>
      <c r="BL164" s="52">
        <v>16.98</v>
      </c>
      <c r="BM164" s="52">
        <v>16.760000000000002</v>
      </c>
      <c r="BN164" s="52">
        <v>16.04</v>
      </c>
      <c r="BO164" s="52">
        <v>15.72</v>
      </c>
      <c r="BP164" s="52">
        <v>15.88</v>
      </c>
      <c r="BQ164" s="52" cm="1">
        <f t="array" aca="1" ref="BQ164" ca="1">_FV(EE164,"Preço")</f>
        <v>15.88</v>
      </c>
      <c r="BR164" s="69" t="s">
        <v>160</v>
      </c>
      <c r="BS164" s="36" cm="1">
        <f t="array" aca="1" ref="BS164" ca="1">_FV(EE164,"Média de volume",TRUE)</f>
        <v>571800</v>
      </c>
      <c r="BT164" s="36">
        <v>741400</v>
      </c>
      <c r="BU164" s="36" cm="1">
        <f t="array" aca="1" ref="BU164" ca="1">_FV(EE164,"Volume")</f>
        <v>741400</v>
      </c>
      <c r="BV164" s="24" cm="1">
        <f t="array" aca="1" ref="BV164" ca="1">_FV(EE164,"Beta")</f>
        <v>0.55640000000000001</v>
      </c>
      <c r="BW164" s="71" cm="1">
        <f t="array" aca="1" ref="BW164" ca="1">_FV(EE164,"Variação (%)",TRUE)</f>
        <v>-4.3890000000000005E-3</v>
      </c>
      <c r="BY164" s="17" cm="1">
        <f t="array" aca="1" ref="BY164" ca="1">_FV(EE164,"Baixo")</f>
        <v>15.52</v>
      </c>
      <c r="BZ164" s="17" cm="1">
        <f t="array" aca="1" ref="BZ164" ca="1">_FV(EE164,"Alto")</f>
        <v>16.12</v>
      </c>
      <c r="CA164" s="24"/>
      <c r="CB164" s="63" t="e">
        <f ca="1">SQRT(22.5*(BQ164/VLOOKUP(BR164,Fundamentus!A:U,3,FALSE))*(BQ164/VLOOKUP(BR164,Fundamentus!A:U,4,FALSE)))</f>
        <v>#NUM!</v>
      </c>
      <c r="CD164" s="62">
        <f t="shared" ca="1" si="168"/>
        <v>0</v>
      </c>
      <c r="CE164" s="8"/>
      <c r="CF164" s="61">
        <f t="shared" si="169"/>
        <v>15.72</v>
      </c>
      <c r="CG164" s="61">
        <f t="shared" si="170"/>
        <v>27.58</v>
      </c>
      <c r="CH164" s="61">
        <f t="shared" si="171"/>
        <v>21.963897058823534</v>
      </c>
      <c r="CI164" s="14"/>
      <c r="CJ164" s="35">
        <f t="shared" si="154"/>
        <v>13.957145766659886</v>
      </c>
      <c r="CK164" s="15">
        <f t="shared" si="172"/>
        <v>15.3599999999999</v>
      </c>
      <c r="CL164" s="35">
        <f t="shared" si="155"/>
        <v>16.762854233339915</v>
      </c>
      <c r="CN164" s="14"/>
      <c r="CO164" s="17">
        <f t="shared" si="156"/>
        <v>1.3333333333337194E-2</v>
      </c>
      <c r="CP164" s="17">
        <f t="shared" si="157"/>
        <v>7.8666666666666689</v>
      </c>
      <c r="CQ164" s="17">
        <f t="shared" si="158"/>
        <v>11.873333333333335</v>
      </c>
      <c r="CR164" s="38">
        <f t="shared" si="173"/>
        <v>19.726666666666667</v>
      </c>
      <c r="CS164" s="17">
        <f t="shared" si="159"/>
        <v>23.733333333333334</v>
      </c>
      <c r="CT164" s="17">
        <f t="shared" si="160"/>
        <v>31.586666666666666</v>
      </c>
      <c r="CU164" s="17">
        <f t="shared" si="161"/>
        <v>35.593333333333334</v>
      </c>
      <c r="CV164" s="2" cm="1">
        <f t="array" aca="1" ref="CV164" ca="1">MAX(_xlfn._xlws.FILTER(CO164:CU164,CO164:CU164&lt;BQ164))</f>
        <v>11.873333333333335</v>
      </c>
      <c r="CW164" s="2" cm="1">
        <f t="array" aca="1" ref="CW164" ca="1">MIN(_xlfn._xlws.FILTER($CO164:$CU164,$CO164:$CU164&gt;BQ164))</f>
        <v>19.726666666666667</v>
      </c>
      <c r="CX164" s="16">
        <f t="shared" ca="1" si="175"/>
        <v>0.66142616507579999</v>
      </c>
      <c r="CY164" s="20">
        <f t="shared" ca="1" si="176"/>
        <v>-0.33071308253789999</v>
      </c>
      <c r="CZ164" s="20">
        <f t="shared" ca="1" si="177"/>
        <v>-0.22047538835860001</v>
      </c>
      <c r="DA164" s="20">
        <f t="shared" ca="1" si="178"/>
        <v>-0.13228523301515999</v>
      </c>
      <c r="DB164" s="20">
        <f t="shared" ca="1" si="179"/>
        <v>-7.3491796119533326E-2</v>
      </c>
      <c r="DC164" s="20">
        <f t="shared" ca="1" si="180"/>
        <v>-3.8907421475047055E-2</v>
      </c>
      <c r="DD164" s="20">
        <f t="shared" ca="1" si="181"/>
        <v>-2.004321712350909E-2</v>
      </c>
      <c r="DE164" s="20">
        <f t="shared" ca="1" si="182"/>
        <v>-1.0175787155012307E-2</v>
      </c>
      <c r="DF164" s="21">
        <f t="shared" ca="1" si="183"/>
        <v>1.0175787155012307E-2</v>
      </c>
      <c r="DG164" s="21">
        <f t="shared" ca="1" si="184"/>
        <v>2.004321712350909E-2</v>
      </c>
      <c r="DH164" s="21">
        <f t="shared" ca="1" si="185"/>
        <v>3.8907421475047055E-2</v>
      </c>
      <c r="DI164" s="21">
        <f t="shared" ca="1" si="186"/>
        <v>7.3491796119533326E-2</v>
      </c>
      <c r="DJ164" s="21">
        <f t="shared" ca="1" si="187"/>
        <v>0.13228523301515999</v>
      </c>
      <c r="DK164" s="21">
        <f t="shared" ca="1" si="188"/>
        <v>0.22047538835860001</v>
      </c>
      <c r="DL164" s="21">
        <f t="shared" ca="1" si="189"/>
        <v>0.33071308253789999</v>
      </c>
      <c r="DN164" s="16" cm="1">
        <f t="array" aca="1" ref="DN164" ca="1">MAX(_xlfn._xlws.FILTER(CY164:DL164,CY164:DL164&lt;BW164))</f>
        <v>-1.0175787155012307E-2</v>
      </c>
      <c r="DO164" s="16" cm="1">
        <f t="array" aca="1" ref="DO164" ca="1">MIN(_xlfn._xlws.FILTER(CY164:DL164,CY164:DL164&gt;BW164))</f>
        <v>1.0175787155012307E-2</v>
      </c>
      <c r="DP164" s="2" cm="1">
        <f t="array" aca="1" ref="DP164" ca="1">_FV(EE164,"Fechamento anterior",TRUE)</f>
        <v>15.95</v>
      </c>
      <c r="DQ164" s="28">
        <f t="shared" ca="1" si="162"/>
        <v>0.28435502498789839</v>
      </c>
      <c r="DR164" s="15">
        <f t="shared" ca="1" si="190"/>
        <v>15.787696194877553</v>
      </c>
      <c r="DS164" s="15">
        <f t="shared" ca="1" si="191"/>
        <v>16.112303805122444</v>
      </c>
      <c r="DT164" s="9"/>
      <c r="DU164" s="9"/>
      <c r="DV164" s="9"/>
      <c r="DW164" s="89">
        <v>1.9164482687228895E-2</v>
      </c>
      <c r="DX164" s="89">
        <f t="shared" ca="1" si="163"/>
        <v>2.0351574310024614E-2</v>
      </c>
      <c r="DY164" s="72">
        <f t="shared" ca="1" si="164"/>
        <v>0.3706728665330028</v>
      </c>
      <c r="DZ164" s="37"/>
      <c r="EA164" s="35">
        <f t="shared" si="174"/>
        <v>0.70142711667000712</v>
      </c>
      <c r="EB164" s="56"/>
      <c r="EC164" s="56"/>
      <c r="EE164" s="2" t="e" vm="166">
        <v>#VALUE!</v>
      </c>
      <c r="EG164" s="10" cm="1">
        <f t="array" aca="1" ref="EG164" ca="1">_FV(EE164,"Ações em circulação",TRUE)</f>
        <v>144177500</v>
      </c>
      <c r="EH164" s="18">
        <f>VLOOKUP(BR164,Fundamentus!A:U,5,FALSE)</f>
        <v>0.216</v>
      </c>
      <c r="EI164" s="2">
        <f t="shared" ca="1" si="165"/>
        <v>10599716203.703703</v>
      </c>
      <c r="EJ164" s="17">
        <v>-44518808.055555552</v>
      </c>
      <c r="EK164" s="17">
        <f t="shared" ca="1" si="166"/>
        <v>-44518808.055555552</v>
      </c>
      <c r="EM164" s="16">
        <f t="shared" ca="1" si="153"/>
        <v>0</v>
      </c>
      <c r="EN164" s="32" t="str">
        <f>IF(VLOOKUP(BR164,Fundamentus!A:U,3,FALSE)&lt;15,"Bom",IF(VLOOKUP(BR164,Fundamentus!A:U,3,FALSE)&gt;15,"Ruim","n/a"))</f>
        <v>Bom</v>
      </c>
      <c r="EO164" s="28" t="str">
        <f>IF(VLOOKUP(BR164,Fundamentus!A:U,4,FALSE)&lt;1,"Baixo",IF(VLOOKUP(BR164,Fundamentus!A:U,4,FALSE)&lt;1.5,"Moderado",IF(VLOOKUP(BR164,Fundamentus!A:U,4,FALSE)&gt;1.5,"Alto","n/a")))</f>
        <v>Baixo</v>
      </c>
      <c r="EP164" s="17" t="str">
        <f>IF(VLOOKUP(BR164,Fundamentus!A:U,8,FALSE)&lt;0,"Risco elevado",IF(VLOOKUP(BR164,Fundamentus!A:U,8,FALSE)&lt;1,"Saudável",IF(VLOOKUP(BR164,Fundamentus!A:U,8,FALSE)&lt;3,"Estável",IF(VLOOKUP(BR164,Fundamentus!A:U,8,FALSE)&gt;3,"Alerta","n/a"))))</f>
        <v>Saudável</v>
      </c>
      <c r="EQ164" s="28" t="str">
        <f t="shared" si="167"/>
        <v>Ruim</v>
      </c>
      <c r="ER164" s="17" t="str">
        <f>IF(VLOOKUP(BR164,Fundamentus!A:U,12,FALSE)&lt;2,"Subvalorizada",IF(VLOOKUP(BR164,Fundamentus!A:U,12,FALSE)&lt;6,"Muita barata",IF(VLOOKUP(BR164,Fundamentus!A:U,12,FALSE)&lt;6,"Barata",IF(VLOOKUP(BR164,Fundamentus!A:U,12,FALSE)&lt;8,"Atrativa",IF(VLOOKUP(BR164,Fundamentus!A:U,12,FALSE)&gt;8,"Supervalorizada","n/a")))))</f>
        <v>Muita barata</v>
      </c>
      <c r="ET164" s="17" t="str">
        <f>IF(VLOOKUP(BR164,Fundamentus!A:U,17,FALSE)&lt;0.1,"Fraco retorno",IF(VLOOKUP(BR164,Fundamentus!A:U,17,FALSE)&gt;0.1,"Bom retorno","n/a"))</f>
        <v>Fraco retorno</v>
      </c>
      <c r="EU164" s="17" t="str">
        <f>IF(VLOOKUP(BR164,Fundamentus!A:U,16,FALSE)&lt;0.1,"Ineficiente",IF(VLOOKUP(BR164,Fundamentus!A:U,16,FALSE)&gt;0.1,"Eficiente","n/a"))</f>
        <v>Eficiente</v>
      </c>
      <c r="EV164" s="33" t="str">
        <f>IF(VLOOKUP(BR164,Fundamentus!A:U,16,FALSE)&lt;0.1,"Oper. Ineficiente",IF(VLOOKUP(BR164,Fundamentus!A:U,16,FALSE)&gt;0.1,"Oper.Eficiente","n/a"))</f>
        <v>Oper.Eficiente</v>
      </c>
      <c r="EW164" s="34">
        <f>VLOOKUP(BR164,Fundamentus!A:U,14,FALSE)</f>
        <v>-4.1999999999999997E-3</v>
      </c>
      <c r="EX164" s="17" t="str">
        <f>IF(VLOOKUP(BR164,Fundamentus!A:U,21,FALSE)&lt;0,"Negativo",IF(VLOOKUP(BR164,Fundamentus!A:U,21,FALSE)&lt;0.05,"Fraco",IF(VLOOKUP(BR164,Fundamentus!A:U,21,FALSE)&lt;0.1,"Bom",IF(VLOOKUP(BR164,Fundamentus!A:U,21,FALSE)&gt;0.1,"Muito bom","n/a"))))</f>
        <v>Muito bom</v>
      </c>
      <c r="EZ164" s="29" t="str">
        <f>IF(VLOOKUP(BR164,Fundamentus!A:U,15,FALSE)&gt;1,"Bom",IF(VLOOKUP(BR164,Fundamentus!A:U,15,FALSE)&lt;1,"Ruim","n/a"))</f>
        <v>Bom</v>
      </c>
      <c r="FA164" s="17" t="str">
        <f>IF(VLOOKUP(BR164,Fundamentus!A:U,20,FALSE)&lt;0.5,"Baixa",IF(VLOOKUP(BR164,Fundamentus!A:U,20,FALSE)&lt;1,"Moderada",IF(VLOOKUP(BR164,Fundamentus!A:U,20,FALSE)&lt;2,"Alerta",IF(VLOOKUP(BR164,Fundamentus!A:U,20,FALSE)&gt;2,"Alta","n/a"))))</f>
        <v>Alerta</v>
      </c>
      <c r="FB164" s="10"/>
    </row>
    <row r="165" spans="1:158" s="2" customFormat="1" ht="11.25"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5">
        <v>17.899999999999999</v>
      </c>
      <c r="BC165" s="52">
        <v>17.600000000000001</v>
      </c>
      <c r="BD165" s="52">
        <v>17.2</v>
      </c>
      <c r="BE165" s="52">
        <v>17</v>
      </c>
      <c r="BF165" s="52">
        <v>16.739999999999998</v>
      </c>
      <c r="BG165" s="67">
        <v>16.989999999999998</v>
      </c>
      <c r="BH165" s="52">
        <v>16.93</v>
      </c>
      <c r="BI165" s="52">
        <v>17.04</v>
      </c>
      <c r="BJ165" s="52">
        <v>17.14</v>
      </c>
      <c r="BK165" s="52">
        <v>16.61</v>
      </c>
      <c r="BL165" s="52">
        <v>16.809999999999999</v>
      </c>
      <c r="BM165" s="52">
        <v>16.68</v>
      </c>
      <c r="BN165" s="52">
        <v>18</v>
      </c>
      <c r="BO165" s="52">
        <v>18.149999999999999</v>
      </c>
      <c r="BP165" s="52">
        <v>19.760000000000002</v>
      </c>
      <c r="BQ165" s="52" cm="1">
        <f t="array" aca="1" ref="BQ165" ca="1">_FV(EE165,"Preço")</f>
        <v>19.760000000000002</v>
      </c>
      <c r="BR165" s="69" t="s">
        <v>161</v>
      </c>
      <c r="BS165" s="36" cm="1">
        <f t="array" aca="1" ref="BS165" ca="1">_FV(EE165,"Média de volume",TRUE)</f>
        <v>48160</v>
      </c>
      <c r="BT165" s="36">
        <v>2300</v>
      </c>
      <c r="BU165" s="36" cm="1">
        <f t="array" aca="1" ref="BU165" ca="1">_FV(EE165,"Volume")</f>
        <v>2300</v>
      </c>
      <c r="BV165" s="24" cm="1">
        <f t="array" aca="1" ref="BV165" ca="1">_FV(EE165,"Beta")</f>
        <v>0.95509999999999995</v>
      </c>
      <c r="BW165" s="71" cm="1">
        <f t="array" aca="1" ref="BW165" ca="1">_FV(EE165,"Variação (%)",TRUE)</f>
        <v>-1.5160000000000002E-3</v>
      </c>
      <c r="BY165" s="17" cm="1">
        <f t="array" aca="1" ref="BY165" ca="1">_FV(EE165,"Baixo")</f>
        <v>19.54</v>
      </c>
      <c r="BZ165" s="17" cm="1">
        <f t="array" aca="1" ref="BZ165" ca="1">_FV(EE165,"Alto")</f>
        <v>19.850000000000001</v>
      </c>
      <c r="CA165" s="24"/>
      <c r="CB165" s="63" t="e">
        <f ca="1">SQRT(22.5*(BQ165/VLOOKUP(BR165,Fundamentus!A:U,3,FALSE))*(BQ165/VLOOKUP(BR165,Fundamentus!A:U,4,FALSE)))</f>
        <v>#NUM!</v>
      </c>
      <c r="CD165" s="62">
        <f t="shared" ca="1" si="168"/>
        <v>0</v>
      </c>
      <c r="CE165" s="8"/>
      <c r="CF165" s="61">
        <f t="shared" si="169"/>
        <v>15.83</v>
      </c>
      <c r="CG165" s="61">
        <f t="shared" si="170"/>
        <v>25.9</v>
      </c>
      <c r="CH165" s="61">
        <f t="shared" si="171"/>
        <v>20.053529411764714</v>
      </c>
      <c r="CI165" s="14"/>
      <c r="CJ165" s="35">
        <f t="shared" si="154"/>
        <v>19.138357084564884</v>
      </c>
      <c r="CK165" s="15">
        <f t="shared" si="172"/>
        <v>20.494999999999891</v>
      </c>
      <c r="CL165" s="35">
        <f t="shared" si="155"/>
        <v>21.851642915434898</v>
      </c>
      <c r="CN165" s="14"/>
      <c r="CO165" s="17">
        <f t="shared" si="156"/>
        <v>5.0233333333333352</v>
      </c>
      <c r="CP165" s="17">
        <f t="shared" si="157"/>
        <v>10.426666666666668</v>
      </c>
      <c r="CQ165" s="17">
        <f t="shared" si="158"/>
        <v>15.093333333333334</v>
      </c>
      <c r="CR165" s="38">
        <f t="shared" si="173"/>
        <v>20.496666666666666</v>
      </c>
      <c r="CS165" s="17">
        <f t="shared" si="159"/>
        <v>25.163333333333334</v>
      </c>
      <c r="CT165" s="17">
        <f t="shared" si="160"/>
        <v>30.566666666666663</v>
      </c>
      <c r="CU165" s="17">
        <f t="shared" si="161"/>
        <v>35.233333333333334</v>
      </c>
      <c r="CV165" s="2" cm="1">
        <f t="array" aca="1" ref="CV165" ca="1">MAX(_xlfn._xlws.FILTER(CO165:CU165,CO165:CU165&lt;BQ165))</f>
        <v>15.093333333333334</v>
      </c>
      <c r="CW165" s="2" cm="1">
        <f t="array" aca="1" ref="CW165" ca="1">MIN(_xlfn._xlws.FILTER($CO165:$CU165,$CO165:$CU165&gt;BQ165))</f>
        <v>20.496666666666666</v>
      </c>
      <c r="CX165" s="16">
        <f t="shared" ca="1" si="175"/>
        <v>0.35799469964664299</v>
      </c>
      <c r="CY165" s="20">
        <f t="shared" ca="1" si="176"/>
        <v>-0.17899734982332149</v>
      </c>
      <c r="CZ165" s="20">
        <f t="shared" ca="1" si="177"/>
        <v>-0.119331566548881</v>
      </c>
      <c r="DA165" s="20">
        <f t="shared" ca="1" si="178"/>
        <v>-7.1598939929328601E-2</v>
      </c>
      <c r="DB165" s="20">
        <f t="shared" ca="1" si="179"/>
        <v>-3.9777188849626999E-2</v>
      </c>
      <c r="DC165" s="20">
        <f t="shared" ca="1" si="180"/>
        <v>-2.1058511743920177E-2</v>
      </c>
      <c r="DD165" s="20">
        <f t="shared" ca="1" si="181"/>
        <v>-1.0848324231716455E-2</v>
      </c>
      <c r="DE165" s="20">
        <f t="shared" ca="1" si="182"/>
        <v>-5.5076107637945073E-3</v>
      </c>
      <c r="DF165" s="21">
        <f t="shared" ca="1" si="183"/>
        <v>5.5076107637945073E-3</v>
      </c>
      <c r="DG165" s="21">
        <f t="shared" ca="1" si="184"/>
        <v>1.0848324231716455E-2</v>
      </c>
      <c r="DH165" s="21">
        <f t="shared" ca="1" si="185"/>
        <v>2.1058511743920177E-2</v>
      </c>
      <c r="DI165" s="21">
        <f t="shared" ca="1" si="186"/>
        <v>3.9777188849626999E-2</v>
      </c>
      <c r="DJ165" s="21">
        <f t="shared" ca="1" si="187"/>
        <v>7.1598939929328601E-2</v>
      </c>
      <c r="DK165" s="21">
        <f t="shared" ca="1" si="188"/>
        <v>0.119331566548881</v>
      </c>
      <c r="DL165" s="21">
        <f t="shared" ca="1" si="189"/>
        <v>0.17899734982332149</v>
      </c>
      <c r="DN165" s="16" cm="1">
        <f t="array" aca="1" ref="DN165" ca="1">MAX(_xlfn._xlws.FILTER(CY165:DL165,CY165:DL165&lt;BW165))</f>
        <v>-5.5076107637945073E-3</v>
      </c>
      <c r="DO165" s="16" cm="1">
        <f t="array" aca="1" ref="DO165" ca="1">MIN(_xlfn._xlws.FILTER(CY165:DL165,CY165:DL165&gt;BW165))</f>
        <v>5.5076107637945073E-3</v>
      </c>
      <c r="DP165" s="2" cm="1">
        <f t="array" aca="1" ref="DP165" ca="1">_FV(EE165,"Fechamento anterior",TRUE)</f>
        <v>19.79</v>
      </c>
      <c r="DQ165" s="28">
        <f t="shared" ca="1" si="162"/>
        <v>0.36237978727285536</v>
      </c>
      <c r="DR165" s="15">
        <f t="shared" ca="1" si="190"/>
        <v>19.681004382984504</v>
      </c>
      <c r="DS165" s="15">
        <f t="shared" ca="1" si="191"/>
        <v>19.898995617015494</v>
      </c>
      <c r="DT165" s="9"/>
      <c r="DU165" s="9"/>
      <c r="DV165" s="9"/>
      <c r="DW165" s="89">
        <v>1.3036321738176237E-2</v>
      </c>
      <c r="DX165" s="89">
        <f t="shared" ca="1" si="163"/>
        <v>1.1015221527589015E-2</v>
      </c>
      <c r="DY165" s="72">
        <f t="shared" ca="1" si="164"/>
        <v>-0.54177852671291327</v>
      </c>
      <c r="DZ165" s="37"/>
      <c r="EA165" s="35">
        <f t="shared" si="174"/>
        <v>0.67832145771750418</v>
      </c>
      <c r="EB165" s="56"/>
      <c r="EC165" s="56"/>
      <c r="EE165" s="2" t="e" vm="167">
        <v>#VALUE!</v>
      </c>
      <c r="EG165" s="10" cm="1">
        <f t="array" aca="1" ref="EG165" ca="1">_FV(EE165,"Ações em circulação",TRUE)</f>
        <v>57737320</v>
      </c>
      <c r="EH165" s="18">
        <f>VLOOKUP(BR165,Fundamentus!A:U,5,FALSE)</f>
        <v>2.121</v>
      </c>
      <c r="EI165" s="2">
        <f t="shared" ca="1" si="165"/>
        <v>537901670.53276753</v>
      </c>
      <c r="EJ165" s="17">
        <v>-33188533.071871758</v>
      </c>
      <c r="EK165" s="17">
        <f t="shared" ca="1" si="166"/>
        <v>-33188533.071871758</v>
      </c>
      <c r="EM165" s="16">
        <f t="shared" ca="1" si="153"/>
        <v>0</v>
      </c>
      <c r="EN165" s="32" t="str">
        <f>IF(VLOOKUP(BR165,Fundamentus!A:U,3,FALSE)&lt;15,"Bom",IF(VLOOKUP(BR165,Fundamentus!A:U,3,FALSE)&gt;15,"Ruim","n/a"))</f>
        <v>Bom</v>
      </c>
      <c r="EO165" s="28" t="str">
        <f>IF(VLOOKUP(BR165,Fundamentus!A:U,4,FALSE)&lt;1,"Baixo",IF(VLOOKUP(BR165,Fundamentus!A:U,4,FALSE)&lt;1.5,"Moderado",IF(VLOOKUP(BR165,Fundamentus!A:U,4,FALSE)&gt;1.5,"Alto","n/a")))</f>
        <v>Baixo</v>
      </c>
      <c r="EP165" s="17" t="str">
        <f>IF(VLOOKUP(BR165,Fundamentus!A:U,8,FALSE)&lt;0,"Risco elevado",IF(VLOOKUP(BR165,Fundamentus!A:U,8,FALSE)&lt;1,"Saudável",IF(VLOOKUP(BR165,Fundamentus!A:U,8,FALSE)&lt;3,"Estável",IF(VLOOKUP(BR165,Fundamentus!A:U,8,FALSE)&gt;3,"Alerta","n/a"))))</f>
        <v>Estável</v>
      </c>
      <c r="EQ165" s="28" t="str">
        <f t="shared" si="167"/>
        <v>Bom</v>
      </c>
      <c r="ER165" s="17" t="str">
        <f>IF(VLOOKUP(BR165,Fundamentus!A:U,12,FALSE)&lt;2,"Subvalorizada",IF(VLOOKUP(BR165,Fundamentus!A:U,12,FALSE)&lt;6,"Muita barata",IF(VLOOKUP(BR165,Fundamentus!A:U,12,FALSE)&lt;6,"Barata",IF(VLOOKUP(BR165,Fundamentus!A:U,12,FALSE)&lt;8,"Atrativa",IF(VLOOKUP(BR165,Fundamentus!A:U,12,FALSE)&gt;8,"Supervalorizada","n/a")))))</f>
        <v>Supervalorizada</v>
      </c>
      <c r="ET165" s="17" t="str">
        <f>IF(VLOOKUP(BR165,Fundamentus!A:U,17,FALSE)&lt;0.1,"Fraco retorno",IF(VLOOKUP(BR165,Fundamentus!A:U,17,FALSE)&gt;0.1,"Bom retorno","n/a"))</f>
        <v>Fraco retorno</v>
      </c>
      <c r="EU165" s="17" t="str">
        <f>IF(VLOOKUP(BR165,Fundamentus!A:U,16,FALSE)&lt;0.1,"Ineficiente",IF(VLOOKUP(BR165,Fundamentus!A:U,16,FALSE)&gt;0.1,"Eficiente","n/a"))</f>
        <v>Ineficiente</v>
      </c>
      <c r="EV165" s="33" t="str">
        <f>IF(VLOOKUP(BR165,Fundamentus!A:U,16,FALSE)&lt;0.1,"Oper. Ineficiente",IF(VLOOKUP(BR165,Fundamentus!A:U,16,FALSE)&gt;0.1,"Oper.Eficiente","n/a"))</f>
        <v>Oper. Ineficiente</v>
      </c>
      <c r="EW165" s="34">
        <f>VLOOKUP(BR165,Fundamentus!A:U,14,FALSE)</f>
        <v>-6.1699999999999998E-2</v>
      </c>
      <c r="EX165" s="17" t="str">
        <f>IF(VLOOKUP(BR165,Fundamentus!A:U,21,FALSE)&lt;0,"Negativo",IF(VLOOKUP(BR165,Fundamentus!A:U,21,FALSE)&lt;0.05,"Fraco",IF(VLOOKUP(BR165,Fundamentus!A:U,21,FALSE)&lt;0.1,"Bom",IF(VLOOKUP(BR165,Fundamentus!A:U,21,FALSE)&gt;0.1,"Muito bom","n/a"))))</f>
        <v>Muito bom</v>
      </c>
      <c r="EZ165" s="29" t="str">
        <f>IF(VLOOKUP(BR165,Fundamentus!A:U,15,FALSE)&gt;1,"Bom",IF(VLOOKUP(BR165,Fundamentus!A:U,15,FALSE)&lt;1,"Ruim","n/a"))</f>
        <v>Bom</v>
      </c>
      <c r="FA165" s="17" t="str">
        <f>IF(VLOOKUP(BR165,Fundamentus!A:U,20,FALSE)&lt;0.5,"Baixa",IF(VLOOKUP(BR165,Fundamentus!A:U,20,FALSE)&lt;1,"Moderada",IF(VLOOKUP(BR165,Fundamentus!A:U,20,FALSE)&lt;2,"Alerta",IF(VLOOKUP(BR165,Fundamentus!A:U,20,FALSE)&gt;2,"Alta","n/a"))))</f>
        <v>Moderada</v>
      </c>
      <c r="FB165" s="10"/>
    </row>
    <row r="166" spans="1:158" s="2" customFormat="1" ht="11.25"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5">
        <v>3.57</v>
      </c>
      <c r="BC166" s="52">
        <v>3.66</v>
      </c>
      <c r="BD166" s="52">
        <v>3.82</v>
      </c>
      <c r="BE166" s="52">
        <v>3.76</v>
      </c>
      <c r="BF166" s="52">
        <v>3.93</v>
      </c>
      <c r="BG166" s="67">
        <v>4.08</v>
      </c>
      <c r="BH166" s="52">
        <v>4.13</v>
      </c>
      <c r="BI166" s="52">
        <v>4.0599999999999996</v>
      </c>
      <c r="BJ166" s="52">
        <v>3.67</v>
      </c>
      <c r="BK166" s="52">
        <v>3.75</v>
      </c>
      <c r="BL166" s="52">
        <v>3.9</v>
      </c>
      <c r="BM166" s="52">
        <v>3.77</v>
      </c>
      <c r="BN166" s="52">
        <v>3.95</v>
      </c>
      <c r="BO166" s="52">
        <v>4.0199999999999996</v>
      </c>
      <c r="BP166" s="52">
        <v>4.12</v>
      </c>
      <c r="BQ166" s="52" cm="1">
        <f t="array" aca="1" ref="BQ166" ca="1">_FV(EE166,"Preço")</f>
        <v>4.12</v>
      </c>
      <c r="BR166" s="69" t="s">
        <v>162</v>
      </c>
      <c r="BS166" s="36" cm="1">
        <f t="array" aca="1" ref="BS166" ca="1">_FV(EE166,"Média de volume",TRUE)</f>
        <v>5981400</v>
      </c>
      <c r="BT166" s="36">
        <v>7203700</v>
      </c>
      <c r="BU166" s="36" cm="1">
        <f t="array" aca="1" ref="BU166" ca="1">_FV(EE166,"Volume")</f>
        <v>7203700</v>
      </c>
      <c r="BV166" s="24" cm="1">
        <f t="array" aca="1" ref="BV166" ca="1">_FV(EE166,"Beta")</f>
        <v>1.2466999999999999</v>
      </c>
      <c r="BW166" s="71" cm="1">
        <f t="array" aca="1" ref="BW166" ca="1">_FV(EE166,"Variação (%)",TRUE)</f>
        <v>2.2332999999999999E-2</v>
      </c>
      <c r="BY166" s="17" cm="1">
        <f t="array" aca="1" ref="BY166" ca="1">_FV(EE166,"Baixo")</f>
        <v>4.07</v>
      </c>
      <c r="BZ166" s="17" cm="1">
        <f t="array" aca="1" ref="BZ166" ca="1">_FV(EE166,"Alto")</f>
        <v>4.25</v>
      </c>
      <c r="CA166" s="24"/>
      <c r="CB166" s="63">
        <f ca="1">SQRT(22.5*(BQ166/VLOOKUP(BR166,Fundamentus!A:U,3,FALSE))*(BQ166/VLOOKUP(BR166,Fundamentus!A:U,4,FALSE)))</f>
        <v>2.6361555914438788</v>
      </c>
      <c r="CD166" s="62">
        <f t="shared" ca="1" si="168"/>
        <v>0</v>
      </c>
      <c r="CE166" s="8"/>
      <c r="CF166" s="61">
        <f t="shared" si="169"/>
        <v>2.58</v>
      </c>
      <c r="CG166" s="61">
        <f t="shared" si="170"/>
        <v>5.13</v>
      </c>
      <c r="CH166" s="61">
        <f t="shared" si="171"/>
        <v>3.8668382352941175</v>
      </c>
      <c r="CI166" s="14"/>
      <c r="CJ166" s="35">
        <f t="shared" si="154"/>
        <v>4.0373849716422292</v>
      </c>
      <c r="CK166" s="15">
        <f t="shared" si="172"/>
        <v>4.2450000000000045</v>
      </c>
      <c r="CL166" s="35">
        <f t="shared" si="155"/>
        <v>4.4526150283577799</v>
      </c>
      <c r="CN166" s="14"/>
      <c r="CO166" s="17">
        <f t="shared" si="156"/>
        <v>0.206666666666667</v>
      </c>
      <c r="CP166" s="17">
        <f t="shared" si="157"/>
        <v>1.3933333333333335</v>
      </c>
      <c r="CQ166" s="17">
        <f t="shared" si="158"/>
        <v>2.7566666666666668</v>
      </c>
      <c r="CR166" s="38">
        <f t="shared" si="173"/>
        <v>3.9433333333333334</v>
      </c>
      <c r="CS166" s="17">
        <f t="shared" si="159"/>
        <v>5.3066666666666666</v>
      </c>
      <c r="CT166" s="17">
        <f t="shared" si="160"/>
        <v>6.4933333333333332</v>
      </c>
      <c r="CU166" s="17">
        <f t="shared" si="161"/>
        <v>7.8566666666666665</v>
      </c>
      <c r="CV166" s="2" cm="1">
        <f t="array" aca="1" ref="CV166" ca="1">MAX(_xlfn._xlws.FILTER(CO166:CU166,CO166:CU166&lt;BQ166))</f>
        <v>3.9433333333333334</v>
      </c>
      <c r="CW166" s="2" cm="1">
        <f t="array" aca="1" ref="CW166" ca="1">MIN(_xlfn._xlws.FILTER($CO166:$CU166,$CO166:$CU166&gt;BQ166))</f>
        <v>5.3066666666666666</v>
      </c>
      <c r="CX166" s="16">
        <f t="shared" ca="1" si="175"/>
        <v>0.34573119188503809</v>
      </c>
      <c r="CY166" s="20">
        <f t="shared" ca="1" si="176"/>
        <v>-0.17286559594251905</v>
      </c>
      <c r="CZ166" s="20">
        <f t="shared" ca="1" si="177"/>
        <v>-0.11524373062834603</v>
      </c>
      <c r="DA166" s="20">
        <f t="shared" ca="1" si="178"/>
        <v>-6.9146238377007618E-2</v>
      </c>
      <c r="DB166" s="20">
        <f t="shared" ca="1" si="179"/>
        <v>-3.8414576876115346E-2</v>
      </c>
      <c r="DC166" s="20">
        <f t="shared" ca="1" si="180"/>
        <v>-2.0337128934414004E-2</v>
      </c>
      <c r="DD166" s="20">
        <f t="shared" ca="1" si="181"/>
        <v>-1.0476702784395093E-2</v>
      </c>
      <c r="DE166" s="20">
        <f t="shared" ca="1" si="182"/>
        <v>-5.3189414136159702E-3</v>
      </c>
      <c r="DF166" s="21">
        <f t="shared" ca="1" si="183"/>
        <v>5.3189414136159702E-3</v>
      </c>
      <c r="DG166" s="21">
        <f t="shared" ca="1" si="184"/>
        <v>1.0476702784395093E-2</v>
      </c>
      <c r="DH166" s="21">
        <f t="shared" ca="1" si="185"/>
        <v>2.0337128934414004E-2</v>
      </c>
      <c r="DI166" s="21">
        <f t="shared" ca="1" si="186"/>
        <v>3.8414576876115346E-2</v>
      </c>
      <c r="DJ166" s="21">
        <f t="shared" ca="1" si="187"/>
        <v>6.9146238377007618E-2</v>
      </c>
      <c r="DK166" s="21">
        <f t="shared" ca="1" si="188"/>
        <v>0.11524373062834603</v>
      </c>
      <c r="DL166" s="21">
        <f t="shared" ca="1" si="189"/>
        <v>0.17286559594251905</v>
      </c>
      <c r="DN166" s="16" cm="1">
        <f t="array" aca="1" ref="DN166" ca="1">MAX(_xlfn._xlws.FILTER(CY166:DL166,CY166:DL166&lt;BW166))</f>
        <v>2.0337128934414004E-2</v>
      </c>
      <c r="DO166" s="16" cm="1">
        <f t="array" aca="1" ref="DO166" ca="1">MIN(_xlfn._xlws.FILTER(CY166:DL166,CY166:DL166&gt;BW166))</f>
        <v>3.8414576876115346E-2</v>
      </c>
      <c r="DP166" s="2" cm="1">
        <f t="array" aca="1" ref="DP166" ca="1">_FV(EE166,"Fechamento anterior",TRUE)</f>
        <v>4.03</v>
      </c>
      <c r="DQ166" s="28">
        <f t="shared" ca="1" si="162"/>
        <v>0.11037936745799627</v>
      </c>
      <c r="DR166" s="15">
        <f t="shared" ca="1" si="190"/>
        <v>4.1119586296056889</v>
      </c>
      <c r="DS166" s="15">
        <f t="shared" ca="1" si="191"/>
        <v>4.1848107448107452</v>
      </c>
      <c r="DT166" s="9"/>
      <c r="DU166" s="9"/>
      <c r="DV166" s="9"/>
      <c r="DW166" s="89">
        <v>1.7785801447603767E-2</v>
      </c>
      <c r="DX166" s="89">
        <f t="shared" ca="1" si="163"/>
        <v>1.8077447941701342E-2</v>
      </c>
      <c r="DY166" s="72">
        <f t="shared" ca="1" si="164"/>
        <v>-0.60207587566636334</v>
      </c>
      <c r="DZ166" s="37"/>
      <c r="EA166" s="35">
        <f t="shared" si="174"/>
        <v>0.10380751417888774</v>
      </c>
      <c r="EB166" s="56"/>
      <c r="EC166" s="56"/>
      <c r="EE166" s="2" t="e" vm="168">
        <v>#VALUE!</v>
      </c>
      <c r="EG166" s="10" cm="1">
        <f t="array" aca="1" ref="EG166" ca="1">_FV(EE166,"Ações em circulação",TRUE)</f>
        <v>565999200</v>
      </c>
      <c r="EH166" s="18">
        <f>VLOOKUP(BR166,Fundamentus!A:U,5,FALSE)</f>
        <v>1.579</v>
      </c>
      <c r="EI166" s="2">
        <f t="shared" ca="1" si="165"/>
        <v>1476831351.4882839</v>
      </c>
      <c r="EJ166" s="17">
        <v>34410170.489677019</v>
      </c>
      <c r="EK166" s="17">
        <f t="shared" ca="1" si="166"/>
        <v>34410170.489677019</v>
      </c>
      <c r="EM166" s="16">
        <f t="shared" ca="1" si="153"/>
        <v>0</v>
      </c>
      <c r="EN166" s="32" t="str">
        <f>IF(VLOOKUP(BR166,Fundamentus!A:U,3,FALSE)&lt;15,"Bom",IF(VLOOKUP(BR166,Fundamentus!A:U,3,FALSE)&gt;15,"Ruim","n/a"))</f>
        <v>Ruim</v>
      </c>
      <c r="EO166" s="28" t="str">
        <f>IF(VLOOKUP(BR166,Fundamentus!A:U,4,FALSE)&lt;1,"Baixo",IF(VLOOKUP(BR166,Fundamentus!A:U,4,FALSE)&lt;1.5,"Moderado",IF(VLOOKUP(BR166,Fundamentus!A:U,4,FALSE)&gt;1.5,"Alto","n/a")))</f>
        <v>Baixo</v>
      </c>
      <c r="EP166" s="17" t="str">
        <f>IF(VLOOKUP(BR166,Fundamentus!A:U,8,FALSE)&lt;0,"Risco elevado",IF(VLOOKUP(BR166,Fundamentus!A:U,8,FALSE)&lt;1,"Saudável",IF(VLOOKUP(BR166,Fundamentus!A:U,8,FALSE)&lt;3,"Estável",IF(VLOOKUP(BR166,Fundamentus!A:U,8,FALSE)&gt;3,"Alerta","n/a"))))</f>
        <v>Alerta</v>
      </c>
      <c r="EQ166" s="28" t="str">
        <f t="shared" si="167"/>
        <v>Bom</v>
      </c>
      <c r="ER166" s="17" t="str">
        <f>IF(VLOOKUP(BR166,Fundamentus!A:U,12,FALSE)&lt;2,"Subvalorizada",IF(VLOOKUP(BR166,Fundamentus!A:U,12,FALSE)&lt;6,"Muita barata",IF(VLOOKUP(BR166,Fundamentus!A:U,12,FALSE)&lt;6,"Barata",IF(VLOOKUP(BR166,Fundamentus!A:U,12,FALSE)&lt;8,"Atrativa",IF(VLOOKUP(BR166,Fundamentus!A:U,12,FALSE)&gt;8,"Supervalorizada","n/a")))))</f>
        <v>Atrativa</v>
      </c>
      <c r="ET166" s="17" t="str">
        <f>IF(VLOOKUP(BR166,Fundamentus!A:U,17,FALSE)&lt;0.1,"Fraco retorno",IF(VLOOKUP(BR166,Fundamentus!A:U,17,FALSE)&gt;0.1,"Bom retorno","n/a"))</f>
        <v>Fraco retorno</v>
      </c>
      <c r="EU166" s="17" t="str">
        <f>IF(VLOOKUP(BR166,Fundamentus!A:U,16,FALSE)&lt;0.1,"Ineficiente",IF(VLOOKUP(BR166,Fundamentus!A:U,16,FALSE)&gt;0.1,"Eficiente","n/a"))</f>
        <v>Ineficiente</v>
      </c>
      <c r="EV166" s="33" t="str">
        <f>IF(VLOOKUP(BR166,Fundamentus!A:U,16,FALSE)&lt;0.1,"Oper. Ineficiente",IF(VLOOKUP(BR166,Fundamentus!A:U,16,FALSE)&gt;0.1,"Oper.Eficiente","n/a"))</f>
        <v>Oper. Ineficiente</v>
      </c>
      <c r="EW166" s="34">
        <f>VLOOKUP(BR166,Fundamentus!A:U,14,FALSE)</f>
        <v>2.3300000000000001E-2</v>
      </c>
      <c r="EX166" s="17" t="str">
        <f>IF(VLOOKUP(BR166,Fundamentus!A:U,21,FALSE)&lt;0,"Negativo",IF(VLOOKUP(BR166,Fundamentus!A:U,21,FALSE)&lt;0.05,"Fraco",IF(VLOOKUP(BR166,Fundamentus!A:U,21,FALSE)&lt;0.1,"Bom",IF(VLOOKUP(BR166,Fundamentus!A:U,21,FALSE)&gt;0.1,"Muito bom","n/a"))))</f>
        <v>Muito bom</v>
      </c>
      <c r="EZ166" s="29" t="str">
        <f>IF(VLOOKUP(BR166,Fundamentus!A:U,15,FALSE)&gt;1,"Bom",IF(VLOOKUP(BR166,Fundamentus!A:U,15,FALSE)&lt;1,"Ruim","n/a"))</f>
        <v>Bom</v>
      </c>
      <c r="FA166" s="17" t="str">
        <f>IF(VLOOKUP(BR166,Fundamentus!A:U,20,FALSE)&lt;0.5,"Baixa",IF(VLOOKUP(BR166,Fundamentus!A:U,20,FALSE)&lt;1,"Moderada",IF(VLOOKUP(BR166,Fundamentus!A:U,20,FALSE)&lt;2,"Alerta",IF(VLOOKUP(BR166,Fundamentus!A:U,20,FALSE)&gt;2,"Alta","n/a"))))</f>
        <v>Baixa</v>
      </c>
      <c r="FB166" s="10"/>
    </row>
    <row r="167" spans="1:158" s="2" customFormat="1" ht="11.25"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5">
        <v>1.39</v>
      </c>
      <c r="BC167" s="52">
        <v>1.5</v>
      </c>
      <c r="BD167" s="52">
        <v>1.6</v>
      </c>
      <c r="BE167" s="52">
        <v>1.75</v>
      </c>
      <c r="BF167" s="52">
        <v>1.66</v>
      </c>
      <c r="BG167" s="67">
        <v>1.65</v>
      </c>
      <c r="BH167" s="52">
        <v>1.64</v>
      </c>
      <c r="BI167" s="52">
        <v>1.67</v>
      </c>
      <c r="BJ167" s="52">
        <v>1.58</v>
      </c>
      <c r="BK167" s="52">
        <v>1.38</v>
      </c>
      <c r="BL167" s="52">
        <v>1.45</v>
      </c>
      <c r="BM167" s="52">
        <v>1.49</v>
      </c>
      <c r="BN167" s="52">
        <v>1.42</v>
      </c>
      <c r="BO167" s="52">
        <v>1.4</v>
      </c>
      <c r="BP167" s="52">
        <v>1.48</v>
      </c>
      <c r="BQ167" s="52" cm="1">
        <f t="array" aca="1" ref="BQ167" ca="1">_FV(EE167,"Preço")</f>
        <v>1.48</v>
      </c>
      <c r="BR167" s="69" t="s">
        <v>163</v>
      </c>
      <c r="BS167" s="36" cm="1">
        <f t="array" aca="1" ref="BS167" ca="1">_FV(EE167,"Média de volume",TRUE)</f>
        <v>169420</v>
      </c>
      <c r="BT167" s="36">
        <v>60500</v>
      </c>
      <c r="BU167" s="36" cm="1">
        <f t="array" aca="1" ref="BU167" ca="1">_FV(EE167,"Volume")</f>
        <v>60500</v>
      </c>
      <c r="BV167" s="24" cm="1">
        <f t="array" aca="1" ref="BV167" ca="1">_FV(EE167,"Beta")</f>
        <v>1.4081999999999999</v>
      </c>
      <c r="BW167" s="71" cm="1">
        <f t="array" aca="1" ref="BW167" ca="1">_FV(EE167,"Variação (%)",TRUE)</f>
        <v>-3.2680000000000001E-2</v>
      </c>
      <c r="BY167" s="17" cm="1">
        <f t="array" aca="1" ref="BY167" ca="1">_FV(EE167,"Baixo")</f>
        <v>1.48</v>
      </c>
      <c r="BZ167" s="17" cm="1">
        <f t="array" aca="1" ref="BZ167" ca="1">_FV(EE167,"Alto")</f>
        <v>1.54</v>
      </c>
      <c r="CA167" s="24"/>
      <c r="CB167" s="63">
        <f ca="1">SQRT(22.5*(BQ167/VLOOKUP(BR167,Fundamentus!A:U,3,FALSE))*(BQ167/VLOOKUP(BR167,Fundamentus!A:U,4,FALSE)))</f>
        <v>2.256244369278245</v>
      </c>
      <c r="CD167" s="62">
        <f t="shared" ca="1" si="168"/>
        <v>0</v>
      </c>
      <c r="CE167" s="8"/>
      <c r="CF167" s="61">
        <f t="shared" si="169"/>
        <v>1.17</v>
      </c>
      <c r="CG167" s="61">
        <f t="shared" si="170"/>
        <v>2.31</v>
      </c>
      <c r="CH167" s="61">
        <f t="shared" si="171"/>
        <v>1.6185294117647062</v>
      </c>
      <c r="CI167" s="14"/>
      <c r="CJ167" s="35">
        <f t="shared" si="154"/>
        <v>1.3576436815767474</v>
      </c>
      <c r="CK167" s="15">
        <f t="shared" si="172"/>
        <v>1.4350000000000023</v>
      </c>
      <c r="CL167" s="35">
        <f t="shared" si="155"/>
        <v>1.5123563184232571</v>
      </c>
      <c r="CN167" s="14"/>
      <c r="CO167" s="17">
        <f t="shared" si="156"/>
        <v>-0.14333333333333353</v>
      </c>
      <c r="CP167" s="17">
        <f t="shared" si="157"/>
        <v>0.5133333333333332</v>
      </c>
      <c r="CQ167" s="17">
        <f t="shared" si="158"/>
        <v>0.99666666666666659</v>
      </c>
      <c r="CR167" s="38">
        <f t="shared" si="173"/>
        <v>1.6533333333333333</v>
      </c>
      <c r="CS167" s="17">
        <f t="shared" si="159"/>
        <v>2.1366666666666667</v>
      </c>
      <c r="CT167" s="17">
        <f t="shared" si="160"/>
        <v>2.7933333333333334</v>
      </c>
      <c r="CU167" s="17">
        <f t="shared" si="161"/>
        <v>3.2766666666666668</v>
      </c>
      <c r="CV167" s="2" cm="1">
        <f t="array" aca="1" ref="CV167" ca="1">MAX(_xlfn._xlws.FILTER(CO167:CU167,CO167:CU167&lt;BQ167))</f>
        <v>0.99666666666666659</v>
      </c>
      <c r="CW167" s="2" cm="1">
        <f t="array" aca="1" ref="CW167" ca="1">MIN(_xlfn._xlws.FILTER($CO167:$CU167,$CO167:$CU167&gt;BQ167))</f>
        <v>1.6533333333333333</v>
      </c>
      <c r="CX167" s="16">
        <f t="shared" ca="1" si="175"/>
        <v>0.65886287625418083</v>
      </c>
      <c r="CY167" s="20">
        <f t="shared" ca="1" si="176"/>
        <v>-0.32943143812709041</v>
      </c>
      <c r="CZ167" s="20">
        <f t="shared" ca="1" si="177"/>
        <v>-0.21962095875139362</v>
      </c>
      <c r="DA167" s="20">
        <f t="shared" ca="1" si="178"/>
        <v>-0.13177257525083616</v>
      </c>
      <c r="DB167" s="20">
        <f t="shared" ca="1" si="179"/>
        <v>-7.320698625046454E-2</v>
      </c>
      <c r="DC167" s="20">
        <f t="shared" ca="1" si="180"/>
        <v>-3.8756639779657695E-2</v>
      </c>
      <c r="DD167" s="20">
        <f t="shared" ca="1" si="181"/>
        <v>-1.9965541704672147E-2</v>
      </c>
      <c r="DE167" s="20">
        <f t="shared" ca="1" si="182"/>
        <v>-1.0136351942372012E-2</v>
      </c>
      <c r="DF167" s="21">
        <f t="shared" ca="1" si="183"/>
        <v>1.0136351942372012E-2</v>
      </c>
      <c r="DG167" s="21">
        <f t="shared" ca="1" si="184"/>
        <v>1.9965541704672147E-2</v>
      </c>
      <c r="DH167" s="21">
        <f t="shared" ca="1" si="185"/>
        <v>3.8756639779657695E-2</v>
      </c>
      <c r="DI167" s="21">
        <f t="shared" ca="1" si="186"/>
        <v>7.320698625046454E-2</v>
      </c>
      <c r="DJ167" s="21">
        <f t="shared" ca="1" si="187"/>
        <v>0.13177257525083616</v>
      </c>
      <c r="DK167" s="21">
        <f t="shared" ca="1" si="188"/>
        <v>0.21962095875139362</v>
      </c>
      <c r="DL167" s="21">
        <f t="shared" ca="1" si="189"/>
        <v>0.32943143812709041</v>
      </c>
      <c r="DN167" s="16" cm="1">
        <f t="array" aca="1" ref="DN167" ca="1">MAX(_xlfn._xlws.FILTER(CY167:DL167,CY167:DL167&lt;BW167))</f>
        <v>-3.8756639779657695E-2</v>
      </c>
      <c r="DO167" s="16" cm="1">
        <f t="array" aca="1" ref="DO167" ca="1">MIN(_xlfn._xlws.FILTER(CY167:DL167,CY167:DL167&gt;BW167))</f>
        <v>-1.9965541704672147E-2</v>
      </c>
      <c r="DP167" s="2" cm="1">
        <f t="array" aca="1" ref="DP167" ca="1">_FV(EE167,"Fechamento anterior",TRUE)</f>
        <v>1.53</v>
      </c>
      <c r="DQ167" s="28">
        <f t="shared" ca="1" si="162"/>
        <v>0.32339255499153757</v>
      </c>
      <c r="DR167" s="15">
        <f t="shared" ca="1" si="190"/>
        <v>1.4707023411371238</v>
      </c>
      <c r="DS167" s="15">
        <f t="shared" ca="1" si="191"/>
        <v>1.4994527211918516</v>
      </c>
      <c r="DT167" s="9"/>
      <c r="DU167" s="9"/>
      <c r="DV167" s="9"/>
      <c r="DW167" s="89">
        <v>1.0806625647615045E-2</v>
      </c>
      <c r="DX167" s="89">
        <f t="shared" ca="1" si="163"/>
        <v>1.8791098074985548E-2</v>
      </c>
      <c r="DY167" s="72">
        <f t="shared" ca="1" si="164"/>
        <v>0.58172365124436698</v>
      </c>
      <c r="DZ167" s="37"/>
      <c r="EA167" s="35">
        <f t="shared" si="174"/>
        <v>3.8678159211627462E-2</v>
      </c>
      <c r="EB167" s="56"/>
      <c r="EC167" s="56"/>
      <c r="EE167" s="2" t="e" vm="169">
        <v>#VALUE!</v>
      </c>
      <c r="EG167" s="10" cm="1">
        <f t="array" aca="1" ref="EG167" ca="1">_FV(EE167,"Ações em circulação",TRUE)</f>
        <v>147554600</v>
      </c>
      <c r="EH167" s="18">
        <f>VLOOKUP(BR167,Fundamentus!A:U,5,FALSE)</f>
        <v>1.0629999999999999</v>
      </c>
      <c r="EI167" s="2">
        <f t="shared" ca="1" si="165"/>
        <v>205438201.3170273</v>
      </c>
      <c r="EJ167" s="17">
        <v>33691865.015992478</v>
      </c>
      <c r="EK167" s="17">
        <f t="shared" ca="1" si="166"/>
        <v>33691865.015992478</v>
      </c>
      <c r="EM167" s="16">
        <f t="shared" ca="1" si="153"/>
        <v>0</v>
      </c>
      <c r="EN167" s="32" t="str">
        <f>IF(VLOOKUP(BR167,Fundamentus!A:U,3,FALSE)&lt;15,"Bom",IF(VLOOKUP(BR167,Fundamentus!A:U,3,FALSE)&gt;15,"Ruim","n/a"))</f>
        <v>Bom</v>
      </c>
      <c r="EO167" s="28" t="str">
        <f>IF(VLOOKUP(BR167,Fundamentus!A:U,4,FALSE)&lt;1,"Baixo",IF(VLOOKUP(BR167,Fundamentus!A:U,4,FALSE)&lt;1.5,"Moderado",IF(VLOOKUP(BR167,Fundamentus!A:U,4,FALSE)&gt;1.5,"Alto","n/a")))</f>
        <v>Baixo</v>
      </c>
      <c r="EP167" s="17" t="str">
        <f>IF(VLOOKUP(BR167,Fundamentus!A:U,8,FALSE)&lt;0,"Risco elevado",IF(VLOOKUP(BR167,Fundamentus!A:U,8,FALSE)&lt;1,"Saudável",IF(VLOOKUP(BR167,Fundamentus!A:U,8,FALSE)&lt;3,"Estável",IF(VLOOKUP(BR167,Fundamentus!A:U,8,FALSE)&gt;3,"Alerta","n/a"))))</f>
        <v>Alerta</v>
      </c>
      <c r="EQ167" s="28" t="str">
        <f t="shared" si="167"/>
        <v>Bom</v>
      </c>
      <c r="ER167" s="17" t="str">
        <f>IF(VLOOKUP(BR167,Fundamentus!A:U,12,FALSE)&lt;2,"Subvalorizada",IF(VLOOKUP(BR167,Fundamentus!A:U,12,FALSE)&lt;6,"Muita barata",IF(VLOOKUP(BR167,Fundamentus!A:U,12,FALSE)&lt;6,"Barata",IF(VLOOKUP(BR167,Fundamentus!A:U,12,FALSE)&lt;8,"Atrativa",IF(VLOOKUP(BR167,Fundamentus!A:U,12,FALSE)&gt;8,"Supervalorizada","n/a")))))</f>
        <v>Muita barata</v>
      </c>
      <c r="ET167" s="17" t="str">
        <f>IF(VLOOKUP(BR167,Fundamentus!A:U,17,FALSE)&lt;0.1,"Fraco retorno",IF(VLOOKUP(BR167,Fundamentus!A:U,17,FALSE)&gt;0.1,"Bom retorno","n/a"))</f>
        <v>Fraco retorno</v>
      </c>
      <c r="EU167" s="17" t="str">
        <f>IF(VLOOKUP(BR167,Fundamentus!A:U,16,FALSE)&lt;0.1,"Ineficiente",IF(VLOOKUP(BR167,Fundamentus!A:U,16,FALSE)&gt;0.1,"Eficiente","n/a"))</f>
        <v>Eficiente</v>
      </c>
      <c r="EV167" s="33" t="str">
        <f>IF(VLOOKUP(BR167,Fundamentus!A:U,16,FALSE)&lt;0.1,"Oper. Ineficiente",IF(VLOOKUP(BR167,Fundamentus!A:U,16,FALSE)&gt;0.1,"Oper.Eficiente","n/a"))</f>
        <v>Oper.Eficiente</v>
      </c>
      <c r="EW167" s="34">
        <f>VLOOKUP(BR167,Fundamentus!A:U,14,FALSE)</f>
        <v>0.16400000000000001</v>
      </c>
      <c r="EX167" s="17" t="str">
        <f>IF(VLOOKUP(BR167,Fundamentus!A:U,21,FALSE)&lt;0,"Negativo",IF(VLOOKUP(BR167,Fundamentus!A:U,21,FALSE)&lt;0.05,"Fraco",IF(VLOOKUP(BR167,Fundamentus!A:U,21,FALSE)&lt;0.1,"Bom",IF(VLOOKUP(BR167,Fundamentus!A:U,21,FALSE)&gt;0.1,"Muito bom","n/a"))))</f>
        <v>Negativo</v>
      </c>
      <c r="EZ167" s="29" t="str">
        <f>IF(VLOOKUP(BR167,Fundamentus!A:U,15,FALSE)&gt;1,"Bom",IF(VLOOKUP(BR167,Fundamentus!A:U,15,FALSE)&lt;1,"Ruim","n/a"))</f>
        <v>Bom</v>
      </c>
      <c r="FA167" s="17" t="str">
        <f>IF(VLOOKUP(BR167,Fundamentus!A:U,20,FALSE)&lt;0.5,"Baixa",IF(VLOOKUP(BR167,Fundamentus!A:U,20,FALSE)&lt;1,"Moderada",IF(VLOOKUP(BR167,Fundamentus!A:U,20,FALSE)&lt;2,"Alerta",IF(VLOOKUP(BR167,Fundamentus!A:U,20,FALSE)&gt;2,"Alta","n/a"))))</f>
        <v>Baixa</v>
      </c>
      <c r="FB167" s="10"/>
    </row>
    <row r="168" spans="1:158" s="2" customFormat="1" ht="11.25"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5">
        <v>3.82</v>
      </c>
      <c r="BC168" s="52">
        <v>4.28</v>
      </c>
      <c r="BD168" s="52">
        <v>4.01</v>
      </c>
      <c r="BE168" s="52">
        <v>4.03</v>
      </c>
      <c r="BF168" s="52">
        <v>3.88</v>
      </c>
      <c r="BG168" s="67">
        <v>3.99</v>
      </c>
      <c r="BH168" s="52">
        <v>4</v>
      </c>
      <c r="BI168" s="52">
        <v>3.87</v>
      </c>
      <c r="BJ168" s="52">
        <v>4.12</v>
      </c>
      <c r="BK168" s="52">
        <v>4.01</v>
      </c>
      <c r="BL168" s="52">
        <v>3.75</v>
      </c>
      <c r="BM168" s="52">
        <v>3.76</v>
      </c>
      <c r="BN168" s="52">
        <v>3.66</v>
      </c>
      <c r="BO168" s="52">
        <v>3.54</v>
      </c>
      <c r="BP168" s="52">
        <v>3.43</v>
      </c>
      <c r="BQ168" s="52" cm="1">
        <f t="array" aca="1" ref="BQ168" ca="1">_FV(EE168,"Preço")</f>
        <v>3.43</v>
      </c>
      <c r="BR168" s="69" t="s">
        <v>164</v>
      </c>
      <c r="BS168" s="36" cm="1">
        <f t="array" aca="1" ref="BS168" ca="1">_FV(EE168,"Média de volume",TRUE)</f>
        <v>918950</v>
      </c>
      <c r="BT168" s="36">
        <v>1071100</v>
      </c>
      <c r="BU168" s="36" cm="1">
        <f t="array" aca="1" ref="BU168" ca="1">_FV(EE168,"Volume")</f>
        <v>1071100</v>
      </c>
      <c r="BV168" s="24" cm="1">
        <f t="array" aca="1" ref="BV168" ca="1">_FV(EE168,"Beta")</f>
        <v>2.0792999999999999</v>
      </c>
      <c r="BW168" s="71" cm="1">
        <f t="array" aca="1" ref="BW168" ca="1">_FV(EE168,"Variação (%)",TRUE)</f>
        <v>5.8642E-2</v>
      </c>
      <c r="BY168" s="17" cm="1">
        <f t="array" aca="1" ref="BY168" ca="1">_FV(EE168,"Baixo")</f>
        <v>3.23</v>
      </c>
      <c r="BZ168" s="17" cm="1">
        <f t="array" aca="1" ref="BZ168" ca="1">_FV(EE168,"Alto")</f>
        <v>3.44</v>
      </c>
      <c r="CA168" s="24"/>
      <c r="CB168" s="63">
        <f ca="1">SQRT(22.5*(BQ168/VLOOKUP(BR168,Fundamentus!A:U,3,FALSE))*(BQ168/VLOOKUP(BR168,Fundamentus!A:U,4,FALSE)))</f>
        <v>9.9757271203129534</v>
      </c>
      <c r="CD168" s="62">
        <f t="shared" ca="1" si="168"/>
        <v>0</v>
      </c>
      <c r="CE168" s="8"/>
      <c r="CF168" s="61">
        <f t="shared" si="169"/>
        <v>2.85</v>
      </c>
      <c r="CG168" s="61">
        <f t="shared" si="170"/>
        <v>4.38</v>
      </c>
      <c r="CH168" s="61">
        <f t="shared" si="171"/>
        <v>3.641323529411765</v>
      </c>
      <c r="CI168" s="14"/>
      <c r="CJ168" s="35">
        <f t="shared" si="154"/>
        <v>3.0105230218578951</v>
      </c>
      <c r="CK168" s="15">
        <f t="shared" si="172"/>
        <v>3.32000000000005</v>
      </c>
      <c r="CL168" s="35">
        <f t="shared" si="155"/>
        <v>3.6294769781422049</v>
      </c>
      <c r="CN168" s="14"/>
      <c r="CO168" s="17">
        <f t="shared" si="156"/>
        <v>1.1966666666666668</v>
      </c>
      <c r="CP168" s="17">
        <f t="shared" si="157"/>
        <v>2.0233333333333334</v>
      </c>
      <c r="CQ168" s="17">
        <f t="shared" si="158"/>
        <v>2.7266666666666666</v>
      </c>
      <c r="CR168" s="38">
        <f t="shared" si="173"/>
        <v>3.5533333333333332</v>
      </c>
      <c r="CS168" s="17">
        <f t="shared" si="159"/>
        <v>4.2566666666666659</v>
      </c>
      <c r="CT168" s="17">
        <f t="shared" si="160"/>
        <v>5.083333333333333</v>
      </c>
      <c r="CU168" s="17">
        <f t="shared" si="161"/>
        <v>5.7866666666666662</v>
      </c>
      <c r="CV168" s="2" cm="1">
        <f t="array" aca="1" ref="CV168" ca="1">MAX(_xlfn._xlws.FILTER(CO168:CU168,CO168:CU168&lt;BQ168))</f>
        <v>2.7266666666666666</v>
      </c>
      <c r="CW168" s="2" cm="1">
        <f t="array" aca="1" ref="CW168" ca="1">MIN(_xlfn._xlws.FILTER($CO168:$CU168,$CO168:$CU168&gt;BQ168))</f>
        <v>3.5533333333333332</v>
      </c>
      <c r="CX168" s="16">
        <f t="shared" ca="1" si="175"/>
        <v>0.30317848410757953</v>
      </c>
      <c r="CY168" s="20">
        <f t="shared" ca="1" si="176"/>
        <v>-0.15158924205378976</v>
      </c>
      <c r="CZ168" s="20">
        <f t="shared" ca="1" si="177"/>
        <v>-0.10105949470252651</v>
      </c>
      <c r="DA168" s="20">
        <f t="shared" ca="1" si="178"/>
        <v>-6.0635696821515907E-2</v>
      </c>
      <c r="DB168" s="20">
        <f t="shared" ca="1" si="179"/>
        <v>-3.3686498234175501E-2</v>
      </c>
      <c r="DC168" s="20">
        <f t="shared" ca="1" si="180"/>
        <v>-1.7834028476916442E-2</v>
      </c>
      <c r="DD168" s="20">
        <f t="shared" ca="1" si="181"/>
        <v>-9.187226791138774E-3</v>
      </c>
      <c r="DE168" s="20">
        <f t="shared" ca="1" si="182"/>
        <v>-4.6642843708858388E-3</v>
      </c>
      <c r="DF168" s="21">
        <f t="shared" ca="1" si="183"/>
        <v>4.6642843708858388E-3</v>
      </c>
      <c r="DG168" s="21">
        <f t="shared" ca="1" si="184"/>
        <v>9.187226791138774E-3</v>
      </c>
      <c r="DH168" s="21">
        <f t="shared" ca="1" si="185"/>
        <v>1.7834028476916442E-2</v>
      </c>
      <c r="DI168" s="21">
        <f t="shared" ca="1" si="186"/>
        <v>3.3686498234175501E-2</v>
      </c>
      <c r="DJ168" s="21">
        <f t="shared" ca="1" si="187"/>
        <v>6.0635696821515907E-2</v>
      </c>
      <c r="DK168" s="21">
        <f t="shared" ca="1" si="188"/>
        <v>0.10105949470252651</v>
      </c>
      <c r="DL168" s="21">
        <f t="shared" ca="1" si="189"/>
        <v>0.15158924205378976</v>
      </c>
      <c r="DN168" s="16" cm="1">
        <f t="array" aca="1" ref="DN168" ca="1">MAX(_xlfn._xlws.FILTER(CY168:DL168,CY168:DL168&lt;BW168))</f>
        <v>3.3686498234175501E-2</v>
      </c>
      <c r="DO168" s="16" cm="1">
        <f t="array" aca="1" ref="DO168" ca="1">MIN(_xlfn._xlws.FILTER(CY168:DL168,CY168:DL168&gt;BW168))</f>
        <v>6.0635696821515907E-2</v>
      </c>
      <c r="DP168" s="2" cm="1">
        <f t="array" aca="1" ref="DP168" ca="1">_FV(EE168,"Fechamento anterior",TRUE)</f>
        <v>3.24</v>
      </c>
      <c r="DQ168" s="28">
        <f t="shared" ca="1" si="162"/>
        <v>0.92601926523297229</v>
      </c>
      <c r="DR168" s="15">
        <f t="shared" ca="1" si="190"/>
        <v>3.3491442542787286</v>
      </c>
      <c r="DS168" s="15">
        <f t="shared" ca="1" si="191"/>
        <v>3.4364596577017119</v>
      </c>
      <c r="DT168" s="9"/>
      <c r="DU168" s="9"/>
      <c r="DV168" s="9"/>
      <c r="DW168" s="89">
        <v>3.7619047619047635E-2</v>
      </c>
      <c r="DX168" s="89">
        <f t="shared" ca="1" si="163"/>
        <v>2.6949198587340406E-2</v>
      </c>
      <c r="DY168" s="72">
        <f t="shared" ca="1" si="164"/>
        <v>0.35543839370637392</v>
      </c>
      <c r="DZ168" s="37"/>
      <c r="EA168" s="35">
        <f t="shared" si="174"/>
        <v>0.15473848907107751</v>
      </c>
      <c r="EB168" s="56"/>
      <c r="EC168" s="56"/>
      <c r="EE168" s="2" t="e" vm="170">
        <v>#VALUE!</v>
      </c>
      <c r="EG168" s="10" cm="1">
        <f t="array" aca="1" ref="EG168" ca="1">_FV(EE168,"Ações em circulação",TRUE)</f>
        <v>105774800</v>
      </c>
      <c r="EH168" s="18">
        <f>VLOOKUP(BR168,Fundamentus!A:U,5,FALSE)</f>
        <v>0.33600000000000002</v>
      </c>
      <c r="EI168" s="2">
        <f t="shared" ca="1" si="165"/>
        <v>1079784416.6666665</v>
      </c>
      <c r="EJ168" s="17">
        <v>76664693.583333313</v>
      </c>
      <c r="EK168" s="17">
        <f t="shared" ca="1" si="166"/>
        <v>76664693.583333313</v>
      </c>
      <c r="EM168" s="16">
        <f t="shared" ca="1" si="153"/>
        <v>0</v>
      </c>
      <c r="EN168" s="32" t="str">
        <f>IF(VLOOKUP(BR168,Fundamentus!A:U,3,FALSE)&lt;15,"Bom",IF(VLOOKUP(BR168,Fundamentus!A:U,3,FALSE)&gt;15,"Ruim","n/a"))</f>
        <v>Bom</v>
      </c>
      <c r="EO168" s="28" t="str">
        <f>IF(VLOOKUP(BR168,Fundamentus!A:U,4,FALSE)&lt;1,"Baixo",IF(VLOOKUP(BR168,Fundamentus!A:U,4,FALSE)&lt;1.5,"Moderado",IF(VLOOKUP(BR168,Fundamentus!A:U,4,FALSE)&gt;1.5,"Alto","n/a")))</f>
        <v>Baixo</v>
      </c>
      <c r="EP168" s="17" t="str">
        <f>IF(VLOOKUP(BR168,Fundamentus!A:U,8,FALSE)&lt;0,"Risco elevado",IF(VLOOKUP(BR168,Fundamentus!A:U,8,FALSE)&lt;1,"Saudável",IF(VLOOKUP(BR168,Fundamentus!A:U,8,FALSE)&lt;3,"Estável",IF(VLOOKUP(BR168,Fundamentus!A:U,8,FALSE)&gt;3,"Alerta","n/a"))))</f>
        <v>Saudável</v>
      </c>
      <c r="EQ168" s="28" t="str">
        <f t="shared" si="167"/>
        <v>Ruim</v>
      </c>
      <c r="ER168" s="17" t="str">
        <f>IF(VLOOKUP(BR168,Fundamentus!A:U,12,FALSE)&lt;2,"Subvalorizada",IF(VLOOKUP(BR168,Fundamentus!A:U,12,FALSE)&lt;6,"Muita barata",IF(VLOOKUP(BR168,Fundamentus!A:U,12,FALSE)&lt;6,"Barata",IF(VLOOKUP(BR168,Fundamentus!A:U,12,FALSE)&lt;8,"Atrativa",IF(VLOOKUP(BR168,Fundamentus!A:U,12,FALSE)&gt;8,"Supervalorizada","n/a")))))</f>
        <v>Atrativa</v>
      </c>
      <c r="ET168" s="17" t="str">
        <f>IF(VLOOKUP(BR168,Fundamentus!A:U,17,FALSE)&lt;0.1,"Fraco retorno",IF(VLOOKUP(BR168,Fundamentus!A:U,17,FALSE)&gt;0.1,"Bom retorno","n/a"))</f>
        <v>Fraco retorno</v>
      </c>
      <c r="EU168" s="17" t="str">
        <f>IF(VLOOKUP(BR168,Fundamentus!A:U,16,FALSE)&lt;0.1,"Ineficiente",IF(VLOOKUP(BR168,Fundamentus!A:U,16,FALSE)&gt;0.1,"Eficiente","n/a"))</f>
        <v>Ineficiente</v>
      </c>
      <c r="EV168" s="33" t="str">
        <f>IF(VLOOKUP(BR168,Fundamentus!A:U,16,FALSE)&lt;0.1,"Oper. Ineficiente",IF(VLOOKUP(BR168,Fundamentus!A:U,16,FALSE)&gt;0.1,"Oper.Eficiente","n/a"))</f>
        <v>Oper. Ineficiente</v>
      </c>
      <c r="EW168" s="34">
        <f>VLOOKUP(BR168,Fundamentus!A:U,14,FALSE)</f>
        <v>7.0999999999999994E-2</v>
      </c>
      <c r="EX168" s="17" t="str">
        <f>IF(VLOOKUP(BR168,Fundamentus!A:U,21,FALSE)&lt;0,"Negativo",IF(VLOOKUP(BR168,Fundamentus!A:U,21,FALSE)&lt;0.05,"Fraco",IF(VLOOKUP(BR168,Fundamentus!A:U,21,FALSE)&lt;0.1,"Bom",IF(VLOOKUP(BR168,Fundamentus!A:U,21,FALSE)&gt;0.1,"Muito bom","n/a"))))</f>
        <v>Muito bom</v>
      </c>
      <c r="EZ168" s="29" t="str">
        <f>IF(VLOOKUP(BR168,Fundamentus!A:U,15,FALSE)&gt;1,"Bom",IF(VLOOKUP(BR168,Fundamentus!A:U,15,FALSE)&lt;1,"Ruim","n/a"))</f>
        <v>Bom</v>
      </c>
      <c r="FA168" s="17" t="str">
        <f>IF(VLOOKUP(BR168,Fundamentus!A:U,20,FALSE)&lt;0.5,"Baixa",IF(VLOOKUP(BR168,Fundamentus!A:U,20,FALSE)&lt;1,"Moderada",IF(VLOOKUP(BR168,Fundamentus!A:U,20,FALSE)&lt;2,"Alerta",IF(VLOOKUP(BR168,Fundamentus!A:U,20,FALSE)&gt;2,"Alta","n/a"))))</f>
        <v>Moderada</v>
      </c>
      <c r="FB168" s="10"/>
    </row>
    <row r="169" spans="1:158" s="2" customFormat="1" ht="11.25"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5">
        <v>69.459999999999994</v>
      </c>
      <c r="BC169" s="52">
        <v>69.849999999999994</v>
      </c>
      <c r="BD169" s="52">
        <v>67.13</v>
      </c>
      <c r="BE169" s="52">
        <v>65.489999999999995</v>
      </c>
      <c r="BF169" s="52">
        <v>64.510000000000005</v>
      </c>
      <c r="BG169" s="67">
        <v>66.44</v>
      </c>
      <c r="BH169" s="52">
        <v>72.53</v>
      </c>
      <c r="BI169" s="52">
        <v>74.64</v>
      </c>
      <c r="BJ169" s="52">
        <v>83.49</v>
      </c>
      <c r="BK169" s="52">
        <v>74.319999999999993</v>
      </c>
      <c r="BL169" s="52">
        <v>68.3</v>
      </c>
      <c r="BM169" s="52">
        <v>66.209999999999994</v>
      </c>
      <c r="BN169" s="52">
        <v>79.05</v>
      </c>
      <c r="BO169" s="52">
        <v>79.010000000000005</v>
      </c>
      <c r="BP169" s="52">
        <v>77.290000000000006</v>
      </c>
      <c r="BQ169" s="52" cm="1">
        <f t="array" aca="1" ref="BQ169" ca="1">_FV(EE169,"Preço")</f>
        <v>77.290000000000006</v>
      </c>
      <c r="BR169" s="69" t="s">
        <v>165</v>
      </c>
      <c r="BS169" s="36" cm="1">
        <f t="array" aca="1" ref="BS169" ca="1">_FV(EE169,"Média de volume",TRUE)</f>
        <v>6214950</v>
      </c>
      <c r="BT169" s="36">
        <v>8635600</v>
      </c>
      <c r="BU169" s="36" cm="1">
        <f t="array" aca="1" ref="BU169" ca="1">_FV(EE169,"Volume")</f>
        <v>8635600</v>
      </c>
      <c r="BV169" s="24" cm="1">
        <f t="array" aca="1" ref="BV169" ca="1">_FV(EE169,"Beta")</f>
        <v>0.51149999999999995</v>
      </c>
      <c r="BW169" s="71" cm="1">
        <f t="array" aca="1" ref="BW169" ca="1">_FV(EE169,"Variação (%)",TRUE)</f>
        <v>-4.2137000000000001E-2</v>
      </c>
      <c r="BY169" s="17" cm="1">
        <f t="array" aca="1" ref="BY169" ca="1">_FV(EE169,"Baixo")</f>
        <v>75.92</v>
      </c>
      <c r="BZ169" s="17" cm="1">
        <f t="array" aca="1" ref="BZ169" ca="1">_FV(EE169,"Alto")</f>
        <v>80.81</v>
      </c>
      <c r="CA169" s="24"/>
      <c r="CB169" s="63">
        <f ca="1">SQRT(22.5*(BQ169/VLOOKUP(BR169,Fundamentus!A:U,3,FALSE))*(BQ169/VLOOKUP(BR169,Fundamentus!A:U,4,FALSE)))</f>
        <v>45.99154244869046</v>
      </c>
      <c r="CD169" s="62">
        <f t="shared" ca="1" si="168"/>
        <v>0</v>
      </c>
      <c r="CE169" s="8"/>
      <c r="CF169" s="61">
        <f t="shared" si="169"/>
        <v>33.99</v>
      </c>
      <c r="CG169" s="61">
        <f t="shared" si="170"/>
        <v>83.49</v>
      </c>
      <c r="CH169" s="61">
        <f t="shared" si="171"/>
        <v>56.175882352941187</v>
      </c>
      <c r="CI169" s="14"/>
      <c r="CJ169" s="35">
        <f t="shared" si="154"/>
        <v>73.033746249266216</v>
      </c>
      <c r="CK169" s="15">
        <f t="shared" si="172"/>
        <v>83.68999999999869</v>
      </c>
      <c r="CL169" s="35">
        <f t="shared" si="155"/>
        <v>94.346253750731165</v>
      </c>
      <c r="CN169" s="14"/>
      <c r="CO169" s="17">
        <f t="shared" si="156"/>
        <v>-3.1433333333333238</v>
      </c>
      <c r="CP169" s="17">
        <f t="shared" si="157"/>
        <v>15.423333333333339</v>
      </c>
      <c r="CQ169" s="17">
        <f t="shared" si="158"/>
        <v>46.356666666666669</v>
      </c>
      <c r="CR169" s="38">
        <f t="shared" si="173"/>
        <v>64.923333333333332</v>
      </c>
      <c r="CS169" s="17">
        <f t="shared" si="159"/>
        <v>95.856666666666655</v>
      </c>
      <c r="CT169" s="17">
        <f t="shared" si="160"/>
        <v>114.42333333333332</v>
      </c>
      <c r="CU169" s="17">
        <f t="shared" si="161"/>
        <v>145.35666666666665</v>
      </c>
      <c r="CV169" s="2" cm="1">
        <f t="array" aca="1" ref="CV169" ca="1">MAX(_xlfn._xlws.FILTER(CO169:CU169,CO169:CU169&lt;BQ169))</f>
        <v>64.923333333333332</v>
      </c>
      <c r="CW169" s="2" cm="1">
        <f t="array" aca="1" ref="CW169" ca="1">MIN(_xlfn._xlws.FILTER($CO169:$CU169,$CO169:$CU169&gt;BQ169))</f>
        <v>95.856666666666655</v>
      </c>
      <c r="CX169" s="16">
        <f t="shared" ca="1" si="175"/>
        <v>0.47645941366740252</v>
      </c>
      <c r="CY169" s="20">
        <f t="shared" ca="1" si="176"/>
        <v>-0.23822970683370126</v>
      </c>
      <c r="CZ169" s="20">
        <f t="shared" ca="1" si="177"/>
        <v>-0.15881980455580083</v>
      </c>
      <c r="DA169" s="20">
        <f t="shared" ca="1" si="178"/>
        <v>-9.5291882733480507E-2</v>
      </c>
      <c r="DB169" s="20">
        <f t="shared" ca="1" si="179"/>
        <v>-5.2939934851933615E-2</v>
      </c>
      <c r="DC169" s="20">
        <f t="shared" ca="1" si="180"/>
        <v>-2.8027024333376619E-2</v>
      </c>
      <c r="DD169" s="20">
        <f t="shared" ca="1" si="181"/>
        <v>-1.443816405052735E-2</v>
      </c>
      <c r="DE169" s="20">
        <f t="shared" ca="1" si="182"/>
        <v>-7.3301448256523462E-3</v>
      </c>
      <c r="DF169" s="21">
        <f t="shared" ca="1" si="183"/>
        <v>7.3301448256523462E-3</v>
      </c>
      <c r="DG169" s="21">
        <f t="shared" ca="1" si="184"/>
        <v>1.443816405052735E-2</v>
      </c>
      <c r="DH169" s="21">
        <f t="shared" ca="1" si="185"/>
        <v>2.8027024333376619E-2</v>
      </c>
      <c r="DI169" s="21">
        <f t="shared" ca="1" si="186"/>
        <v>5.2939934851933615E-2</v>
      </c>
      <c r="DJ169" s="21">
        <f t="shared" ca="1" si="187"/>
        <v>9.5291882733480507E-2</v>
      </c>
      <c r="DK169" s="21">
        <f t="shared" ca="1" si="188"/>
        <v>0.15881980455580083</v>
      </c>
      <c r="DL169" s="21">
        <f t="shared" ca="1" si="189"/>
        <v>0.23822970683370126</v>
      </c>
      <c r="DN169" s="16" cm="1">
        <f t="array" aca="1" ref="DN169" ca="1">MAX(_xlfn._xlws.FILTER(CY169:DL169,CY169:DL169&lt;BW169))</f>
        <v>-5.2939934851933615E-2</v>
      </c>
      <c r="DO169" s="16" cm="1">
        <f t="array" aca="1" ref="DO169" ca="1">MIN(_xlfn._xlws.FILTER(CY169:DL169,CY169:DL169&gt;BW169))</f>
        <v>-2.8027024333376619E-2</v>
      </c>
      <c r="DP169" s="2" cm="1">
        <f t="array" aca="1" ref="DP169" ca="1">_FV(EE169,"Fechamento anterior",TRUE)</f>
        <v>80.69</v>
      </c>
      <c r="DQ169" s="28">
        <f t="shared" ca="1" si="162"/>
        <v>0.43364514868526544</v>
      </c>
      <c r="DR169" s="15">
        <f t="shared" ca="1" si="190"/>
        <v>76.418276656797474</v>
      </c>
      <c r="DS169" s="15">
        <f t="shared" ca="1" si="191"/>
        <v>78.428499406539842</v>
      </c>
      <c r="DT169" s="9"/>
      <c r="DU169" s="9"/>
      <c r="DV169" s="9"/>
      <c r="DW169" s="89">
        <v>7.1763885087718334E-3</v>
      </c>
      <c r="DX169" s="89">
        <f t="shared" ca="1" si="163"/>
        <v>2.4912910518556996E-2</v>
      </c>
      <c r="DY169" s="72">
        <f t="shared" ca="1" si="164"/>
        <v>-0.6005862988725067</v>
      </c>
      <c r="DZ169" s="37"/>
      <c r="EA169" s="35">
        <f t="shared" si="174"/>
        <v>5.328126875366241</v>
      </c>
      <c r="EB169" s="56"/>
      <c r="EC169" s="56"/>
      <c r="EE169" s="2" t="e" vm="171">
        <v>#VALUE!</v>
      </c>
      <c r="EG169" s="10" cm="1">
        <f t="array" aca="1" ref="EG169" ca="1">_FV(EE169,"Ações em circulação",TRUE)</f>
        <v>740465000</v>
      </c>
      <c r="EH169" s="18">
        <f>VLOOKUP(BR169,Fundamentus!A:U,5,FALSE)</f>
        <v>1.3560000000000001</v>
      </c>
      <c r="EI169" s="2">
        <f t="shared" ca="1" si="165"/>
        <v>42205412868.731567</v>
      </c>
      <c r="EJ169" s="17">
        <v>2519663148.2632747</v>
      </c>
      <c r="EK169" s="17">
        <f t="shared" ca="1" si="166"/>
        <v>2519663148.2632747</v>
      </c>
      <c r="EM169" s="16">
        <f t="shared" ca="1" si="153"/>
        <v>0</v>
      </c>
      <c r="EN169" s="32" t="str">
        <f>IF(VLOOKUP(BR169,Fundamentus!A:U,3,FALSE)&lt;15,"Bom",IF(VLOOKUP(BR169,Fundamentus!A:U,3,FALSE)&gt;15,"Ruim","n/a"))</f>
        <v>Ruim</v>
      </c>
      <c r="EO169" s="28" t="str">
        <f>IF(VLOOKUP(BR169,Fundamentus!A:U,4,FALSE)&lt;1,"Baixo",IF(VLOOKUP(BR169,Fundamentus!A:U,4,FALSE)&lt;1.5,"Moderado",IF(VLOOKUP(BR169,Fundamentus!A:U,4,FALSE)&gt;1.5,"Alto","n/a")))</f>
        <v>Alto</v>
      </c>
      <c r="EP169" s="17" t="str">
        <f>IF(VLOOKUP(BR169,Fundamentus!A:U,8,FALSE)&lt;0,"Risco elevado",IF(VLOOKUP(BR169,Fundamentus!A:U,8,FALSE)&lt;1,"Saudável",IF(VLOOKUP(BR169,Fundamentus!A:U,8,FALSE)&lt;3,"Estável",IF(VLOOKUP(BR169,Fundamentus!A:U,8,FALSE)&gt;3,"Alerta","n/a"))))</f>
        <v>Alerta</v>
      </c>
      <c r="EQ169" s="28" t="str">
        <f t="shared" si="167"/>
        <v>Bom</v>
      </c>
      <c r="ER169" s="17" t="str">
        <f>IF(VLOOKUP(BR169,Fundamentus!A:U,12,FALSE)&lt;2,"Subvalorizada",IF(VLOOKUP(BR169,Fundamentus!A:U,12,FALSE)&lt;6,"Muita barata",IF(VLOOKUP(BR169,Fundamentus!A:U,12,FALSE)&lt;6,"Barata",IF(VLOOKUP(BR169,Fundamentus!A:U,12,FALSE)&lt;8,"Atrativa",IF(VLOOKUP(BR169,Fundamentus!A:U,12,FALSE)&gt;8,"Supervalorizada","n/a")))))</f>
        <v>Supervalorizada</v>
      </c>
      <c r="ET169" s="17" t="str">
        <f>IF(VLOOKUP(BR169,Fundamentus!A:U,17,FALSE)&lt;0.1,"Fraco retorno",IF(VLOOKUP(BR169,Fundamentus!A:U,17,FALSE)&gt;0.1,"Bom retorno","n/a"))</f>
        <v>Bom retorno</v>
      </c>
      <c r="EU169" s="17" t="str">
        <f>IF(VLOOKUP(BR169,Fundamentus!A:U,16,FALSE)&lt;0.1,"Ineficiente",IF(VLOOKUP(BR169,Fundamentus!A:U,16,FALSE)&gt;0.1,"Eficiente","n/a"))</f>
        <v>Ineficiente</v>
      </c>
      <c r="EV169" s="33" t="str">
        <f>IF(VLOOKUP(BR169,Fundamentus!A:U,16,FALSE)&lt;0.1,"Oper. Ineficiente",IF(VLOOKUP(BR169,Fundamentus!A:U,16,FALSE)&gt;0.1,"Oper.Eficiente","n/a"))</f>
        <v>Oper. Ineficiente</v>
      </c>
      <c r="EW169" s="34">
        <f>VLOOKUP(BR169,Fundamentus!A:U,14,FALSE)</f>
        <v>5.9700000000000003E-2</v>
      </c>
      <c r="EX169" s="17" t="str">
        <f>IF(VLOOKUP(BR169,Fundamentus!A:U,21,FALSE)&lt;0,"Negativo",IF(VLOOKUP(BR169,Fundamentus!A:U,21,FALSE)&lt;0.05,"Fraco",IF(VLOOKUP(BR169,Fundamentus!A:U,21,FALSE)&lt;0.1,"Bom",IF(VLOOKUP(BR169,Fundamentus!A:U,21,FALSE)&gt;0.1,"Muito bom","n/a"))))</f>
        <v>Muito bom</v>
      </c>
      <c r="EZ169" s="29" t="str">
        <f>IF(VLOOKUP(BR169,Fundamentus!A:U,15,FALSE)&gt;1,"Bom",IF(VLOOKUP(BR169,Fundamentus!A:U,15,FALSE)&lt;1,"Ruim","n/a"))</f>
        <v>Bom</v>
      </c>
      <c r="FA169" s="17" t="str">
        <f>IF(VLOOKUP(BR169,Fundamentus!A:U,20,FALSE)&lt;0.5,"Baixa",IF(VLOOKUP(BR169,Fundamentus!A:U,20,FALSE)&lt;1,"Moderada",IF(VLOOKUP(BR169,Fundamentus!A:U,20,FALSE)&lt;2,"Alerta",IF(VLOOKUP(BR169,Fundamentus!A:U,20,FALSE)&gt;2,"Alta","n/a"))))</f>
        <v>Moderada</v>
      </c>
      <c r="FB169" s="10"/>
    </row>
    <row r="170" spans="1:158" s="2" customFormat="1" ht="11.25"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5">
        <v>8.5399999999999991</v>
      </c>
      <c r="BC170" s="52">
        <v>8.41</v>
      </c>
      <c r="BD170" s="52">
        <v>8.69</v>
      </c>
      <c r="BE170" s="52">
        <v>8.89</v>
      </c>
      <c r="BF170" s="52">
        <v>8.64</v>
      </c>
      <c r="BG170" s="67">
        <v>8.52</v>
      </c>
      <c r="BH170" s="52">
        <v>8.69</v>
      </c>
      <c r="BI170" s="52">
        <v>8.86</v>
      </c>
      <c r="BJ170" s="52">
        <v>9.19</v>
      </c>
      <c r="BK170" s="52">
        <v>8.7200000000000006</v>
      </c>
      <c r="BL170" s="52">
        <v>8.6</v>
      </c>
      <c r="BM170" s="52">
        <v>8.58</v>
      </c>
      <c r="BN170" s="52">
        <v>8.6</v>
      </c>
      <c r="BO170" s="52">
        <v>9.02</v>
      </c>
      <c r="BP170" s="52">
        <v>8.41</v>
      </c>
      <c r="BQ170" s="52" cm="1">
        <f t="array" aca="1" ref="BQ170" ca="1">_FV(EE170,"Preço")</f>
        <v>8.41</v>
      </c>
      <c r="BR170" s="69" t="s">
        <v>166</v>
      </c>
      <c r="BS170" s="36" cm="1">
        <f t="array" aca="1" ref="BS170" ca="1">_FV(EE170,"Média de volume",TRUE)</f>
        <v>9590</v>
      </c>
      <c r="BT170" s="36">
        <v>39600</v>
      </c>
      <c r="BU170" s="36" cm="1">
        <f t="array" aca="1" ref="BU170" ca="1">_FV(EE170,"Volume")</f>
        <v>39600</v>
      </c>
      <c r="BV170" s="24" cm="1">
        <f t="array" aca="1" ref="BV170" ca="1">_FV(EE170,"Beta")</f>
        <v>0.95520000000000005</v>
      </c>
      <c r="BW170" s="71" cm="1">
        <f t="array" aca="1" ref="BW170" ca="1">_FV(EE170,"Variação (%)",TRUE)</f>
        <v>-4.3230999999999999E-2</v>
      </c>
      <c r="BY170" s="17" cm="1">
        <f t="array" aca="1" ref="BY170" ca="1">_FV(EE170,"Baixo")</f>
        <v>8.4</v>
      </c>
      <c r="BZ170" s="17" cm="1">
        <f t="array" aca="1" ref="BZ170" ca="1">_FV(EE170,"Alto")</f>
        <v>8.7899999999999991</v>
      </c>
      <c r="CA170" s="24"/>
      <c r="CB170" s="63">
        <f ca="1">SQRT(22.5*(BQ170/VLOOKUP(BR170,Fundamentus!A:U,3,FALSE))*(BQ170/VLOOKUP(BR170,Fundamentus!A:U,4,FALSE)))</f>
        <v>16.337713238633782</v>
      </c>
      <c r="CD170" s="62">
        <f t="shared" ca="1" si="168"/>
        <v>0</v>
      </c>
      <c r="CE170" s="8"/>
      <c r="CF170" s="61">
        <f t="shared" si="169"/>
        <v>6.34</v>
      </c>
      <c r="CG170" s="61">
        <f t="shared" si="170"/>
        <v>9.19</v>
      </c>
      <c r="CH170" s="61">
        <f t="shared" si="171"/>
        <v>7.8161764705882373</v>
      </c>
      <c r="CI170" s="14"/>
      <c r="CJ170" s="35">
        <f t="shared" si="154"/>
        <v>8.298796135288244</v>
      </c>
      <c r="CK170" s="15">
        <f t="shared" si="172"/>
        <v>8.6299999999999955</v>
      </c>
      <c r="CL170" s="35">
        <f t="shared" si="155"/>
        <v>8.9612038647117469</v>
      </c>
      <c r="CN170" s="14"/>
      <c r="CO170" s="17">
        <f t="shared" si="156"/>
        <v>3.92</v>
      </c>
      <c r="CP170" s="17">
        <f t="shared" si="157"/>
        <v>5.13</v>
      </c>
      <c r="CQ170" s="17">
        <f t="shared" si="158"/>
        <v>6.77</v>
      </c>
      <c r="CR170" s="38">
        <f t="shared" si="173"/>
        <v>7.9799999999999995</v>
      </c>
      <c r="CS170" s="17">
        <f t="shared" si="159"/>
        <v>9.6199999999999992</v>
      </c>
      <c r="CT170" s="17">
        <f t="shared" si="160"/>
        <v>10.829999999999998</v>
      </c>
      <c r="CU170" s="17">
        <f t="shared" si="161"/>
        <v>12.469999999999999</v>
      </c>
      <c r="CV170" s="2" cm="1">
        <f t="array" aca="1" ref="CV170" ca="1">MAX(_xlfn._xlws.FILTER(CO170:CU170,CO170:CU170&lt;BQ170))</f>
        <v>7.9799999999999995</v>
      </c>
      <c r="CW170" s="2" cm="1">
        <f t="array" aca="1" ref="CW170" ca="1">MIN(_xlfn._xlws.FILTER($CO170:$CU170,$CO170:$CU170&gt;BQ170))</f>
        <v>9.6199999999999992</v>
      </c>
      <c r="CX170" s="16">
        <f t="shared" ca="1" si="175"/>
        <v>0.20551378446115276</v>
      </c>
      <c r="CY170" s="20">
        <f t="shared" ca="1" si="176"/>
        <v>-0.10275689223057638</v>
      </c>
      <c r="CZ170" s="20">
        <f t="shared" ca="1" si="177"/>
        <v>-6.8504594820384249E-2</v>
      </c>
      <c r="DA170" s="20">
        <f t="shared" ca="1" si="178"/>
        <v>-4.1102756892230551E-2</v>
      </c>
      <c r="DB170" s="20">
        <f t="shared" ca="1" si="179"/>
        <v>-2.2834864940128083E-2</v>
      </c>
      <c r="DC170" s="20">
        <f t="shared" ca="1" si="180"/>
        <v>-1.2089046144773692E-2</v>
      </c>
      <c r="DD170" s="20">
        <f t="shared" ca="1" si="181"/>
        <v>-6.2276904382167503E-3</v>
      </c>
      <c r="DE170" s="20">
        <f t="shared" ca="1" si="182"/>
        <v>-3.1617505301715807E-3</v>
      </c>
      <c r="DF170" s="21">
        <f t="shared" ca="1" si="183"/>
        <v>3.1617505301715807E-3</v>
      </c>
      <c r="DG170" s="21">
        <f t="shared" ca="1" si="184"/>
        <v>6.2276904382167503E-3</v>
      </c>
      <c r="DH170" s="21">
        <f t="shared" ca="1" si="185"/>
        <v>1.2089046144773692E-2</v>
      </c>
      <c r="DI170" s="21">
        <f t="shared" ca="1" si="186"/>
        <v>2.2834864940128083E-2</v>
      </c>
      <c r="DJ170" s="21">
        <f t="shared" ca="1" si="187"/>
        <v>4.1102756892230551E-2</v>
      </c>
      <c r="DK170" s="21">
        <f t="shared" ca="1" si="188"/>
        <v>6.8504594820384249E-2</v>
      </c>
      <c r="DL170" s="21">
        <f t="shared" ca="1" si="189"/>
        <v>0.10275689223057638</v>
      </c>
      <c r="DN170" s="16" cm="1">
        <f t="array" aca="1" ref="DN170" ca="1">MAX(_xlfn._xlws.FILTER(CY170:DL170,CY170:DL170&lt;BW170))</f>
        <v>-6.8504594820384249E-2</v>
      </c>
      <c r="DO170" s="16" cm="1">
        <f t="array" aca="1" ref="DO170" ca="1">MIN(_xlfn._xlws.FILTER(CY170:DL170,CY170:DL170&gt;BW170))</f>
        <v>-4.1102756892230551E-2</v>
      </c>
      <c r="DP170" s="2" cm="1">
        <f t="array" aca="1" ref="DP170" ca="1">_FV(EE170,"Fechamento anterior",TRUE)</f>
        <v>8.7899999999999991</v>
      </c>
      <c r="DQ170" s="28">
        <f t="shared" ca="1" si="162"/>
        <v>0.92233413801715192</v>
      </c>
      <c r="DR170" s="15">
        <f t="shared" ca="1" si="190"/>
        <v>8.1878446115288224</v>
      </c>
      <c r="DS170" s="15">
        <f t="shared" ca="1" si="191"/>
        <v>8.4287067669172924</v>
      </c>
      <c r="DT170" s="9"/>
      <c r="DU170" s="9"/>
      <c r="DV170" s="9"/>
      <c r="DW170" s="89">
        <v>3.3604413237814448E-3</v>
      </c>
      <c r="DX170" s="89">
        <f t="shared" ca="1" si="163"/>
        <v>2.7401837928153698E-2</v>
      </c>
      <c r="DY170" s="72">
        <f t="shared" ca="1" si="164"/>
        <v>-0.66424345679499397</v>
      </c>
      <c r="DZ170" s="37"/>
      <c r="EA170" s="35">
        <f t="shared" si="174"/>
        <v>0.16560193235587553</v>
      </c>
      <c r="EB170" s="56"/>
      <c r="EC170" s="56"/>
      <c r="EE170" s="2" t="e" vm="172">
        <v>#VALUE!</v>
      </c>
      <c r="EG170" s="10" cm="1">
        <f t="array" aca="1" ref="EG170" ca="1">_FV(EE170,"Ações em circulação",TRUE)</f>
        <v>2289425000</v>
      </c>
      <c r="EH170" s="18">
        <f>VLOOKUP(BR170,Fundamentus!A:U,5,FALSE)</f>
        <v>0.58199999999999996</v>
      </c>
      <c r="EI170" s="2">
        <f t="shared" ca="1" si="165"/>
        <v>33082584621.99313</v>
      </c>
      <c r="EJ170" s="17">
        <v>4386750720.8762884</v>
      </c>
      <c r="EK170" s="17">
        <f t="shared" ca="1" si="166"/>
        <v>4386750720.8762884</v>
      </c>
      <c r="EM170" s="16">
        <f t="shared" ca="1" si="153"/>
        <v>0</v>
      </c>
      <c r="EN170" s="32" t="str">
        <f>IF(VLOOKUP(BR170,Fundamentus!A:U,3,FALSE)&lt;15,"Bom",IF(VLOOKUP(BR170,Fundamentus!A:U,3,FALSE)&gt;15,"Ruim","n/a"))</f>
        <v>Bom</v>
      </c>
      <c r="EO170" s="28" t="str">
        <f>IF(VLOOKUP(BR170,Fundamentus!A:U,4,FALSE)&lt;1,"Baixo",IF(VLOOKUP(BR170,Fundamentus!A:U,4,FALSE)&lt;1.5,"Moderado",IF(VLOOKUP(BR170,Fundamentus!A:U,4,FALSE)&gt;1.5,"Alto","n/a")))</f>
        <v>Moderado</v>
      </c>
      <c r="EP170" s="17" t="str">
        <f>IF(VLOOKUP(BR170,Fundamentus!A:U,8,FALSE)&lt;0,"Risco elevado",IF(VLOOKUP(BR170,Fundamentus!A:U,8,FALSE)&lt;1,"Saudável",IF(VLOOKUP(BR170,Fundamentus!A:U,8,FALSE)&lt;3,"Estável",IF(VLOOKUP(BR170,Fundamentus!A:U,8,FALSE)&gt;3,"Alerta","n/a"))))</f>
        <v>Alerta</v>
      </c>
      <c r="EQ170" s="28" t="str">
        <f t="shared" si="167"/>
        <v>Ruim</v>
      </c>
      <c r="ER170" s="17" t="str">
        <f>IF(VLOOKUP(BR170,Fundamentus!A:U,12,FALSE)&lt;2,"Subvalorizada",IF(VLOOKUP(BR170,Fundamentus!A:U,12,FALSE)&lt;6,"Muita barata",IF(VLOOKUP(BR170,Fundamentus!A:U,12,FALSE)&lt;6,"Barata",IF(VLOOKUP(BR170,Fundamentus!A:U,12,FALSE)&lt;8,"Atrativa",IF(VLOOKUP(BR170,Fundamentus!A:U,12,FALSE)&gt;8,"Supervalorizada","n/a")))))</f>
        <v>Muita barata</v>
      </c>
      <c r="ET170" s="17" t="str">
        <f>IF(VLOOKUP(BR170,Fundamentus!A:U,17,FALSE)&lt;0.1,"Fraco retorno",IF(VLOOKUP(BR170,Fundamentus!A:U,17,FALSE)&gt;0.1,"Bom retorno","n/a"))</f>
        <v>Bom retorno</v>
      </c>
      <c r="EU170" s="17" t="str">
        <f>IF(VLOOKUP(BR170,Fundamentus!A:U,16,FALSE)&lt;0.1,"Ineficiente",IF(VLOOKUP(BR170,Fundamentus!A:U,16,FALSE)&gt;0.1,"Eficiente","n/a"))</f>
        <v>Ineficiente</v>
      </c>
      <c r="EV170" s="33" t="str">
        <f>IF(VLOOKUP(BR170,Fundamentus!A:U,16,FALSE)&lt;0.1,"Oper. Ineficiente",IF(VLOOKUP(BR170,Fundamentus!A:U,16,FALSE)&gt;0.1,"Oper.Eficiente","n/a"))</f>
        <v>Oper. Ineficiente</v>
      </c>
      <c r="EW170" s="34">
        <f>VLOOKUP(BR170,Fundamentus!A:U,14,FALSE)</f>
        <v>0.1326</v>
      </c>
      <c r="EX170" s="17" t="str">
        <f>IF(VLOOKUP(BR170,Fundamentus!A:U,21,FALSE)&lt;0,"Negativo",IF(VLOOKUP(BR170,Fundamentus!A:U,21,FALSE)&lt;0.05,"Fraco",IF(VLOOKUP(BR170,Fundamentus!A:U,21,FALSE)&lt;0.1,"Bom",IF(VLOOKUP(BR170,Fundamentus!A:U,21,FALSE)&gt;0.1,"Muito bom","n/a"))))</f>
        <v>Muito bom</v>
      </c>
      <c r="EZ170" s="29" t="str">
        <f>IF(VLOOKUP(BR170,Fundamentus!A:U,15,FALSE)&gt;1,"Bom",IF(VLOOKUP(BR170,Fundamentus!A:U,15,FALSE)&lt;1,"Ruim","n/a"))</f>
        <v>Bom</v>
      </c>
      <c r="FA170" s="17" t="str">
        <f>IF(VLOOKUP(BR170,Fundamentus!A:U,20,FALSE)&lt;0.5,"Baixa",IF(VLOOKUP(BR170,Fundamentus!A:U,20,FALSE)&lt;1,"Moderada",IF(VLOOKUP(BR170,Fundamentus!A:U,20,FALSE)&lt;2,"Alerta",IF(VLOOKUP(BR170,Fundamentus!A:U,20,FALSE)&gt;2,"Alta","n/a"))))</f>
        <v>Alta</v>
      </c>
      <c r="FB170" s="10"/>
    </row>
    <row r="171" spans="1:158" s="2" customFormat="1" ht="11.25"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5">
        <v>3.52</v>
      </c>
      <c r="BC171" s="52">
        <v>4.29</v>
      </c>
      <c r="BD171" s="52">
        <v>3.95</v>
      </c>
      <c r="BE171" s="52">
        <v>4.25</v>
      </c>
      <c r="BF171" s="52">
        <v>3.95</v>
      </c>
      <c r="BG171" s="67">
        <v>4.03</v>
      </c>
      <c r="BH171" s="52">
        <v>4.0599999999999996</v>
      </c>
      <c r="BI171" s="52">
        <v>4.1500000000000004</v>
      </c>
      <c r="BJ171" s="52">
        <v>4.4000000000000004</v>
      </c>
      <c r="BK171" s="52">
        <v>3.8</v>
      </c>
      <c r="BL171" s="52">
        <v>3.66</v>
      </c>
      <c r="BM171" s="52">
        <v>3.63</v>
      </c>
      <c r="BN171" s="52">
        <v>3.7</v>
      </c>
      <c r="BO171" s="52">
        <v>3.65</v>
      </c>
      <c r="BP171" s="52">
        <v>3.33</v>
      </c>
      <c r="BQ171" s="52" cm="1">
        <f t="array" aca="1" ref="BQ171" ca="1">_FV(EE171,"Preço")</f>
        <v>3.33</v>
      </c>
      <c r="BR171" s="69" t="s">
        <v>167</v>
      </c>
      <c r="BS171" s="36" cm="1">
        <f t="array" aca="1" ref="BS171" ca="1">_FV(EE171,"Média de volume",TRUE)</f>
        <v>7318260</v>
      </c>
      <c r="BT171" s="36">
        <v>4205100</v>
      </c>
      <c r="BU171" s="36" cm="1">
        <f t="array" aca="1" ref="BU171" ca="1">_FV(EE171,"Volume")</f>
        <v>4205100</v>
      </c>
      <c r="BV171" s="24" cm="1">
        <f t="array" aca="1" ref="BV171" ca="1">_FV(EE171,"Beta")</f>
        <v>2.8730000000000002</v>
      </c>
      <c r="BW171" s="71" cm="1">
        <f t="array" aca="1" ref="BW171" ca="1">_FV(EE171,"Variação (%)",TRUE)</f>
        <v>-5.9699999999999996E-3</v>
      </c>
      <c r="BY171" s="17" cm="1">
        <f t="array" aca="1" ref="BY171" ca="1">_FV(EE171,"Baixo")</f>
        <v>3.27</v>
      </c>
      <c r="BZ171" s="17" cm="1">
        <f t="array" aca="1" ref="BZ171" ca="1">_FV(EE171,"Alto")</f>
        <v>3.45</v>
      </c>
      <c r="CA171" s="24"/>
      <c r="CB171" s="63">
        <f ca="1">SQRT(22.5*(BQ171/VLOOKUP(BR171,Fundamentus!A:U,3,FALSE))*(BQ171/VLOOKUP(BR171,Fundamentus!A:U,4,FALSE)))</f>
        <v>5.6357450774586271</v>
      </c>
      <c r="CD171" s="62">
        <f t="shared" ca="1" si="168"/>
        <v>0</v>
      </c>
      <c r="CE171" s="8"/>
      <c r="CF171" s="61">
        <f t="shared" si="169"/>
        <v>1.53</v>
      </c>
      <c r="CG171" s="61">
        <f t="shared" si="170"/>
        <v>4.4000000000000004</v>
      </c>
      <c r="CH171" s="61">
        <f t="shared" si="171"/>
        <v>2.9605147058823524</v>
      </c>
      <c r="CI171" s="14"/>
      <c r="CJ171" s="35">
        <f t="shared" si="154"/>
        <v>3.2190702683373842</v>
      </c>
      <c r="CK171" s="15">
        <f t="shared" si="172"/>
        <v>3.3400000000000318</v>
      </c>
      <c r="CL171" s="35">
        <f t="shared" si="155"/>
        <v>3.4609297316626795</v>
      </c>
      <c r="CN171" s="14"/>
      <c r="CO171" s="17">
        <f t="shared" si="156"/>
        <v>-1.096666666666666</v>
      </c>
      <c r="CP171" s="17">
        <f t="shared" si="157"/>
        <v>0.21666666666666723</v>
      </c>
      <c r="CQ171" s="17">
        <f t="shared" si="158"/>
        <v>1.7733333333333343</v>
      </c>
      <c r="CR171" s="38">
        <f t="shared" si="173"/>
        <v>3.0866666666666673</v>
      </c>
      <c r="CS171" s="17">
        <f t="shared" si="159"/>
        <v>4.6433333333333344</v>
      </c>
      <c r="CT171" s="17">
        <f t="shared" si="160"/>
        <v>5.956666666666667</v>
      </c>
      <c r="CU171" s="17">
        <f t="shared" si="161"/>
        <v>7.5133333333333354</v>
      </c>
      <c r="CV171" s="2" cm="1">
        <f t="array" aca="1" ref="CV171" ca="1">MAX(_xlfn._xlws.FILTER(CO171:CU171,CO171:CU171&lt;BQ171))</f>
        <v>3.0866666666666673</v>
      </c>
      <c r="CW171" s="2" cm="1">
        <f t="array" aca="1" ref="CW171" ca="1">MIN(_xlfn._xlws.FILTER($CO171:$CU171,$CO171:$CU171&gt;BQ171))</f>
        <v>4.6433333333333344</v>
      </c>
      <c r="CX171" s="16">
        <f t="shared" ca="1" si="175"/>
        <v>0.50431965442764581</v>
      </c>
      <c r="CY171" s="20">
        <f t="shared" ca="1" si="176"/>
        <v>-0.25215982721382291</v>
      </c>
      <c r="CZ171" s="20">
        <f t="shared" ca="1" si="177"/>
        <v>-0.16810655147588194</v>
      </c>
      <c r="DA171" s="20">
        <f t="shared" ca="1" si="178"/>
        <v>-0.10086393088552917</v>
      </c>
      <c r="DB171" s="20">
        <f t="shared" ca="1" si="179"/>
        <v>-5.6035517158627313E-2</v>
      </c>
      <c r="DC171" s="20">
        <f t="shared" ca="1" si="180"/>
        <v>-2.9665862025155636E-2</v>
      </c>
      <c r="DD171" s="20">
        <f t="shared" ca="1" si="181"/>
        <v>-1.5282413770534721E-2</v>
      </c>
      <c r="DE171" s="20">
        <f t="shared" ca="1" si="182"/>
        <v>-7.7587639142714738E-3</v>
      </c>
      <c r="DF171" s="21">
        <f t="shared" ca="1" si="183"/>
        <v>7.7587639142714738E-3</v>
      </c>
      <c r="DG171" s="21">
        <f t="shared" ca="1" si="184"/>
        <v>1.5282413770534721E-2</v>
      </c>
      <c r="DH171" s="21">
        <f t="shared" ca="1" si="185"/>
        <v>2.9665862025155636E-2</v>
      </c>
      <c r="DI171" s="21">
        <f t="shared" ca="1" si="186"/>
        <v>5.6035517158627313E-2</v>
      </c>
      <c r="DJ171" s="21">
        <f t="shared" ca="1" si="187"/>
        <v>0.10086393088552917</v>
      </c>
      <c r="DK171" s="21">
        <f t="shared" ca="1" si="188"/>
        <v>0.16810655147588194</v>
      </c>
      <c r="DL171" s="21">
        <f t="shared" ca="1" si="189"/>
        <v>0.25215982721382291</v>
      </c>
      <c r="DN171" s="16" cm="1">
        <f t="array" aca="1" ref="DN171" ca="1">MAX(_xlfn._xlws.FILTER(CY171:DL171,CY171:DL171&lt;BW171))</f>
        <v>-7.7587639142714738E-3</v>
      </c>
      <c r="DO171" s="16" cm="1">
        <f t="array" aca="1" ref="DO171" ca="1">MIN(_xlfn._xlws.FILTER(CY171:DL171,CY171:DL171&gt;BW171))</f>
        <v>7.7587639142714738E-3</v>
      </c>
      <c r="DP171" s="2" cm="1">
        <f t="array" aca="1" ref="DP171" ca="1">_FV(EE171,"Fechamento anterior",TRUE)</f>
        <v>3.35</v>
      </c>
      <c r="DQ171" s="28">
        <f t="shared" ca="1" si="162"/>
        <v>0.11526415034037812</v>
      </c>
      <c r="DR171" s="15">
        <f t="shared" ca="1" si="190"/>
        <v>3.3240081408871904</v>
      </c>
      <c r="DS171" s="15">
        <f t="shared" ca="1" si="191"/>
        <v>3.3759918591128097</v>
      </c>
      <c r="DT171" s="9"/>
      <c r="DU171" s="9"/>
      <c r="DV171" s="9"/>
      <c r="DW171" s="89">
        <v>4.6300162375318941E-2</v>
      </c>
      <c r="DX171" s="89">
        <f t="shared" ca="1" si="163"/>
        <v>1.5517527828542948E-2</v>
      </c>
      <c r="DY171" s="72">
        <f t="shared" ca="1" si="164"/>
        <v>-8.2692650207215557E-2</v>
      </c>
      <c r="DZ171" s="37"/>
      <c r="EA171" s="35">
        <f t="shared" si="174"/>
        <v>6.0464865831323863E-2</v>
      </c>
      <c r="EB171" s="56"/>
      <c r="EC171" s="56"/>
      <c r="EE171" s="2" t="e" vm="173">
        <v>#VALUE!</v>
      </c>
      <c r="EG171" s="10" cm="1">
        <f t="array" aca="1" ref="EG171" ca="1">_FV(EE171,"Ações em circulação",TRUE)</f>
        <v>403868800</v>
      </c>
      <c r="EH171" s="18">
        <f>VLOOKUP(BR171,Fundamentus!A:U,5,FALSE)</f>
        <v>0.38300000000000001</v>
      </c>
      <c r="EI171" s="2">
        <f t="shared" ca="1" si="165"/>
        <v>3511444135.7702351</v>
      </c>
      <c r="EJ171" s="17">
        <v>225434713.51644906</v>
      </c>
      <c r="EK171" s="17">
        <f t="shared" ca="1" si="166"/>
        <v>225434713.51644906</v>
      </c>
      <c r="EM171" s="16">
        <f t="shared" ca="1" si="153"/>
        <v>0</v>
      </c>
      <c r="EN171" s="32" t="str">
        <f>IF(VLOOKUP(BR171,Fundamentus!A:U,3,FALSE)&lt;15,"Bom",IF(VLOOKUP(BR171,Fundamentus!A:U,3,FALSE)&gt;15,"Ruim","n/a"))</f>
        <v>Bom</v>
      </c>
      <c r="EO171" s="28" t="str">
        <f>IF(VLOOKUP(BR171,Fundamentus!A:U,4,FALSE)&lt;1,"Baixo",IF(VLOOKUP(BR171,Fundamentus!A:U,4,FALSE)&lt;1.5,"Moderado",IF(VLOOKUP(BR171,Fundamentus!A:U,4,FALSE)&gt;1.5,"Alto","n/a")))</f>
        <v>Baixo</v>
      </c>
      <c r="EP171" s="17" t="str">
        <f>IF(VLOOKUP(BR171,Fundamentus!A:U,8,FALSE)&lt;0,"Risco elevado",IF(VLOOKUP(BR171,Fundamentus!A:U,8,FALSE)&lt;1,"Saudável",IF(VLOOKUP(BR171,Fundamentus!A:U,8,FALSE)&lt;3,"Estável",IF(VLOOKUP(BR171,Fundamentus!A:U,8,FALSE)&gt;3,"Alerta","n/a"))))</f>
        <v>Estável</v>
      </c>
      <c r="EQ171" s="28" t="str">
        <f t="shared" si="167"/>
        <v>Ruim</v>
      </c>
      <c r="ER171" s="17" t="str">
        <f>IF(VLOOKUP(BR171,Fundamentus!A:U,12,FALSE)&lt;2,"Subvalorizada",IF(VLOOKUP(BR171,Fundamentus!A:U,12,FALSE)&lt;6,"Muita barata",IF(VLOOKUP(BR171,Fundamentus!A:U,12,FALSE)&lt;6,"Barata",IF(VLOOKUP(BR171,Fundamentus!A:U,12,FALSE)&lt;8,"Atrativa",IF(VLOOKUP(BR171,Fundamentus!A:U,12,FALSE)&gt;8,"Supervalorizada","n/a")))))</f>
        <v>Muita barata</v>
      </c>
      <c r="ET171" s="17" t="str">
        <f>IF(VLOOKUP(BR171,Fundamentus!A:U,17,FALSE)&lt;0.1,"Fraco retorno",IF(VLOOKUP(BR171,Fundamentus!A:U,17,FALSE)&gt;0.1,"Bom retorno","n/a"))</f>
        <v>Fraco retorno</v>
      </c>
      <c r="EU171" s="17" t="str">
        <f>IF(VLOOKUP(BR171,Fundamentus!A:U,16,FALSE)&lt;0.1,"Ineficiente",IF(VLOOKUP(BR171,Fundamentus!A:U,16,FALSE)&gt;0.1,"Eficiente","n/a"))</f>
        <v>Eficiente</v>
      </c>
      <c r="EV171" s="33" t="str">
        <f>IF(VLOOKUP(BR171,Fundamentus!A:U,16,FALSE)&lt;0.1,"Oper. Ineficiente",IF(VLOOKUP(BR171,Fundamentus!A:U,16,FALSE)&gt;0.1,"Oper.Eficiente","n/a"))</f>
        <v>Oper.Eficiente</v>
      </c>
      <c r="EW171" s="34">
        <f>VLOOKUP(BR171,Fundamentus!A:U,14,FALSE)</f>
        <v>6.4199999999999993E-2</v>
      </c>
      <c r="EX171" s="17" t="str">
        <f>IF(VLOOKUP(BR171,Fundamentus!A:U,21,FALSE)&lt;0,"Negativo",IF(VLOOKUP(BR171,Fundamentus!A:U,21,FALSE)&lt;0.05,"Fraco",IF(VLOOKUP(BR171,Fundamentus!A:U,21,FALSE)&lt;0.1,"Bom",IF(VLOOKUP(BR171,Fundamentus!A:U,21,FALSE)&gt;0.1,"Muito bom","n/a"))))</f>
        <v>Muito bom</v>
      </c>
      <c r="EZ171" s="29" t="str">
        <f>IF(VLOOKUP(BR171,Fundamentus!A:U,15,FALSE)&gt;1,"Bom",IF(VLOOKUP(BR171,Fundamentus!A:U,15,FALSE)&lt;1,"Ruim","n/a"))</f>
        <v>Bom</v>
      </c>
      <c r="FA171" s="17" t="str">
        <f>IF(VLOOKUP(BR171,Fundamentus!A:U,20,FALSE)&lt;0.5,"Baixa",IF(VLOOKUP(BR171,Fundamentus!A:U,20,FALSE)&lt;1,"Moderada",IF(VLOOKUP(BR171,Fundamentus!A:U,20,FALSE)&lt;2,"Alerta",IF(VLOOKUP(BR171,Fundamentus!A:U,20,FALSE)&gt;2,"Alta","n/a"))))</f>
        <v>Alta</v>
      </c>
      <c r="FB171" s="10"/>
    </row>
    <row r="172" spans="1:158" s="2" customFormat="1" ht="11.25"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5">
        <v>36.659999999999997</v>
      </c>
      <c r="BC172" s="52">
        <v>39</v>
      </c>
      <c r="BD172" s="52">
        <v>38.799999999999997</v>
      </c>
      <c r="BE172" s="52">
        <v>38.950000000000003</v>
      </c>
      <c r="BF172" s="52">
        <v>42.51</v>
      </c>
      <c r="BG172" s="67">
        <v>43.98</v>
      </c>
      <c r="BH172" s="52">
        <v>43.56</v>
      </c>
      <c r="BI172" s="52">
        <v>41.87</v>
      </c>
      <c r="BJ172" s="52">
        <v>42.58</v>
      </c>
      <c r="BK172" s="52">
        <v>42.76</v>
      </c>
      <c r="BL172" s="52">
        <v>43.29</v>
      </c>
      <c r="BM172" s="52">
        <v>41.9</v>
      </c>
      <c r="BN172" s="52">
        <v>40.99</v>
      </c>
      <c r="BO172" s="52">
        <v>39.479999999999997</v>
      </c>
      <c r="BP172" s="52">
        <v>38.81</v>
      </c>
      <c r="BQ172" s="52" cm="1">
        <f t="array" aca="1" ref="BQ172" ca="1">_FV(EE172,"Preço")</f>
        <v>38.81</v>
      </c>
      <c r="BR172" s="69" t="s">
        <v>168</v>
      </c>
      <c r="BS172" s="36" cm="1">
        <f t="array" aca="1" ref="BS172" ca="1">_FV(EE172,"Média de volume",TRUE)</f>
        <v>7568090</v>
      </c>
      <c r="BT172" s="36">
        <v>6083300</v>
      </c>
      <c r="BU172" s="36" cm="1">
        <f t="array" aca="1" ref="BU172" ca="1">_FV(EE172,"Volume")</f>
        <v>6083300</v>
      </c>
      <c r="BV172" s="24" cm="1">
        <f t="array" aca="1" ref="BV172" ca="1">_FV(EE172,"Beta")</f>
        <v>1.2887999999999999</v>
      </c>
      <c r="BW172" s="71" cm="1">
        <f t="array" aca="1" ref="BW172" ca="1">_FV(EE172,"Variação (%)",TRUE)</f>
        <v>2.5770000000000003E-4</v>
      </c>
      <c r="BY172" s="17" cm="1">
        <f t="array" aca="1" ref="BY172" ca="1">_FV(EE172,"Baixo")</f>
        <v>38.409999999999997</v>
      </c>
      <c r="BZ172" s="17" cm="1">
        <f t="array" aca="1" ref="BZ172" ca="1">_FV(EE172,"Alto")</f>
        <v>38.85</v>
      </c>
      <c r="CA172" s="24"/>
      <c r="CB172" s="63">
        <f ca="1">SQRT(22.5*(BQ172/VLOOKUP(BR172,Fundamentus!A:U,3,FALSE))*(BQ172/VLOOKUP(BR172,Fundamentus!A:U,4,FALSE)))</f>
        <v>83.984133228341918</v>
      </c>
      <c r="CD172" s="62">
        <f t="shared" ca="1" si="168"/>
        <v>0</v>
      </c>
      <c r="CE172" s="8"/>
      <c r="CF172" s="61">
        <f t="shared" si="169"/>
        <v>33.71</v>
      </c>
      <c r="CG172" s="61">
        <f t="shared" si="170"/>
        <v>49.29</v>
      </c>
      <c r="CH172" s="61">
        <f t="shared" si="171"/>
        <v>41.579632352941182</v>
      </c>
      <c r="CI172" s="14"/>
      <c r="CJ172" s="35">
        <f t="shared" si="154"/>
        <v>34.898456737344738</v>
      </c>
      <c r="CK172" s="15">
        <f t="shared" si="172"/>
        <v>37.600000000000364</v>
      </c>
      <c r="CL172" s="35">
        <f t="shared" si="155"/>
        <v>40.30154326265599</v>
      </c>
      <c r="CN172" s="14"/>
      <c r="CO172" s="17">
        <f t="shared" si="156"/>
        <v>16.336666666666666</v>
      </c>
      <c r="CP172" s="17">
        <f t="shared" si="157"/>
        <v>25.023333333333333</v>
      </c>
      <c r="CQ172" s="17">
        <f t="shared" si="158"/>
        <v>31.916666666666664</v>
      </c>
      <c r="CR172" s="38">
        <f t="shared" si="173"/>
        <v>40.603333333333332</v>
      </c>
      <c r="CS172" s="17">
        <f t="shared" si="159"/>
        <v>47.496666666666663</v>
      </c>
      <c r="CT172" s="17">
        <f t="shared" si="160"/>
        <v>56.18333333333333</v>
      </c>
      <c r="CU172" s="17">
        <f t="shared" si="161"/>
        <v>63.076666666666661</v>
      </c>
      <c r="CV172" s="2" cm="1">
        <f t="array" aca="1" ref="CV172" ca="1">MAX(_xlfn._xlws.FILTER(CO172:CU172,CO172:CU172&lt;BQ172))</f>
        <v>31.916666666666664</v>
      </c>
      <c r="CW172" s="2" cm="1">
        <f t="array" aca="1" ref="CW172" ca="1">MIN(_xlfn._xlws.FILTER($CO172:$CU172,$CO172:$CU172&gt;BQ172))</f>
        <v>40.603333333333332</v>
      </c>
      <c r="CX172" s="16">
        <f t="shared" ca="1" si="175"/>
        <v>0.27216710182767634</v>
      </c>
      <c r="CY172" s="20">
        <f t="shared" ca="1" si="176"/>
        <v>-0.13608355091383817</v>
      </c>
      <c r="CZ172" s="20">
        <f t="shared" ca="1" si="177"/>
        <v>-9.0722367275892113E-2</v>
      </c>
      <c r="DA172" s="20">
        <f t="shared" ca="1" si="178"/>
        <v>-5.4433420365535265E-2</v>
      </c>
      <c r="DB172" s="20">
        <f t="shared" ca="1" si="179"/>
        <v>-3.0240789091964038E-2</v>
      </c>
      <c r="DC172" s="20">
        <f t="shared" ca="1" si="180"/>
        <v>-1.6009829519275078E-2</v>
      </c>
      <c r="DD172" s="20">
        <f t="shared" ca="1" si="181"/>
        <v>-8.2474879341720101E-3</v>
      </c>
      <c r="DE172" s="20">
        <f t="shared" ca="1" si="182"/>
        <v>-4.1871861819642517E-3</v>
      </c>
      <c r="DF172" s="21">
        <f t="shared" ca="1" si="183"/>
        <v>4.1871861819642517E-3</v>
      </c>
      <c r="DG172" s="21">
        <f t="shared" ca="1" si="184"/>
        <v>8.2474879341720101E-3</v>
      </c>
      <c r="DH172" s="21">
        <f t="shared" ca="1" si="185"/>
        <v>1.6009829519275078E-2</v>
      </c>
      <c r="DI172" s="21">
        <f t="shared" ca="1" si="186"/>
        <v>3.0240789091964038E-2</v>
      </c>
      <c r="DJ172" s="21">
        <f t="shared" ca="1" si="187"/>
        <v>5.4433420365535265E-2</v>
      </c>
      <c r="DK172" s="21">
        <f t="shared" ca="1" si="188"/>
        <v>9.0722367275892113E-2</v>
      </c>
      <c r="DL172" s="21">
        <f t="shared" ca="1" si="189"/>
        <v>0.13608355091383817</v>
      </c>
      <c r="DN172" s="16" cm="1">
        <f t="array" aca="1" ref="DN172" ca="1">MAX(_xlfn._xlws.FILTER(CY172:DL172,CY172:DL172&lt;BW172))</f>
        <v>-4.1871861819642517E-3</v>
      </c>
      <c r="DO172" s="16" cm="1">
        <f t="array" aca="1" ref="DO172" ca="1">MIN(_xlfn._xlws.FILTER(CY172:DL172,CY172:DL172&gt;BW172))</f>
        <v>4.1871861819642517E-3</v>
      </c>
      <c r="DP172" s="2" cm="1">
        <f t="array" aca="1" ref="DP172" ca="1">_FV(EE172,"Fechamento anterior",TRUE)</f>
        <v>38.799999999999997</v>
      </c>
      <c r="DQ172" s="28">
        <f t="shared" ca="1" si="162"/>
        <v>0.53077627164910524</v>
      </c>
      <c r="DR172" s="15">
        <f t="shared" ca="1" si="190"/>
        <v>38.637537176139787</v>
      </c>
      <c r="DS172" s="15">
        <f t="shared" ca="1" si="191"/>
        <v>38.962462823860207</v>
      </c>
      <c r="DT172" s="9"/>
      <c r="DU172" s="9"/>
      <c r="DV172" s="9"/>
      <c r="DW172" s="89">
        <v>3.9013137787470903E-3</v>
      </c>
      <c r="DX172" s="89">
        <f t="shared" ca="1" si="163"/>
        <v>8.3743723639285034E-3</v>
      </c>
      <c r="DY172" s="72">
        <f t="shared" ca="1" si="164"/>
        <v>0.44789214251198201</v>
      </c>
      <c r="DZ172" s="37"/>
      <c r="EA172" s="35">
        <f t="shared" si="174"/>
        <v>1.3507716313278129</v>
      </c>
      <c r="EB172" s="56"/>
      <c r="EC172" s="56"/>
      <c r="EE172" s="2" t="e" vm="174">
        <v>#VALUE!</v>
      </c>
      <c r="EG172" s="10" cm="1">
        <f t="array" aca="1" ref="EG172" ca="1">_FV(EE172,"Ações em circulação",TRUE)</f>
        <v>896346200</v>
      </c>
      <c r="EH172" s="18">
        <f>VLOOKUP(BR172,Fundamentus!A:U,5,FALSE)</f>
        <v>2.44</v>
      </c>
      <c r="EI172" s="2">
        <f t="shared" ca="1" si="165"/>
        <v>14257047550</v>
      </c>
      <c r="EJ172" s="17">
        <v>10352042226.055</v>
      </c>
      <c r="EK172" s="17">
        <f t="shared" ca="1" si="166"/>
        <v>10352042226.055</v>
      </c>
      <c r="EM172" s="16">
        <f t="shared" ca="1" si="153"/>
        <v>0</v>
      </c>
      <c r="EN172" s="32" t="str">
        <f>IF(VLOOKUP(BR172,Fundamentus!A:U,3,FALSE)&lt;15,"Bom",IF(VLOOKUP(BR172,Fundamentus!A:U,3,FALSE)&gt;15,"Ruim","n/a"))</f>
        <v>Bom</v>
      </c>
      <c r="EO172" s="28" t="str">
        <f>IF(VLOOKUP(BR172,Fundamentus!A:U,4,FALSE)&lt;1,"Baixo",IF(VLOOKUP(BR172,Fundamentus!A:U,4,FALSE)&lt;1.5,"Moderado",IF(VLOOKUP(BR172,Fundamentus!A:U,4,FALSE)&gt;1.5,"Alto","n/a")))</f>
        <v>Moderado</v>
      </c>
      <c r="EP172" s="17" t="str">
        <f>IF(VLOOKUP(BR172,Fundamentus!A:U,8,FALSE)&lt;0,"Risco elevado",IF(VLOOKUP(BR172,Fundamentus!A:U,8,FALSE)&lt;1,"Saudável",IF(VLOOKUP(BR172,Fundamentus!A:U,8,FALSE)&lt;3,"Estável",IF(VLOOKUP(BR172,Fundamentus!A:U,8,FALSE)&gt;3,"Alerta","n/a"))))</f>
        <v>Alerta</v>
      </c>
      <c r="EQ172" s="28" t="str">
        <f t="shared" si="167"/>
        <v>Bom</v>
      </c>
      <c r="ER172" s="17" t="str">
        <f>IF(VLOOKUP(BR172,Fundamentus!A:U,12,FALSE)&lt;2,"Subvalorizada",IF(VLOOKUP(BR172,Fundamentus!A:U,12,FALSE)&lt;6,"Muita barata",IF(VLOOKUP(BR172,Fundamentus!A:U,12,FALSE)&lt;6,"Barata",IF(VLOOKUP(BR172,Fundamentus!A:U,12,FALSE)&lt;8,"Atrativa",IF(VLOOKUP(BR172,Fundamentus!A:U,12,FALSE)&gt;8,"Supervalorizada","n/a")))))</f>
        <v>Muita barata</v>
      </c>
      <c r="ET172" s="17" t="str">
        <f>IF(VLOOKUP(BR172,Fundamentus!A:U,17,FALSE)&lt;0.1,"Fraco retorno",IF(VLOOKUP(BR172,Fundamentus!A:U,17,FALSE)&gt;0.1,"Bom retorno","n/a"))</f>
        <v>Bom retorno</v>
      </c>
      <c r="EU172" s="17" t="str">
        <f>IF(VLOOKUP(BR172,Fundamentus!A:U,16,FALSE)&lt;0.1,"Ineficiente",IF(VLOOKUP(BR172,Fundamentus!A:U,16,FALSE)&gt;0.1,"Eficiente","n/a"))</f>
        <v>Eficiente</v>
      </c>
      <c r="EV172" s="33" t="str">
        <f>IF(VLOOKUP(BR172,Fundamentus!A:U,16,FALSE)&lt;0.1,"Oper. Ineficiente",IF(VLOOKUP(BR172,Fundamentus!A:U,16,FALSE)&gt;0.1,"Oper.Eficiente","n/a"))</f>
        <v>Oper.Eficiente</v>
      </c>
      <c r="EW172" s="34">
        <f>VLOOKUP(BR172,Fundamentus!A:U,14,FALSE)</f>
        <v>0.72609999999999997</v>
      </c>
      <c r="EX172" s="17" t="str">
        <f>IF(VLOOKUP(BR172,Fundamentus!A:U,21,FALSE)&lt;0,"Negativo",IF(VLOOKUP(BR172,Fundamentus!A:U,21,FALSE)&lt;0.05,"Fraco",IF(VLOOKUP(BR172,Fundamentus!A:U,21,FALSE)&lt;0.1,"Bom",IF(VLOOKUP(BR172,Fundamentus!A:U,21,FALSE)&gt;0.1,"Muito bom","n/a"))))</f>
        <v>Muito bom</v>
      </c>
      <c r="EZ172" s="29" t="str">
        <f>IF(VLOOKUP(BR172,Fundamentus!A:U,15,FALSE)&gt;1,"Bom",IF(VLOOKUP(BR172,Fundamentus!A:U,15,FALSE)&lt;1,"Ruim","n/a"))</f>
        <v>Bom</v>
      </c>
      <c r="FA172" s="17" t="str">
        <f>IF(VLOOKUP(BR172,Fundamentus!A:U,20,FALSE)&lt;0.5,"Baixa",IF(VLOOKUP(BR172,Fundamentus!A:U,20,FALSE)&lt;1,"Moderada",IF(VLOOKUP(BR172,Fundamentus!A:U,20,FALSE)&lt;2,"Alerta",IF(VLOOKUP(BR172,Fundamentus!A:U,20,FALSE)&gt;2,"Alta","n/a"))))</f>
        <v>Moderada</v>
      </c>
      <c r="FB172" s="10"/>
    </row>
    <row r="173" spans="1:158" s="2" customFormat="1" ht="11.25"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5">
        <v>11.27</v>
      </c>
      <c r="BC173" s="52">
        <v>11.21</v>
      </c>
      <c r="BD173" s="52">
        <v>10.92</v>
      </c>
      <c r="BE173" s="52">
        <v>11</v>
      </c>
      <c r="BF173" s="52">
        <v>10.99</v>
      </c>
      <c r="BG173" s="67">
        <v>10.85</v>
      </c>
      <c r="BH173" s="52">
        <v>11.61</v>
      </c>
      <c r="BI173" s="52">
        <v>11.61</v>
      </c>
      <c r="BJ173" s="52">
        <v>11.73</v>
      </c>
      <c r="BK173" s="52">
        <v>11.59</v>
      </c>
      <c r="BL173" s="52">
        <v>11.3</v>
      </c>
      <c r="BM173" s="52">
        <v>11.91</v>
      </c>
      <c r="BN173" s="52">
        <v>12.15</v>
      </c>
      <c r="BO173" s="52">
        <v>12.66</v>
      </c>
      <c r="BP173" s="52">
        <v>12.8</v>
      </c>
      <c r="BQ173" s="52" cm="1">
        <f t="array" aca="1" ref="BQ173" ca="1">_FV(EE173,"Preço")</f>
        <v>12.8</v>
      </c>
      <c r="BR173" s="69" t="s">
        <v>169</v>
      </c>
      <c r="BS173" s="36" cm="1">
        <f t="array" aca="1" ref="BS173" ca="1">_FV(EE173,"Média de volume",TRUE)</f>
        <v>2197630</v>
      </c>
      <c r="BT173" s="36">
        <v>1391400</v>
      </c>
      <c r="BU173" s="36" cm="1">
        <f t="array" aca="1" ref="BU173" ca="1">_FV(EE173,"Volume")</f>
        <v>1391400</v>
      </c>
      <c r="BV173" s="24" cm="1">
        <f t="array" aca="1" ref="BV173" ca="1">_FV(EE173,"Beta")</f>
        <v>0.51680000000000004</v>
      </c>
      <c r="BW173" s="71" cm="1">
        <f t="array" aca="1" ref="BW173" ca="1">_FV(EE173,"Variação (%)",TRUE)</f>
        <v>4.4898E-2</v>
      </c>
      <c r="BY173" s="17" cm="1">
        <f t="array" aca="1" ref="BY173" ca="1">_FV(EE173,"Baixo")</f>
        <v>12.21</v>
      </c>
      <c r="BZ173" s="17" cm="1">
        <f t="array" aca="1" ref="BZ173" ca="1">_FV(EE173,"Alto")</f>
        <v>12.8</v>
      </c>
      <c r="CA173" s="24"/>
      <c r="CB173" s="63">
        <f ca="1">SQRT(22.5*(BQ173/VLOOKUP(BR173,Fundamentus!A:U,3,FALSE))*(BQ173/VLOOKUP(BR173,Fundamentus!A:U,4,FALSE)))</f>
        <v>8.4405593814399591</v>
      </c>
      <c r="CD173" s="62">
        <f t="shared" ca="1" si="168"/>
        <v>0</v>
      </c>
      <c r="CE173" s="8"/>
      <c r="CF173" s="61">
        <f t="shared" si="169"/>
        <v>10.24</v>
      </c>
      <c r="CG173" s="61">
        <f t="shared" si="170"/>
        <v>12.8</v>
      </c>
      <c r="CH173" s="61">
        <f t="shared" si="171"/>
        <v>11.25507352941176</v>
      </c>
      <c r="CI173" s="14"/>
      <c r="CJ173" s="35">
        <f t="shared" si="154"/>
        <v>12.239530064620109</v>
      </c>
      <c r="CK173" s="15">
        <f t="shared" si="172"/>
        <v>13.175000000000182</v>
      </c>
      <c r="CL173" s="35">
        <f t="shared" si="155"/>
        <v>14.110469935380255</v>
      </c>
      <c r="CN173" s="14"/>
      <c r="CO173" s="17">
        <f t="shared" si="156"/>
        <v>8.5333333333333332</v>
      </c>
      <c r="CP173" s="17">
        <f t="shared" si="157"/>
        <v>9.3866666666666667</v>
      </c>
      <c r="CQ173" s="17">
        <f t="shared" si="158"/>
        <v>11.093333333333334</v>
      </c>
      <c r="CR173" s="38">
        <f t="shared" si="173"/>
        <v>11.946666666666667</v>
      </c>
      <c r="CS173" s="17">
        <f t="shared" si="159"/>
        <v>13.653333333333334</v>
      </c>
      <c r="CT173" s="17">
        <f t="shared" si="160"/>
        <v>14.506666666666668</v>
      </c>
      <c r="CU173" s="17">
        <f t="shared" si="161"/>
        <v>16.213333333333335</v>
      </c>
      <c r="CV173" s="2" cm="1">
        <f t="array" aca="1" ref="CV173" ca="1">MAX(_xlfn._xlws.FILTER(CO173:CU173,CO173:CU173&lt;BQ173))</f>
        <v>11.946666666666667</v>
      </c>
      <c r="CW173" s="2" cm="1">
        <f t="array" aca="1" ref="CW173" ca="1">MIN(_xlfn._xlws.FILTER($CO173:$CU173,$CO173:$CU173&gt;BQ173))</f>
        <v>13.653333333333334</v>
      </c>
      <c r="CX173" s="16">
        <f t="shared" ca="1" si="175"/>
        <v>0.14285714285714279</v>
      </c>
      <c r="CY173" s="20">
        <f t="shared" ca="1" si="176"/>
        <v>-7.1428571428571397E-2</v>
      </c>
      <c r="CZ173" s="20">
        <f t="shared" ca="1" si="177"/>
        <v>-4.7619047619047596E-2</v>
      </c>
      <c r="DA173" s="20">
        <f t="shared" ca="1" si="178"/>
        <v>-2.857142857142856E-2</v>
      </c>
      <c r="DB173" s="20">
        <f t="shared" ca="1" si="179"/>
        <v>-1.5873015873015865E-2</v>
      </c>
      <c r="DC173" s="20">
        <f t="shared" ca="1" si="180"/>
        <v>-8.4033613445378113E-3</v>
      </c>
      <c r="DD173" s="20">
        <f t="shared" ca="1" si="181"/>
        <v>-4.3290043290043273E-3</v>
      </c>
      <c r="DE173" s="20">
        <f t="shared" ca="1" si="182"/>
        <v>-2.1978021978021969E-3</v>
      </c>
      <c r="DF173" s="21">
        <f t="shared" ca="1" si="183"/>
        <v>2.1978021978021969E-3</v>
      </c>
      <c r="DG173" s="21">
        <f t="shared" ca="1" si="184"/>
        <v>4.3290043290043273E-3</v>
      </c>
      <c r="DH173" s="21">
        <f t="shared" ca="1" si="185"/>
        <v>8.4033613445378113E-3</v>
      </c>
      <c r="DI173" s="21">
        <f t="shared" ca="1" si="186"/>
        <v>1.5873015873015865E-2</v>
      </c>
      <c r="DJ173" s="21">
        <f t="shared" ca="1" si="187"/>
        <v>2.857142857142856E-2</v>
      </c>
      <c r="DK173" s="21">
        <f t="shared" ca="1" si="188"/>
        <v>4.7619047619047596E-2</v>
      </c>
      <c r="DL173" s="21">
        <f t="shared" ca="1" si="189"/>
        <v>7.1428571428571397E-2</v>
      </c>
      <c r="DN173" s="16" cm="1">
        <f t="array" aca="1" ref="DN173" ca="1">MAX(_xlfn._xlws.FILTER(CY173:DL173,CY173:DL173&lt;BW173))</f>
        <v>2.857142857142856E-2</v>
      </c>
      <c r="DO173" s="16" cm="1">
        <f t="array" aca="1" ref="DO173" ca="1">MIN(_xlfn._xlws.FILTER(CY173:DL173,CY173:DL173&gt;BW173))</f>
        <v>4.7619047619047596E-2</v>
      </c>
      <c r="DP173" s="2" cm="1">
        <f t="array" aca="1" ref="DP173" ca="1">_FV(EE173,"Fechamento anterior",TRUE)</f>
        <v>12.25</v>
      </c>
      <c r="DQ173" s="28">
        <f t="shared" ca="1" si="162"/>
        <v>0.85714285714286476</v>
      </c>
      <c r="DR173" s="15">
        <f t="shared" ca="1" si="190"/>
        <v>12.6</v>
      </c>
      <c r="DS173" s="15">
        <f t="shared" ca="1" si="191"/>
        <v>12.833333333333332</v>
      </c>
      <c r="DT173" s="9"/>
      <c r="DU173" s="9"/>
      <c r="DV173" s="9"/>
      <c r="DW173" s="89">
        <v>1.2098487689038864E-2</v>
      </c>
      <c r="DX173" s="89">
        <f t="shared" ca="1" si="163"/>
        <v>1.9047619047619035E-2</v>
      </c>
      <c r="DY173" s="72">
        <f t="shared" ca="1" si="164"/>
        <v>-0.40086804056169045</v>
      </c>
      <c r="DZ173" s="37"/>
      <c r="EA173" s="35">
        <f t="shared" si="174"/>
        <v>0.46773496769003697</v>
      </c>
      <c r="EB173" s="56"/>
      <c r="EC173" s="56"/>
      <c r="EE173" s="2" t="e" vm="175">
        <v>#VALUE!</v>
      </c>
      <c r="EG173" s="10" cm="1">
        <f t="array" aca="1" ref="EG173" ca="1">_FV(EE173,"Ações em circulação",TRUE)</f>
        <v>552495700</v>
      </c>
      <c r="EH173" s="18">
        <f>VLOOKUP(BR173,Fundamentus!A:U,5,FALSE)</f>
        <v>2.7210000000000001</v>
      </c>
      <c r="EI173" s="2">
        <f t="shared" ca="1" si="165"/>
        <v>2599024241.0878353</v>
      </c>
      <c r="EJ173" s="17">
        <v>631043085.73612642</v>
      </c>
      <c r="EK173" s="17">
        <f t="shared" ca="1" si="166"/>
        <v>631043085.73612642</v>
      </c>
      <c r="EM173" s="16">
        <f t="shared" ca="1" si="153"/>
        <v>0</v>
      </c>
      <c r="EN173" s="32" t="str">
        <f>IF(VLOOKUP(BR173,Fundamentus!A:U,3,FALSE)&lt;15,"Bom",IF(VLOOKUP(BR173,Fundamentus!A:U,3,FALSE)&gt;15,"Ruim","n/a"))</f>
        <v>Bom</v>
      </c>
      <c r="EO173" s="28" t="str">
        <f>IF(VLOOKUP(BR173,Fundamentus!A:U,4,FALSE)&lt;1,"Baixo",IF(VLOOKUP(BR173,Fundamentus!A:U,4,FALSE)&lt;1.5,"Moderado",IF(VLOOKUP(BR173,Fundamentus!A:U,4,FALSE)&gt;1.5,"Alto","n/a")))</f>
        <v>Alto</v>
      </c>
      <c r="EP173" s="17" t="str">
        <f>IF(VLOOKUP(BR173,Fundamentus!A:U,8,FALSE)&lt;0,"Risco elevado",IF(VLOOKUP(BR173,Fundamentus!A:U,8,FALSE)&lt;1,"Saudável",IF(VLOOKUP(BR173,Fundamentus!A:U,8,FALSE)&lt;3,"Estável",IF(VLOOKUP(BR173,Fundamentus!A:U,8,FALSE)&gt;3,"Alerta","n/a"))))</f>
        <v>Risco elevado</v>
      </c>
      <c r="EQ173" s="28" t="str">
        <f t="shared" si="167"/>
        <v>Bom</v>
      </c>
      <c r="ER173" s="17" t="str">
        <f>IF(VLOOKUP(BR173,Fundamentus!A:U,12,FALSE)&lt;2,"Subvalorizada",IF(VLOOKUP(BR173,Fundamentus!A:U,12,FALSE)&lt;6,"Muita barata",IF(VLOOKUP(BR173,Fundamentus!A:U,12,FALSE)&lt;6,"Barata",IF(VLOOKUP(BR173,Fundamentus!A:U,12,FALSE)&lt;8,"Atrativa",IF(VLOOKUP(BR173,Fundamentus!A:U,12,FALSE)&gt;8,"Supervalorizada","n/a")))))</f>
        <v>Atrativa</v>
      </c>
      <c r="ET173" s="17" t="str">
        <f>IF(VLOOKUP(BR173,Fundamentus!A:U,17,FALSE)&lt;0.1,"Fraco retorno",IF(VLOOKUP(BR173,Fundamentus!A:U,17,FALSE)&gt;0.1,"Bom retorno","n/a"))</f>
        <v>Bom retorno</v>
      </c>
      <c r="EU173" s="17" t="str">
        <f>IF(VLOOKUP(BR173,Fundamentus!A:U,16,FALSE)&lt;0.1,"Ineficiente",IF(VLOOKUP(BR173,Fundamentus!A:U,16,FALSE)&gt;0.1,"Eficiente","n/a"))</f>
        <v>Eficiente</v>
      </c>
      <c r="EV173" s="33" t="str">
        <f>IF(VLOOKUP(BR173,Fundamentus!A:U,16,FALSE)&lt;0.1,"Oper. Ineficiente",IF(VLOOKUP(BR173,Fundamentus!A:U,16,FALSE)&gt;0.1,"Oper.Eficiente","n/a"))</f>
        <v>Oper.Eficiente</v>
      </c>
      <c r="EW173" s="34">
        <f>VLOOKUP(BR173,Fundamentus!A:U,14,FALSE)</f>
        <v>0.24279999999999999</v>
      </c>
      <c r="EX173" s="17" t="str">
        <f>IF(VLOOKUP(BR173,Fundamentus!A:U,21,FALSE)&lt;0,"Negativo",IF(VLOOKUP(BR173,Fundamentus!A:U,21,FALSE)&lt;0.05,"Fraco",IF(VLOOKUP(BR173,Fundamentus!A:U,21,FALSE)&lt;0.1,"Bom",IF(VLOOKUP(BR173,Fundamentus!A:U,21,FALSE)&gt;0.1,"Muito bom","n/a"))))</f>
        <v>Bom</v>
      </c>
      <c r="EZ173" s="29" t="str">
        <f>IF(VLOOKUP(BR173,Fundamentus!A:U,15,FALSE)&gt;1,"Bom",IF(VLOOKUP(BR173,Fundamentus!A:U,15,FALSE)&lt;1,"Ruim","n/a"))</f>
        <v>Ruim</v>
      </c>
      <c r="FA173" s="17" t="str">
        <f>IF(VLOOKUP(BR173,Fundamentus!A:U,20,FALSE)&lt;0.5,"Baixa",IF(VLOOKUP(BR173,Fundamentus!A:U,20,FALSE)&lt;1,"Moderada",IF(VLOOKUP(BR173,Fundamentus!A:U,20,FALSE)&lt;2,"Alerta",IF(VLOOKUP(BR173,Fundamentus!A:U,20,FALSE)&gt;2,"Alta","n/a"))))</f>
        <v>Baixa</v>
      </c>
      <c r="FB173" s="10"/>
    </row>
    <row r="174" spans="1:158" s="2" customFormat="1" ht="11.25"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5">
        <v>13.47</v>
      </c>
      <c r="BC174" s="52">
        <v>15.08</v>
      </c>
      <c r="BD174" s="52">
        <v>13.97</v>
      </c>
      <c r="BE174" s="52">
        <v>14.47</v>
      </c>
      <c r="BF174" s="52">
        <v>14.5</v>
      </c>
      <c r="BG174" s="67">
        <v>15.56</v>
      </c>
      <c r="BH174" s="52">
        <v>15.79</v>
      </c>
      <c r="BI174" s="52">
        <v>14.33</v>
      </c>
      <c r="BJ174" s="52">
        <v>14.69</v>
      </c>
      <c r="BK174" s="52">
        <v>14.47</v>
      </c>
      <c r="BL174" s="52">
        <v>13.74</v>
      </c>
      <c r="BM174" s="52">
        <v>13.35</v>
      </c>
      <c r="BN174" s="52">
        <v>13.34</v>
      </c>
      <c r="BO174" s="52">
        <v>13.28</v>
      </c>
      <c r="BP174" s="52">
        <v>12.68</v>
      </c>
      <c r="BQ174" s="52" cm="1">
        <f t="array" aca="1" ref="BQ174" ca="1">_FV(EE174,"Preço")</f>
        <v>12.68</v>
      </c>
      <c r="BR174" s="69" t="s">
        <v>170</v>
      </c>
      <c r="BS174" s="36" cm="1">
        <f t="array" aca="1" ref="BS174" ca="1">_FV(EE174,"Média de volume",TRUE)</f>
        <v>1731250</v>
      </c>
      <c r="BT174" s="36">
        <v>1685100</v>
      </c>
      <c r="BU174" s="36" cm="1">
        <f t="array" aca="1" ref="BU174" ca="1">_FV(EE174,"Volume")</f>
        <v>1685100</v>
      </c>
      <c r="BV174" s="24" cm="1">
        <f t="array" aca="1" ref="BV174" ca="1">_FV(EE174,"Beta")</f>
        <v>0.83299999999999996</v>
      </c>
      <c r="BW174" s="71" cm="1">
        <f t="array" aca="1" ref="BW174" ca="1">_FV(EE174,"Variação (%)",TRUE)</f>
        <v>1.58E-3</v>
      </c>
      <c r="BY174" s="17" cm="1">
        <f t="array" aca="1" ref="BY174" ca="1">_FV(EE174,"Baixo")</f>
        <v>12.5</v>
      </c>
      <c r="BZ174" s="17" cm="1">
        <f t="array" aca="1" ref="BZ174" ca="1">_FV(EE174,"Alto")</f>
        <v>12.73</v>
      </c>
      <c r="CA174" s="24"/>
      <c r="CB174" s="63">
        <f ca="1">SQRT(22.5*(BQ174/VLOOKUP(BR174,Fundamentus!A:U,3,FALSE))*(BQ174/VLOOKUP(BR174,Fundamentus!A:U,4,FALSE)))</f>
        <v>23.809810090714169</v>
      </c>
      <c r="CD174" s="62">
        <f t="shared" ca="1" si="168"/>
        <v>0</v>
      </c>
      <c r="CE174" s="8"/>
      <c r="CF174" s="61">
        <f t="shared" si="169"/>
        <v>12.68</v>
      </c>
      <c r="CG174" s="61">
        <f t="shared" si="170"/>
        <v>21.64</v>
      </c>
      <c r="CH174" s="61">
        <f t="shared" si="171"/>
        <v>16.905661764705879</v>
      </c>
      <c r="CI174" s="14"/>
      <c r="CJ174" s="35">
        <f t="shared" si="154"/>
        <v>11.74944653984252</v>
      </c>
      <c r="CK174" s="15">
        <f t="shared" si="172"/>
        <v>12.644999999999982</v>
      </c>
      <c r="CL174" s="35">
        <f t="shared" si="155"/>
        <v>13.540553460157444</v>
      </c>
      <c r="CN174" s="14"/>
      <c r="CO174" s="17">
        <f t="shared" si="156"/>
        <v>0.73333333333333073</v>
      </c>
      <c r="CP174" s="17">
        <f t="shared" si="157"/>
        <v>6.7066666666666652</v>
      </c>
      <c r="CQ174" s="17">
        <f t="shared" si="158"/>
        <v>9.6933333333333316</v>
      </c>
      <c r="CR174" s="38">
        <f t="shared" si="173"/>
        <v>15.666666666666666</v>
      </c>
      <c r="CS174" s="17">
        <f t="shared" si="159"/>
        <v>18.653333333333332</v>
      </c>
      <c r="CT174" s="17">
        <f t="shared" si="160"/>
        <v>24.626666666666665</v>
      </c>
      <c r="CU174" s="17">
        <f t="shared" si="161"/>
        <v>27.613333333333333</v>
      </c>
      <c r="CV174" s="2" cm="1">
        <f t="array" aca="1" ref="CV174" ca="1">MAX(_xlfn._xlws.FILTER(CO174:CU174,CO174:CU174&lt;BQ174))</f>
        <v>9.6933333333333316</v>
      </c>
      <c r="CW174" s="2" cm="1">
        <f t="array" aca="1" ref="CW174" ca="1">MIN(_xlfn._xlws.FILTER($CO174:$CU174,$CO174:$CU174&gt;BQ174))</f>
        <v>15.666666666666666</v>
      </c>
      <c r="CX174" s="16">
        <f t="shared" ca="1" si="175"/>
        <v>0.61623108665749671</v>
      </c>
      <c r="CY174" s="20">
        <f t="shared" ca="1" si="176"/>
        <v>-0.30811554332874835</v>
      </c>
      <c r="CZ174" s="20">
        <f t="shared" ca="1" si="177"/>
        <v>-0.20541036221916556</v>
      </c>
      <c r="DA174" s="20">
        <f t="shared" ca="1" si="178"/>
        <v>-0.12324621733149935</v>
      </c>
      <c r="DB174" s="20">
        <f t="shared" ca="1" si="179"/>
        <v>-6.8470120739721863E-2</v>
      </c>
      <c r="DC174" s="20">
        <f t="shared" ca="1" si="180"/>
        <v>-3.6248887450440984E-2</v>
      </c>
      <c r="DD174" s="20">
        <f t="shared" ca="1" si="181"/>
        <v>-1.8673669292651414E-2</v>
      </c>
      <c r="DE174" s="20">
        <f t="shared" ca="1" si="182"/>
        <v>-9.48047825626918E-3</v>
      </c>
      <c r="DF174" s="21">
        <f t="shared" ca="1" si="183"/>
        <v>9.48047825626918E-3</v>
      </c>
      <c r="DG174" s="21">
        <f t="shared" ca="1" si="184"/>
        <v>1.8673669292651414E-2</v>
      </c>
      <c r="DH174" s="21">
        <f t="shared" ca="1" si="185"/>
        <v>3.6248887450440984E-2</v>
      </c>
      <c r="DI174" s="21">
        <f t="shared" ca="1" si="186"/>
        <v>6.8470120739721863E-2</v>
      </c>
      <c r="DJ174" s="21">
        <f t="shared" ca="1" si="187"/>
        <v>0.12324621733149935</v>
      </c>
      <c r="DK174" s="21">
        <f t="shared" ca="1" si="188"/>
        <v>0.20541036221916556</v>
      </c>
      <c r="DL174" s="21">
        <f t="shared" ca="1" si="189"/>
        <v>0.30811554332874835</v>
      </c>
      <c r="DN174" s="16" cm="1">
        <f t="array" aca="1" ref="DN174" ca="1">MAX(_xlfn._xlws.FILTER(CY174:DL174,CY174:DL174&lt;BW174))</f>
        <v>-9.48047825626918E-3</v>
      </c>
      <c r="DO174" s="16" cm="1">
        <f t="array" aca="1" ref="DO174" ca="1">MIN(_xlfn._xlws.FILTER(CY174:DL174,CY174:DL174&gt;BW174))</f>
        <v>9.48047825626918E-3</v>
      </c>
      <c r="DP174" s="2" cm="1">
        <f t="array" aca="1" ref="DP174" ca="1">_FV(EE174,"Fechamento anterior",TRUE)</f>
        <v>12.66</v>
      </c>
      <c r="DQ174" s="28">
        <f t="shared" ca="1" si="162"/>
        <v>0.58331746501918091</v>
      </c>
      <c r="DR174" s="15">
        <f t="shared" ca="1" si="190"/>
        <v>12.539977145275632</v>
      </c>
      <c r="DS174" s="15">
        <f t="shared" ca="1" si="191"/>
        <v>12.780022854724368</v>
      </c>
      <c r="DT174" s="9"/>
      <c r="DU174" s="9"/>
      <c r="DV174" s="9"/>
      <c r="DW174" s="89">
        <v>1.7254901960784306E-2</v>
      </c>
      <c r="DX174" s="89">
        <f t="shared" ca="1" si="163"/>
        <v>1.896095651253836E-2</v>
      </c>
      <c r="DY174" s="72">
        <f t="shared" ca="1" si="164"/>
        <v>3.9081977299115098E-2</v>
      </c>
      <c r="DZ174" s="37"/>
      <c r="EA174" s="35">
        <f t="shared" si="174"/>
        <v>0.44777673007873059</v>
      </c>
      <c r="EB174" s="56"/>
      <c r="EC174" s="56"/>
      <c r="EE174" s="2" t="e" vm="176">
        <v>#VALUE!</v>
      </c>
      <c r="EG174" s="10" cm="1">
        <f t="array" aca="1" ref="EG174" ca="1">_FV(EE174,"Ações em circulação",TRUE)</f>
        <v>293472100</v>
      </c>
      <c r="EH174" s="18">
        <f>VLOOKUP(BR174,Fundamentus!A:U,5,FALSE)</f>
        <v>1.1759999999999999</v>
      </c>
      <c r="EI174" s="2">
        <f t="shared" ca="1" si="165"/>
        <v>3164308017.006803</v>
      </c>
      <c r="EJ174" s="17">
        <v>519579376.39251709</v>
      </c>
      <c r="EK174" s="17">
        <f t="shared" ca="1" si="166"/>
        <v>519579376.39251709</v>
      </c>
      <c r="EM174" s="16">
        <f t="shared" ca="1" si="153"/>
        <v>0</v>
      </c>
      <c r="EN174" s="32" t="str">
        <f>IF(VLOOKUP(BR174,Fundamentus!A:U,3,FALSE)&lt;15,"Bom",IF(VLOOKUP(BR174,Fundamentus!A:U,3,FALSE)&gt;15,"Ruim","n/a"))</f>
        <v>Bom</v>
      </c>
      <c r="EO174" s="28" t="str">
        <f>IF(VLOOKUP(BR174,Fundamentus!A:U,4,FALSE)&lt;1,"Baixo",IF(VLOOKUP(BR174,Fundamentus!A:U,4,FALSE)&lt;1.5,"Moderado",IF(VLOOKUP(BR174,Fundamentus!A:U,4,FALSE)&gt;1.5,"Alto","n/a")))</f>
        <v>Baixo</v>
      </c>
      <c r="EP174" s="17" t="str">
        <f>IF(VLOOKUP(BR174,Fundamentus!A:U,8,FALSE)&lt;0,"Risco elevado",IF(VLOOKUP(BR174,Fundamentus!A:U,8,FALSE)&lt;1,"Saudável",IF(VLOOKUP(BR174,Fundamentus!A:U,8,FALSE)&lt;3,"Estável",IF(VLOOKUP(BR174,Fundamentus!A:U,8,FALSE)&gt;3,"Alerta","n/a"))))</f>
        <v>Alerta</v>
      </c>
      <c r="EQ174" s="28" t="str">
        <f t="shared" si="167"/>
        <v>Bom</v>
      </c>
      <c r="ER174" s="17" t="str">
        <f>IF(VLOOKUP(BR174,Fundamentus!A:U,12,FALSE)&lt;2,"Subvalorizada",IF(VLOOKUP(BR174,Fundamentus!A:U,12,FALSE)&lt;6,"Muita barata",IF(VLOOKUP(BR174,Fundamentus!A:U,12,FALSE)&lt;6,"Barata",IF(VLOOKUP(BR174,Fundamentus!A:U,12,FALSE)&lt;8,"Atrativa",IF(VLOOKUP(BR174,Fundamentus!A:U,12,FALSE)&gt;8,"Supervalorizada","n/a")))))</f>
        <v>Muita barata</v>
      </c>
      <c r="ET174" s="17" t="str">
        <f>IF(VLOOKUP(BR174,Fundamentus!A:U,17,FALSE)&lt;0.1,"Fraco retorno",IF(VLOOKUP(BR174,Fundamentus!A:U,17,FALSE)&gt;0.1,"Bom retorno","n/a"))</f>
        <v>Bom retorno</v>
      </c>
      <c r="EU174" s="17" t="str">
        <f>IF(VLOOKUP(BR174,Fundamentus!A:U,16,FALSE)&lt;0.1,"Ineficiente",IF(VLOOKUP(BR174,Fundamentus!A:U,16,FALSE)&gt;0.1,"Eficiente","n/a"))</f>
        <v>Eficiente</v>
      </c>
      <c r="EV174" s="33" t="str">
        <f>IF(VLOOKUP(BR174,Fundamentus!A:U,16,FALSE)&lt;0.1,"Oper. Ineficiente",IF(VLOOKUP(BR174,Fundamentus!A:U,16,FALSE)&gt;0.1,"Oper.Eficiente","n/a"))</f>
        <v>Oper.Eficiente</v>
      </c>
      <c r="EW174" s="34">
        <f>VLOOKUP(BR174,Fundamentus!A:U,14,FALSE)</f>
        <v>0.16420000000000001</v>
      </c>
      <c r="EX174" s="17" t="str">
        <f>IF(VLOOKUP(BR174,Fundamentus!A:U,21,FALSE)&lt;0,"Negativo",IF(VLOOKUP(BR174,Fundamentus!A:U,21,FALSE)&lt;0.05,"Fraco",IF(VLOOKUP(BR174,Fundamentus!A:U,21,FALSE)&lt;0.1,"Bom",IF(VLOOKUP(BR174,Fundamentus!A:U,21,FALSE)&gt;0.1,"Muito bom","n/a"))))</f>
        <v>Muito bom</v>
      </c>
      <c r="EZ174" s="29" t="str">
        <f>IF(VLOOKUP(BR174,Fundamentus!A:U,15,FALSE)&gt;1,"Bom",IF(VLOOKUP(BR174,Fundamentus!A:U,15,FALSE)&lt;1,"Ruim","n/a"))</f>
        <v>Bom</v>
      </c>
      <c r="FA174" s="17" t="str">
        <f>IF(VLOOKUP(BR174,Fundamentus!A:U,20,FALSE)&lt;0.5,"Baixa",IF(VLOOKUP(BR174,Fundamentus!A:U,20,FALSE)&lt;1,"Moderada",IF(VLOOKUP(BR174,Fundamentus!A:U,20,FALSE)&lt;2,"Alerta",IF(VLOOKUP(BR174,Fundamentus!A:U,20,FALSE)&gt;2,"Alta","n/a"))))</f>
        <v>Baixa</v>
      </c>
      <c r="FB174" s="10"/>
    </row>
    <row r="175" spans="1:158" s="2" customFormat="1" ht="11.25"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5">
        <v>16.47</v>
      </c>
      <c r="BC175" s="52">
        <v>19.46</v>
      </c>
      <c r="BD175" s="52">
        <v>18.5</v>
      </c>
      <c r="BE175" s="52">
        <v>20.66</v>
      </c>
      <c r="BF175" s="52">
        <v>23</v>
      </c>
      <c r="BG175" s="67">
        <v>22.7</v>
      </c>
      <c r="BH175" s="52">
        <v>21.28</v>
      </c>
      <c r="BI175" s="52">
        <v>21.89</v>
      </c>
      <c r="BJ175" s="52">
        <v>24.2</v>
      </c>
      <c r="BK175" s="52">
        <v>23.22</v>
      </c>
      <c r="BL175" s="52">
        <v>21.12</v>
      </c>
      <c r="BM175" s="52">
        <v>21.8</v>
      </c>
      <c r="BN175" s="52">
        <v>22.4</v>
      </c>
      <c r="BO175" s="52">
        <v>23.1</v>
      </c>
      <c r="BP175" s="52">
        <v>23.51</v>
      </c>
      <c r="BQ175" s="52" cm="1">
        <f t="array" aca="1" ref="BQ175" ca="1">_FV(EE175,"Preço")</f>
        <v>23.51</v>
      </c>
      <c r="BR175" s="69" t="s">
        <v>171</v>
      </c>
      <c r="BS175" s="36" cm="1">
        <f t="array" aca="1" ref="BS175" ca="1">_FV(EE175,"Média de volume",TRUE)</f>
        <v>810620</v>
      </c>
      <c r="BT175" s="36">
        <v>567000</v>
      </c>
      <c r="BU175" s="36" cm="1">
        <f t="array" aca="1" ref="BU175" ca="1">_FV(EE175,"Volume")</f>
        <v>567000</v>
      </c>
      <c r="BV175" s="24" cm="1">
        <f t="array" aca="1" ref="BV175" ca="1">_FV(EE175,"Beta")</f>
        <v>1.6378999999999999</v>
      </c>
      <c r="BW175" s="71" cm="1">
        <f t="array" aca="1" ref="BW175" ca="1">_FV(EE175,"Variação (%)",TRUE)</f>
        <v>-1.699E-3</v>
      </c>
      <c r="BY175" s="17" cm="1">
        <f t="array" aca="1" ref="BY175" ca="1">_FV(EE175,"Baixo")</f>
        <v>23.29</v>
      </c>
      <c r="BZ175" s="17" cm="1">
        <f t="array" aca="1" ref="BZ175" ca="1">_FV(EE175,"Alto")</f>
        <v>23.95</v>
      </c>
      <c r="CA175" s="24"/>
      <c r="CB175" s="63">
        <f ca="1">SQRT(22.5*(BQ175/VLOOKUP(BR175,Fundamentus!A:U,3,FALSE))*(BQ175/VLOOKUP(BR175,Fundamentus!A:U,4,FALSE)))</f>
        <v>41.363047473451431</v>
      </c>
      <c r="CD175" s="62">
        <f t="shared" ca="1" si="168"/>
        <v>0</v>
      </c>
      <c r="CE175" s="8"/>
      <c r="CF175" s="61">
        <f t="shared" si="169"/>
        <v>10.220000000000001</v>
      </c>
      <c r="CG175" s="61">
        <f t="shared" si="170"/>
        <v>24.2</v>
      </c>
      <c r="CH175" s="61">
        <f t="shared" si="171"/>
        <v>15.145367647058823</v>
      </c>
      <c r="CI175" s="14"/>
      <c r="CJ175" s="35">
        <f t="shared" si="154"/>
        <v>22.576363678112788</v>
      </c>
      <c r="CK175" s="15">
        <f t="shared" si="172"/>
        <v>24.159999999999854</v>
      </c>
      <c r="CL175" s="35">
        <f t="shared" si="155"/>
        <v>25.743636321886921</v>
      </c>
      <c r="CN175" s="14"/>
      <c r="CO175" s="17">
        <f t="shared" si="156"/>
        <v>0.44000000000000661</v>
      </c>
      <c r="CP175" s="17">
        <f t="shared" si="157"/>
        <v>5.3300000000000036</v>
      </c>
      <c r="CQ175" s="17">
        <f t="shared" si="158"/>
        <v>14.420000000000005</v>
      </c>
      <c r="CR175" s="38">
        <f t="shared" si="173"/>
        <v>19.310000000000002</v>
      </c>
      <c r="CS175" s="17">
        <f t="shared" si="159"/>
        <v>28.400000000000006</v>
      </c>
      <c r="CT175" s="17">
        <f t="shared" si="160"/>
        <v>33.29</v>
      </c>
      <c r="CU175" s="17">
        <f t="shared" si="161"/>
        <v>42.38</v>
      </c>
      <c r="CV175" s="2" cm="1">
        <f t="array" aca="1" ref="CV175" ca="1">MAX(_xlfn._xlws.FILTER(CO175:CU175,CO175:CU175&lt;BQ175))</f>
        <v>19.310000000000002</v>
      </c>
      <c r="CW175" s="2" cm="1">
        <f t="array" aca="1" ref="CW175" ca="1">MIN(_xlfn._xlws.FILTER($CO175:$CU175,$CO175:$CU175&gt;BQ175))</f>
        <v>28.400000000000006</v>
      </c>
      <c r="CX175" s="16">
        <f t="shared" ca="1" si="175"/>
        <v>0.47074054893837403</v>
      </c>
      <c r="CY175" s="20">
        <f t="shared" ca="1" si="176"/>
        <v>-0.23537027446918701</v>
      </c>
      <c r="CZ175" s="20">
        <f t="shared" ca="1" si="177"/>
        <v>-0.15691351631279135</v>
      </c>
      <c r="DA175" s="20">
        <f t="shared" ca="1" si="178"/>
        <v>-9.4148109787674808E-2</v>
      </c>
      <c r="DB175" s="20">
        <f t="shared" ca="1" si="179"/>
        <v>-5.2304505437597112E-2</v>
      </c>
      <c r="DC175" s="20">
        <f t="shared" ca="1" si="180"/>
        <v>-2.7690620525786708E-2</v>
      </c>
      <c r="DD175" s="20">
        <f t="shared" ca="1" si="181"/>
        <v>-1.4264865119344668E-2</v>
      </c>
      <c r="DE175" s="20">
        <f t="shared" ca="1" si="182"/>
        <v>-7.2421622913596004E-3</v>
      </c>
      <c r="DF175" s="21">
        <f t="shared" ca="1" si="183"/>
        <v>7.2421622913596004E-3</v>
      </c>
      <c r="DG175" s="21">
        <f t="shared" ca="1" si="184"/>
        <v>1.4264865119344668E-2</v>
      </c>
      <c r="DH175" s="21">
        <f t="shared" ca="1" si="185"/>
        <v>2.7690620525786708E-2</v>
      </c>
      <c r="DI175" s="21">
        <f t="shared" ca="1" si="186"/>
        <v>5.2304505437597112E-2</v>
      </c>
      <c r="DJ175" s="21">
        <f t="shared" ca="1" si="187"/>
        <v>9.4148109787674808E-2</v>
      </c>
      <c r="DK175" s="21">
        <f t="shared" ca="1" si="188"/>
        <v>0.15691351631279135</v>
      </c>
      <c r="DL175" s="21">
        <f t="shared" ca="1" si="189"/>
        <v>0.23537027446918701</v>
      </c>
      <c r="DN175" s="16" cm="1">
        <f t="array" aca="1" ref="DN175" ca="1">MAX(_xlfn._xlws.FILTER(CY175:DL175,CY175:DL175&lt;BW175))</f>
        <v>-7.2421622913596004E-3</v>
      </c>
      <c r="DO175" s="16" cm="1">
        <f t="array" aca="1" ref="DO175" ca="1">MIN(_xlfn._xlws.FILTER(CY175:DL175,CY175:DL175&gt;BW175))</f>
        <v>7.2421622913596004E-3</v>
      </c>
      <c r="DP175" s="2" cm="1">
        <f t="array" aca="1" ref="DP175" ca="1">_FV(EE175,"Fechamento anterior",TRUE)</f>
        <v>23.55</v>
      </c>
      <c r="DQ175" s="28">
        <f t="shared" ca="1" si="162"/>
        <v>0.38273434562140174</v>
      </c>
      <c r="DR175" s="15">
        <f t="shared" ca="1" si="190"/>
        <v>23.379447078038481</v>
      </c>
      <c r="DS175" s="15">
        <f t="shared" ca="1" si="191"/>
        <v>23.72055292196152</v>
      </c>
      <c r="DT175" s="9"/>
      <c r="DU175" s="9"/>
      <c r="DV175" s="9"/>
      <c r="DW175" s="89">
        <v>1.3318160745142671E-2</v>
      </c>
      <c r="DX175" s="89">
        <f t="shared" ca="1" si="163"/>
        <v>1.4484324582719201E-2</v>
      </c>
      <c r="DY175" s="72">
        <f t="shared" ca="1" si="164"/>
        <v>-0.41044777201454347</v>
      </c>
      <c r="DZ175" s="37"/>
      <c r="EA175" s="35">
        <f t="shared" si="174"/>
        <v>0.79181816094353341</v>
      </c>
      <c r="EB175" s="56"/>
      <c r="EC175" s="56"/>
      <c r="EE175" s="2" t="e" vm="177">
        <v>#VALUE!</v>
      </c>
      <c r="EG175" s="10" cm="1">
        <f t="array" aca="1" ref="EG175" ca="1">_FV(EE175,"Ações em circulação",TRUE)</f>
        <v>84909370</v>
      </c>
      <c r="EH175" s="18">
        <f>VLOOKUP(BR175,Fundamentus!A:U,5,FALSE)</f>
        <v>1.0660000000000001</v>
      </c>
      <c r="EI175" s="2">
        <f t="shared" ca="1" si="165"/>
        <v>1872625974.3902438</v>
      </c>
      <c r="EJ175" s="17">
        <v>307485184.99487805</v>
      </c>
      <c r="EK175" s="17">
        <f t="shared" ca="1" si="166"/>
        <v>307485184.99487805</v>
      </c>
      <c r="EM175" s="16">
        <f t="shared" ca="1" si="153"/>
        <v>0</v>
      </c>
      <c r="EN175" s="32" t="str">
        <f>IF(VLOOKUP(BR175,Fundamentus!A:U,3,FALSE)&lt;15,"Bom",IF(VLOOKUP(BR175,Fundamentus!A:U,3,FALSE)&gt;15,"Ruim","n/a"))</f>
        <v>Bom</v>
      </c>
      <c r="EO175" s="28" t="str">
        <f>IF(VLOOKUP(BR175,Fundamentus!A:U,4,FALSE)&lt;1,"Baixo",IF(VLOOKUP(BR175,Fundamentus!A:U,4,FALSE)&lt;1.5,"Moderado",IF(VLOOKUP(BR175,Fundamentus!A:U,4,FALSE)&gt;1.5,"Alto","n/a")))</f>
        <v>Moderado</v>
      </c>
      <c r="EP175" s="17" t="str">
        <f>IF(VLOOKUP(BR175,Fundamentus!A:U,8,FALSE)&lt;0,"Risco elevado",IF(VLOOKUP(BR175,Fundamentus!A:U,8,FALSE)&lt;1,"Saudável",IF(VLOOKUP(BR175,Fundamentus!A:U,8,FALSE)&lt;3,"Estável",IF(VLOOKUP(BR175,Fundamentus!A:U,8,FALSE)&gt;3,"Alerta","n/a"))))</f>
        <v>Estável</v>
      </c>
      <c r="EQ175" s="28" t="str">
        <f t="shared" si="167"/>
        <v>Bom</v>
      </c>
      <c r="ER175" s="17" t="str">
        <f>IF(VLOOKUP(BR175,Fundamentus!A:U,12,FALSE)&lt;2,"Subvalorizada",IF(VLOOKUP(BR175,Fundamentus!A:U,12,FALSE)&lt;6,"Muita barata",IF(VLOOKUP(BR175,Fundamentus!A:U,12,FALSE)&lt;6,"Barata",IF(VLOOKUP(BR175,Fundamentus!A:U,12,FALSE)&lt;8,"Atrativa",IF(VLOOKUP(BR175,Fundamentus!A:U,12,FALSE)&gt;8,"Supervalorizada","n/a")))))</f>
        <v>Muita barata</v>
      </c>
      <c r="ET175" s="17" t="str">
        <f>IF(VLOOKUP(BR175,Fundamentus!A:U,17,FALSE)&lt;0.1,"Fraco retorno",IF(VLOOKUP(BR175,Fundamentus!A:U,17,FALSE)&gt;0.1,"Bom retorno","n/a"))</f>
        <v>Bom retorno</v>
      </c>
      <c r="EU175" s="17" t="str">
        <f>IF(VLOOKUP(BR175,Fundamentus!A:U,16,FALSE)&lt;0.1,"Ineficiente",IF(VLOOKUP(BR175,Fundamentus!A:U,16,FALSE)&gt;0.1,"Eficiente","n/a"))</f>
        <v>Ineficiente</v>
      </c>
      <c r="EV175" s="33" t="str">
        <f>IF(VLOOKUP(BR175,Fundamentus!A:U,16,FALSE)&lt;0.1,"Oper. Ineficiente",IF(VLOOKUP(BR175,Fundamentus!A:U,16,FALSE)&gt;0.1,"Oper.Eficiente","n/a"))</f>
        <v>Oper. Ineficiente</v>
      </c>
      <c r="EW175" s="34">
        <f>VLOOKUP(BR175,Fundamentus!A:U,14,FALSE)</f>
        <v>0.16420000000000001</v>
      </c>
      <c r="EX175" s="17" t="str">
        <f>IF(VLOOKUP(BR175,Fundamentus!A:U,21,FALSE)&lt;0,"Negativo",IF(VLOOKUP(BR175,Fundamentus!A:U,21,FALSE)&lt;0.05,"Fraco",IF(VLOOKUP(BR175,Fundamentus!A:U,21,FALSE)&lt;0.1,"Bom",IF(VLOOKUP(BR175,Fundamentus!A:U,21,FALSE)&gt;0.1,"Muito bom","n/a"))))</f>
        <v>Muito bom</v>
      </c>
      <c r="EZ175" s="29" t="str">
        <f>IF(VLOOKUP(BR175,Fundamentus!A:U,15,FALSE)&gt;1,"Bom",IF(VLOOKUP(BR175,Fundamentus!A:U,15,FALSE)&lt;1,"Ruim","n/a"))</f>
        <v>Bom</v>
      </c>
      <c r="FA175" s="17" t="str">
        <f>IF(VLOOKUP(BR175,Fundamentus!A:U,20,FALSE)&lt;0.5,"Baixa",IF(VLOOKUP(BR175,Fundamentus!A:U,20,FALSE)&lt;1,"Moderada",IF(VLOOKUP(BR175,Fundamentus!A:U,20,FALSE)&lt;2,"Alerta",IF(VLOOKUP(BR175,Fundamentus!A:U,20,FALSE)&gt;2,"Alta","n/a"))))</f>
        <v>Baixa</v>
      </c>
      <c r="FB175" s="10"/>
    </row>
    <row r="176" spans="1:158" s="2" customFormat="1" ht="11.25"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5">
        <v>1.55</v>
      </c>
      <c r="BC176" s="52">
        <v>1.45</v>
      </c>
      <c r="BD176" s="52">
        <v>1.17</v>
      </c>
      <c r="BE176" s="52">
        <v>1.1599999999999999</v>
      </c>
      <c r="BF176" s="52">
        <v>1.03</v>
      </c>
      <c r="BG176" s="67">
        <v>0.98</v>
      </c>
      <c r="BH176" s="52">
        <v>1.02</v>
      </c>
      <c r="BI176" s="52">
        <v>0.96</v>
      </c>
      <c r="BJ176" s="52">
        <v>0.94</v>
      </c>
      <c r="BK176" s="52">
        <v>0.95</v>
      </c>
      <c r="BL176" s="52">
        <v>1.06</v>
      </c>
      <c r="BM176" s="52">
        <v>1.1000000000000001</v>
      </c>
      <c r="BN176" s="52">
        <v>1.05</v>
      </c>
      <c r="BO176" s="52">
        <v>1.07</v>
      </c>
      <c r="BP176" s="52">
        <v>1.1000000000000001</v>
      </c>
      <c r="BQ176" s="52" cm="1">
        <f t="array" aca="1" ref="BQ176" ca="1">_FV(EE176,"Preço")</f>
        <v>1.1000000000000001</v>
      </c>
      <c r="BR176" s="69" t="s">
        <v>172</v>
      </c>
      <c r="BS176" s="36" cm="1">
        <f t="array" aca="1" ref="BS176" ca="1">_FV(EE176,"Média de volume",TRUE)</f>
        <v>2955130</v>
      </c>
      <c r="BT176" s="36">
        <v>6734200</v>
      </c>
      <c r="BU176" s="36" cm="1">
        <f t="array" aca="1" ref="BU176" ca="1">_FV(EE176,"Volume")</f>
        <v>6734200</v>
      </c>
      <c r="BV176" s="24" cm="1">
        <f t="array" aca="1" ref="BV176" ca="1">_FV(EE176,"Beta")</f>
        <v>1.4298</v>
      </c>
      <c r="BW176" s="71" cm="1">
        <f t="array" aca="1" ref="BW176" ca="1">_FV(EE176,"Variação (%)",TRUE)</f>
        <v>1.8519000000000001E-2</v>
      </c>
      <c r="BY176" s="17" cm="1">
        <f t="array" aca="1" ref="BY176" ca="1">_FV(EE176,"Baixo")</f>
        <v>1.06</v>
      </c>
      <c r="BZ176" s="17" cm="1">
        <f t="array" aca="1" ref="BZ176" ca="1">_FV(EE176,"Alto")</f>
        <v>1.2</v>
      </c>
      <c r="CA176" s="24"/>
      <c r="CB176" s="63">
        <f ca="1">SQRT(22.5*(BQ176/VLOOKUP(BR176,Fundamentus!A:U,3,FALSE))*(BQ176/VLOOKUP(BR176,Fundamentus!A:U,4,FALSE)))</f>
        <v>2.8908245531491636</v>
      </c>
      <c r="CD176" s="62">
        <f t="shared" ca="1" si="168"/>
        <v>0</v>
      </c>
      <c r="CE176" s="8"/>
      <c r="CF176" s="61">
        <f t="shared" si="169"/>
        <v>0.37</v>
      </c>
      <c r="CG176" s="61">
        <f t="shared" si="170"/>
        <v>2.0499999999999998</v>
      </c>
      <c r="CH176" s="61">
        <f t="shared" si="171"/>
        <v>1.0910294117647055</v>
      </c>
      <c r="CI176" s="14"/>
      <c r="CJ176" s="35">
        <f t="shared" si="154"/>
        <v>0.98333387978288833</v>
      </c>
      <c r="CK176" s="15">
        <f t="shared" si="172"/>
        <v>1.0849999999999991</v>
      </c>
      <c r="CL176" s="35">
        <f t="shared" si="155"/>
        <v>1.1866661202171098</v>
      </c>
      <c r="CN176" s="14"/>
      <c r="CO176" s="17">
        <f t="shared" si="156"/>
        <v>-1.3833333333333329</v>
      </c>
      <c r="CP176" s="17">
        <f t="shared" si="157"/>
        <v>-0.50666666666666638</v>
      </c>
      <c r="CQ176" s="17">
        <f t="shared" si="158"/>
        <v>0.29666666666666686</v>
      </c>
      <c r="CR176" s="38">
        <f t="shared" si="173"/>
        <v>1.1733333333333333</v>
      </c>
      <c r="CS176" s="17">
        <f t="shared" si="159"/>
        <v>1.9766666666666666</v>
      </c>
      <c r="CT176" s="17">
        <f t="shared" si="160"/>
        <v>2.8533333333333331</v>
      </c>
      <c r="CU176" s="17">
        <f t="shared" si="161"/>
        <v>3.6566666666666663</v>
      </c>
      <c r="CV176" s="2" cm="1">
        <f t="array" aca="1" ref="CV176" ca="1">MAX(_xlfn._xlws.FILTER(CO176:CU176,CO176:CU176&lt;BQ176))</f>
        <v>0.29666666666666686</v>
      </c>
      <c r="CW176" s="2" cm="1">
        <f t="array" aca="1" ref="CW176" ca="1">MIN(_xlfn._xlws.FILTER($CO176:$CU176,$CO176:$CU176&gt;BQ176))</f>
        <v>1.1733333333333333</v>
      </c>
      <c r="CX176" s="16">
        <f t="shared" ca="1" si="175"/>
        <v>2.9550561797752786</v>
      </c>
      <c r="CY176" s="20">
        <f t="shared" ca="1" si="176"/>
        <v>-1.4775280898876393</v>
      </c>
      <c r="CZ176" s="20">
        <f t="shared" ca="1" si="177"/>
        <v>-0.98501872659175949</v>
      </c>
      <c r="DA176" s="20">
        <f t="shared" ca="1" si="178"/>
        <v>-0.59101123595505567</v>
      </c>
      <c r="DB176" s="20">
        <f t="shared" ca="1" si="179"/>
        <v>-0.32833957553058651</v>
      </c>
      <c r="DC176" s="20">
        <f t="shared" ca="1" si="180"/>
        <v>-0.17382683410442815</v>
      </c>
      <c r="DD176" s="20">
        <f t="shared" ca="1" si="181"/>
        <v>-8.9547156962887231E-2</v>
      </c>
      <c r="DE176" s="20">
        <f t="shared" ca="1" si="182"/>
        <v>-4.5462402765773513E-2</v>
      </c>
      <c r="DF176" s="21">
        <f t="shared" ca="1" si="183"/>
        <v>4.5462402765773513E-2</v>
      </c>
      <c r="DG176" s="21">
        <f t="shared" ca="1" si="184"/>
        <v>8.9547156962887231E-2</v>
      </c>
      <c r="DH176" s="21">
        <f t="shared" ca="1" si="185"/>
        <v>0.17382683410442815</v>
      </c>
      <c r="DI176" s="21">
        <f t="shared" ca="1" si="186"/>
        <v>0.32833957553058651</v>
      </c>
      <c r="DJ176" s="21">
        <f t="shared" ca="1" si="187"/>
        <v>0.59101123595505567</v>
      </c>
      <c r="DK176" s="21">
        <f t="shared" ca="1" si="188"/>
        <v>0.98501872659175949</v>
      </c>
      <c r="DL176" s="21">
        <f t="shared" ca="1" si="189"/>
        <v>1.4775280898876393</v>
      </c>
      <c r="DN176" s="16" cm="1">
        <f t="array" aca="1" ref="DN176" ca="1">MAX(_xlfn._xlws.FILTER(CY176:DL176,CY176:DL176&lt;BW176))</f>
        <v>-4.5462402765773513E-2</v>
      </c>
      <c r="DO176" s="16" cm="1">
        <f t="array" aca="1" ref="DO176" ca="1">MIN(_xlfn._xlws.FILTER(CY176:DL176,CY176:DL176&gt;BW176))</f>
        <v>4.5462402765773513E-2</v>
      </c>
      <c r="DP176" s="2" cm="1">
        <f t="array" aca="1" ref="DP176" ca="1">_FV(EE176,"Fechamento anterior",TRUE)</f>
        <v>1.08</v>
      </c>
      <c r="DQ176" s="28">
        <f t="shared" ca="1" si="162"/>
        <v>0.70366849739473392</v>
      </c>
      <c r="DR176" s="15">
        <f t="shared" ca="1" si="190"/>
        <v>1.0309006050129648</v>
      </c>
      <c r="DS176" s="15">
        <f t="shared" ca="1" si="191"/>
        <v>1.1290993949870354</v>
      </c>
      <c r="DT176" s="9"/>
      <c r="DU176" s="9"/>
      <c r="DV176" s="9"/>
      <c r="DW176" s="89">
        <v>4.7810823714438129E-2</v>
      </c>
      <c r="DX176" s="89">
        <f t="shared" ca="1" si="163"/>
        <v>9.0924805531547026E-2</v>
      </c>
      <c r="DY176" s="72">
        <f t="shared" ca="1" si="164"/>
        <v>0.14754177663087867</v>
      </c>
      <c r="DZ176" s="37"/>
      <c r="EA176" s="35">
        <f t="shared" si="174"/>
        <v>5.0833060108555379E-2</v>
      </c>
      <c r="EB176" s="56"/>
      <c r="EC176" s="56"/>
      <c r="EE176" s="2" t="e" vm="178">
        <v>#VALUE!</v>
      </c>
      <c r="EG176" s="10" cm="1">
        <f t="array" aca="1" ref="EG176" ca="1">_FV(EE176,"Ações em circulação",TRUE)</f>
        <v>31822290</v>
      </c>
      <c r="EH176" s="18">
        <f>VLOOKUP(BR176,Fundamentus!A:U,5,FALSE)</f>
        <v>3.181</v>
      </c>
      <c r="EI176" s="2">
        <f t="shared" ca="1" si="165"/>
        <v>11004249.921408363</v>
      </c>
      <c r="EJ176" s="17">
        <v>-20537231.628324427</v>
      </c>
      <c r="EK176" s="17">
        <f t="shared" ca="1" si="166"/>
        <v>-20537231.628324427</v>
      </c>
      <c r="EM176" s="16">
        <f t="shared" ca="1" si="153"/>
        <v>0</v>
      </c>
      <c r="EN176" s="32" t="str">
        <f>IF(VLOOKUP(BR176,Fundamentus!A:U,3,FALSE)&lt;15,"Bom",IF(VLOOKUP(BR176,Fundamentus!A:U,3,FALSE)&gt;15,"Ruim","n/a"))</f>
        <v>Bom</v>
      </c>
      <c r="EO176" s="28" t="str">
        <f>IF(VLOOKUP(BR176,Fundamentus!A:U,4,FALSE)&lt;1,"Baixo",IF(VLOOKUP(BR176,Fundamentus!A:U,4,FALSE)&lt;1.5,"Moderado",IF(VLOOKUP(BR176,Fundamentus!A:U,4,FALSE)&gt;1.5,"Alto","n/a")))</f>
        <v>Baixo</v>
      </c>
      <c r="EP176" s="17" t="str">
        <f>IF(VLOOKUP(BR176,Fundamentus!A:U,8,FALSE)&lt;0,"Risco elevado",IF(VLOOKUP(BR176,Fundamentus!A:U,8,FALSE)&lt;1,"Saudável",IF(VLOOKUP(BR176,Fundamentus!A:U,8,FALSE)&lt;3,"Estável",IF(VLOOKUP(BR176,Fundamentus!A:U,8,FALSE)&gt;3,"Alerta","n/a"))))</f>
        <v>Risco elevado</v>
      </c>
      <c r="EQ176" s="28" t="str">
        <f t="shared" si="167"/>
        <v>Bom</v>
      </c>
      <c r="ER176" s="17" t="str">
        <f>IF(VLOOKUP(BR176,Fundamentus!A:U,12,FALSE)&lt;2,"Subvalorizada",IF(VLOOKUP(BR176,Fundamentus!A:U,12,FALSE)&lt;6,"Muita barata",IF(VLOOKUP(BR176,Fundamentus!A:U,12,FALSE)&lt;6,"Barata",IF(VLOOKUP(BR176,Fundamentus!A:U,12,FALSE)&lt;8,"Atrativa",IF(VLOOKUP(BR176,Fundamentus!A:U,12,FALSE)&gt;8,"Supervalorizada","n/a")))))</f>
        <v>Subvalorizada</v>
      </c>
      <c r="ET176" s="17" t="str">
        <f>IF(VLOOKUP(BR176,Fundamentus!A:U,17,FALSE)&lt;0.1,"Fraco retorno",IF(VLOOKUP(BR176,Fundamentus!A:U,17,FALSE)&gt;0.1,"Bom retorno","n/a"))</f>
        <v>Bom retorno</v>
      </c>
      <c r="EU176" s="17" t="str">
        <f>IF(VLOOKUP(BR176,Fundamentus!A:U,16,FALSE)&lt;0.1,"Ineficiente",IF(VLOOKUP(BR176,Fundamentus!A:U,16,FALSE)&gt;0.1,"Eficiente","n/a"))</f>
        <v>Ineficiente</v>
      </c>
      <c r="EV176" s="33" t="str">
        <f>IF(VLOOKUP(BR176,Fundamentus!A:U,16,FALSE)&lt;0.1,"Oper. Ineficiente",IF(VLOOKUP(BR176,Fundamentus!A:U,16,FALSE)&gt;0.1,"Oper.Eficiente","n/a"))</f>
        <v>Oper. Ineficiente</v>
      </c>
      <c r="EW176" s="34">
        <f>VLOOKUP(BR176,Fundamentus!A:U,14,FALSE)</f>
        <v>-1.8663000000000001</v>
      </c>
      <c r="EX176" s="17" t="str">
        <f>IF(VLOOKUP(BR176,Fundamentus!A:U,21,FALSE)&lt;0,"Negativo",IF(VLOOKUP(BR176,Fundamentus!A:U,21,FALSE)&lt;0.05,"Fraco",IF(VLOOKUP(BR176,Fundamentus!A:U,21,FALSE)&lt;0.1,"Bom",IF(VLOOKUP(BR176,Fundamentus!A:U,21,FALSE)&gt;0.1,"Muito bom","n/a"))))</f>
        <v>Negativo</v>
      </c>
      <c r="EZ176" s="29" t="str">
        <f>IF(VLOOKUP(BR176,Fundamentus!A:U,15,FALSE)&gt;1,"Bom",IF(VLOOKUP(BR176,Fundamentus!A:U,15,FALSE)&lt;1,"Ruim","n/a"))</f>
        <v>Ruim</v>
      </c>
      <c r="FA176" s="17" t="str">
        <f>IF(VLOOKUP(BR176,Fundamentus!A:U,20,FALSE)&lt;0.5,"Baixa",IF(VLOOKUP(BR176,Fundamentus!A:U,20,FALSE)&lt;1,"Moderada",IF(VLOOKUP(BR176,Fundamentus!A:U,20,FALSE)&lt;2,"Alerta",IF(VLOOKUP(BR176,Fundamentus!A:U,20,FALSE)&gt;2,"Alta","n/a"))))</f>
        <v>Baixa</v>
      </c>
      <c r="FB176" s="10"/>
    </row>
    <row r="177" spans="1:158" s="2" customFormat="1" ht="11.25"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5">
        <v>4.28</v>
      </c>
      <c r="BC177" s="52">
        <v>4.1100000000000003</v>
      </c>
      <c r="BD177" s="52">
        <v>4.07</v>
      </c>
      <c r="BE177" s="52">
        <v>4.04</v>
      </c>
      <c r="BF177" s="52">
        <v>4.05</v>
      </c>
      <c r="BG177" s="67">
        <v>4</v>
      </c>
      <c r="BH177" s="52">
        <v>4.0999999999999996</v>
      </c>
      <c r="BI177" s="52">
        <v>3.99</v>
      </c>
      <c r="BJ177" s="52">
        <v>4.07</v>
      </c>
      <c r="BK177" s="52">
        <v>4.03</v>
      </c>
      <c r="BL177" s="52">
        <v>4.01</v>
      </c>
      <c r="BM177" s="52">
        <v>4.04</v>
      </c>
      <c r="BN177" s="52">
        <v>4.0199999999999996</v>
      </c>
      <c r="BO177" s="52">
        <v>3.9</v>
      </c>
      <c r="BP177" s="52">
        <v>3.59</v>
      </c>
      <c r="BQ177" s="52" cm="1">
        <f t="array" aca="1" ref="BQ177" ca="1">_FV(EE177,"Preço")</f>
        <v>3.59</v>
      </c>
      <c r="BR177" s="69" t="s">
        <v>173</v>
      </c>
      <c r="BS177" s="36" cm="1">
        <f t="array" aca="1" ref="BS177" ca="1">_FV(EE177,"Média de volume",TRUE)</f>
        <v>11910</v>
      </c>
      <c r="BT177" s="36">
        <v>19700</v>
      </c>
      <c r="BU177" s="36" cm="1">
        <f t="array" aca="1" ref="BU177" ca="1">_FV(EE177,"Volume")</f>
        <v>19700</v>
      </c>
      <c r="BV177" s="24" cm="1">
        <f t="array" aca="1" ref="BV177" ca="1">_FV(EE177,"Beta")</f>
        <v>1.8033999999999999</v>
      </c>
      <c r="BW177" s="71" cm="1">
        <f t="array" aca="1" ref="BW177" ca="1">_FV(EE177,"Variação (%)",TRUE)</f>
        <v>-1.9126000000000001E-2</v>
      </c>
      <c r="BY177" s="17" cm="1">
        <f t="array" aca="1" ref="BY177" ca="1">_FV(EE177,"Baixo")</f>
        <v>3.59</v>
      </c>
      <c r="BZ177" s="17" cm="1">
        <f t="array" aca="1" ref="BZ177" ca="1">_FV(EE177,"Alto")</f>
        <v>3.67</v>
      </c>
      <c r="CA177" s="24"/>
      <c r="CB177" s="63">
        <f ca="1">SQRT(22.5*(BQ177/VLOOKUP(BR177,Fundamentus!A:U,3,FALSE))*(BQ177/VLOOKUP(BR177,Fundamentus!A:U,4,FALSE)))</f>
        <v>13.184438817303789</v>
      </c>
      <c r="CD177" s="62">
        <f t="shared" ca="1" si="168"/>
        <v>0</v>
      </c>
      <c r="CE177" s="8"/>
      <c r="CF177" s="61">
        <f t="shared" si="169"/>
        <v>3.59</v>
      </c>
      <c r="CG177" s="61">
        <f t="shared" si="170"/>
        <v>6.91</v>
      </c>
      <c r="CH177" s="61">
        <f t="shared" si="171"/>
        <v>4.6741911764705879</v>
      </c>
      <c r="CI177" s="14"/>
      <c r="CJ177" s="35">
        <f t="shared" si="154"/>
        <v>3.4180196097282396</v>
      </c>
      <c r="CK177" s="15">
        <f t="shared" si="172"/>
        <v>3.5200000000000955</v>
      </c>
      <c r="CL177" s="35">
        <f t="shared" si="155"/>
        <v>3.6219803902719514</v>
      </c>
      <c r="CN177" s="14"/>
      <c r="CO177" s="17">
        <f t="shared" si="156"/>
        <v>-0.83666666666666778</v>
      </c>
      <c r="CP177" s="17">
        <f t="shared" si="157"/>
        <v>1.376666666666666</v>
      </c>
      <c r="CQ177" s="17">
        <f t="shared" si="158"/>
        <v>2.4833333333333325</v>
      </c>
      <c r="CR177" s="38">
        <f t="shared" si="173"/>
        <v>4.6966666666666663</v>
      </c>
      <c r="CS177" s="17">
        <f t="shared" si="159"/>
        <v>5.8033333333333328</v>
      </c>
      <c r="CT177" s="17">
        <f t="shared" si="160"/>
        <v>8.0166666666666657</v>
      </c>
      <c r="CU177" s="17">
        <f t="shared" si="161"/>
        <v>9.1233333333333331</v>
      </c>
      <c r="CV177" s="2" cm="1">
        <f t="array" aca="1" ref="CV177" ca="1">MAX(_xlfn._xlws.FILTER(CO177:CU177,CO177:CU177&lt;BQ177))</f>
        <v>2.4833333333333325</v>
      </c>
      <c r="CW177" s="2" cm="1">
        <f t="array" aca="1" ref="CW177" ca="1">MIN(_xlfn._xlws.FILTER($CO177:$CU177,$CO177:$CU177&gt;BQ177))</f>
        <v>4.6966666666666663</v>
      </c>
      <c r="CX177" s="16">
        <f t="shared" ca="1" si="175"/>
        <v>0.8912751677852353</v>
      </c>
      <c r="CY177" s="20">
        <f t="shared" ca="1" si="176"/>
        <v>-0.44563758389261765</v>
      </c>
      <c r="CZ177" s="20">
        <f t="shared" ca="1" si="177"/>
        <v>-0.29709172259507843</v>
      </c>
      <c r="DA177" s="20">
        <f t="shared" ca="1" si="178"/>
        <v>-0.17825503355704705</v>
      </c>
      <c r="DB177" s="20">
        <f t="shared" ca="1" si="179"/>
        <v>-9.9030574198359478E-2</v>
      </c>
      <c r="DC177" s="20">
        <f t="shared" ca="1" si="180"/>
        <v>-5.2427951046190309E-2</v>
      </c>
      <c r="DD177" s="20">
        <f t="shared" ca="1" si="181"/>
        <v>-2.7008338417734402E-2</v>
      </c>
      <c r="DE177" s="20">
        <f t="shared" ca="1" si="182"/>
        <v>-1.3711925658234389E-2</v>
      </c>
      <c r="DF177" s="21">
        <f t="shared" ca="1" si="183"/>
        <v>1.3711925658234389E-2</v>
      </c>
      <c r="DG177" s="21">
        <f t="shared" ca="1" si="184"/>
        <v>2.7008338417734402E-2</v>
      </c>
      <c r="DH177" s="21">
        <f t="shared" ca="1" si="185"/>
        <v>5.2427951046190309E-2</v>
      </c>
      <c r="DI177" s="21">
        <f t="shared" ca="1" si="186"/>
        <v>9.9030574198359478E-2</v>
      </c>
      <c r="DJ177" s="21">
        <f t="shared" ca="1" si="187"/>
        <v>0.17825503355704705</v>
      </c>
      <c r="DK177" s="21">
        <f t="shared" ca="1" si="188"/>
        <v>0.29709172259507843</v>
      </c>
      <c r="DL177" s="21">
        <f t="shared" ca="1" si="189"/>
        <v>0.44563758389261765</v>
      </c>
      <c r="DN177" s="16" cm="1">
        <f t="array" aca="1" ref="DN177" ca="1">MAX(_xlfn._xlws.FILTER(CY177:DL177,CY177:DL177&lt;BW177))</f>
        <v>-2.7008338417734402E-2</v>
      </c>
      <c r="DO177" s="16" cm="1">
        <f t="array" aca="1" ref="DO177" ca="1">MIN(_xlfn._xlws.FILTER(CY177:DL177,CY177:DL177&gt;BW177))</f>
        <v>-1.3711925658234389E-2</v>
      </c>
      <c r="DP177" s="2" cm="1">
        <f t="array" aca="1" ref="DP177" ca="1">_FV(EE177,"Fechamento anterior",TRUE)</f>
        <v>3.66</v>
      </c>
      <c r="DQ177" s="28">
        <f t="shared" ca="1" si="162"/>
        <v>0.5928407533823763</v>
      </c>
      <c r="DR177" s="15">
        <f t="shared" ca="1" si="190"/>
        <v>3.5611494813910922</v>
      </c>
      <c r="DS177" s="15">
        <f t="shared" ca="1" si="191"/>
        <v>3.6098143520908623</v>
      </c>
      <c r="DT177" s="9"/>
      <c r="DU177" s="9"/>
      <c r="DV177" s="9"/>
      <c r="DW177" s="89">
        <v>3.9548425430778369E-2</v>
      </c>
      <c r="DX177" s="89">
        <f t="shared" ca="1" si="163"/>
        <v>1.3296412759500014E-2</v>
      </c>
      <c r="DY177" s="72">
        <f t="shared" ca="1" si="164"/>
        <v>0.68640647298270485</v>
      </c>
      <c r="DZ177" s="37"/>
      <c r="EA177" s="35">
        <f t="shared" si="174"/>
        <v>5.0990195135927875E-2</v>
      </c>
      <c r="EB177" s="56"/>
      <c r="EC177" s="56"/>
      <c r="EE177" s="2" t="e" vm="179">
        <v>#VALUE!</v>
      </c>
      <c r="EG177" s="10" cm="1">
        <f t="array" aca="1" ref="EG177" ca="1">_FV(EE177,"Ações em circulação",TRUE)</f>
        <v>44000000</v>
      </c>
      <c r="EH177" s="18">
        <f>VLOOKUP(BR177,Fundamentus!A:U,5,FALSE)</f>
        <v>0.13700000000000001</v>
      </c>
      <c r="EI177" s="2">
        <f t="shared" ca="1" si="165"/>
        <v>1152992700.7299268</v>
      </c>
      <c r="EJ177" s="17">
        <v>345897.81021897803</v>
      </c>
      <c r="EK177" s="17">
        <f t="shared" ca="1" si="166"/>
        <v>345897.81021897803</v>
      </c>
      <c r="EM177" s="16">
        <f t="shared" ca="1" si="153"/>
        <v>0</v>
      </c>
      <c r="EN177" s="32" t="str">
        <f>IF(VLOOKUP(BR177,Fundamentus!A:U,3,FALSE)&lt;15,"Bom",IF(VLOOKUP(BR177,Fundamentus!A:U,3,FALSE)&gt;15,"Ruim","n/a"))</f>
        <v>Bom</v>
      </c>
      <c r="EO177" s="28" t="str">
        <f>IF(VLOOKUP(BR177,Fundamentus!A:U,4,FALSE)&lt;1,"Baixo",IF(VLOOKUP(BR177,Fundamentus!A:U,4,FALSE)&lt;1.5,"Moderado",IF(VLOOKUP(BR177,Fundamentus!A:U,4,FALSE)&gt;1.5,"Alto","n/a")))</f>
        <v>Baixo</v>
      </c>
      <c r="EP177" s="17" t="str">
        <f>IF(VLOOKUP(BR177,Fundamentus!A:U,8,FALSE)&lt;0,"Risco elevado",IF(VLOOKUP(BR177,Fundamentus!A:U,8,FALSE)&lt;1,"Saudável",IF(VLOOKUP(BR177,Fundamentus!A:U,8,FALSE)&lt;3,"Estável",IF(VLOOKUP(BR177,Fundamentus!A:U,8,FALSE)&gt;3,"Alerta","n/a"))))</f>
        <v>Risco elevado</v>
      </c>
      <c r="EQ177" s="28" t="str">
        <f t="shared" si="167"/>
        <v>Ruim</v>
      </c>
      <c r="ER177" s="17" t="str">
        <f>IF(VLOOKUP(BR177,Fundamentus!A:U,12,FALSE)&lt;2,"Subvalorizada",IF(VLOOKUP(BR177,Fundamentus!A:U,12,FALSE)&lt;6,"Muita barata",IF(VLOOKUP(BR177,Fundamentus!A:U,12,FALSE)&lt;6,"Barata",IF(VLOOKUP(BR177,Fundamentus!A:U,12,FALSE)&lt;8,"Atrativa",IF(VLOOKUP(BR177,Fundamentus!A:U,12,FALSE)&gt;8,"Supervalorizada","n/a")))))</f>
        <v>Muita barata</v>
      </c>
      <c r="ET177" s="17" t="str">
        <f>IF(VLOOKUP(BR177,Fundamentus!A:U,17,FALSE)&lt;0.1,"Fraco retorno",IF(VLOOKUP(BR177,Fundamentus!A:U,17,FALSE)&gt;0.1,"Bom retorno","n/a"))</f>
        <v>Fraco retorno</v>
      </c>
      <c r="EU177" s="17" t="str">
        <f>IF(VLOOKUP(BR177,Fundamentus!A:U,16,FALSE)&lt;0.1,"Ineficiente",IF(VLOOKUP(BR177,Fundamentus!A:U,16,FALSE)&gt;0.1,"Eficiente","n/a"))</f>
        <v>Ineficiente</v>
      </c>
      <c r="EV177" s="33" t="str">
        <f>IF(VLOOKUP(BR177,Fundamentus!A:U,16,FALSE)&lt;0.1,"Oper. Ineficiente",IF(VLOOKUP(BR177,Fundamentus!A:U,16,FALSE)&gt;0.1,"Oper.Eficiente","n/a"))</f>
        <v>Oper. Ineficiente</v>
      </c>
      <c r="EW177" s="34">
        <f>VLOOKUP(BR177,Fundamentus!A:U,14,FALSE)</f>
        <v>2.9999999999999997E-4</v>
      </c>
      <c r="EX177" s="17" t="str">
        <f>IF(VLOOKUP(BR177,Fundamentus!A:U,21,FALSE)&lt;0,"Negativo",IF(VLOOKUP(BR177,Fundamentus!A:U,21,FALSE)&lt;0.05,"Fraco",IF(VLOOKUP(BR177,Fundamentus!A:U,21,FALSE)&lt;0.1,"Bom",IF(VLOOKUP(BR177,Fundamentus!A:U,21,FALSE)&gt;0.1,"Muito bom","n/a"))))</f>
        <v>Bom</v>
      </c>
      <c r="EZ177" s="29" t="str">
        <f>IF(VLOOKUP(BR177,Fundamentus!A:U,15,FALSE)&gt;1,"Bom",IF(VLOOKUP(BR177,Fundamentus!A:U,15,FALSE)&lt;1,"Ruim","n/a"))</f>
        <v>Ruim</v>
      </c>
      <c r="FA177" s="17" t="str">
        <f>IF(VLOOKUP(BR177,Fundamentus!A:U,20,FALSE)&lt;0.5,"Baixa",IF(VLOOKUP(BR177,Fundamentus!A:U,20,FALSE)&lt;1,"Moderada",IF(VLOOKUP(BR177,Fundamentus!A:U,20,FALSE)&lt;2,"Alerta",IF(VLOOKUP(BR177,Fundamentus!A:U,20,FALSE)&gt;2,"Alta","n/a"))))</f>
        <v>Alerta</v>
      </c>
      <c r="FB177" s="10"/>
    </row>
    <row r="178" spans="1:158" s="2" customFormat="1" ht="11.25"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5">
        <v>7.84</v>
      </c>
      <c r="BC178" s="52">
        <v>7.8</v>
      </c>
      <c r="BD178" s="52">
        <v>7.77</v>
      </c>
      <c r="BE178" s="52">
        <v>7.7</v>
      </c>
      <c r="BF178" s="52">
        <v>7.22</v>
      </c>
      <c r="BG178" s="67">
        <v>7.18</v>
      </c>
      <c r="BH178" s="52">
        <v>7.13</v>
      </c>
      <c r="BI178" s="52">
        <v>6.82</v>
      </c>
      <c r="BJ178" s="52">
        <v>6.92</v>
      </c>
      <c r="BK178" s="52">
        <v>6.35</v>
      </c>
      <c r="BL178" s="52">
        <v>5.75</v>
      </c>
      <c r="BM178" s="52">
        <v>5.21</v>
      </c>
      <c r="BN178" s="52">
        <v>4.9000000000000004</v>
      </c>
      <c r="BO178" s="52">
        <v>4.5999999999999996</v>
      </c>
      <c r="BP178" s="52">
        <v>4.6900000000000004</v>
      </c>
      <c r="BQ178" s="52" cm="1">
        <f t="array" aca="1" ref="BQ178" ca="1">_FV(EE178,"Preço")</f>
        <v>4.6900000000000004</v>
      </c>
      <c r="BR178" s="69" t="s">
        <v>174</v>
      </c>
      <c r="BS178" s="36" cm="1">
        <f t="array" aca="1" ref="BS178" ca="1">_FV(EE178,"Média de volume",TRUE)</f>
        <v>361070</v>
      </c>
      <c r="BT178" s="36">
        <v>288800</v>
      </c>
      <c r="BU178" s="36" cm="1">
        <f t="array" aca="1" ref="BU178" ca="1">_FV(EE178,"Volume")</f>
        <v>288800</v>
      </c>
      <c r="BV178" s="24" cm="1">
        <f t="array" aca="1" ref="BV178" ca="1">_FV(EE178,"Beta")</f>
        <v>1.2574000000000001</v>
      </c>
      <c r="BW178" s="71" cm="1">
        <f t="array" aca="1" ref="BW178" ca="1">_FV(EE178,"Variação (%)",TRUE)</f>
        <v>-1.4705999999999999E-2</v>
      </c>
      <c r="BY178" s="17" cm="1">
        <f t="array" aca="1" ref="BY178" ca="1">_FV(EE178,"Baixo")</f>
        <v>4.63</v>
      </c>
      <c r="BZ178" s="17" cm="1">
        <f t="array" aca="1" ref="BZ178" ca="1">_FV(EE178,"Alto")</f>
        <v>4.75</v>
      </c>
      <c r="CA178" s="24"/>
      <c r="CB178" s="63">
        <f ca="1">SQRT(22.5*(BQ178/VLOOKUP(BR178,Fundamentus!A:U,3,FALSE))*(BQ178/VLOOKUP(BR178,Fundamentus!A:U,4,FALSE)))</f>
        <v>9.4180842031736329</v>
      </c>
      <c r="CD178" s="62">
        <f t="shared" ca="1" si="168"/>
        <v>0</v>
      </c>
      <c r="CE178" s="8"/>
      <c r="CF178" s="61">
        <f t="shared" si="169"/>
        <v>4.5999999999999996</v>
      </c>
      <c r="CG178" s="61">
        <f t="shared" si="170"/>
        <v>12.53</v>
      </c>
      <c r="CH178" s="61">
        <f t="shared" si="171"/>
        <v>9.1040441176470637</v>
      </c>
      <c r="CI178" s="14"/>
      <c r="CJ178" s="35">
        <f t="shared" si="154"/>
        <v>3.1379619091621285</v>
      </c>
      <c r="CK178" s="15">
        <f t="shared" si="172"/>
        <v>4.3849999999997635</v>
      </c>
      <c r="CL178" s="35">
        <f t="shared" si="155"/>
        <v>5.6320380908373986</v>
      </c>
      <c r="CN178" s="14"/>
      <c r="CO178" s="17">
        <f t="shared" si="156"/>
        <v>-5.9133333333333322</v>
      </c>
      <c r="CP178" s="17">
        <f t="shared" si="157"/>
        <v>-0.65666666666666629</v>
      </c>
      <c r="CQ178" s="17">
        <f t="shared" si="158"/>
        <v>2.0166666666666675</v>
      </c>
      <c r="CR178" s="38">
        <f t="shared" si="173"/>
        <v>7.2733333333333334</v>
      </c>
      <c r="CS178" s="17">
        <f t="shared" si="159"/>
        <v>9.9466666666666672</v>
      </c>
      <c r="CT178" s="17">
        <f t="shared" si="160"/>
        <v>15.203333333333333</v>
      </c>
      <c r="CU178" s="17">
        <f t="shared" si="161"/>
        <v>17.876666666666665</v>
      </c>
      <c r="CV178" s="2" cm="1">
        <f t="array" aca="1" ref="CV178" ca="1">MAX(_xlfn._xlws.FILTER(CO178:CU178,CO178:CU178&lt;BQ178))</f>
        <v>2.0166666666666675</v>
      </c>
      <c r="CW178" s="2" cm="1">
        <f t="array" aca="1" ref="CW178" ca="1">MIN(_xlfn._xlws.FILTER($CO178:$CU178,$CO178:$CU178&gt;BQ178))</f>
        <v>7.2733333333333334</v>
      </c>
      <c r="CX178" s="16">
        <f t="shared" ca="1" si="175"/>
        <v>2.6066115702479324</v>
      </c>
      <c r="CY178" s="20">
        <f t="shared" ca="1" si="176"/>
        <v>-1.3033057851239662</v>
      </c>
      <c r="CZ178" s="20">
        <f t="shared" ca="1" si="177"/>
        <v>-0.86887052341597748</v>
      </c>
      <c r="DA178" s="20">
        <f t="shared" ca="1" si="178"/>
        <v>-0.52132231404958651</v>
      </c>
      <c r="DB178" s="20">
        <f t="shared" ca="1" si="179"/>
        <v>-0.28962350780532581</v>
      </c>
      <c r="DC178" s="20">
        <f t="shared" ca="1" si="180"/>
        <v>-0.15333009236752543</v>
      </c>
      <c r="DD178" s="20">
        <f t="shared" ca="1" si="181"/>
        <v>-7.8988229401452503E-2</v>
      </c>
      <c r="DE178" s="20">
        <f t="shared" ca="1" si="182"/>
        <v>-4.0101716465352807E-2</v>
      </c>
      <c r="DF178" s="21">
        <f t="shared" ca="1" si="183"/>
        <v>4.0101716465352807E-2</v>
      </c>
      <c r="DG178" s="21">
        <f t="shared" ca="1" si="184"/>
        <v>7.8988229401452503E-2</v>
      </c>
      <c r="DH178" s="21">
        <f t="shared" ca="1" si="185"/>
        <v>0.15333009236752543</v>
      </c>
      <c r="DI178" s="21">
        <f t="shared" ca="1" si="186"/>
        <v>0.28962350780532581</v>
      </c>
      <c r="DJ178" s="21">
        <f t="shared" ca="1" si="187"/>
        <v>0.52132231404958651</v>
      </c>
      <c r="DK178" s="21">
        <f t="shared" ca="1" si="188"/>
        <v>0.86887052341597748</v>
      </c>
      <c r="DL178" s="21">
        <f t="shared" ca="1" si="189"/>
        <v>1.3033057851239662</v>
      </c>
      <c r="DN178" s="16" cm="1">
        <f t="array" aca="1" ref="DN178" ca="1">MAX(_xlfn._xlws.FILTER(CY178:DL178,CY178:DL178&lt;BW178))</f>
        <v>-4.0101716465352807E-2</v>
      </c>
      <c r="DO178" s="16" cm="1">
        <f t="array" aca="1" ref="DO178" ca="1">MIN(_xlfn._xlws.FILTER(CY178:DL178,CY178:DL178&gt;BW178))</f>
        <v>4.0101716465352807E-2</v>
      </c>
      <c r="DP178" s="2" cm="1">
        <f t="array" aca="1" ref="DP178" ca="1">_FV(EE178,"Fechamento anterior",TRUE)</f>
        <v>4.76</v>
      </c>
      <c r="DQ178" s="28">
        <f t="shared" ca="1" si="162"/>
        <v>0.31664273191838677</v>
      </c>
      <c r="DR178" s="15">
        <f t="shared" ca="1" si="190"/>
        <v>4.5691158296249208</v>
      </c>
      <c r="DS178" s="15">
        <f t="shared" ca="1" si="191"/>
        <v>4.9508841703750788</v>
      </c>
      <c r="DT178" s="9"/>
      <c r="DU178" s="9"/>
      <c r="DV178" s="9"/>
      <c r="DW178" s="89">
        <v>4.0307676423519727E-2</v>
      </c>
      <c r="DX178" s="89">
        <f t="shared" ca="1" si="163"/>
        <v>8.0203432930705615E-2</v>
      </c>
      <c r="DY178" s="72">
        <f t="shared" ca="1" si="164"/>
        <v>0.24457953789957487</v>
      </c>
      <c r="DZ178" s="37"/>
      <c r="EA178" s="35">
        <f t="shared" si="174"/>
        <v>0.62351904541881753</v>
      </c>
      <c r="EB178" s="56"/>
      <c r="EC178" s="56"/>
      <c r="EE178" s="2" t="e" vm="180">
        <v>#VALUE!</v>
      </c>
      <c r="EG178" s="10" cm="1">
        <f t="array" aca="1" ref="EG178" ca="1">_FV(EE178,"Ações em circulação",TRUE)</f>
        <v>139297900</v>
      </c>
      <c r="EH178" s="18">
        <f>VLOOKUP(BR178,Fundamentus!A:U,5,FALSE)</f>
        <v>0.46700000000000003</v>
      </c>
      <c r="EI178" s="2">
        <f t="shared" ca="1" si="165"/>
        <v>1398944648.8222697</v>
      </c>
      <c r="EJ178" s="17">
        <v>67848815.467880085</v>
      </c>
      <c r="EK178" s="17">
        <f t="shared" ca="1" si="166"/>
        <v>67848815.467880085</v>
      </c>
      <c r="EM178" s="16">
        <f t="shared" ca="1" si="153"/>
        <v>0</v>
      </c>
      <c r="EN178" s="32" t="str">
        <f>IF(VLOOKUP(BR178,Fundamentus!A:U,3,FALSE)&lt;15,"Bom",IF(VLOOKUP(BR178,Fundamentus!A:U,3,FALSE)&gt;15,"Ruim","n/a"))</f>
        <v>Bom</v>
      </c>
      <c r="EO178" s="28" t="str">
        <f>IF(VLOOKUP(BR178,Fundamentus!A:U,4,FALSE)&lt;1,"Baixo",IF(VLOOKUP(BR178,Fundamentus!A:U,4,FALSE)&lt;1.5,"Moderado",IF(VLOOKUP(BR178,Fundamentus!A:U,4,FALSE)&gt;1.5,"Alto","n/a")))</f>
        <v>Baixo</v>
      </c>
      <c r="EP178" s="17" t="str">
        <f>IF(VLOOKUP(BR178,Fundamentus!A:U,8,FALSE)&lt;0,"Risco elevado",IF(VLOOKUP(BR178,Fundamentus!A:U,8,FALSE)&lt;1,"Saudável",IF(VLOOKUP(BR178,Fundamentus!A:U,8,FALSE)&lt;3,"Estável",IF(VLOOKUP(BR178,Fundamentus!A:U,8,FALSE)&gt;3,"Alerta","n/a"))))</f>
        <v>Estável</v>
      </c>
      <c r="EQ178" s="28" t="str">
        <f t="shared" si="167"/>
        <v>Ruim</v>
      </c>
      <c r="ER178" s="17" t="str">
        <f>IF(VLOOKUP(BR178,Fundamentus!A:U,12,FALSE)&lt;2,"Subvalorizada",IF(VLOOKUP(BR178,Fundamentus!A:U,12,FALSE)&lt;6,"Muita barata",IF(VLOOKUP(BR178,Fundamentus!A:U,12,FALSE)&lt;6,"Barata",IF(VLOOKUP(BR178,Fundamentus!A:U,12,FALSE)&lt;8,"Atrativa",IF(VLOOKUP(BR178,Fundamentus!A:U,12,FALSE)&gt;8,"Supervalorizada","n/a")))))</f>
        <v>Supervalorizada</v>
      </c>
      <c r="ET178" s="17" t="str">
        <f>IF(VLOOKUP(BR178,Fundamentus!A:U,17,FALSE)&lt;0.1,"Fraco retorno",IF(VLOOKUP(BR178,Fundamentus!A:U,17,FALSE)&gt;0.1,"Bom retorno","n/a"))</f>
        <v>Fraco retorno</v>
      </c>
      <c r="EU178" s="17" t="str">
        <f>IF(VLOOKUP(BR178,Fundamentus!A:U,16,FALSE)&lt;0.1,"Ineficiente",IF(VLOOKUP(BR178,Fundamentus!A:U,16,FALSE)&gt;0.1,"Eficiente","n/a"))</f>
        <v>Ineficiente</v>
      </c>
      <c r="EV178" s="33" t="str">
        <f>IF(VLOOKUP(BR178,Fundamentus!A:U,16,FALSE)&lt;0.1,"Oper. Ineficiente",IF(VLOOKUP(BR178,Fundamentus!A:U,16,FALSE)&gt;0.1,"Oper.Eficiente","n/a"))</f>
        <v>Oper. Ineficiente</v>
      </c>
      <c r="EW178" s="34">
        <f>VLOOKUP(BR178,Fundamentus!A:U,14,FALSE)</f>
        <v>4.8500000000000001E-2</v>
      </c>
      <c r="EX178" s="17" t="str">
        <f>IF(VLOOKUP(BR178,Fundamentus!A:U,21,FALSE)&lt;0,"Negativo",IF(VLOOKUP(BR178,Fundamentus!A:U,21,FALSE)&lt;0.05,"Fraco",IF(VLOOKUP(BR178,Fundamentus!A:U,21,FALSE)&lt;0.1,"Bom",IF(VLOOKUP(BR178,Fundamentus!A:U,21,FALSE)&gt;0.1,"Muito bom","n/a"))))</f>
        <v>Negativo</v>
      </c>
      <c r="EZ178" s="29" t="str">
        <f>IF(VLOOKUP(BR178,Fundamentus!A:U,15,FALSE)&gt;1,"Bom",IF(VLOOKUP(BR178,Fundamentus!A:U,15,FALSE)&lt;1,"Ruim","n/a"))</f>
        <v>Bom</v>
      </c>
      <c r="FA178" s="17" t="str">
        <f>IF(VLOOKUP(BR178,Fundamentus!A:U,20,FALSE)&lt;0.5,"Baixa",IF(VLOOKUP(BR178,Fundamentus!A:U,20,FALSE)&lt;1,"Moderada",IF(VLOOKUP(BR178,Fundamentus!A:U,20,FALSE)&lt;2,"Alerta",IF(VLOOKUP(BR178,Fundamentus!A:U,20,FALSE)&gt;2,"Alta","n/a"))))</f>
        <v>Moderada</v>
      </c>
      <c r="FB178" s="10"/>
    </row>
    <row r="179" spans="1:158" s="2" customFormat="1" ht="11.25"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5">
        <v>4.38</v>
      </c>
      <c r="BC179" s="52">
        <v>4.34</v>
      </c>
      <c r="BD179" s="52">
        <v>4.59</v>
      </c>
      <c r="BE179" s="52">
        <v>4.46</v>
      </c>
      <c r="BF179" s="52">
        <v>4.4800000000000004</v>
      </c>
      <c r="BG179" s="67">
        <v>4.34</v>
      </c>
      <c r="BH179" s="52">
        <v>4.4000000000000004</v>
      </c>
      <c r="BI179" s="52">
        <v>4.12</v>
      </c>
      <c r="BJ179" s="52">
        <v>3.56</v>
      </c>
      <c r="BK179" s="52">
        <v>3.51</v>
      </c>
      <c r="BL179" s="52">
        <v>3.58</v>
      </c>
      <c r="BM179" s="52">
        <v>3.53</v>
      </c>
      <c r="BN179" s="52">
        <v>3.56</v>
      </c>
      <c r="BO179" s="52">
        <v>3.37</v>
      </c>
      <c r="BP179" s="52">
        <v>3.53</v>
      </c>
      <c r="BQ179" s="52" cm="1">
        <f t="array" aca="1" ref="BQ179" ca="1">_FV(EE179,"Preço")</f>
        <v>3.53</v>
      </c>
      <c r="BR179" s="69" t="s">
        <v>175</v>
      </c>
      <c r="BS179" s="36" cm="1">
        <f t="array" aca="1" ref="BS179" ca="1">_FV(EE179,"Média de volume",TRUE)</f>
        <v>950</v>
      </c>
      <c r="BT179" s="36">
        <v>100</v>
      </c>
      <c r="BU179" s="36" cm="1">
        <f t="array" aca="1" ref="BU179" ca="1">_FV(EE179,"Volume")</f>
        <v>100</v>
      </c>
      <c r="BV179" s="24" cm="1">
        <f t="array" aca="1" ref="BV179" ca="1">_FV(EE179,"Beta")</f>
        <v>0.45440000000000003</v>
      </c>
      <c r="BW179" s="71" cm="1">
        <f t="array" aca="1" ref="BW179" ca="1">_FV(EE179,"Variação (%)",TRUE)</f>
        <v>5.6979999999999999E-3</v>
      </c>
      <c r="BY179" s="17" cm="1">
        <f t="array" aca="1" ref="BY179" ca="1">_FV(EE179,"Baixo")</f>
        <v>3.53</v>
      </c>
      <c r="BZ179" s="17" cm="1">
        <f t="array" aca="1" ref="BZ179" ca="1">_FV(EE179,"Alto")</f>
        <v>3.53</v>
      </c>
      <c r="CA179" s="24"/>
      <c r="CB179" s="63">
        <f ca="1">SQRT(22.5*(BQ179/VLOOKUP(BR179,Fundamentus!A:U,3,FALSE))*(BQ179/VLOOKUP(BR179,Fundamentus!A:U,4,FALSE)))</f>
        <v>207.68698711133689</v>
      </c>
      <c r="CD179" s="62">
        <f t="shared" ca="1" si="168"/>
        <v>0</v>
      </c>
      <c r="CE179" s="8"/>
      <c r="CF179" s="61">
        <f t="shared" si="169"/>
        <v>3.37</v>
      </c>
      <c r="CG179" s="61">
        <f t="shared" si="170"/>
        <v>6.29</v>
      </c>
      <c r="CH179" s="61">
        <f t="shared" si="171"/>
        <v>4.7977205882352916</v>
      </c>
      <c r="CI179" s="14"/>
      <c r="CJ179" s="35">
        <f t="shared" si="154"/>
        <v>3.3019459558134145</v>
      </c>
      <c r="CK179" s="15">
        <f t="shared" si="172"/>
        <v>3.4499999999999886</v>
      </c>
      <c r="CL179" s="35">
        <f t="shared" si="155"/>
        <v>3.5980540441865627</v>
      </c>
      <c r="CN179" s="14"/>
      <c r="CO179" s="17">
        <f t="shared" si="156"/>
        <v>-0.41666666666666696</v>
      </c>
      <c r="CP179" s="17">
        <f t="shared" si="157"/>
        <v>1.4766666666666666</v>
      </c>
      <c r="CQ179" s="17">
        <f t="shared" si="158"/>
        <v>2.503333333333333</v>
      </c>
      <c r="CR179" s="38">
        <f t="shared" si="173"/>
        <v>4.3966666666666665</v>
      </c>
      <c r="CS179" s="17">
        <f t="shared" si="159"/>
        <v>5.4233333333333329</v>
      </c>
      <c r="CT179" s="17">
        <f t="shared" si="160"/>
        <v>7.3166666666666664</v>
      </c>
      <c r="CU179" s="17">
        <f t="shared" si="161"/>
        <v>8.3433333333333337</v>
      </c>
      <c r="CV179" s="2" cm="1">
        <f t="array" aca="1" ref="CV179" ca="1">MAX(_xlfn._xlws.FILTER(CO179:CU179,CO179:CU179&lt;BQ179))</f>
        <v>2.503333333333333</v>
      </c>
      <c r="CW179" s="2" cm="1">
        <f t="array" aca="1" ref="CW179" ca="1">MIN(_xlfn._xlws.FILTER($CO179:$CU179,$CO179:$CU179&gt;BQ179))</f>
        <v>4.3966666666666665</v>
      </c>
      <c r="CX179" s="16">
        <f t="shared" ref="CX179:CX186" ca="1" si="192">(CW179/CV179)-1</f>
        <v>0.75632490013315601</v>
      </c>
      <c r="CY179" s="20">
        <f t="shared" ref="CY179:CY186" ca="1" si="193">-$CX179/2</f>
        <v>-0.378162450066578</v>
      </c>
      <c r="CZ179" s="20">
        <f t="shared" ref="CZ179:CZ186" ca="1" si="194">-$CX179/3</f>
        <v>-0.25210830004438534</v>
      </c>
      <c r="DA179" s="20">
        <f t="shared" ref="DA179:DA186" ca="1" si="195">-$CX179/5</f>
        <v>-0.15126498002663119</v>
      </c>
      <c r="DB179" s="20">
        <f t="shared" ref="DB179:DB186" ca="1" si="196">-$CX179/9</f>
        <v>-8.4036100014795112E-2</v>
      </c>
      <c r="DC179" s="20">
        <f t="shared" ref="DC179:DC186" ca="1" si="197">-$CX179/17</f>
        <v>-4.4489700007832707E-2</v>
      </c>
      <c r="DD179" s="20">
        <f t="shared" ref="DD179:DD186" ca="1" si="198">-$CX179/33</f>
        <v>-2.2918936367671394E-2</v>
      </c>
      <c r="DE179" s="20">
        <f t="shared" ref="DE179:DE186" ca="1" si="199">-$CX179/65</f>
        <v>-1.1635767694356246E-2</v>
      </c>
      <c r="DF179" s="21">
        <f t="shared" ref="DF179:DF186" ca="1" si="200">-$CX179/65*-1</f>
        <v>1.1635767694356246E-2</v>
      </c>
      <c r="DG179" s="21">
        <f t="shared" ref="DG179:DG186" ca="1" si="201">-$CX179/33*-1</f>
        <v>2.2918936367671394E-2</v>
      </c>
      <c r="DH179" s="21">
        <f t="shared" ref="DH179:DH186" ca="1" si="202">-$CX179/17*-1</f>
        <v>4.4489700007832707E-2</v>
      </c>
      <c r="DI179" s="21">
        <f t="shared" ref="DI179:DI186" ca="1" si="203">-$CX179/9*-1</f>
        <v>8.4036100014795112E-2</v>
      </c>
      <c r="DJ179" s="21">
        <f t="shared" ref="DJ179:DJ186" ca="1" si="204">-$CX179/5*-1</f>
        <v>0.15126498002663119</v>
      </c>
      <c r="DK179" s="21">
        <f t="shared" ref="DK179:DK186" ca="1" si="205">-$CX179/3*-1</f>
        <v>0.25210830004438534</v>
      </c>
      <c r="DL179" s="21">
        <f t="shared" ref="DL179:DL186" ca="1" si="206">-$CX179/2*-1</f>
        <v>0.378162450066578</v>
      </c>
      <c r="DN179" s="16" cm="1">
        <f t="array" aca="1" ref="DN179" ca="1">MAX(_xlfn._xlws.FILTER(CY179:DL179,CY179:DL179&lt;BW179))</f>
        <v>-1.1635767694356246E-2</v>
      </c>
      <c r="DO179" s="16" cm="1">
        <f t="array" aca="1" ref="DO179" ca="1">MIN(_xlfn._xlws.FILTER(CY179:DL179,CY179:DL179&gt;BW179))</f>
        <v>1.1635767694356246E-2</v>
      </c>
      <c r="DP179" s="2" cm="1">
        <f t="array" aca="1" ref="DP179" ca="1">_FV(EE179,"Fechamento anterior",TRUE)</f>
        <v>3.51</v>
      </c>
      <c r="DQ179" s="28">
        <f t="shared" ca="1" si="162"/>
        <v>0.74484872196139851</v>
      </c>
      <c r="DR179" s="15">
        <f t="shared" ref="DR179:DR186" ca="1" si="207">DP179+(DP179*DN179)</f>
        <v>3.4691584553928094</v>
      </c>
      <c r="DS179" s="15">
        <f t="shared" ref="DS179:DS186" ca="1" si="208">DP179+(DP179*DO179)</f>
        <v>3.5508415446071901</v>
      </c>
      <c r="DT179" s="9"/>
      <c r="DU179" s="9"/>
      <c r="DV179" s="9"/>
      <c r="DW179" s="89">
        <v>2.4991976035091464E-2</v>
      </c>
      <c r="DX179" s="89">
        <f t="shared" ca="1" si="163"/>
        <v>2.3271535388712492E-2</v>
      </c>
      <c r="DY179" s="72">
        <f t="shared" ca="1" si="164"/>
        <v>0.54034322695837422</v>
      </c>
      <c r="DZ179" s="37"/>
      <c r="EA179" s="35">
        <f t="shared" si="174"/>
        <v>7.4027022093286959E-2</v>
      </c>
      <c r="EB179" s="56"/>
      <c r="EC179" s="56"/>
      <c r="EE179" s="2" t="e" vm="181">
        <v>#VALUE!</v>
      </c>
      <c r="EG179" s="10" cm="1">
        <f t="array" aca="1" ref="EG179" ca="1">_FV(EE179,"Ações em circulação",TRUE)</f>
        <v>7716400</v>
      </c>
      <c r="EH179" s="18">
        <f>VLOOKUP(BR179,Fundamentus!A:U,5,FALSE)</f>
        <v>2.8000000000000001E-2</v>
      </c>
      <c r="EI179" s="2">
        <f t="shared" ca="1" si="165"/>
        <v>972817571.42857146</v>
      </c>
      <c r="EJ179" s="17">
        <v>-40566492.72857143</v>
      </c>
      <c r="EK179" s="17">
        <f t="shared" ca="1" si="166"/>
        <v>-40566492.72857143</v>
      </c>
      <c r="EM179" s="16">
        <f t="shared" ca="1" si="153"/>
        <v>0</v>
      </c>
      <c r="EN179" s="39" t="str">
        <f>IF(VLOOKUP(BR179,Fundamentus!A:U,3,FALSE)&lt;15,"Bom",IF(VLOOKUP(BR179,Fundamentus!A:U,3,FALSE)&gt;15,"Ruim","n/a"))</f>
        <v>Bom</v>
      </c>
      <c r="EO179" s="40" t="str">
        <f>IF(VLOOKUP(BR179,Fundamentus!A:U,4,FALSE)&lt;1,"Baixo",IF(VLOOKUP(BR179,Fundamentus!A:U,4,FALSE)&lt;1.5,"Moderado",IF(VLOOKUP(BR179,Fundamentus!A:U,4,FALSE)&gt;1.5,"Alto","n/a")))</f>
        <v>Baixo</v>
      </c>
      <c r="EP179" s="41" t="str">
        <f>IF(VLOOKUP(BR179,Fundamentus!A:U,8,FALSE)&lt;0,"Risco elevado",IF(VLOOKUP(BR179,Fundamentus!A:U,8,FALSE)&lt;1,"Saudável",IF(VLOOKUP(BR179,Fundamentus!A:U,8,FALSE)&lt;3,"Estável",IF(VLOOKUP(BR179,Fundamentus!A:U,8,FALSE)&gt;3,"Alerta","n/a"))))</f>
        <v>Risco elevado</v>
      </c>
      <c r="EQ179" s="40" t="str">
        <f t="shared" si="167"/>
        <v>Ruim</v>
      </c>
      <c r="ER179" s="41" t="str">
        <f>IF(VLOOKUP(BR179,Fundamentus!A:U,12,FALSE)&lt;2,"Subvalorizada",IF(VLOOKUP(BR179,Fundamentus!A:U,12,FALSE)&lt;6,"Muita barata",IF(VLOOKUP(BR179,Fundamentus!A:U,12,FALSE)&lt;6,"Barata",IF(VLOOKUP(BR179,Fundamentus!A:U,12,FALSE)&lt;8,"Atrativa",IF(VLOOKUP(BR179,Fundamentus!A:U,12,FALSE)&gt;8,"Supervalorizada","n/a")))))</f>
        <v>Muita barata</v>
      </c>
      <c r="ET179" s="41" t="str">
        <f>IF(VLOOKUP(BR179,Fundamentus!A:U,17,FALSE)&lt;0.1,"Fraco retorno",IF(VLOOKUP(BR179,Fundamentus!A:U,17,FALSE)&gt;0.1,"Bom retorno","n/a"))</f>
        <v>Fraco retorno</v>
      </c>
      <c r="EU179" s="41" t="str">
        <f>IF(VLOOKUP(BR179,Fundamentus!A:U,16,FALSE)&lt;0.1,"Ineficiente",IF(VLOOKUP(BR179,Fundamentus!A:U,16,FALSE)&gt;0.1,"Eficiente","n/a"))</f>
        <v>Ineficiente</v>
      </c>
      <c r="EV179" s="42" t="str">
        <f>IF(VLOOKUP(BR179,Fundamentus!A:U,16,FALSE)&lt;0.1,"Oper. Ineficiente",IF(VLOOKUP(BR179,Fundamentus!A:U,16,FALSE)&gt;0.1,"Oper.Eficiente","n/a"))</f>
        <v>Oper. Ineficiente</v>
      </c>
      <c r="EW179" s="43">
        <f>VLOOKUP(BR179,Fundamentus!A:U,14,FALSE)</f>
        <v>-4.1700000000000001E-2</v>
      </c>
      <c r="EX179" s="41" t="str">
        <f>IF(VLOOKUP(BR179,Fundamentus!A:U,21,FALSE)&lt;0,"Negativo",IF(VLOOKUP(BR179,Fundamentus!A:U,21,FALSE)&lt;0.05,"Fraco",IF(VLOOKUP(BR179,Fundamentus!A:U,21,FALSE)&lt;0.1,"Bom",IF(VLOOKUP(BR179,Fundamentus!A:U,21,FALSE)&gt;0.1,"Muito bom","n/a"))))</f>
        <v>Muito bom</v>
      </c>
      <c r="EZ179" s="44" t="str">
        <f>IF(VLOOKUP(BR179,Fundamentus!A:U,15,FALSE)&gt;1,"Bom",IF(VLOOKUP(BR179,Fundamentus!A:U,15,FALSE)&lt;1,"Ruim","n/a"))</f>
        <v>Ruim</v>
      </c>
      <c r="FA179" s="41" t="str">
        <f>IF(VLOOKUP(BR179,Fundamentus!A:U,20,FALSE)&lt;0.5,"Baixa",IF(VLOOKUP(BR179,Fundamentus!A:U,20,FALSE)&lt;1,"Moderada",IF(VLOOKUP(BR179,Fundamentus!A:U,20,FALSE)&lt;2,"Alerta",IF(VLOOKUP(BR179,Fundamentus!A:U,20,FALSE)&gt;2,"Alta","n/a"))))</f>
        <v>Baixa</v>
      </c>
      <c r="FB179" s="10"/>
    </row>
    <row r="180" spans="1:158"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5">
        <v>10.89</v>
      </c>
      <c r="BC180" s="52">
        <v>10.99</v>
      </c>
      <c r="BD180" s="52">
        <v>11.25</v>
      </c>
      <c r="BE180" s="52">
        <v>11.6</v>
      </c>
      <c r="BF180" s="52">
        <v>11.92</v>
      </c>
      <c r="BG180" s="67">
        <v>11.84</v>
      </c>
      <c r="BH180" s="52">
        <v>12.02</v>
      </c>
      <c r="BI180" s="52">
        <v>12.1</v>
      </c>
      <c r="BJ180" s="52">
        <v>12.61</v>
      </c>
      <c r="BK180" s="52">
        <v>12.65</v>
      </c>
      <c r="BL180" s="52">
        <v>12.07</v>
      </c>
      <c r="BM180" s="52">
        <v>11.87</v>
      </c>
      <c r="BN180" s="52">
        <v>12.39</v>
      </c>
      <c r="BO180" s="52">
        <v>12.54</v>
      </c>
      <c r="BP180" s="52">
        <v>12.12</v>
      </c>
      <c r="BQ180" s="52" cm="1">
        <f t="array" aca="1" ref="BQ180" ca="1">_FV(EE180,"Preço")</f>
        <v>12.12</v>
      </c>
      <c r="BR180" s="66" t="s">
        <v>89</v>
      </c>
      <c r="BS180" s="36" cm="1">
        <f t="array" aca="1" ref="BS180" ca="1">_FV(EE180,"Média de volume",TRUE)</f>
        <v>417190</v>
      </c>
      <c r="BT180" s="36">
        <v>512600</v>
      </c>
      <c r="BU180" s="36" cm="1">
        <f t="array" aca="1" ref="BU180" ca="1">_FV(EE180,"Volume")</f>
        <v>512600</v>
      </c>
      <c r="BV180" s="24" cm="1">
        <f t="array" aca="1" ref="BV180" ca="1">_FV(EE180,"Beta")</f>
        <v>1.1546000000000001</v>
      </c>
      <c r="BW180" s="71" cm="1">
        <f t="array" aca="1" ref="BW180" ca="1">_FV(EE180,"Variação (%)",TRUE)</f>
        <v>-7.3709999999999999E-3</v>
      </c>
      <c r="BY180" s="17" cm="1">
        <f t="array" aca="1" ref="BY180" ca="1">_FV(EE180,"Baixo")</f>
        <v>11.96</v>
      </c>
      <c r="BZ180" s="17" cm="1">
        <f t="array" aca="1" ref="BZ180" ca="1">_FV(EE180,"Alto")</f>
        <v>12.7</v>
      </c>
      <c r="CA180" s="24"/>
      <c r="CB180" s="17">
        <f ca="1">SQRT(22.5*(BQ180/VLOOKUP(BR180,Fundamentus!A:U,3,FALSE))*(BQ180/VLOOKUP(BR180,Fundamentus!A:U,4,FALSE)))</f>
        <v>18.081900569495676</v>
      </c>
      <c r="CD180" s="62">
        <f t="shared" ca="1" si="168"/>
        <v>0</v>
      </c>
      <c r="CE180" s="8"/>
      <c r="CF180" s="61">
        <f t="shared" si="169"/>
        <v>7.06</v>
      </c>
      <c r="CG180" s="61">
        <f t="shared" si="170"/>
        <v>12.65</v>
      </c>
      <c r="CH180" s="61">
        <f t="shared" si="171"/>
        <v>9.356617647058826</v>
      </c>
      <c r="CI180" s="14"/>
      <c r="CJ180" s="35">
        <f t="shared" si="154"/>
        <v>11.871274036897491</v>
      </c>
      <c r="CK180" s="15">
        <f t="shared" si="172"/>
        <v>12.455000000000041</v>
      </c>
      <c r="CL180" s="35">
        <f t="shared" si="155"/>
        <v>13.038725963102591</v>
      </c>
      <c r="CN180" s="14"/>
      <c r="CO180" s="17">
        <f t="shared" si="156"/>
        <v>2.9799999999999978</v>
      </c>
      <c r="CP180" s="17">
        <f t="shared" si="157"/>
        <v>5.0199999999999987</v>
      </c>
      <c r="CQ180" s="17">
        <f t="shared" si="158"/>
        <v>8.5699999999999985</v>
      </c>
      <c r="CR180" s="38">
        <f t="shared" si="173"/>
        <v>10.61</v>
      </c>
      <c r="CS180" s="17">
        <f t="shared" si="159"/>
        <v>14.16</v>
      </c>
      <c r="CT180" s="17">
        <f t="shared" si="160"/>
        <v>16.2</v>
      </c>
      <c r="CU180" s="17">
        <f t="shared" si="161"/>
        <v>19.75</v>
      </c>
      <c r="CV180" s="2" cm="1">
        <f t="array" aca="1" ref="CV180" ca="1">MAX(_xlfn._xlws.FILTER(CO180:CU180,CO180:CU180&lt;BQ180))</f>
        <v>10.61</v>
      </c>
      <c r="CW180" s="2" cm="1">
        <f t="array" aca="1" ref="CW180" ca="1">MIN(_xlfn._xlws.FILTER($CO180:$CU180,$CO180:$CU180&gt;BQ180))</f>
        <v>14.16</v>
      </c>
      <c r="CX180" s="16">
        <f t="shared" ca="1" si="192"/>
        <v>0.33459000942507067</v>
      </c>
      <c r="CY180" s="20">
        <f t="shared" ca="1" si="193"/>
        <v>-0.16729500471253533</v>
      </c>
      <c r="CZ180" s="20">
        <f t="shared" ca="1" si="194"/>
        <v>-0.11153000314169022</v>
      </c>
      <c r="DA180" s="20">
        <f t="shared" ca="1" si="195"/>
        <v>-6.6918001885014136E-2</v>
      </c>
      <c r="DB180" s="20">
        <f t="shared" ca="1" si="196"/>
        <v>-3.7176667713896744E-2</v>
      </c>
      <c r="DC180" s="20">
        <f t="shared" ca="1" si="197"/>
        <v>-1.9681765260298273E-2</v>
      </c>
      <c r="DD180" s="20">
        <f t="shared" ca="1" si="198"/>
        <v>-1.013909119469911E-2</v>
      </c>
      <c r="DE180" s="20">
        <f t="shared" ca="1" si="199"/>
        <v>-5.1475386065395487E-3</v>
      </c>
      <c r="DF180" s="21">
        <f t="shared" ca="1" si="200"/>
        <v>5.1475386065395487E-3</v>
      </c>
      <c r="DG180" s="21">
        <f t="shared" ca="1" si="201"/>
        <v>1.013909119469911E-2</v>
      </c>
      <c r="DH180" s="21">
        <f t="shared" ca="1" si="202"/>
        <v>1.9681765260298273E-2</v>
      </c>
      <c r="DI180" s="21">
        <f t="shared" ca="1" si="203"/>
        <v>3.7176667713896744E-2</v>
      </c>
      <c r="DJ180" s="21">
        <f t="shared" ca="1" si="204"/>
        <v>6.6918001885014136E-2</v>
      </c>
      <c r="DK180" s="21">
        <f t="shared" ca="1" si="205"/>
        <v>0.11153000314169022</v>
      </c>
      <c r="DL180" s="21">
        <f t="shared" ca="1" si="206"/>
        <v>0.16729500471253533</v>
      </c>
      <c r="DN180" s="16" cm="1">
        <f t="array" aca="1" ref="DN180" ca="1">MAX(_xlfn._xlws.FILTER(CY180:DL180,CY180:DL180&lt;BW180))</f>
        <v>-1.013909119469911E-2</v>
      </c>
      <c r="DO180" s="16" cm="1">
        <f t="array" aca="1" ref="DO180" ca="1">MIN(_xlfn._xlws.FILTER(CY180:DL180,CY180:DL180&gt;BW180))</f>
        <v>-5.1475386065395487E-3</v>
      </c>
      <c r="DP180" s="2" cm="1">
        <f t="array" aca="1" ref="DP180" ca="1">_FV(EE180,"Fechamento anterior",TRUE)</f>
        <v>12.21</v>
      </c>
      <c r="DQ180" s="28">
        <f t="shared" ca="1" si="162"/>
        <v>0.55455367339167794</v>
      </c>
      <c r="DR180" s="15">
        <f t="shared" ca="1" si="207"/>
        <v>12.086201696512724</v>
      </c>
      <c r="DS180" s="15">
        <f t="shared" ca="1" si="208"/>
        <v>12.147148553614153</v>
      </c>
      <c r="DT180" s="9"/>
      <c r="DU180" s="9"/>
      <c r="DV180" s="9"/>
      <c r="DW180" s="89">
        <v>9.7898271359283685E-3</v>
      </c>
      <c r="DX180" s="89">
        <f t="shared" ca="1" si="163"/>
        <v>4.9915525881595616E-3</v>
      </c>
      <c r="DY180" s="75">
        <f t="shared" ca="1" si="164"/>
        <v>-0.5738994342816105</v>
      </c>
      <c r="DZ180" s="37"/>
      <c r="EA180" s="35">
        <f t="shared" si="174"/>
        <v>0.29186298155127532</v>
      </c>
      <c r="EB180" s="56"/>
      <c r="EC180" s="56"/>
      <c r="EE180" s="2" t="e" vm="182">
        <v>#VALUE!</v>
      </c>
      <c r="EG180" s="10" cm="1">
        <f t="array" aca="1" ref="EG180" ca="1">_FV(EE180,"Ações em circulação",TRUE)</f>
        <v>195434400</v>
      </c>
      <c r="EH180" s="18">
        <f>VLOOKUP(BR180,Fundamentus!A:U,5,FALSE)</f>
        <v>1.4570000000000001</v>
      </c>
      <c r="EI180" s="2">
        <f t="shared" ca="1" si="165"/>
        <v>1625713746.0535345</v>
      </c>
      <c r="EJ180" s="17">
        <v>423661002.22155106</v>
      </c>
      <c r="EK180" s="17">
        <f t="shared" ca="1" si="166"/>
        <v>423661002.22155106</v>
      </c>
      <c r="EM180" s="16">
        <f t="shared" ca="1" si="153"/>
        <v>0</v>
      </c>
      <c r="EN180" s="32" t="str">
        <f>IF(VLOOKUP(BR180,Fundamentus!A:U,3,FALSE)&lt;15,"Bom",IF(VLOOKUP(BR180,Fundamentus!A:U,3,FALSE)&gt;15,"Ruim","n/a"))</f>
        <v>Bom</v>
      </c>
      <c r="EO180" s="28" t="str">
        <f>IF(VLOOKUP(BR180,Fundamentus!A:U,4,FALSE)&lt;1,"Baixo",IF(VLOOKUP(BR180,Fundamentus!A:U,4,FALSE)&lt;1.5,"Moderado",IF(VLOOKUP(BR180,Fundamentus!A:U,4,FALSE)&gt;1.5,"Alto","n/a")))</f>
        <v>Alto</v>
      </c>
      <c r="EP180" s="17" t="str">
        <f>IF(VLOOKUP(BR180,Fundamentus!A:U,8,FALSE)&lt;0,"Risco elevado",IF(VLOOKUP(BR180,Fundamentus!A:U,8,FALSE)&lt;1,"Saudável",IF(VLOOKUP(BR180,Fundamentus!A:U,8,FALSE)&lt;3,"Estável",IF(VLOOKUP(BR180,Fundamentus!A:U,8,FALSE)&gt;3,"Alerta","n/a"))))</f>
        <v>Estável</v>
      </c>
      <c r="EQ180" s="28" t="str">
        <f t="shared" si="167"/>
        <v>Bom</v>
      </c>
      <c r="ER180" s="17" t="str">
        <f>IF(VLOOKUP(BR180,Fundamentus!A:U,12,FALSE)&lt;2,"Subvalorizada",IF(VLOOKUP(BR180,Fundamentus!A:U,12,FALSE)&lt;6,"Muita barata",IF(VLOOKUP(BR180,Fundamentus!A:U,12,FALSE)&lt;6,"Barata",IF(VLOOKUP(BR180,Fundamentus!A:U,12,FALSE)&lt;8,"Atrativa",IF(VLOOKUP(BR180,Fundamentus!A:U,12,FALSE)&gt;8,"Supervalorizada","n/a")))))</f>
        <v>Atrativa</v>
      </c>
      <c r="ET180" s="17" t="str">
        <f>IF(VLOOKUP(BR180,Fundamentus!A:U,17,FALSE)&lt;0.1,"Fraco retorno",IF(VLOOKUP(BR180,Fundamentus!A:U,17,FALSE)&gt;0.1,"Bom retorno","n/a"))</f>
        <v>Bom retorno</v>
      </c>
      <c r="EU180" s="17" t="str">
        <f>IF(VLOOKUP(BR180,Fundamentus!A:U,16,FALSE)&lt;0.1,"Ineficiente",IF(VLOOKUP(BR180,Fundamentus!A:U,16,FALSE)&gt;0.1,"Eficiente","n/a"))</f>
        <v>Eficiente</v>
      </c>
      <c r="EV180" s="33" t="str">
        <f>IF(VLOOKUP(BR180,Fundamentus!A:U,16,FALSE)&lt;0.1,"Oper. Ineficiente",IF(VLOOKUP(BR180,Fundamentus!A:U,16,FALSE)&gt;0.1,"Oper.Eficiente","n/a"))</f>
        <v>Oper.Eficiente</v>
      </c>
      <c r="EW180" s="34">
        <f>VLOOKUP(BR180,Fundamentus!A:U,14,FALSE)</f>
        <v>0.2606</v>
      </c>
      <c r="EX180" s="17" t="str">
        <f>IF(VLOOKUP(BR180,Fundamentus!A:U,21,FALSE)&lt;0,"Negativo",IF(VLOOKUP(BR180,Fundamentus!A:U,21,FALSE)&lt;0.05,"Fraco",IF(VLOOKUP(BR180,Fundamentus!A:U,21,FALSE)&lt;0.1,"Bom",IF(VLOOKUP(BR180,Fundamentus!A:U,21,FALSE)&gt;0.1,"Muito bom","n/a"))))</f>
        <v>Muito bom</v>
      </c>
      <c r="EZ180" s="29" t="str">
        <f>IF(VLOOKUP(BR180,Fundamentus!A:U,15,FALSE)&gt;1,"Bom",IF(VLOOKUP(BR180,Fundamentus!A:U,15,FALSE)&lt;1,"Ruim","n/a"))</f>
        <v>Bom</v>
      </c>
      <c r="FA180" s="17" t="str">
        <f>IF(VLOOKUP(BR180,Fundamentus!A:U,20,FALSE)&lt;0.5,"Baixa",IF(VLOOKUP(BR180,Fundamentus!A:U,20,FALSE)&lt;1,"Moderada",IF(VLOOKUP(BR180,Fundamentus!A:U,20,FALSE)&lt;2,"Alerta",IF(VLOOKUP(BR180,Fundamentus!A:U,20,FALSE)&gt;2,"Alta","n/a"))))</f>
        <v>Baixa</v>
      </c>
      <c r="FB180" s="10"/>
    </row>
    <row r="181" spans="1:158" s="2" customFormat="1" ht="11.25"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5">
        <v>6.95</v>
      </c>
      <c r="BC181" s="52">
        <v>7.95</v>
      </c>
      <c r="BD181" s="52">
        <v>8.98</v>
      </c>
      <c r="BE181" s="52">
        <v>8.9499999999999993</v>
      </c>
      <c r="BF181" s="52">
        <v>8.6999999999999993</v>
      </c>
      <c r="BG181" s="67">
        <v>9.18</v>
      </c>
      <c r="BH181" s="52">
        <v>8.64</v>
      </c>
      <c r="BI181" s="52">
        <v>8.73</v>
      </c>
      <c r="BJ181" s="52">
        <v>8.6</v>
      </c>
      <c r="BK181" s="52">
        <v>8.09</v>
      </c>
      <c r="BL181" s="52">
        <v>7.5</v>
      </c>
      <c r="BM181" s="52">
        <v>7.64</v>
      </c>
      <c r="BN181" s="52">
        <v>7.35</v>
      </c>
      <c r="BO181" s="52">
        <v>8.4499999999999993</v>
      </c>
      <c r="BP181" s="52">
        <v>8.58</v>
      </c>
      <c r="BQ181" s="52" cm="1">
        <f t="array" aca="1" ref="BQ181" ca="1">_FV(EE181,"Preço")</f>
        <v>8.58</v>
      </c>
      <c r="BR181" s="69" t="s">
        <v>177</v>
      </c>
      <c r="BS181" s="36" cm="1">
        <f t="array" aca="1" ref="BS181" ca="1">_FV(EE181,"Média de volume",TRUE)</f>
        <v>2415310</v>
      </c>
      <c r="BT181" s="36">
        <v>4300</v>
      </c>
      <c r="BU181" s="36" cm="1">
        <f t="array" aca="1" ref="BU181" ca="1">_FV(EE181,"Volume")</f>
        <v>4300</v>
      </c>
      <c r="BV181" s="24" cm="1">
        <f t="array" aca="1" ref="BV181" ca="1">_FV(EE181,"Beta")</f>
        <v>1.0226</v>
      </c>
      <c r="BW181" s="71" cm="1">
        <f t="array" aca="1" ref="BW181" ca="1">_FV(EE181,"Variação (%)",TRUE)</f>
        <v>-3.9194E-2</v>
      </c>
      <c r="BY181" s="17" cm="1">
        <f t="array" aca="1" ref="BY181" ca="1">_FV(EE181,"Baixo")</f>
        <v>8.51</v>
      </c>
      <c r="BZ181" s="17" cm="1">
        <f t="array" aca="1" ref="BZ181" ca="1">_FV(EE181,"Alto")</f>
        <v>8.9</v>
      </c>
      <c r="CA181" s="24"/>
      <c r="CB181" s="63">
        <f ca="1">SQRT(22.5*(BQ181/VLOOKUP(BR181,Fundamentus!A:U,3,FALSE))*(BQ181/VLOOKUP(BR181,Fundamentus!A:U,4,FALSE)))</f>
        <v>6.9360051169097261</v>
      </c>
      <c r="CD181" s="62">
        <f t="shared" ca="1" si="168"/>
        <v>0</v>
      </c>
      <c r="CE181" s="8"/>
      <c r="CF181" s="61">
        <f t="shared" si="169"/>
        <v>5.81</v>
      </c>
      <c r="CG181" s="61">
        <f t="shared" si="170"/>
        <v>10.25</v>
      </c>
      <c r="CH181" s="61">
        <f t="shared" si="171"/>
        <v>7.6074264705882362</v>
      </c>
      <c r="CI181" s="14"/>
      <c r="CJ181" s="35">
        <f t="shared" si="154"/>
        <v>8.1728325295853121</v>
      </c>
      <c r="CK181" s="15">
        <f t="shared" si="172"/>
        <v>8.9850000000001273</v>
      </c>
      <c r="CL181" s="35">
        <f t="shared" si="155"/>
        <v>9.7971674704149425</v>
      </c>
      <c r="CN181" s="14"/>
      <c r="CO181" s="17">
        <f t="shared" si="156"/>
        <v>1.7366666666666655</v>
      </c>
      <c r="CP181" s="17">
        <f t="shared" si="157"/>
        <v>3.7733333333333325</v>
      </c>
      <c r="CQ181" s="17">
        <f t="shared" si="158"/>
        <v>6.1766666666666659</v>
      </c>
      <c r="CR181" s="38">
        <f t="shared" si="173"/>
        <v>8.2133333333333329</v>
      </c>
      <c r="CS181" s="17">
        <f t="shared" si="159"/>
        <v>10.616666666666667</v>
      </c>
      <c r="CT181" s="17">
        <f t="shared" si="160"/>
        <v>12.653333333333332</v>
      </c>
      <c r="CU181" s="17">
        <f t="shared" si="161"/>
        <v>15.056666666666667</v>
      </c>
      <c r="CV181" s="2" cm="1">
        <f t="array" aca="1" ref="CV181" ca="1">MAX(_xlfn._xlws.FILTER(CO181:CU181,CO181:CU181&lt;BQ181))</f>
        <v>8.2133333333333329</v>
      </c>
      <c r="CW181" s="2" cm="1">
        <f t="array" aca="1" ref="CW181" ca="1">MIN(_xlfn._xlws.FILTER($CO181:$CU181,$CO181:$CU181&gt;BQ181))</f>
        <v>10.616666666666667</v>
      </c>
      <c r="CX181" s="16">
        <f t="shared" ca="1" si="192"/>
        <v>0.29261363636363646</v>
      </c>
      <c r="CY181" s="20">
        <f t="shared" ca="1" si="193"/>
        <v>-0.14630681818181823</v>
      </c>
      <c r="CZ181" s="20">
        <f t="shared" ca="1" si="194"/>
        <v>-9.7537878787878826E-2</v>
      </c>
      <c r="DA181" s="20">
        <f t="shared" ca="1" si="195"/>
        <v>-5.8522727272727296E-2</v>
      </c>
      <c r="DB181" s="20">
        <f t="shared" ca="1" si="196"/>
        <v>-3.2512626262626271E-2</v>
      </c>
      <c r="DC181" s="20">
        <f t="shared" ca="1" si="197"/>
        <v>-1.7212566844919792E-2</v>
      </c>
      <c r="DD181" s="20">
        <f t="shared" ca="1" si="198"/>
        <v>-8.8670798898071654E-3</v>
      </c>
      <c r="DE181" s="20">
        <f t="shared" ca="1" si="199"/>
        <v>-4.5017482517482532E-3</v>
      </c>
      <c r="DF181" s="21">
        <f t="shared" ca="1" si="200"/>
        <v>4.5017482517482532E-3</v>
      </c>
      <c r="DG181" s="21">
        <f t="shared" ca="1" si="201"/>
        <v>8.8670798898071654E-3</v>
      </c>
      <c r="DH181" s="21">
        <f t="shared" ca="1" si="202"/>
        <v>1.7212566844919792E-2</v>
      </c>
      <c r="DI181" s="21">
        <f t="shared" ca="1" si="203"/>
        <v>3.2512626262626271E-2</v>
      </c>
      <c r="DJ181" s="21">
        <f t="shared" ca="1" si="204"/>
        <v>5.8522727272727296E-2</v>
      </c>
      <c r="DK181" s="21">
        <f t="shared" ca="1" si="205"/>
        <v>9.7537878787878826E-2</v>
      </c>
      <c r="DL181" s="21">
        <f t="shared" ca="1" si="206"/>
        <v>0.14630681818181823</v>
      </c>
      <c r="DN181" s="16" cm="1">
        <f t="array" aca="1" ref="DN181" ca="1">MAX(_xlfn._xlws.FILTER(CY181:DL181,CY181:DL181&lt;BW181))</f>
        <v>-5.8522727272727296E-2</v>
      </c>
      <c r="DO181" s="16" cm="1">
        <f t="array" aca="1" ref="DO181" ca="1">MIN(_xlfn._xlws.FILTER(CY181:DL181,CY181:DL181&gt;BW181))</f>
        <v>-3.2512626262626271E-2</v>
      </c>
      <c r="DP181" s="2" cm="1">
        <f t="array" aca="1" ref="DP181" ca="1">_FV(EE181,"Fechamento anterior",TRUE)</f>
        <v>8.93</v>
      </c>
      <c r="DQ181" s="28">
        <f t="shared" ca="1" si="162"/>
        <v>0.74313430239511213</v>
      </c>
      <c r="DR181" s="15">
        <f t="shared" ca="1" si="207"/>
        <v>8.4073920454545448</v>
      </c>
      <c r="DS181" s="15">
        <f t="shared" ca="1" si="208"/>
        <v>8.6396622474747478</v>
      </c>
      <c r="DT181" s="9"/>
      <c r="DU181" s="9"/>
      <c r="DV181" s="9"/>
      <c r="DW181" s="89">
        <v>4.8143614851081207E-2</v>
      </c>
      <c r="DX181" s="89">
        <f t="shared" ca="1" si="163"/>
        <v>2.6010101010101025E-2</v>
      </c>
      <c r="DY181" s="72">
        <f t="shared" ca="1" si="164"/>
        <v>-0.49866562593706587</v>
      </c>
      <c r="DZ181" s="37"/>
      <c r="EA181" s="35">
        <f t="shared" si="174"/>
        <v>0.40608373520740754</v>
      </c>
      <c r="EB181" s="56"/>
      <c r="EC181" s="56"/>
      <c r="EE181" s="2" t="e" vm="183">
        <v>#VALUE!</v>
      </c>
      <c r="EG181" s="10" cm="1">
        <f t="array" aca="1" ref="EG181" ca="1">_FV(EE181,"Ações em circulação",TRUE)</f>
        <v>683062200</v>
      </c>
      <c r="EH181" s="18">
        <f>VLOOKUP(BR181,Fundamentus!A:U,5,FALSE)</f>
        <v>1.222</v>
      </c>
      <c r="EI181" s="2">
        <f t="shared" ca="1" si="165"/>
        <v>4795968638.2978725</v>
      </c>
      <c r="EJ181" s="17">
        <v>219175766.77021277</v>
      </c>
      <c r="EK181" s="17">
        <f t="shared" ca="1" si="166"/>
        <v>219175766.77021277</v>
      </c>
      <c r="EM181" s="16">
        <f t="shared" ca="1" si="153"/>
        <v>0</v>
      </c>
      <c r="EN181" s="45" t="str">
        <f>IF(VLOOKUP(BR181,Fundamentus!A:U,3,FALSE)&lt;15,"Bom",IF(VLOOKUP(BR181,Fundamentus!A:U,3,FALSE)&gt;15,"Ruim","n/a"))</f>
        <v>Ruim</v>
      </c>
      <c r="EO181" s="46" t="str">
        <f>IF(VLOOKUP(BR181,Fundamentus!A:U,4,FALSE)&lt;1,"Baixo",IF(VLOOKUP(BR181,Fundamentus!A:U,4,FALSE)&lt;1.5,"Moderado",IF(VLOOKUP(BR181,Fundamentus!A:U,4,FALSE)&gt;1.5,"Alto","n/a")))</f>
        <v>Moderado</v>
      </c>
      <c r="EP181" s="30" t="str">
        <f>IF(VLOOKUP(BR181,Fundamentus!A:U,8,FALSE)&lt;0,"Risco elevado",IF(VLOOKUP(BR181,Fundamentus!A:U,8,FALSE)&lt;1,"Saudável",IF(VLOOKUP(BR181,Fundamentus!A:U,8,FALSE)&lt;3,"Estável",IF(VLOOKUP(BR181,Fundamentus!A:U,8,FALSE)&gt;3,"Alerta","n/a"))))</f>
        <v>Alerta</v>
      </c>
      <c r="EQ181" s="46" t="str">
        <f t="shared" si="167"/>
        <v>Bom</v>
      </c>
      <c r="ER181" s="30" t="str">
        <f>IF(VLOOKUP(BR181,Fundamentus!A:U,12,FALSE)&lt;2,"Subvalorizada",IF(VLOOKUP(BR181,Fundamentus!A:U,12,FALSE)&lt;6,"Muita barata",IF(VLOOKUP(BR181,Fundamentus!A:U,12,FALSE)&lt;6,"Barata",IF(VLOOKUP(BR181,Fundamentus!A:U,12,FALSE)&lt;8,"Atrativa",IF(VLOOKUP(BR181,Fundamentus!A:U,12,FALSE)&gt;8,"Supervalorizada","n/a")))))</f>
        <v>Supervalorizada</v>
      </c>
      <c r="ET181" s="30" t="str">
        <f>IF(VLOOKUP(BR181,Fundamentus!A:U,17,FALSE)&lt;0.1,"Fraco retorno",IF(VLOOKUP(BR181,Fundamentus!A:U,17,FALSE)&gt;0.1,"Bom retorno","n/a"))</f>
        <v>Fraco retorno</v>
      </c>
      <c r="EU181" s="30" t="str">
        <f>IF(VLOOKUP(BR181,Fundamentus!A:U,16,FALSE)&lt;0.1,"Ineficiente",IF(VLOOKUP(BR181,Fundamentus!A:U,16,FALSE)&gt;0.1,"Eficiente","n/a"))</f>
        <v>Ineficiente</v>
      </c>
      <c r="EV181" s="49" t="str">
        <f>IF(VLOOKUP(BR181,Fundamentus!A:U,16,FALSE)&lt;0.1,"Oper. Ineficiente",IF(VLOOKUP(BR181,Fundamentus!A:U,16,FALSE)&gt;0.1,"Oper.Eficiente","n/a"))</f>
        <v>Oper. Ineficiente</v>
      </c>
      <c r="EW181" s="48">
        <f>VLOOKUP(BR181,Fundamentus!A:U,14,FALSE)</f>
        <v>4.5699999999999998E-2</v>
      </c>
      <c r="EX181" s="30" t="str">
        <f>IF(VLOOKUP(BR181,Fundamentus!A:U,21,FALSE)&lt;0,"Negativo",IF(VLOOKUP(BR181,Fundamentus!A:U,21,FALSE)&lt;0.05,"Fraco",IF(VLOOKUP(BR181,Fundamentus!A:U,21,FALSE)&lt;0.1,"Bom",IF(VLOOKUP(BR181,Fundamentus!A:U,21,FALSE)&gt;0.1,"Muito bom","n/a"))))</f>
        <v>Fraco</v>
      </c>
      <c r="EZ181" s="31" t="str">
        <f>IF(VLOOKUP(BR181,Fundamentus!A:U,15,FALSE)&gt;1,"Bom",IF(VLOOKUP(BR181,Fundamentus!A:U,15,FALSE)&lt;1,"Ruim","n/a"))</f>
        <v>Bom</v>
      </c>
      <c r="FA181" s="30" t="str">
        <f>IF(VLOOKUP(BR181,Fundamentus!A:U,20,FALSE)&lt;0.5,"Baixa",IF(VLOOKUP(BR181,Fundamentus!A:U,20,FALSE)&lt;1,"Moderada",IF(VLOOKUP(BR181,Fundamentus!A:U,20,FALSE)&lt;2,"Alerta",IF(VLOOKUP(BR181,Fundamentus!A:U,20,FALSE)&gt;2,"Alta","n/a"))))</f>
        <v>Baixa</v>
      </c>
      <c r="FB181" s="10"/>
    </row>
    <row r="182" spans="1:158" s="2" customFormat="1" ht="11.25"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5">
        <v>3.1</v>
      </c>
      <c r="BC182" s="52">
        <v>3.07</v>
      </c>
      <c r="BD182" s="52">
        <v>3.04</v>
      </c>
      <c r="BE182" s="52">
        <v>3.4</v>
      </c>
      <c r="BF182" s="52">
        <v>3.21</v>
      </c>
      <c r="BG182" s="67">
        <v>3.86</v>
      </c>
      <c r="BH182" s="52">
        <v>3.71</v>
      </c>
      <c r="BI182" s="52">
        <v>3.6</v>
      </c>
      <c r="BJ182" s="52">
        <v>3.71</v>
      </c>
      <c r="BK182" s="52">
        <v>3.5</v>
      </c>
      <c r="BL182" s="52">
        <v>3.6</v>
      </c>
      <c r="BM182" s="52">
        <v>3.57</v>
      </c>
      <c r="BN182" s="52">
        <v>3.45</v>
      </c>
      <c r="BO182" s="52">
        <v>3.72</v>
      </c>
      <c r="BP182" s="52">
        <v>3.27</v>
      </c>
      <c r="BQ182" s="52" cm="1">
        <f t="array" aca="1" ref="BQ182" ca="1">_FV(EE182,"Preço")</f>
        <v>3.27</v>
      </c>
      <c r="BR182" s="69" t="s">
        <v>178</v>
      </c>
      <c r="BS182" s="36" cm="1">
        <f t="array" aca="1" ref="BS182" ca="1">_FV(EE182,"Média de volume",TRUE)</f>
        <v>35880</v>
      </c>
      <c r="BT182" s="36">
        <v>10500</v>
      </c>
      <c r="BU182" s="36" cm="1">
        <f t="array" aca="1" ref="BU182" ca="1">_FV(EE182,"Volume")</f>
        <v>10500</v>
      </c>
      <c r="BV182" s="24" cm="1">
        <f t="array" aca="1" ref="BV182" ca="1">_FV(EE182,"Beta")</f>
        <v>1.4851000000000001</v>
      </c>
      <c r="BW182" s="71" cm="1">
        <f t="array" aca="1" ref="BW182" ca="1">_FV(EE182,"Variação (%)",TRUE)</f>
        <v>3.1545999999999998E-2</v>
      </c>
      <c r="BY182" s="17" cm="1">
        <f t="array" aca="1" ref="BY182" ca="1">_FV(EE182,"Baixo")</f>
        <v>3.18</v>
      </c>
      <c r="BZ182" s="17" cm="1">
        <f t="array" aca="1" ref="BZ182" ca="1">_FV(EE182,"Alto")</f>
        <v>3.27</v>
      </c>
      <c r="CA182" s="24"/>
      <c r="CB182" s="63">
        <f ca="1">SQRT(22.5*(BQ182/VLOOKUP(BR182,Fundamentus!A:U,3,FALSE))*(BQ182/VLOOKUP(BR182,Fundamentus!A:U,4,FALSE)))</f>
        <v>9.7574512637382078</v>
      </c>
      <c r="CD182" s="62">
        <f t="shared" ca="1" si="168"/>
        <v>0</v>
      </c>
      <c r="CE182" s="8"/>
      <c r="CF182" s="61">
        <f t="shared" si="169"/>
        <v>2.19</v>
      </c>
      <c r="CG182" s="61">
        <f t="shared" si="170"/>
        <v>4.26</v>
      </c>
      <c r="CH182" s="61">
        <f t="shared" si="171"/>
        <v>3.253308823529411</v>
      </c>
      <c r="CI182" s="14"/>
      <c r="CJ182" s="35">
        <f t="shared" si="154"/>
        <v>3.1602190486007529</v>
      </c>
      <c r="CK182" s="15">
        <f t="shared" si="172"/>
        <v>3.3449999999999704</v>
      </c>
      <c r="CL182" s="35">
        <f t="shared" si="155"/>
        <v>3.529780951399188</v>
      </c>
      <c r="CN182" s="14"/>
      <c r="CO182" s="17">
        <f t="shared" si="156"/>
        <v>0.14999999999999991</v>
      </c>
      <c r="CP182" s="17">
        <f t="shared" si="157"/>
        <v>1.17</v>
      </c>
      <c r="CQ182" s="17">
        <f t="shared" si="158"/>
        <v>2.2199999999999998</v>
      </c>
      <c r="CR182" s="38">
        <f t="shared" si="173"/>
        <v>3.2399999999999998</v>
      </c>
      <c r="CS182" s="17">
        <f t="shared" si="159"/>
        <v>4.2899999999999991</v>
      </c>
      <c r="CT182" s="17">
        <f t="shared" si="160"/>
        <v>5.31</v>
      </c>
      <c r="CU182" s="17">
        <f t="shared" si="161"/>
        <v>6.3599999999999994</v>
      </c>
      <c r="CV182" s="2" cm="1">
        <f t="array" aca="1" ref="CV182" ca="1">MAX(_xlfn._xlws.FILTER(CO182:CU182,CO182:CU182&lt;BQ182))</f>
        <v>3.2399999999999998</v>
      </c>
      <c r="CW182" s="2" cm="1">
        <f t="array" aca="1" ref="CW182" ca="1">MIN(_xlfn._xlws.FILTER($CO182:$CU182,$CO182:$CU182&gt;BQ182))</f>
        <v>4.2899999999999991</v>
      </c>
      <c r="CX182" s="16">
        <f t="shared" ca="1" si="192"/>
        <v>0.32407407407407396</v>
      </c>
      <c r="CY182" s="20">
        <f t="shared" ca="1" si="193"/>
        <v>-0.16203703703703698</v>
      </c>
      <c r="CZ182" s="20">
        <f t="shared" ca="1" si="194"/>
        <v>-0.10802469135802466</v>
      </c>
      <c r="DA182" s="20">
        <f t="shared" ca="1" si="195"/>
        <v>-6.4814814814814797E-2</v>
      </c>
      <c r="DB182" s="20">
        <f t="shared" ca="1" si="196"/>
        <v>-3.6008230452674886E-2</v>
      </c>
      <c r="DC182" s="20">
        <f t="shared" ca="1" si="197"/>
        <v>-1.9063180827886703E-2</v>
      </c>
      <c r="DD182" s="20">
        <f t="shared" ca="1" si="198"/>
        <v>-9.8204264870931507E-3</v>
      </c>
      <c r="DE182" s="20">
        <f t="shared" ca="1" si="199"/>
        <v>-4.9857549857549839E-3</v>
      </c>
      <c r="DF182" s="21">
        <f t="shared" ca="1" si="200"/>
        <v>4.9857549857549839E-3</v>
      </c>
      <c r="DG182" s="21">
        <f t="shared" ca="1" si="201"/>
        <v>9.8204264870931507E-3</v>
      </c>
      <c r="DH182" s="21">
        <f t="shared" ca="1" si="202"/>
        <v>1.9063180827886703E-2</v>
      </c>
      <c r="DI182" s="21">
        <f t="shared" ca="1" si="203"/>
        <v>3.6008230452674886E-2</v>
      </c>
      <c r="DJ182" s="21">
        <f t="shared" ca="1" si="204"/>
        <v>6.4814814814814797E-2</v>
      </c>
      <c r="DK182" s="21">
        <f t="shared" ca="1" si="205"/>
        <v>0.10802469135802466</v>
      </c>
      <c r="DL182" s="21">
        <f t="shared" ca="1" si="206"/>
        <v>0.16203703703703698</v>
      </c>
      <c r="DN182" s="16" cm="1">
        <f t="array" aca="1" ref="DN182" ca="1">MAX(_xlfn._xlws.FILTER(CY182:DL182,CY182:DL182&lt;BW182))</f>
        <v>1.9063180827886703E-2</v>
      </c>
      <c r="DO182" s="16" cm="1">
        <f t="array" aca="1" ref="DO182" ca="1">MIN(_xlfn._xlws.FILTER(CY182:DL182,CY182:DL182&gt;BW182))</f>
        <v>3.6008230452674886E-2</v>
      </c>
      <c r="DP182" s="2" cm="1">
        <f t="array" aca="1" ref="DP182" ca="1">_FV(EE182,"Fechamento anterior",TRUE)</f>
        <v>3.17</v>
      </c>
      <c r="DQ182" s="28">
        <f t="shared" ca="1" si="162"/>
        <v>0.73664939161784748</v>
      </c>
      <c r="DR182" s="15">
        <f t="shared" ca="1" si="207"/>
        <v>3.230430283224401</v>
      </c>
      <c r="DS182" s="15">
        <f t="shared" ca="1" si="208"/>
        <v>3.2841460905349793</v>
      </c>
      <c r="DT182" s="9"/>
      <c r="DU182" s="9"/>
      <c r="DV182" s="9"/>
      <c r="DW182" s="89">
        <v>1.009575189689713E-2</v>
      </c>
      <c r="DX182" s="89">
        <f t="shared" ca="1" si="163"/>
        <v>1.6945049624788183E-2</v>
      </c>
      <c r="DY182" s="72">
        <f t="shared" ca="1" si="164"/>
        <v>-0.40588599329123271</v>
      </c>
      <c r="DZ182" s="37"/>
      <c r="EA182" s="35">
        <f t="shared" si="174"/>
        <v>9.2390475699608801E-2</v>
      </c>
      <c r="EB182" s="56"/>
      <c r="EC182" s="56"/>
      <c r="EE182" s="2" t="e" vm="184">
        <v>#VALUE!</v>
      </c>
      <c r="EG182" s="10" cm="1">
        <f t="array" aca="1" ref="EG182" ca="1">_FV(EE182,"Ações em circulação",TRUE)</f>
        <v>63461460</v>
      </c>
      <c r="EH182" s="18">
        <f>VLOOKUP(BR182,Fundamentus!A:U,5,FALSE)</f>
        <v>0.27500000000000002</v>
      </c>
      <c r="EI182" s="2">
        <f t="shared" ca="1" si="165"/>
        <v>754614451.63636351</v>
      </c>
      <c r="EJ182" s="17">
        <v>28750810.607345451</v>
      </c>
      <c r="EK182" s="17">
        <f t="shared" ca="1" si="166"/>
        <v>28750810.607345451</v>
      </c>
      <c r="EM182" s="16">
        <f t="shared" ca="1" si="153"/>
        <v>0</v>
      </c>
      <c r="EN182" s="32" t="str">
        <f>IF(VLOOKUP(BR182,Fundamentus!A:U,3,FALSE)&lt;15,"Bom",IF(VLOOKUP(BR182,Fundamentus!A:U,3,FALSE)&gt;15,"Ruim","n/a"))</f>
        <v>Bom</v>
      </c>
      <c r="EO182" s="28" t="str">
        <f>IF(VLOOKUP(BR182,Fundamentus!A:U,4,FALSE)&lt;1,"Baixo",IF(VLOOKUP(BR182,Fundamentus!A:U,4,FALSE)&lt;1.5,"Moderado",IF(VLOOKUP(BR182,Fundamentus!A:U,4,FALSE)&gt;1.5,"Alto","n/a")))</f>
        <v>Baixo</v>
      </c>
      <c r="EP182" s="17" t="str">
        <f>IF(VLOOKUP(BR182,Fundamentus!A:U,8,FALSE)&lt;0,"Risco elevado",IF(VLOOKUP(BR182,Fundamentus!A:U,8,FALSE)&lt;1,"Saudável",IF(VLOOKUP(BR182,Fundamentus!A:U,8,FALSE)&lt;3,"Estável",IF(VLOOKUP(BR182,Fundamentus!A:U,8,FALSE)&gt;3,"Alerta","n/a"))))</f>
        <v>Saudável</v>
      </c>
      <c r="EQ182" s="28" t="str">
        <f t="shared" si="167"/>
        <v>Ruim</v>
      </c>
      <c r="ER182" s="17" t="str">
        <f>IF(VLOOKUP(BR182,Fundamentus!A:U,12,FALSE)&lt;2,"Subvalorizada",IF(VLOOKUP(BR182,Fundamentus!A:U,12,FALSE)&lt;6,"Muita barata",IF(VLOOKUP(BR182,Fundamentus!A:U,12,FALSE)&lt;6,"Barata",IF(VLOOKUP(BR182,Fundamentus!A:U,12,FALSE)&lt;8,"Atrativa",IF(VLOOKUP(BR182,Fundamentus!A:U,12,FALSE)&gt;8,"Supervalorizada","n/a")))))</f>
        <v>Subvalorizada</v>
      </c>
      <c r="ET182" s="17" t="str">
        <f>IF(VLOOKUP(BR182,Fundamentus!A:U,17,FALSE)&lt;0.1,"Fraco retorno",IF(VLOOKUP(BR182,Fundamentus!A:U,17,FALSE)&gt;0.1,"Bom retorno","n/a"))</f>
        <v>Fraco retorno</v>
      </c>
      <c r="EU182" s="17" t="str">
        <f>IF(VLOOKUP(BR182,Fundamentus!A:U,16,FALSE)&lt;0.1,"Ineficiente",IF(VLOOKUP(BR182,Fundamentus!A:U,16,FALSE)&gt;0.1,"Eficiente","n/a"))</f>
        <v>Eficiente</v>
      </c>
      <c r="EV182" s="33" t="str">
        <f>IF(VLOOKUP(BR182,Fundamentus!A:U,16,FALSE)&lt;0.1,"Oper. Ineficiente",IF(VLOOKUP(BR182,Fundamentus!A:U,16,FALSE)&gt;0.1,"Oper.Eficiente","n/a"))</f>
        <v>Oper.Eficiente</v>
      </c>
      <c r="EW182" s="34">
        <f>VLOOKUP(BR182,Fundamentus!A:U,14,FALSE)</f>
        <v>3.8100000000000002E-2</v>
      </c>
      <c r="EX182" s="17" t="str">
        <f>IF(VLOOKUP(BR182,Fundamentus!A:U,21,FALSE)&lt;0,"Negativo",IF(VLOOKUP(BR182,Fundamentus!A:U,21,FALSE)&lt;0.05,"Fraco",IF(VLOOKUP(BR182,Fundamentus!A:U,21,FALSE)&lt;0.1,"Bom",IF(VLOOKUP(BR182,Fundamentus!A:U,21,FALSE)&gt;0.1,"Muito bom","n/a"))))</f>
        <v>Negativo</v>
      </c>
      <c r="EZ182" s="29" t="str">
        <f>IF(VLOOKUP(BR182,Fundamentus!A:U,15,FALSE)&gt;1,"Bom",IF(VLOOKUP(BR182,Fundamentus!A:U,15,FALSE)&lt;1,"Ruim","n/a"))</f>
        <v>Bom</v>
      </c>
      <c r="FA182" s="17" t="str">
        <f>IF(VLOOKUP(BR182,Fundamentus!A:U,20,FALSE)&lt;0.5,"Baixa",IF(VLOOKUP(BR182,Fundamentus!A:U,20,FALSE)&lt;1,"Moderada",IF(VLOOKUP(BR182,Fundamentus!A:U,20,FALSE)&lt;2,"Alerta",IF(VLOOKUP(BR182,Fundamentus!A:U,20,FALSE)&gt;2,"Alta","n/a"))))</f>
        <v>Baixa</v>
      </c>
      <c r="FB182" s="10"/>
    </row>
    <row r="183" spans="1:158" s="2" customFormat="1" ht="11.25"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5">
        <v>5.16</v>
      </c>
      <c r="BC183" s="52">
        <v>5.14</v>
      </c>
      <c r="BD183" s="52">
        <v>5.17</v>
      </c>
      <c r="BE183" s="52">
        <v>5.04</v>
      </c>
      <c r="BF183" s="52">
        <v>4.9000000000000004</v>
      </c>
      <c r="BG183" s="67">
        <v>4.8600000000000003</v>
      </c>
      <c r="BH183" s="52">
        <v>4.87</v>
      </c>
      <c r="BI183" s="52">
        <v>4.82</v>
      </c>
      <c r="BJ183" s="52">
        <v>5.17</v>
      </c>
      <c r="BK183" s="52">
        <v>5.37</v>
      </c>
      <c r="BL183" s="52">
        <v>5.12</v>
      </c>
      <c r="BM183" s="52">
        <v>5.09</v>
      </c>
      <c r="BN183" s="52">
        <v>4.9400000000000004</v>
      </c>
      <c r="BO183" s="52">
        <v>5</v>
      </c>
      <c r="BP183" s="52">
        <v>4.91</v>
      </c>
      <c r="BQ183" s="52" cm="1">
        <f t="array" aca="1" ref="BQ183" ca="1">_FV(EE183,"Preço")</f>
        <v>4.91</v>
      </c>
      <c r="BR183" s="69" t="s">
        <v>179</v>
      </c>
      <c r="BS183" s="36" cm="1">
        <f t="array" aca="1" ref="BS183" ca="1">_FV(EE183,"Média de volume",TRUE)</f>
        <v>14338290</v>
      </c>
      <c r="BT183" s="36">
        <v>8681200</v>
      </c>
      <c r="BU183" s="36" cm="1">
        <f t="array" aca="1" ref="BU183" ca="1">_FV(EE183,"Volume")</f>
        <v>8681200</v>
      </c>
      <c r="BV183" s="24" cm="1">
        <f t="array" aca="1" ref="BV183" ca="1">_FV(EE183,"Beta")</f>
        <v>0.7782</v>
      </c>
      <c r="BW183" s="71" cm="1">
        <f t="array" aca="1" ref="BW183" ca="1">_FV(EE183,"Variação (%)",TRUE)</f>
        <v>2.5051999999999998E-2</v>
      </c>
      <c r="BY183" s="17" cm="1">
        <f t="array" aca="1" ref="BY183" ca="1">_FV(EE183,"Baixo")</f>
        <v>4.75</v>
      </c>
      <c r="BZ183" s="17" cm="1">
        <f t="array" aca="1" ref="BZ183" ca="1">_FV(EE183,"Alto")</f>
        <v>4.92</v>
      </c>
      <c r="CA183" s="24"/>
      <c r="CB183" s="63">
        <f ca="1">SQRT(22.5*(BQ183/VLOOKUP(BR183,Fundamentus!A:U,3,FALSE))*(BQ183/VLOOKUP(BR183,Fundamentus!A:U,4,FALSE)))</f>
        <v>3.9501321806756287</v>
      </c>
      <c r="CD183" s="62">
        <f t="shared" ca="1" si="168"/>
        <v>0</v>
      </c>
      <c r="CE183" s="8"/>
      <c r="CF183" s="61">
        <f t="shared" si="169"/>
        <v>4.42</v>
      </c>
      <c r="CG183" s="61">
        <f t="shared" si="170"/>
        <v>7.95</v>
      </c>
      <c r="CH183" s="61">
        <f t="shared" si="171"/>
        <v>5.8205147058823563</v>
      </c>
      <c r="CI183" s="14"/>
      <c r="CJ183" s="35">
        <f t="shared" si="154"/>
        <v>4.5698119243600877</v>
      </c>
      <c r="CK183" s="15">
        <f t="shared" si="172"/>
        <v>4.8650000000000091</v>
      </c>
      <c r="CL183" s="35">
        <f t="shared" si="155"/>
        <v>5.1601880756399305</v>
      </c>
      <c r="CN183" s="14"/>
      <c r="CO183" s="17">
        <f t="shared" si="156"/>
        <v>4.0000000000000924E-2</v>
      </c>
      <c r="CP183" s="17">
        <f t="shared" si="157"/>
        <v>2.2300000000000004</v>
      </c>
      <c r="CQ183" s="17">
        <f t="shared" si="158"/>
        <v>3.5700000000000012</v>
      </c>
      <c r="CR183" s="38">
        <f t="shared" si="173"/>
        <v>5.7600000000000007</v>
      </c>
      <c r="CS183" s="17">
        <f t="shared" si="159"/>
        <v>7.1000000000000014</v>
      </c>
      <c r="CT183" s="17">
        <f t="shared" si="160"/>
        <v>9.2900000000000009</v>
      </c>
      <c r="CU183" s="17">
        <f t="shared" si="161"/>
        <v>10.630000000000003</v>
      </c>
      <c r="CV183" s="2" cm="1">
        <f t="array" aca="1" ref="CV183" ca="1">MAX(_xlfn._xlws.FILTER(CO183:CU183,CO183:CU183&lt;BQ183))</f>
        <v>3.5700000000000012</v>
      </c>
      <c r="CW183" s="2" cm="1">
        <f t="array" aca="1" ref="CW183" ca="1">MIN(_xlfn._xlws.FILTER($CO183:$CU183,$CO183:$CU183&gt;BQ183))</f>
        <v>5.7600000000000007</v>
      </c>
      <c r="CX183" s="16">
        <f t="shared" ca="1" si="192"/>
        <v>0.6134453781512601</v>
      </c>
      <c r="CY183" s="20">
        <f t="shared" ca="1" si="193"/>
        <v>-0.30672268907563005</v>
      </c>
      <c r="CZ183" s="20">
        <f t="shared" ca="1" si="194"/>
        <v>-0.20448179271708669</v>
      </c>
      <c r="DA183" s="20">
        <f t="shared" ca="1" si="195"/>
        <v>-0.12268907563025203</v>
      </c>
      <c r="DB183" s="20">
        <f t="shared" ca="1" si="196"/>
        <v>-6.816059757236223E-2</v>
      </c>
      <c r="DC183" s="20">
        <f t="shared" ca="1" si="197"/>
        <v>-3.6085022244191772E-2</v>
      </c>
      <c r="DD183" s="20">
        <f t="shared" ca="1" si="198"/>
        <v>-1.8589253883371518E-2</v>
      </c>
      <c r="DE183" s="20">
        <f t="shared" ca="1" si="199"/>
        <v>-9.4376212023270789E-3</v>
      </c>
      <c r="DF183" s="21">
        <f t="shared" ca="1" si="200"/>
        <v>9.4376212023270789E-3</v>
      </c>
      <c r="DG183" s="21">
        <f t="shared" ca="1" si="201"/>
        <v>1.8589253883371518E-2</v>
      </c>
      <c r="DH183" s="21">
        <f t="shared" ca="1" si="202"/>
        <v>3.6085022244191772E-2</v>
      </c>
      <c r="DI183" s="21">
        <f t="shared" ca="1" si="203"/>
        <v>6.816059757236223E-2</v>
      </c>
      <c r="DJ183" s="21">
        <f t="shared" ca="1" si="204"/>
        <v>0.12268907563025203</v>
      </c>
      <c r="DK183" s="21">
        <f t="shared" ca="1" si="205"/>
        <v>0.20448179271708669</v>
      </c>
      <c r="DL183" s="21">
        <f t="shared" ca="1" si="206"/>
        <v>0.30672268907563005</v>
      </c>
      <c r="DN183" s="16" cm="1">
        <f t="array" aca="1" ref="DN183" ca="1">MAX(_xlfn._xlws.FILTER(CY183:DL183,CY183:DL183&lt;BW183))</f>
        <v>1.8589253883371518E-2</v>
      </c>
      <c r="DO183" s="16" cm="1">
        <f t="array" aca="1" ref="DO183" ca="1">MIN(_xlfn._xlws.FILTER(CY183:DL183,CY183:DL183&gt;BW183))</f>
        <v>3.6085022244191772E-2</v>
      </c>
      <c r="DP183" s="2" cm="1">
        <f t="array" aca="1" ref="DP183" ca="1">_FV(EE183,"Fechamento anterior",TRUE)</f>
        <v>4.79</v>
      </c>
      <c r="DQ183" s="28">
        <f t="shared" ca="1" si="162"/>
        <v>0.36940007721566631</v>
      </c>
      <c r="DR183" s="15">
        <f t="shared" ca="1" si="207"/>
        <v>4.8790425261013493</v>
      </c>
      <c r="DS183" s="15">
        <f t="shared" ca="1" si="208"/>
        <v>4.9628472565496784</v>
      </c>
      <c r="DT183" s="9"/>
      <c r="DU183" s="9"/>
      <c r="DV183" s="9"/>
      <c r="DW183" s="89">
        <v>1.8308963763509219E-2</v>
      </c>
      <c r="DX183" s="89">
        <f t="shared" ca="1" si="163"/>
        <v>1.7495768360820254E-2</v>
      </c>
      <c r="DY183" s="72">
        <f t="shared" ca="1" si="164"/>
        <v>0.15244518228738782</v>
      </c>
      <c r="DZ183" s="37"/>
      <c r="EA183" s="35">
        <f t="shared" si="174"/>
        <v>0.14759403781996069</v>
      </c>
      <c r="EB183" s="56"/>
      <c r="EC183" s="56"/>
      <c r="EE183" s="2" t="e" vm="185">
        <v>#VALUE!</v>
      </c>
      <c r="EG183" s="10" cm="1">
        <f t="array" aca="1" ref="EG183" ca="1">_FV(EE183,"Ações em circulação",TRUE)</f>
        <v>994489400</v>
      </c>
      <c r="EH183" s="18">
        <f>VLOOKUP(BR183,Fundamentus!A:U,5,FALSE)</f>
        <v>0.13700000000000001</v>
      </c>
      <c r="EI183" s="2">
        <f t="shared" ca="1" si="165"/>
        <v>35641919372.262772</v>
      </c>
      <c r="EJ183" s="17">
        <v>-1115592076.3518248</v>
      </c>
      <c r="EK183" s="17">
        <f t="shared" ca="1" si="166"/>
        <v>-1115592076.3518248</v>
      </c>
      <c r="EM183" s="16">
        <f t="shared" ca="1" si="153"/>
        <v>0</v>
      </c>
      <c r="EN183" s="32" t="str">
        <f>IF(VLOOKUP(BR183,Fundamentus!A:U,3,FALSE)&lt;15,"Bom",IF(VLOOKUP(BR183,Fundamentus!A:U,3,FALSE)&gt;15,"Ruim","n/a"))</f>
        <v>Bom</v>
      </c>
      <c r="EO183" s="28" t="str">
        <f>IF(VLOOKUP(BR183,Fundamentus!A:U,4,FALSE)&lt;1,"Baixo",IF(VLOOKUP(BR183,Fundamentus!A:U,4,FALSE)&lt;1.5,"Moderado",IF(VLOOKUP(BR183,Fundamentus!A:U,4,FALSE)&gt;1.5,"Alto","n/a")))</f>
        <v>Baixo</v>
      </c>
      <c r="EP183" s="17" t="str">
        <f>IF(VLOOKUP(BR183,Fundamentus!A:U,8,FALSE)&lt;0,"Risco elevado",IF(VLOOKUP(BR183,Fundamentus!A:U,8,FALSE)&lt;1,"Saudável",IF(VLOOKUP(BR183,Fundamentus!A:U,8,FALSE)&lt;3,"Estável",IF(VLOOKUP(BR183,Fundamentus!A:U,8,FALSE)&gt;3,"Alerta","n/a"))))</f>
        <v>Saudável</v>
      </c>
      <c r="EQ183" s="28" t="str">
        <f t="shared" si="167"/>
        <v>Ruim</v>
      </c>
      <c r="ER183" s="17" t="str">
        <f>IF(VLOOKUP(BR183,Fundamentus!A:U,12,FALSE)&lt;2,"Subvalorizada",IF(VLOOKUP(BR183,Fundamentus!A:U,12,FALSE)&lt;6,"Muita barata",IF(VLOOKUP(BR183,Fundamentus!A:U,12,FALSE)&lt;6,"Barata",IF(VLOOKUP(BR183,Fundamentus!A:U,12,FALSE)&lt;8,"Atrativa",IF(VLOOKUP(BR183,Fundamentus!A:U,12,FALSE)&gt;8,"Supervalorizada","n/a")))))</f>
        <v>Atrativa</v>
      </c>
      <c r="ET183" s="17" t="str">
        <f>IF(VLOOKUP(BR183,Fundamentus!A:U,17,FALSE)&lt;0.1,"Fraco retorno",IF(VLOOKUP(BR183,Fundamentus!A:U,17,FALSE)&gt;0.1,"Bom retorno","n/a"))</f>
        <v>Bom retorno</v>
      </c>
      <c r="EU183" s="17" t="str">
        <f>IF(VLOOKUP(BR183,Fundamentus!A:U,16,FALSE)&lt;0.1,"Ineficiente",IF(VLOOKUP(BR183,Fundamentus!A:U,16,FALSE)&gt;0.1,"Eficiente","n/a"))</f>
        <v>Eficiente</v>
      </c>
      <c r="EV183" s="33" t="str">
        <f>IF(VLOOKUP(BR183,Fundamentus!A:U,16,FALSE)&lt;0.1,"Oper. Ineficiente",IF(VLOOKUP(BR183,Fundamentus!A:U,16,FALSE)&gt;0.1,"Oper.Eficiente","n/a"))</f>
        <v>Oper.Eficiente</v>
      </c>
      <c r="EW183" s="34">
        <f>VLOOKUP(BR183,Fundamentus!A:U,14,FALSE)</f>
        <v>-3.1300000000000001E-2</v>
      </c>
      <c r="EX183" s="17" t="str">
        <f>IF(VLOOKUP(BR183,Fundamentus!A:U,21,FALSE)&lt;0,"Negativo",IF(VLOOKUP(BR183,Fundamentus!A:U,21,FALSE)&lt;0.05,"Fraco",IF(VLOOKUP(BR183,Fundamentus!A:U,21,FALSE)&lt;0.1,"Bom",IF(VLOOKUP(BR183,Fundamentus!A:U,21,FALSE)&gt;0.1,"Muito bom","n/a"))))</f>
        <v>Muito bom</v>
      </c>
      <c r="EZ183" s="29" t="str">
        <f>IF(VLOOKUP(BR183,Fundamentus!A:U,15,FALSE)&gt;1,"Bom",IF(VLOOKUP(BR183,Fundamentus!A:U,15,FALSE)&lt;1,"Ruim","n/a"))</f>
        <v>Bom</v>
      </c>
      <c r="FA183" s="17" t="str">
        <f>IF(VLOOKUP(BR183,Fundamentus!A:U,20,FALSE)&lt;0.5,"Baixa",IF(VLOOKUP(BR183,Fundamentus!A:U,20,FALSE)&lt;1,"Moderada",IF(VLOOKUP(BR183,Fundamentus!A:U,20,FALSE)&lt;2,"Alerta",IF(VLOOKUP(BR183,Fundamentus!A:U,20,FALSE)&gt;2,"Alta","n/a"))))</f>
        <v>Baixa</v>
      </c>
      <c r="FB183" s="10"/>
    </row>
    <row r="184" spans="1:158" s="2" customFormat="1" ht="11.25"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5">
        <v>8.11</v>
      </c>
      <c r="BC184" s="52">
        <v>9.14</v>
      </c>
      <c r="BD184" s="52">
        <v>9.08</v>
      </c>
      <c r="BE184" s="52">
        <v>9.18</v>
      </c>
      <c r="BF184" s="52">
        <v>8.93</v>
      </c>
      <c r="BG184" s="67">
        <v>9.15</v>
      </c>
      <c r="BH184" s="52">
        <v>9.06</v>
      </c>
      <c r="BI184" s="52">
        <v>9.23</v>
      </c>
      <c r="BJ184" s="52">
        <v>8.94</v>
      </c>
      <c r="BK184" s="52">
        <v>8.56</v>
      </c>
      <c r="BL184" s="52">
        <v>8.5299999999999994</v>
      </c>
      <c r="BM184" s="52">
        <v>8.49</v>
      </c>
      <c r="BN184" s="52">
        <v>8.64</v>
      </c>
      <c r="BO184" s="52">
        <v>9.75</v>
      </c>
      <c r="BP184" s="52">
        <v>9.4</v>
      </c>
      <c r="BQ184" s="52" cm="1">
        <f t="array" aca="1" ref="BQ184" ca="1">_FV(EE184,"Preço")</f>
        <v>9.4</v>
      </c>
      <c r="BR184" s="69" t="s">
        <v>67</v>
      </c>
      <c r="BS184" s="36" cm="1">
        <f t="array" aca="1" ref="BS184" ca="1">_FV(EE184,"Média de volume",TRUE)</f>
        <v>2415310</v>
      </c>
      <c r="BT184" s="36">
        <v>998800</v>
      </c>
      <c r="BU184" s="36" cm="1">
        <f t="array" aca="1" ref="BU184" ca="1">_FV(EE184,"Volume")</f>
        <v>998800</v>
      </c>
      <c r="BV184" s="24" cm="1">
        <f t="array" aca="1" ref="BV184" ca="1">_FV(EE184,"Beta")</f>
        <v>1.0226</v>
      </c>
      <c r="BW184" s="71" cm="1">
        <f t="array" aca="1" ref="BW184" ca="1">_FV(EE184,"Variação (%)",TRUE)</f>
        <v>-8.4390000000000003E-3</v>
      </c>
      <c r="BY184" s="17" cm="1">
        <f t="array" aca="1" ref="BY184" ca="1">_FV(EE184,"Baixo")</f>
        <v>9.27</v>
      </c>
      <c r="BZ184" s="17" cm="1">
        <f t="array" aca="1" ref="BZ184" ca="1">_FV(EE184,"Alto")</f>
        <v>9.5399999999999991</v>
      </c>
      <c r="CA184" s="24"/>
      <c r="CB184" s="63">
        <f ca="1">SQRT(22.5*(BQ184/VLOOKUP(BR184,Fundamentus!A:U,3,FALSE))*(BQ184/VLOOKUP(BR184,Fundamentus!A:U,4,FALSE)))</f>
        <v>6.7559300978630965</v>
      </c>
      <c r="CD184" s="62">
        <f t="shared" ca="1" si="168"/>
        <v>0</v>
      </c>
      <c r="CE184" s="8"/>
      <c r="CF184" s="61">
        <f t="shared" si="169"/>
        <v>6</v>
      </c>
      <c r="CG184" s="61">
        <f t="shared" si="170"/>
        <v>9.9600000000000009</v>
      </c>
      <c r="CH184" s="61">
        <f t="shared" si="171"/>
        <v>7.8484558823529404</v>
      </c>
      <c r="CI184" s="14"/>
      <c r="CJ184" s="35">
        <f t="shared" si="154"/>
        <v>9.0689505735917564</v>
      </c>
      <c r="CK184" s="15">
        <f t="shared" si="172"/>
        <v>10.0300000000002</v>
      </c>
      <c r="CL184" s="35">
        <f t="shared" si="155"/>
        <v>10.991049426408644</v>
      </c>
      <c r="CN184" s="14"/>
      <c r="CO184" s="17">
        <f t="shared" si="156"/>
        <v>2.9866666666666646</v>
      </c>
      <c r="CP184" s="17">
        <f t="shared" si="157"/>
        <v>4.4933333333333323</v>
      </c>
      <c r="CQ184" s="17">
        <f t="shared" si="158"/>
        <v>6.9466666666666654</v>
      </c>
      <c r="CR184" s="38">
        <f t="shared" si="173"/>
        <v>8.4533333333333331</v>
      </c>
      <c r="CS184" s="17">
        <f t="shared" si="159"/>
        <v>10.906666666666666</v>
      </c>
      <c r="CT184" s="17">
        <f t="shared" si="160"/>
        <v>12.413333333333334</v>
      </c>
      <c r="CU184" s="17">
        <f t="shared" si="161"/>
        <v>14.866666666666667</v>
      </c>
      <c r="CV184" s="2" cm="1">
        <f t="array" aca="1" ref="CV184" ca="1">MAX(_xlfn._xlws.FILTER(CO184:CU184,CO184:CU184&lt;BQ184))</f>
        <v>8.4533333333333331</v>
      </c>
      <c r="CW184" s="2" cm="1">
        <f t="array" aca="1" ref="CW184" ca="1">MIN(_xlfn._xlws.FILTER($CO184:$CU184,$CO184:$CU184&gt;BQ184))</f>
        <v>10.906666666666666</v>
      </c>
      <c r="CX184" s="16">
        <f t="shared" ca="1" si="192"/>
        <v>0.29022082018927442</v>
      </c>
      <c r="CY184" s="20">
        <f t="shared" ca="1" si="193"/>
        <v>-0.14511041009463721</v>
      </c>
      <c r="CZ184" s="20">
        <f t="shared" ca="1" si="194"/>
        <v>-9.6740273396424811E-2</v>
      </c>
      <c r="DA184" s="20">
        <f t="shared" ca="1" si="195"/>
        <v>-5.8044164037854881E-2</v>
      </c>
      <c r="DB184" s="20">
        <f t="shared" ca="1" si="196"/>
        <v>-3.224675779880827E-2</v>
      </c>
      <c r="DC184" s="20">
        <f t="shared" ca="1" si="197"/>
        <v>-1.7071812952310261E-2</v>
      </c>
      <c r="DD184" s="20">
        <f t="shared" ca="1" si="198"/>
        <v>-8.7945703087658911E-3</v>
      </c>
      <c r="DE184" s="20">
        <f t="shared" ca="1" si="199"/>
        <v>-4.4649356952196064E-3</v>
      </c>
      <c r="DF184" s="21">
        <f t="shared" ca="1" si="200"/>
        <v>4.4649356952196064E-3</v>
      </c>
      <c r="DG184" s="21">
        <f t="shared" ca="1" si="201"/>
        <v>8.7945703087658911E-3</v>
      </c>
      <c r="DH184" s="21">
        <f t="shared" ca="1" si="202"/>
        <v>1.7071812952310261E-2</v>
      </c>
      <c r="DI184" s="21">
        <f t="shared" ca="1" si="203"/>
        <v>3.224675779880827E-2</v>
      </c>
      <c r="DJ184" s="21">
        <f t="shared" ca="1" si="204"/>
        <v>5.8044164037854881E-2</v>
      </c>
      <c r="DK184" s="21">
        <f t="shared" ca="1" si="205"/>
        <v>9.6740273396424811E-2</v>
      </c>
      <c r="DL184" s="21">
        <f t="shared" ca="1" si="206"/>
        <v>0.14511041009463721</v>
      </c>
      <c r="DN184" s="16" cm="1">
        <f t="array" aca="1" ref="DN184" ca="1">MAX(_xlfn._xlws.FILTER(CY184:DL184,CY184:DL184&lt;BW184))</f>
        <v>-8.7945703087658911E-3</v>
      </c>
      <c r="DO184" s="16" cm="1">
        <f t="array" aca="1" ref="DO184" ca="1">MIN(_xlfn._xlws.FILTER(CY184:DL184,CY184:DL184&gt;BW184))</f>
        <v>-4.4649356952196064E-3</v>
      </c>
      <c r="DP184" s="2" cm="1">
        <f t="array" aca="1" ref="DP184" ca="1">_FV(EE184,"Fechamento anterior",TRUE)</f>
        <v>9.48</v>
      </c>
      <c r="DQ184" s="28">
        <f t="shared" ca="1" si="162"/>
        <v>8.2166689598221571E-2</v>
      </c>
      <c r="DR184" s="15">
        <f t="shared" ca="1" si="207"/>
        <v>9.3966274734729005</v>
      </c>
      <c r="DS184" s="15">
        <f t="shared" ca="1" si="208"/>
        <v>9.4376724096093181</v>
      </c>
      <c r="DT184" s="9"/>
      <c r="DU184" s="9"/>
      <c r="DV184" s="9"/>
      <c r="DW184" s="89">
        <v>3.9984441851419673E-2</v>
      </c>
      <c r="DX184" s="89">
        <f t="shared" ca="1" si="163"/>
        <v>4.3296346135462847E-3</v>
      </c>
      <c r="DY184" s="72">
        <f t="shared" ca="1" si="164"/>
        <v>-0.65553340201719368</v>
      </c>
      <c r="DZ184" s="37"/>
      <c r="EA184" s="35">
        <f t="shared" si="174"/>
        <v>0.48052471320422213</v>
      </c>
      <c r="EB184" s="56"/>
      <c r="EC184" s="56"/>
      <c r="EE184" s="2" t="e" vm="186">
        <v>#VALUE!</v>
      </c>
      <c r="EG184" s="10" cm="1">
        <f t="array" aca="1" ref="EG184" ca="1">_FV(EE184,"Ações em circulação",TRUE)</f>
        <v>683062200</v>
      </c>
      <c r="EH184" s="18">
        <f>VLOOKUP(BR184,Fundamentus!A:U,5,FALSE)</f>
        <v>1.3759999999999999</v>
      </c>
      <c r="EI184" s="2">
        <f t="shared" ca="1" si="165"/>
        <v>4666267936.0465117</v>
      </c>
      <c r="EJ184" s="17">
        <v>213248444.67732558</v>
      </c>
      <c r="EK184" s="17">
        <f t="shared" ca="1" si="166"/>
        <v>213248444.67732558</v>
      </c>
      <c r="EM184" s="16">
        <f t="shared" ca="1" si="153"/>
        <v>0</v>
      </c>
      <c r="EN184" s="32" t="str">
        <f>IF(VLOOKUP(BR184,Fundamentus!A:U,3,FALSE)&lt;15,"Bom",IF(VLOOKUP(BR184,Fundamentus!A:U,3,FALSE)&gt;15,"Ruim","n/a"))</f>
        <v>Ruim</v>
      </c>
      <c r="EO184" s="28" t="str">
        <f>IF(VLOOKUP(BR184,Fundamentus!A:U,4,FALSE)&lt;1,"Baixo",IF(VLOOKUP(BR184,Fundamentus!A:U,4,FALSE)&lt;1.5,"Moderado",IF(VLOOKUP(BR184,Fundamentus!A:U,4,FALSE)&gt;1.5,"Alto","n/a")))</f>
        <v>Moderado</v>
      </c>
      <c r="EP184" s="17" t="str">
        <f>IF(VLOOKUP(BR184,Fundamentus!A:U,8,FALSE)&lt;0,"Risco elevado",IF(VLOOKUP(BR184,Fundamentus!A:U,8,FALSE)&lt;1,"Saudável",IF(VLOOKUP(BR184,Fundamentus!A:U,8,FALSE)&lt;3,"Estável",IF(VLOOKUP(BR184,Fundamentus!A:U,8,FALSE)&gt;3,"Alerta","n/a"))))</f>
        <v>Alerta</v>
      </c>
      <c r="EQ184" s="28" t="str">
        <f t="shared" si="167"/>
        <v>Bom</v>
      </c>
      <c r="ER184" s="17" t="str">
        <f>IF(VLOOKUP(BR184,Fundamentus!A:U,12,FALSE)&lt;2,"Subvalorizada",IF(VLOOKUP(BR184,Fundamentus!A:U,12,FALSE)&lt;6,"Muita barata",IF(VLOOKUP(BR184,Fundamentus!A:U,12,FALSE)&lt;6,"Barata",IF(VLOOKUP(BR184,Fundamentus!A:U,12,FALSE)&lt;8,"Atrativa",IF(VLOOKUP(BR184,Fundamentus!A:U,12,FALSE)&gt;8,"Supervalorizada","n/a")))))</f>
        <v>Supervalorizada</v>
      </c>
      <c r="ET184" s="17" t="str">
        <f>IF(VLOOKUP(BR184,Fundamentus!A:U,17,FALSE)&lt;0.1,"Fraco retorno",IF(VLOOKUP(BR184,Fundamentus!A:U,17,FALSE)&gt;0.1,"Bom retorno","n/a"))</f>
        <v>Fraco retorno</v>
      </c>
      <c r="EU184" s="17" t="str">
        <f>IF(VLOOKUP(BR184,Fundamentus!A:U,16,FALSE)&lt;0.1,"Ineficiente",IF(VLOOKUP(BR184,Fundamentus!A:U,16,FALSE)&gt;0.1,"Eficiente","n/a"))</f>
        <v>Ineficiente</v>
      </c>
      <c r="EV184" s="33" t="str">
        <f>IF(VLOOKUP(BR184,Fundamentus!A:U,16,FALSE)&lt;0.1,"Oper. Ineficiente",IF(VLOOKUP(BR184,Fundamentus!A:U,16,FALSE)&gt;0.1,"Oper.Eficiente","n/a"))</f>
        <v>Oper. Ineficiente</v>
      </c>
      <c r="EW184" s="34">
        <f>VLOOKUP(BR184,Fundamentus!A:U,14,FALSE)</f>
        <v>4.5699999999999998E-2</v>
      </c>
      <c r="EX184" s="17" t="str">
        <f>IF(VLOOKUP(BR184,Fundamentus!A:U,21,FALSE)&lt;0,"Negativo",IF(VLOOKUP(BR184,Fundamentus!A:U,21,FALSE)&lt;0.05,"Fraco",IF(VLOOKUP(BR184,Fundamentus!A:U,21,FALSE)&lt;0.1,"Bom",IF(VLOOKUP(BR184,Fundamentus!A:U,21,FALSE)&gt;0.1,"Muito bom","n/a"))))</f>
        <v>Fraco</v>
      </c>
      <c r="EZ184" s="29" t="str">
        <f>IF(VLOOKUP(BR184,Fundamentus!A:U,15,FALSE)&gt;1,"Bom",IF(VLOOKUP(BR184,Fundamentus!A:U,15,FALSE)&lt;1,"Ruim","n/a"))</f>
        <v>Bom</v>
      </c>
      <c r="FA184" s="17" t="str">
        <f>IF(VLOOKUP(BR184,Fundamentus!A:U,20,FALSE)&lt;0.5,"Baixa",IF(VLOOKUP(BR184,Fundamentus!A:U,20,FALSE)&lt;1,"Moderada",IF(VLOOKUP(BR184,Fundamentus!A:U,20,FALSE)&lt;2,"Alerta",IF(VLOOKUP(BR184,Fundamentus!A:U,20,FALSE)&gt;2,"Alta","n/a"))))</f>
        <v>Baixa</v>
      </c>
      <c r="FB184" s="10"/>
    </row>
    <row r="185" spans="1:158" s="5" customFormat="1" ht="11.25"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5">
        <v>1.29</v>
      </c>
      <c r="BC185" s="52">
        <v>1.26</v>
      </c>
      <c r="BD185" s="52">
        <v>1</v>
      </c>
      <c r="BE185" s="52">
        <v>1.04</v>
      </c>
      <c r="BF185" s="52">
        <v>1.07</v>
      </c>
      <c r="BG185" s="67">
        <v>1.07</v>
      </c>
      <c r="BH185" s="52">
        <v>1.08</v>
      </c>
      <c r="BI185" s="52">
        <v>1.08</v>
      </c>
      <c r="BJ185" s="52">
        <v>1.07</v>
      </c>
      <c r="BK185" s="52">
        <v>1.04</v>
      </c>
      <c r="BL185" s="52">
        <v>1.05</v>
      </c>
      <c r="BM185" s="52">
        <v>1.03</v>
      </c>
      <c r="BN185" s="52">
        <v>1</v>
      </c>
      <c r="BO185" s="52">
        <v>1.07</v>
      </c>
      <c r="BP185" s="52">
        <v>1.01</v>
      </c>
      <c r="BQ185" s="52" cm="1">
        <f t="array" aca="1" ref="BQ185" ca="1">_FV(EE185,"Preço")</f>
        <v>1.01</v>
      </c>
      <c r="BR185" s="69" t="s">
        <v>181</v>
      </c>
      <c r="BS185" s="36" cm="1">
        <f t="array" aca="1" ref="BS185" ca="1">_FV(EE185,"Média de volume",TRUE)</f>
        <v>1206550</v>
      </c>
      <c r="BT185" s="36">
        <v>1322700</v>
      </c>
      <c r="BU185" s="36" cm="1">
        <f t="array" aca="1" ref="BU185" ca="1">_FV(EE185,"Volume")</f>
        <v>1322700</v>
      </c>
      <c r="BV185" s="24" cm="1">
        <f t="array" aca="1" ref="BV185" ca="1">_FV(EE185,"Beta")</f>
        <v>1.8258000000000001</v>
      </c>
      <c r="BW185" s="71" cm="1">
        <f t="array" aca="1" ref="BW185" ca="1">_FV(EE185,"Variação (%)",TRUE)</f>
        <v>0</v>
      </c>
      <c r="BY185" s="17" cm="1">
        <f t="array" aca="1" ref="BY185" ca="1">_FV(EE185,"Baixo")</f>
        <v>0.99</v>
      </c>
      <c r="BZ185" s="17" cm="1">
        <f t="array" aca="1" ref="BZ185" ca="1">_FV(EE185,"Alto")</f>
        <v>1.01</v>
      </c>
      <c r="CA185" s="24"/>
      <c r="CB185" s="63" t="e">
        <f ca="1">SQRT(22.5*(BQ185/VLOOKUP(BR185,Fundamentus!A:U,3,FALSE))*(BQ185/VLOOKUP(BR185,Fundamentus!A:U,4,FALSE)))</f>
        <v>#NUM!</v>
      </c>
      <c r="CD185" s="62">
        <f t="shared" ca="1" si="168"/>
        <v>0</v>
      </c>
      <c r="CE185" s="8"/>
      <c r="CF185" s="61">
        <f t="shared" si="169"/>
        <v>1</v>
      </c>
      <c r="CG185" s="61">
        <f t="shared" si="170"/>
        <v>2.1800000000000002</v>
      </c>
      <c r="CH185" s="61">
        <f t="shared" si="171"/>
        <v>1.4583088235294115</v>
      </c>
      <c r="CI185" s="14"/>
      <c r="CJ185" s="35">
        <f t="shared" si="154"/>
        <v>0.98369665238883841</v>
      </c>
      <c r="CK185" s="15">
        <f t="shared" si="172"/>
        <v>1.0299999999999994</v>
      </c>
      <c r="CL185" s="35">
        <f t="shared" si="155"/>
        <v>1.0763033476111603</v>
      </c>
      <c r="CN185" s="14"/>
      <c r="CO185" s="17">
        <f t="shared" si="156"/>
        <v>-0.56666666666666687</v>
      </c>
      <c r="CP185" s="17">
        <f t="shared" si="157"/>
        <v>0.21666666666666656</v>
      </c>
      <c r="CQ185" s="17">
        <f t="shared" si="158"/>
        <v>0.61333333333333329</v>
      </c>
      <c r="CR185" s="38">
        <f t="shared" si="173"/>
        <v>1.3966666666666667</v>
      </c>
      <c r="CS185" s="17">
        <f t="shared" si="159"/>
        <v>1.7933333333333334</v>
      </c>
      <c r="CT185" s="17">
        <f t="shared" si="160"/>
        <v>2.5766666666666671</v>
      </c>
      <c r="CU185" s="17">
        <f t="shared" si="161"/>
        <v>2.9733333333333336</v>
      </c>
      <c r="CV185" s="2" cm="1">
        <f t="array" aca="1" ref="CV185" ca="1">MAX(_xlfn._xlws.FILTER(CO185:CU185,CO185:CU185&lt;BQ185))</f>
        <v>0.61333333333333329</v>
      </c>
      <c r="CW185" s="2" cm="1">
        <f t="array" aca="1" ref="CW185" ca="1">MIN(_xlfn._xlws.FILTER($CO185:$CU185,$CO185:$CU185&gt;BQ185))</f>
        <v>1.3966666666666667</v>
      </c>
      <c r="CX185" s="16">
        <f t="shared" ca="1" si="192"/>
        <v>1.2771739130434785</v>
      </c>
      <c r="CY185" s="20">
        <f t="shared" ca="1" si="193"/>
        <v>-0.63858695652173925</v>
      </c>
      <c r="CZ185" s="20">
        <f t="shared" ca="1" si="194"/>
        <v>-0.42572463768115948</v>
      </c>
      <c r="DA185" s="20">
        <f t="shared" ca="1" si="195"/>
        <v>-0.25543478260869568</v>
      </c>
      <c r="DB185" s="20">
        <f t="shared" ca="1" si="196"/>
        <v>-0.14190821256038649</v>
      </c>
      <c r="DC185" s="20">
        <f t="shared" ca="1" si="197"/>
        <v>-7.5127877237851678E-2</v>
      </c>
      <c r="DD185" s="20">
        <f t="shared" ca="1" si="198"/>
        <v>-3.8702239789196319E-2</v>
      </c>
      <c r="DE185" s="20">
        <f t="shared" ca="1" si="199"/>
        <v>-1.9648829431438131E-2</v>
      </c>
      <c r="DF185" s="21">
        <f t="shared" ca="1" si="200"/>
        <v>1.9648829431438131E-2</v>
      </c>
      <c r="DG185" s="21">
        <f t="shared" ca="1" si="201"/>
        <v>3.8702239789196319E-2</v>
      </c>
      <c r="DH185" s="21">
        <f t="shared" ca="1" si="202"/>
        <v>7.5127877237851678E-2</v>
      </c>
      <c r="DI185" s="21">
        <f t="shared" ca="1" si="203"/>
        <v>0.14190821256038649</v>
      </c>
      <c r="DJ185" s="21">
        <f t="shared" ca="1" si="204"/>
        <v>0.25543478260869568</v>
      </c>
      <c r="DK185" s="21">
        <f t="shared" ca="1" si="205"/>
        <v>0.42572463768115948</v>
      </c>
      <c r="DL185" s="21">
        <f t="shared" ca="1" si="206"/>
        <v>0.63858695652173925</v>
      </c>
      <c r="DN185" s="16" cm="1">
        <f t="array" aca="1" ref="DN185" ca="1">MAX(_xlfn._xlws.FILTER(CY185:DL185,CY185:DL185&lt;BW185))</f>
        <v>-1.9648829431438131E-2</v>
      </c>
      <c r="DO185" s="16" cm="1">
        <f t="array" aca="1" ref="DO185" ca="1">MIN(_xlfn._xlws.FILTER(CY185:DL185,CY185:DL185&gt;BW185))</f>
        <v>1.9648829431438131E-2</v>
      </c>
      <c r="DP185" s="2" cm="1">
        <f t="array" aca="1" ref="DP185" ca="1">_FV(EE185,"Fechamento anterior",TRUE)</f>
        <v>1.01</v>
      </c>
      <c r="DQ185" s="28">
        <f t="shared" ca="1" si="162"/>
        <v>0.5</v>
      </c>
      <c r="DR185" s="15">
        <f t="shared" ca="1" si="207"/>
        <v>0.99015468227424752</v>
      </c>
      <c r="DS185" s="15">
        <f t="shared" ca="1" si="208"/>
        <v>1.0298453177257525</v>
      </c>
      <c r="DT185" s="9"/>
      <c r="DU185" s="9"/>
      <c r="DV185" s="9"/>
      <c r="DW185" s="89">
        <v>3.5949764521193105E-2</v>
      </c>
      <c r="DX185" s="89">
        <f t="shared" ca="1" si="163"/>
        <v>3.9297658862876263E-2</v>
      </c>
      <c r="DY185" s="72">
        <f t="shared" ca="1" si="164"/>
        <v>-0.43193421279066563</v>
      </c>
      <c r="DZ185" s="37"/>
      <c r="EA185" s="35">
        <f t="shared" si="174"/>
        <v>2.3151673805580471E-2</v>
      </c>
      <c r="EB185" s="56"/>
      <c r="EC185" s="56"/>
      <c r="EE185" s="5" t="e" vm="187">
        <v>#VALUE!</v>
      </c>
      <c r="EG185" s="10" cm="1">
        <f t="array" aca="1" ref="EG185" ca="1">_FV(EE185,"Ações em circulação",TRUE)</f>
        <v>820539200</v>
      </c>
      <c r="EH185" s="18">
        <f>VLOOKUP(BR185,Fundamentus!A:U,5,FALSE)</f>
        <v>0.252</v>
      </c>
      <c r="EI185" s="2">
        <f t="shared" ca="1" si="165"/>
        <v>3288669015.8730159</v>
      </c>
      <c r="EJ185" s="17">
        <v>-180219062.06984127</v>
      </c>
      <c r="EK185" s="17">
        <f t="shared" ca="1" si="166"/>
        <v>-180219062.06984127</v>
      </c>
      <c r="EL185" s="2"/>
      <c r="EM185" s="16">
        <f t="shared" ca="1" si="153"/>
        <v>0</v>
      </c>
      <c r="EN185" s="32" t="str">
        <f>IF(VLOOKUP(BR185,Fundamentus!A:U,3,FALSE)&lt;15,"Bom",IF(VLOOKUP(BR185,Fundamentus!A:U,3,FALSE)&gt;15,"Ruim","n/a"))</f>
        <v>Bom</v>
      </c>
      <c r="EO185" s="28" t="str">
        <f>IF(VLOOKUP(BR185,Fundamentus!A:U,4,FALSE)&lt;1,"Baixo",IF(VLOOKUP(BR185,Fundamentus!A:U,4,FALSE)&lt;1.5,"Moderado",IF(VLOOKUP(BR185,Fundamentus!A:U,4,FALSE)&gt;1.5,"Alto","n/a")))</f>
        <v>Baixo</v>
      </c>
      <c r="EP185" s="17" t="str">
        <f>IF(VLOOKUP(BR185,Fundamentus!A:U,8,FALSE)&lt;0,"Risco elevado",IF(VLOOKUP(BR185,Fundamentus!A:U,8,FALSE)&lt;1,"Saudável",IF(VLOOKUP(BR185,Fundamentus!A:U,8,FALSE)&lt;3,"Estável",IF(VLOOKUP(BR185,Fundamentus!A:U,8,FALSE)&gt;3,"Alerta","n/a"))))</f>
        <v>Saudável</v>
      </c>
      <c r="EQ185" s="28" t="str">
        <f t="shared" si="167"/>
        <v>Ruim</v>
      </c>
      <c r="ER185" s="17" t="str">
        <f>IF(VLOOKUP(BR185,Fundamentus!A:U,12,FALSE)&lt;2,"Subvalorizada",IF(VLOOKUP(BR185,Fundamentus!A:U,12,FALSE)&lt;6,"Muita barata",IF(VLOOKUP(BR185,Fundamentus!A:U,12,FALSE)&lt;6,"Barata",IF(VLOOKUP(BR185,Fundamentus!A:U,12,FALSE)&lt;8,"Atrativa",IF(VLOOKUP(BR185,Fundamentus!A:U,12,FALSE)&gt;8,"Supervalorizada","n/a")))))</f>
        <v>Subvalorizada</v>
      </c>
      <c r="ES185" s="2"/>
      <c r="ET185" s="17" t="str">
        <f>IF(VLOOKUP(BR185,Fundamentus!A:U,17,FALSE)&lt;0.1,"Fraco retorno",IF(VLOOKUP(BR185,Fundamentus!A:U,17,FALSE)&gt;0.1,"Bom retorno","n/a"))</f>
        <v>Fraco retorno</v>
      </c>
      <c r="EU185" s="17" t="str">
        <f>IF(VLOOKUP(BR185,Fundamentus!A:U,16,FALSE)&lt;0.1,"Ineficiente",IF(VLOOKUP(BR185,Fundamentus!A:U,16,FALSE)&gt;0.1,"Eficiente","n/a"))</f>
        <v>Ineficiente</v>
      </c>
      <c r="EV185" s="33" t="str">
        <f>IF(VLOOKUP(BR185,Fundamentus!A:U,16,FALSE)&lt;0.1,"Oper. Ineficiente",IF(VLOOKUP(BR185,Fundamentus!A:U,16,FALSE)&gt;0.1,"Oper.Eficiente","n/a"))</f>
        <v>Oper. Ineficiente</v>
      </c>
      <c r="EW185" s="34">
        <f>VLOOKUP(BR185,Fundamentus!A:U,14,FALSE)</f>
        <v>-5.4800000000000001E-2</v>
      </c>
      <c r="EX185" s="17" t="str">
        <f>IF(VLOOKUP(BR185,Fundamentus!A:U,21,FALSE)&lt;0,"Negativo",IF(VLOOKUP(BR185,Fundamentus!A:U,21,FALSE)&lt;0.05,"Fraco",IF(VLOOKUP(BR185,Fundamentus!A:U,21,FALSE)&lt;0.1,"Bom",IF(VLOOKUP(BR185,Fundamentus!A:U,21,FALSE)&gt;0.1,"Muito bom","n/a"))))</f>
        <v>Negativo</v>
      </c>
      <c r="EZ185" s="29" t="str">
        <f>IF(VLOOKUP(BR185,Fundamentus!A:U,15,FALSE)&gt;1,"Bom",IF(VLOOKUP(BR185,Fundamentus!A:U,15,FALSE)&lt;1,"Ruim","n/a"))</f>
        <v>Bom</v>
      </c>
      <c r="FA185" s="17" t="str">
        <f>IF(VLOOKUP(BR185,Fundamentus!A:U,20,FALSE)&lt;0.5,"Baixa",IF(VLOOKUP(BR185,Fundamentus!A:U,20,FALSE)&lt;1,"Moderada",IF(VLOOKUP(BR185,Fundamentus!A:U,20,FALSE)&lt;2,"Alerta",IF(VLOOKUP(BR185,Fundamentus!A:U,20,FALSE)&gt;2,"Alta","n/a"))))</f>
        <v>Baixa</v>
      </c>
      <c r="FB185" s="10"/>
    </row>
    <row r="186" spans="1:158" s="2" customFormat="1" ht="11.25"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5">
        <v>13.75</v>
      </c>
      <c r="BC186" s="52">
        <v>15.28</v>
      </c>
      <c r="BD186" s="52">
        <v>17.989999999999998</v>
      </c>
      <c r="BE186" s="52">
        <v>18.79</v>
      </c>
      <c r="BF186" s="52">
        <v>18.8</v>
      </c>
      <c r="BG186" s="67">
        <v>18.399999999999999</v>
      </c>
      <c r="BH186" s="52">
        <v>18.39</v>
      </c>
      <c r="BI186" s="52">
        <v>18.7</v>
      </c>
      <c r="BJ186" s="52">
        <v>18.760000000000002</v>
      </c>
      <c r="BK186" s="52">
        <v>17.170000000000002</v>
      </c>
      <c r="BL186" s="52">
        <v>17.18</v>
      </c>
      <c r="BM186" s="52">
        <v>17.2</v>
      </c>
      <c r="BN186" s="52">
        <v>17.399999999999999</v>
      </c>
      <c r="BO186" s="52">
        <v>17.68</v>
      </c>
      <c r="BP186" s="52">
        <v>17.600000000000001</v>
      </c>
      <c r="BQ186" s="52" cm="1">
        <f t="array" aca="1" ref="BQ186" ca="1">_FV(EE186,"Preço")</f>
        <v>17.600000000000001</v>
      </c>
      <c r="BR186" s="69" t="s">
        <v>11</v>
      </c>
      <c r="BS186" s="36" cm="1">
        <f t="array" aca="1" ref="BS186" ca="1">_FV(EE186,"Média de volume",TRUE)</f>
        <v>34920</v>
      </c>
      <c r="BT186" s="36">
        <v>20100</v>
      </c>
      <c r="BU186" s="36" cm="1">
        <f t="array" aca="1" ref="BU186" ca="1">_FV(EE186,"Volume")</f>
        <v>20100</v>
      </c>
      <c r="BV186" s="24" cm="1">
        <f t="array" aca="1" ref="BV186" ca="1">_FV(EE186,"Beta")</f>
        <v>1.0212000000000001</v>
      </c>
      <c r="BW186" s="71" cm="1">
        <f t="array" aca="1" ref="BW186" ca="1">_FV(EE186,"Variação (%)",TRUE)</f>
        <v>1.4409E-2</v>
      </c>
      <c r="BY186" s="17" cm="1">
        <f t="array" aca="1" ref="BY186" ca="1">_FV(EE186,"Baixo")</f>
        <v>17.350000000000001</v>
      </c>
      <c r="BZ186" s="17" cm="1">
        <f t="array" aca="1" ref="BZ186" ca="1">_FV(EE186,"Alto")</f>
        <v>17.600000000000001</v>
      </c>
      <c r="CA186" s="24"/>
      <c r="CB186" s="17">
        <f ca="1">SQRT(22.5*(BQ186/VLOOKUP(BR186,Fundamentus!A:U,3,FALSE))*(BQ186/VLOOKUP(BR186,Fundamentus!A:U,4,FALSE)))</f>
        <v>42.016062929229207</v>
      </c>
      <c r="CD186" s="62">
        <f t="shared" ca="1" si="168"/>
        <v>0</v>
      </c>
      <c r="CE186" s="8"/>
      <c r="CF186" s="61">
        <f t="shared" si="169"/>
        <v>12.1</v>
      </c>
      <c r="CG186" s="61">
        <f t="shared" si="170"/>
        <v>18.8</v>
      </c>
      <c r="CH186" s="61">
        <f t="shared" si="171"/>
        <v>14.917426470588232</v>
      </c>
      <c r="CI186" s="14"/>
      <c r="CJ186" s="35">
        <f t="shared" si="154"/>
        <v>17.447755178491832</v>
      </c>
      <c r="CK186" s="15">
        <f t="shared" si="172"/>
        <v>17.840000000000032</v>
      </c>
      <c r="CL186" s="35">
        <f t="shared" si="155"/>
        <v>18.232244821508232</v>
      </c>
      <c r="CN186" s="14"/>
      <c r="CO186" s="17">
        <f t="shared" si="156"/>
        <v>6.8333333333333339</v>
      </c>
      <c r="CP186" s="17">
        <f t="shared" si="157"/>
        <v>9.4666666666666668</v>
      </c>
      <c r="CQ186" s="17">
        <f t="shared" si="158"/>
        <v>13.533333333333335</v>
      </c>
      <c r="CR186" s="38">
        <f t="shared" si="173"/>
        <v>16.166666666666668</v>
      </c>
      <c r="CS186" s="17">
        <f t="shared" si="159"/>
        <v>20.233333333333334</v>
      </c>
      <c r="CT186" s="17">
        <f t="shared" si="160"/>
        <v>22.866666666666667</v>
      </c>
      <c r="CU186" s="17">
        <f t="shared" si="161"/>
        <v>26.933333333333337</v>
      </c>
      <c r="CV186" s="2" cm="1">
        <f t="array" aca="1" ref="CV186" ca="1">MAX(_xlfn._xlws.FILTER(CO186:CU186,CO186:CU186&lt;BQ186))</f>
        <v>16.166666666666668</v>
      </c>
      <c r="CW186" s="2" cm="1">
        <f t="array" aca="1" ref="CW186" ca="1">MIN(_xlfn._xlws.FILTER($CO186:$CU186,$CO186:$CU186&gt;BQ186))</f>
        <v>20.233333333333334</v>
      </c>
      <c r="CX186" s="16">
        <f t="shared" ca="1" si="192"/>
        <v>0.25154639175257731</v>
      </c>
      <c r="CY186" s="20">
        <f t="shared" ca="1" si="193"/>
        <v>-0.12577319587628866</v>
      </c>
      <c r="CZ186" s="20">
        <f t="shared" ca="1" si="194"/>
        <v>-8.38487972508591E-2</v>
      </c>
      <c r="DA186" s="20">
        <f t="shared" ca="1" si="195"/>
        <v>-5.0309278350515463E-2</v>
      </c>
      <c r="DB186" s="20">
        <f t="shared" ca="1" si="196"/>
        <v>-2.79495990836197E-2</v>
      </c>
      <c r="DC186" s="20">
        <f t="shared" ca="1" si="197"/>
        <v>-1.4796846573681018E-2</v>
      </c>
      <c r="DD186" s="20">
        <f t="shared" ca="1" si="198"/>
        <v>-7.6226179318962823E-3</v>
      </c>
      <c r="DE186" s="20">
        <f t="shared" ca="1" si="199"/>
        <v>-3.8699444885011893E-3</v>
      </c>
      <c r="DF186" s="21">
        <f t="shared" ca="1" si="200"/>
        <v>3.8699444885011893E-3</v>
      </c>
      <c r="DG186" s="21">
        <f t="shared" ca="1" si="201"/>
        <v>7.6226179318962823E-3</v>
      </c>
      <c r="DH186" s="21">
        <f t="shared" ca="1" si="202"/>
        <v>1.4796846573681018E-2</v>
      </c>
      <c r="DI186" s="21">
        <f t="shared" ca="1" si="203"/>
        <v>2.79495990836197E-2</v>
      </c>
      <c r="DJ186" s="21">
        <f t="shared" ca="1" si="204"/>
        <v>5.0309278350515463E-2</v>
      </c>
      <c r="DK186" s="21">
        <f t="shared" ca="1" si="205"/>
        <v>8.38487972508591E-2</v>
      </c>
      <c r="DL186" s="21">
        <f t="shared" ca="1" si="206"/>
        <v>0.12577319587628866</v>
      </c>
      <c r="DN186" s="16" cm="1">
        <f t="array" aca="1" ref="DN186" ca="1">MAX(_xlfn._xlws.FILTER(CY186:DL186,CY186:DL186&lt;BW186))</f>
        <v>7.6226179318962823E-3</v>
      </c>
      <c r="DO186" s="16" cm="1">
        <f t="array" aca="1" ref="DO186" ca="1">MIN(_xlfn._xlws.FILTER(CY186:DL186,CY186:DL186&gt;BW186))</f>
        <v>1.4796846573681018E-2</v>
      </c>
      <c r="DP186" s="2" cm="1">
        <f t="array" aca="1" ref="DP186" ca="1">_FV(EE186,"Fechamento anterior",TRUE)</f>
        <v>17.350000000000001</v>
      </c>
      <c r="DQ186" s="28">
        <f t="shared" ca="1" si="162"/>
        <v>0.94596984693153185</v>
      </c>
      <c r="DR186" s="15">
        <f t="shared" ca="1" si="207"/>
        <v>17.482252421118403</v>
      </c>
      <c r="DS186" s="15">
        <f t="shared" ca="1" si="208"/>
        <v>17.606725288053369</v>
      </c>
      <c r="DT186" s="9"/>
      <c r="DU186" s="9"/>
      <c r="DV186" s="9"/>
      <c r="DW186" s="89">
        <v>7.7778129651328446E-3</v>
      </c>
      <c r="DX186" s="89">
        <f t="shared" ca="1" si="163"/>
        <v>7.174228641784736E-3</v>
      </c>
      <c r="DY186" s="75">
        <f t="shared" ca="1" si="164"/>
        <v>-0.61186276233608139</v>
      </c>
      <c r="DZ186" s="37"/>
      <c r="EA186" s="35">
        <f t="shared" si="174"/>
        <v>0.19612241075409986</v>
      </c>
      <c r="EB186" s="56"/>
      <c r="EC186" s="56"/>
      <c r="EE186" s="2" t="e" vm="188">
        <v>#VALUE!</v>
      </c>
      <c r="EG186" s="10" cm="1">
        <f t="array" aca="1" ref="EG186" ca="1">_FV(EE186,"Ações em circulação",TRUE)</f>
        <v>92619260</v>
      </c>
      <c r="EH186" s="18">
        <f>VLOOKUP(BR186,Fundamentus!A:U,5,FALSE)</f>
        <v>0.53500000000000003</v>
      </c>
      <c r="EI186" s="2">
        <f t="shared" ca="1" si="165"/>
        <v>3046913973.8317761</v>
      </c>
      <c r="EJ186" s="17">
        <v>247714106.07252339</v>
      </c>
      <c r="EK186" s="17">
        <f t="shared" ca="1" si="166"/>
        <v>247714106.07252339</v>
      </c>
      <c r="EM186" s="16">
        <f t="shared" ca="1" si="153"/>
        <v>0</v>
      </c>
      <c r="EN186" s="32" t="str">
        <f>IF(VLOOKUP(BR186,Fundamentus!A:U,3,FALSE)&lt;15,"Bom",IF(VLOOKUP(BR186,Fundamentus!A:U,3,FALSE)&gt;15,"Ruim","n/a"))</f>
        <v>Bom</v>
      </c>
      <c r="EO186" s="28" t="str">
        <f>IF(VLOOKUP(BR186,Fundamentus!A:U,4,FALSE)&lt;1,"Baixo",IF(VLOOKUP(BR186,Fundamentus!A:U,4,FALSE)&lt;1.5,"Moderado",IF(VLOOKUP(BR186,Fundamentus!A:U,4,FALSE)&gt;1.5,"Alto","n/a")))</f>
        <v>Baixo</v>
      </c>
      <c r="EP186" s="17" t="str">
        <f>IF(VLOOKUP(BR186,Fundamentus!A:U,8,FALSE)&lt;0,"Risco elevado",IF(VLOOKUP(BR186,Fundamentus!A:U,8,FALSE)&lt;1,"Saudável",IF(VLOOKUP(BR186,Fundamentus!A:U,8,FALSE)&lt;3,"Estável",IF(VLOOKUP(BR186,Fundamentus!A:U,8,FALSE)&gt;3,"Alerta","n/a"))))</f>
        <v>Estável</v>
      </c>
      <c r="EQ186" s="28" t="str">
        <f t="shared" si="167"/>
        <v>Ruim</v>
      </c>
      <c r="ER186" s="17" t="str">
        <f>IF(VLOOKUP(BR186,Fundamentus!A:U,12,FALSE)&lt;2,"Subvalorizada",IF(VLOOKUP(BR186,Fundamentus!A:U,12,FALSE)&lt;6,"Muita barata",IF(VLOOKUP(BR186,Fundamentus!A:U,12,FALSE)&lt;6,"Barata",IF(VLOOKUP(BR186,Fundamentus!A:U,12,FALSE)&lt;8,"Atrativa",IF(VLOOKUP(BR186,Fundamentus!A:U,12,FALSE)&gt;8,"Supervalorizada","n/a")))))</f>
        <v>Muita barata</v>
      </c>
      <c r="ET186" s="17" t="str">
        <f>IF(VLOOKUP(BR186,Fundamentus!A:U,17,FALSE)&lt;0.1,"Fraco retorno",IF(VLOOKUP(BR186,Fundamentus!A:U,17,FALSE)&gt;0.1,"Bom retorno","n/a"))</f>
        <v>Fraco retorno</v>
      </c>
      <c r="EU186" s="17" t="str">
        <f>IF(VLOOKUP(BR186,Fundamentus!A:U,16,FALSE)&lt;0.1,"Ineficiente",IF(VLOOKUP(BR186,Fundamentus!A:U,16,FALSE)&gt;0.1,"Eficiente","n/a"))</f>
        <v>Eficiente</v>
      </c>
      <c r="EV186" s="33" t="str">
        <f>IF(VLOOKUP(BR186,Fundamentus!A:U,16,FALSE)&lt;0.1,"Oper. Ineficiente",IF(VLOOKUP(BR186,Fundamentus!A:U,16,FALSE)&gt;0.1,"Oper.Eficiente","n/a"))</f>
        <v>Oper.Eficiente</v>
      </c>
      <c r="EW186" s="34">
        <f>VLOOKUP(BR186,Fundamentus!A:U,14,FALSE)</f>
        <v>8.1299999999999997E-2</v>
      </c>
      <c r="EX186" s="17" t="str">
        <f>IF(VLOOKUP(BR186,Fundamentus!A:U,21,FALSE)&lt;0,"Negativo",IF(VLOOKUP(BR186,Fundamentus!A:U,21,FALSE)&lt;0.05,"Fraco",IF(VLOOKUP(BR186,Fundamentus!A:U,21,FALSE)&lt;0.1,"Bom",IF(VLOOKUP(BR186,Fundamentus!A:U,21,FALSE)&gt;0.1,"Muito bom","n/a"))))</f>
        <v>Bom</v>
      </c>
      <c r="EZ186" s="29" t="str">
        <f>IF(VLOOKUP(BR186,Fundamentus!A:U,15,FALSE)&gt;1,"Bom",IF(VLOOKUP(BR186,Fundamentus!A:U,15,FALSE)&lt;1,"Ruim","n/a"))</f>
        <v>Bom</v>
      </c>
      <c r="FA186" s="17" t="str">
        <f>IF(VLOOKUP(BR186,Fundamentus!A:U,20,FALSE)&lt;0.5,"Baixa",IF(VLOOKUP(BR186,Fundamentus!A:U,20,FALSE)&lt;1,"Moderada",IF(VLOOKUP(BR186,Fundamentus!A:U,20,FALSE)&lt;2,"Alerta",IF(VLOOKUP(BR186,Fundamentus!A:U,20,FALSE)&gt;2,"Alta","n/a"))))</f>
        <v>Baixa</v>
      </c>
      <c r="FB186" s="10">
        <v>1</v>
      </c>
    </row>
    <row r="187" spans="1:158" s="2" customFormat="1" ht="11.25"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5">
        <v>14.25</v>
      </c>
      <c r="BC187" s="52">
        <v>14.77</v>
      </c>
      <c r="BD187" s="52">
        <v>14.39</v>
      </c>
      <c r="BE187" s="52">
        <v>13.95</v>
      </c>
      <c r="BF187" s="52">
        <v>13.57</v>
      </c>
      <c r="BG187" s="67">
        <v>13.05</v>
      </c>
      <c r="BH187" s="52">
        <v>13.62</v>
      </c>
      <c r="BI187" s="52">
        <v>14.12</v>
      </c>
      <c r="BJ187" s="52">
        <v>14.71</v>
      </c>
      <c r="BK187" s="52">
        <v>13.71</v>
      </c>
      <c r="BL187" s="52">
        <v>12.97</v>
      </c>
      <c r="BM187" s="52">
        <v>13.07</v>
      </c>
      <c r="BN187" s="52">
        <v>12.59</v>
      </c>
      <c r="BO187" s="52">
        <v>12.85</v>
      </c>
      <c r="BP187" s="52">
        <v>13.15</v>
      </c>
      <c r="BQ187" s="52" cm="1">
        <f t="array" aca="1" ref="BQ187" ca="1">_FV(EE187,"Preço")</f>
        <v>13.15</v>
      </c>
      <c r="BR187" s="69" t="s">
        <v>183</v>
      </c>
      <c r="BS187" s="36" cm="1">
        <f t="array" aca="1" ref="BS187" ca="1">_FV(EE187,"Média de volume",TRUE)</f>
        <v>27917670</v>
      </c>
      <c r="BT187" s="36">
        <v>25138200</v>
      </c>
      <c r="BU187" s="36" cm="1">
        <f t="array" aca="1" ref="BU187" ca="1">_FV(EE187,"Volume")</f>
        <v>25138200</v>
      </c>
      <c r="BV187" s="24" cm="1">
        <f t="array" aca="1" ref="BV187" ca="1">_FV(EE187,"Beta")</f>
        <v>1.5078</v>
      </c>
      <c r="BW187" s="71" cm="1">
        <f t="array" aca="1" ref="BW187" ca="1">_FV(EE187,"Variação (%)",TRUE)</f>
        <v>2.3345999999999999E-2</v>
      </c>
      <c r="BY187" s="17" cm="1">
        <f t="array" aca="1" ref="BY187" ca="1">_FV(EE187,"Baixo")</f>
        <v>12.77</v>
      </c>
      <c r="BZ187" s="17" cm="1">
        <f t="array" aca="1" ref="BZ187" ca="1">_FV(EE187,"Alto")</f>
        <v>13.16</v>
      </c>
      <c r="CA187" s="24"/>
      <c r="CB187" s="63">
        <f ca="1">SQRT(22.5*(BQ187/VLOOKUP(BR187,Fundamentus!A:U,3,FALSE))*(BQ187/VLOOKUP(BR187,Fundamentus!A:U,4,FALSE)))</f>
        <v>8.3446522681601341</v>
      </c>
      <c r="CD187" s="62">
        <f t="shared" ca="1" si="168"/>
        <v>0</v>
      </c>
      <c r="CE187" s="8"/>
      <c r="CF187" s="61">
        <f t="shared" si="169"/>
        <v>9.26</v>
      </c>
      <c r="CG187" s="61">
        <f t="shared" si="170"/>
        <v>14.77</v>
      </c>
      <c r="CH187" s="61">
        <f t="shared" si="171"/>
        <v>11.692058823529415</v>
      </c>
      <c r="CI187" s="14"/>
      <c r="CJ187" s="35">
        <f t="shared" si="154"/>
        <v>12.295269176144849</v>
      </c>
      <c r="CK187" s="15">
        <f t="shared" si="172"/>
        <v>13.04000000000002</v>
      </c>
      <c r="CL187" s="35">
        <f t="shared" si="155"/>
        <v>13.784730823855192</v>
      </c>
      <c r="CN187" s="14"/>
      <c r="CO187" s="17">
        <f t="shared" si="156"/>
        <v>4.5066666666666659</v>
      </c>
      <c r="CP187" s="17">
        <f t="shared" si="157"/>
        <v>6.8833333333333329</v>
      </c>
      <c r="CQ187" s="17">
        <f t="shared" si="158"/>
        <v>10.016666666666666</v>
      </c>
      <c r="CR187" s="38">
        <f t="shared" si="173"/>
        <v>12.393333333333333</v>
      </c>
      <c r="CS187" s="17">
        <f t="shared" si="159"/>
        <v>15.526666666666666</v>
      </c>
      <c r="CT187" s="17">
        <f t="shared" si="160"/>
        <v>17.903333333333332</v>
      </c>
      <c r="CU187" s="17">
        <f t="shared" si="161"/>
        <v>21.036666666666665</v>
      </c>
      <c r="CV187" s="2" cm="1">
        <f t="array" aca="1" ref="CV187" ca="1">MAX(_xlfn._xlws.FILTER(CO187:CU187,CO187:CU187&lt;BQ187))</f>
        <v>12.393333333333333</v>
      </c>
      <c r="CW187" s="2" cm="1">
        <f t="array" aca="1" ref="CW187" ca="1">MIN(_xlfn._xlws.FILTER($CO187:$CU187,$CO187:$CU187&gt;BQ187))</f>
        <v>15.526666666666666</v>
      </c>
      <c r="CX187" s="16">
        <f t="shared" ref="CX187:CX205" ca="1" si="209">(CW187/CV187)-1</f>
        <v>0.25282409897794511</v>
      </c>
      <c r="CY187" s="20">
        <f t="shared" ref="CY187:CY205" ca="1" si="210">-$CX187/2</f>
        <v>-0.12641204948897256</v>
      </c>
      <c r="CZ187" s="20">
        <f t="shared" ref="CZ187:CZ205" ca="1" si="211">-$CX187/3</f>
        <v>-8.4274699659315042E-2</v>
      </c>
      <c r="DA187" s="20">
        <f t="shared" ref="DA187:DA205" ca="1" si="212">-$CX187/5</f>
        <v>-5.0564819795589022E-2</v>
      </c>
      <c r="DB187" s="20">
        <f t="shared" ref="DB187:DB205" ca="1" si="213">-$CX187/9</f>
        <v>-2.8091566553105012E-2</v>
      </c>
      <c r="DC187" s="20">
        <f t="shared" ref="DC187:DC205" ca="1" si="214">-$CX187/17</f>
        <v>-1.4872005822232066E-2</v>
      </c>
      <c r="DD187" s="20">
        <f t="shared" ref="DD187:DD205" ca="1" si="215">-$CX187/33</f>
        <v>-7.6613363326650035E-3</v>
      </c>
      <c r="DE187" s="20">
        <f t="shared" ref="DE187:DE205" ca="1" si="216">-$CX187/65</f>
        <v>-3.889601522737617E-3</v>
      </c>
      <c r="DF187" s="21">
        <f t="shared" ref="DF187:DF205" ca="1" si="217">-$CX187/65*-1</f>
        <v>3.889601522737617E-3</v>
      </c>
      <c r="DG187" s="21">
        <f t="shared" ref="DG187:DG205" ca="1" si="218">-$CX187/33*-1</f>
        <v>7.6613363326650035E-3</v>
      </c>
      <c r="DH187" s="21">
        <f t="shared" ref="DH187:DH205" ca="1" si="219">-$CX187/17*-1</f>
        <v>1.4872005822232066E-2</v>
      </c>
      <c r="DI187" s="21">
        <f t="shared" ref="DI187:DI205" ca="1" si="220">-$CX187/9*-1</f>
        <v>2.8091566553105012E-2</v>
      </c>
      <c r="DJ187" s="21">
        <f t="shared" ref="DJ187:DJ205" ca="1" si="221">-$CX187/5*-1</f>
        <v>5.0564819795589022E-2</v>
      </c>
      <c r="DK187" s="21">
        <f t="shared" ref="DK187:DK205" ca="1" si="222">-$CX187/3*-1</f>
        <v>8.4274699659315042E-2</v>
      </c>
      <c r="DL187" s="21">
        <f t="shared" ref="DL187:DL205" ca="1" si="223">-$CX187/2*-1</f>
        <v>0.12641204948897256</v>
      </c>
      <c r="DN187" s="16" cm="1">
        <f t="array" aca="1" ref="DN187" ca="1">MAX(_xlfn._xlws.FILTER(CY187:DL187,CY187:DL187&lt;BW187))</f>
        <v>1.4872005822232066E-2</v>
      </c>
      <c r="DO187" s="16" cm="1">
        <f t="array" aca="1" ref="DO187" ca="1">MIN(_xlfn._xlws.FILTER(CY187:DL187,CY187:DL187&gt;BW187))</f>
        <v>2.8091566553105012E-2</v>
      </c>
      <c r="DP187" s="2" cm="1">
        <f t="array" aca="1" ref="DP187" ca="1">_FV(EE187,"Fechamento anterior",TRUE)</f>
        <v>12.85</v>
      </c>
      <c r="DQ187" s="28">
        <f t="shared" ca="1" si="162"/>
        <v>0.64104230482656144</v>
      </c>
      <c r="DR187" s="15">
        <f t="shared" ref="DR187:DR205" ca="1" si="224">DP187+(DP187*DN187)</f>
        <v>13.041105274815681</v>
      </c>
      <c r="DS187" s="15">
        <f t="shared" ref="DS187:DS205" ca="1" si="225">DP187+(DP187*DO187)</f>
        <v>13.2109766302074</v>
      </c>
      <c r="DT187" s="9"/>
      <c r="DU187" s="9"/>
      <c r="DV187" s="9"/>
      <c r="DW187" s="89">
        <v>3.6810622493919677E-3</v>
      </c>
      <c r="DX187" s="89">
        <f t="shared" ca="1" si="163"/>
        <v>1.3219560730872945E-2</v>
      </c>
      <c r="DY187" s="72">
        <f t="shared" ca="1" si="164"/>
        <v>0.14770437381731324</v>
      </c>
      <c r="DZ187" s="37"/>
      <c r="EA187" s="35">
        <f t="shared" si="174"/>
        <v>0.37236541192758527</v>
      </c>
      <c r="EB187" s="56"/>
      <c r="EC187" s="56"/>
      <c r="EE187" s="2" t="e" vm="189">
        <v>#VALUE!</v>
      </c>
      <c r="EG187" s="10" cm="1">
        <f t="array" aca="1" ref="EG187" ca="1">_FV(EE187,"Ações em circulação",TRUE)</f>
        <v>5426500000</v>
      </c>
      <c r="EH187" s="18">
        <f>VLOOKUP(BR187,Fundamentus!A:U,5,FALSE)</f>
        <v>6.5519999999999996</v>
      </c>
      <c r="EI187" s="2">
        <f t="shared" ca="1" si="165"/>
        <v>10891098137.973139</v>
      </c>
      <c r="EJ187" s="17">
        <v>4788815851.2667885</v>
      </c>
      <c r="EK187" s="17">
        <f t="shared" ca="1" si="166"/>
        <v>4788815851.2667885</v>
      </c>
      <c r="EM187" s="16">
        <f t="shared" ca="1" si="153"/>
        <v>0</v>
      </c>
      <c r="EN187" s="32" t="str">
        <f>IF(VLOOKUP(BR187,Fundamentus!A:U,3,FALSE)&lt;15,"Bom",IF(VLOOKUP(BR187,Fundamentus!A:U,3,FALSE)&gt;15,"Ruim","n/a"))</f>
        <v>Bom</v>
      </c>
      <c r="EO187" s="28" t="str">
        <f>IF(VLOOKUP(BR187,Fundamentus!A:U,4,FALSE)&lt;1,"Baixo",IF(VLOOKUP(BR187,Fundamentus!A:U,4,FALSE)&lt;1.5,"Moderado",IF(VLOOKUP(BR187,Fundamentus!A:U,4,FALSE)&gt;1.5,"Alto","n/a")))</f>
        <v>Alto</v>
      </c>
      <c r="EP187" s="17" t="str">
        <f>IF(VLOOKUP(BR187,Fundamentus!A:U,8,FALSE)&lt;0,"Risco elevado",IF(VLOOKUP(BR187,Fundamentus!A:U,8,FALSE)&lt;1,"Saudável",IF(VLOOKUP(BR187,Fundamentus!A:U,8,FALSE)&lt;3,"Estável",IF(VLOOKUP(BR187,Fundamentus!A:U,8,FALSE)&gt;3,"Alerta","n/a"))))</f>
        <v>Alerta</v>
      </c>
      <c r="EQ187" s="28" t="str">
        <f t="shared" si="167"/>
        <v>Bom</v>
      </c>
      <c r="ER187" s="17" t="str">
        <f>IF(VLOOKUP(BR187,Fundamentus!A:U,12,FALSE)&lt;2,"Subvalorizada",IF(VLOOKUP(BR187,Fundamentus!A:U,12,FALSE)&lt;6,"Muita barata",IF(VLOOKUP(BR187,Fundamentus!A:U,12,FALSE)&lt;6,"Barata",IF(VLOOKUP(BR187,Fundamentus!A:U,12,FALSE)&lt;8,"Atrativa",IF(VLOOKUP(BR187,Fundamentus!A:U,12,FALSE)&gt;8,"Supervalorizada","n/a")))))</f>
        <v>Supervalorizada</v>
      </c>
      <c r="ET187" s="17" t="str">
        <f>IF(VLOOKUP(BR187,Fundamentus!A:U,17,FALSE)&lt;0.1,"Fraco retorno",IF(VLOOKUP(BR187,Fundamentus!A:U,17,FALSE)&gt;0.1,"Bom retorno","n/a"))</f>
        <v>Bom retorno</v>
      </c>
      <c r="EU187" s="17" t="str">
        <f>IF(VLOOKUP(BR187,Fundamentus!A:U,16,FALSE)&lt;0.1,"Ineficiente",IF(VLOOKUP(BR187,Fundamentus!A:U,16,FALSE)&gt;0.1,"Eficiente","n/a"))</f>
        <v>Eficiente</v>
      </c>
      <c r="EV187" s="33" t="str">
        <f>IF(VLOOKUP(BR187,Fundamentus!A:U,16,FALSE)&lt;0.1,"Oper. Ineficiente",IF(VLOOKUP(BR187,Fundamentus!A:U,16,FALSE)&gt;0.1,"Oper.Eficiente","n/a"))</f>
        <v>Oper.Eficiente</v>
      </c>
      <c r="EW187" s="34">
        <f>VLOOKUP(BR187,Fundamentus!A:U,14,FALSE)</f>
        <v>0.43969999999999998</v>
      </c>
      <c r="EX187" s="17" t="str">
        <f>IF(VLOOKUP(BR187,Fundamentus!A:U,21,FALSE)&lt;0,"Negativo",IF(VLOOKUP(BR187,Fundamentus!A:U,21,FALSE)&lt;0.05,"Fraco",IF(VLOOKUP(BR187,Fundamentus!A:U,21,FALSE)&lt;0.1,"Bom",IF(VLOOKUP(BR187,Fundamentus!A:U,21,FALSE)&gt;0.1,"Muito bom","n/a"))))</f>
        <v>Fraco</v>
      </c>
      <c r="EZ187" s="29" t="str">
        <f>IF(VLOOKUP(BR187,Fundamentus!A:U,15,FALSE)&gt;1,"Bom",IF(VLOOKUP(BR187,Fundamentus!A:U,15,FALSE)&lt;1,"Ruim","n/a"))</f>
        <v>Bom</v>
      </c>
      <c r="FA187" s="17" t="str">
        <f>IF(VLOOKUP(BR187,Fundamentus!A:U,20,FALSE)&lt;0.5,"Baixa",IF(VLOOKUP(BR187,Fundamentus!A:U,20,FALSE)&lt;1,"Moderada",IF(VLOOKUP(BR187,Fundamentus!A:U,20,FALSE)&lt;2,"Alerta",IF(VLOOKUP(BR187,Fundamentus!A:U,20,FALSE)&gt;2,"Alta","n/a"))))</f>
        <v>Moderada</v>
      </c>
      <c r="FB187" s="10"/>
    </row>
    <row r="188" spans="1:158" s="2" customFormat="1" ht="11.25"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5">
        <v>8.8699999999999992</v>
      </c>
      <c r="BC188" s="52">
        <v>8.8699999999999992</v>
      </c>
      <c r="BD188" s="52">
        <v>8.8699999999999992</v>
      </c>
      <c r="BE188" s="52">
        <v>8.8699999999999992</v>
      </c>
      <c r="BF188" s="52">
        <v>8.8699999999999992</v>
      </c>
      <c r="BG188" s="67">
        <v>8.8699999999999992</v>
      </c>
      <c r="BH188" s="52">
        <v>8.8699999999999992</v>
      </c>
      <c r="BI188" s="52">
        <v>8.8699999999999992</v>
      </c>
      <c r="BJ188" s="52">
        <v>8.8699999999999992</v>
      </c>
      <c r="BK188" s="52">
        <v>8.8699999999999992</v>
      </c>
      <c r="BL188" s="52">
        <v>8.8699999999999992</v>
      </c>
      <c r="BM188" s="52">
        <v>8.8699999999999992</v>
      </c>
      <c r="BN188" s="52">
        <v>8.8699999999999992</v>
      </c>
      <c r="BO188" s="52">
        <v>8.8699999999999992</v>
      </c>
      <c r="BP188" s="52">
        <v>8.8699999999999992</v>
      </c>
      <c r="BQ188" s="52" cm="1">
        <f t="array" aca="1" ref="BQ188" ca="1">_FV(EE188,"Preço")</f>
        <v>8.8699999999999992</v>
      </c>
      <c r="BR188" s="69" t="s">
        <v>184</v>
      </c>
      <c r="BS188" s="36" t="e" cm="1" vm="3">
        <f t="array" ref="BS188">_FV(EE188,"Média de volume",TRUE)</f>
        <v>#VALUE!</v>
      </c>
      <c r="BT188" s="36">
        <v>20000</v>
      </c>
      <c r="BU188" s="36" cm="1">
        <f t="array" aca="1" ref="BU188" ca="1">_FV(EE188,"Volume")</f>
        <v>20000</v>
      </c>
      <c r="BV188" s="24" cm="1">
        <f t="array" aca="1" ref="BV188" ca="1">_FV(EE188,"Beta")</f>
        <v>0.82779999999999998</v>
      </c>
      <c r="BW188" s="71" cm="1">
        <f t="array" aca="1" ref="BW188" ca="1">_FV(EE188,"Variação (%)",TRUE)</f>
        <v>0</v>
      </c>
      <c r="BY188" s="17" cm="1">
        <f t="array" aca="1" ref="BY188" ca="1">_FV(EE188,"Baixo")</f>
        <v>8.8699999999999992</v>
      </c>
      <c r="BZ188" s="17" cm="1">
        <f t="array" aca="1" ref="BZ188" ca="1">_FV(EE188,"Alto")</f>
        <v>8.8800000000000008</v>
      </c>
      <c r="CA188" s="24"/>
      <c r="CB188" s="63" t="e">
        <f ca="1">SQRT(22.5*(BQ188/VLOOKUP(BR188,Fundamentus!A:U,3,FALSE))*(BQ188/VLOOKUP(BR188,Fundamentus!A:U,4,FALSE)))</f>
        <v>#N/A</v>
      </c>
      <c r="CD188" s="62">
        <f t="shared" ca="1" si="168"/>
        <v>0</v>
      </c>
      <c r="CE188" s="8"/>
      <c r="CF188" s="61">
        <f t="shared" si="169"/>
        <v>0.46</v>
      </c>
      <c r="CG188" s="61">
        <f t="shared" si="170"/>
        <v>8.8800000000000008</v>
      </c>
      <c r="CH188" s="61">
        <f t="shared" si="171"/>
        <v>5.5683823529411782</v>
      </c>
      <c r="CI188" s="14"/>
      <c r="CJ188" s="35">
        <f t="shared" si="154"/>
        <v>8.8699999999999992</v>
      </c>
      <c r="CK188" s="15">
        <f t="shared" si="172"/>
        <v>8.8699999999999992</v>
      </c>
      <c r="CL188" s="35">
        <f t="shared" si="155"/>
        <v>8.8699999999999992</v>
      </c>
      <c r="CN188" s="14"/>
      <c r="CO188" s="17">
        <f t="shared" si="156"/>
        <v>-5.160000000000001</v>
      </c>
      <c r="CP188" s="17">
        <f t="shared" si="157"/>
        <v>-2.3499999999999996</v>
      </c>
      <c r="CQ188" s="17">
        <f t="shared" si="158"/>
        <v>3.26</v>
      </c>
      <c r="CR188" s="38">
        <f t="shared" si="173"/>
        <v>6.07</v>
      </c>
      <c r="CS188" s="17">
        <f t="shared" si="159"/>
        <v>11.68</v>
      </c>
      <c r="CT188" s="17">
        <f t="shared" si="160"/>
        <v>14.49</v>
      </c>
      <c r="CU188" s="17">
        <f t="shared" si="161"/>
        <v>20.100000000000001</v>
      </c>
      <c r="CV188" s="2" cm="1">
        <f t="array" aca="1" ref="CV188" ca="1">MAX(_xlfn._xlws.FILTER(CO188:CU188,CO188:CU188&lt;BQ188))</f>
        <v>6.07</v>
      </c>
      <c r="CW188" s="2" cm="1">
        <f t="array" aca="1" ref="CW188" ca="1">MIN(_xlfn._xlws.FILTER($CO188:$CU188,$CO188:$CU188&gt;BQ188))</f>
        <v>11.68</v>
      </c>
      <c r="CX188" s="16">
        <f t="shared" ca="1" si="209"/>
        <v>0.92421746293245466</v>
      </c>
      <c r="CY188" s="20">
        <f t="shared" ca="1" si="210"/>
        <v>-0.46210873146622733</v>
      </c>
      <c r="CZ188" s="20">
        <f t="shared" ca="1" si="211"/>
        <v>-0.30807248764415157</v>
      </c>
      <c r="DA188" s="20">
        <f t="shared" ca="1" si="212"/>
        <v>-0.18484349258649094</v>
      </c>
      <c r="DB188" s="20">
        <f t="shared" ca="1" si="213"/>
        <v>-0.10269082921471719</v>
      </c>
      <c r="DC188" s="20">
        <f t="shared" ca="1" si="214"/>
        <v>-5.4365733113673806E-2</v>
      </c>
      <c r="DD188" s="20">
        <f t="shared" ca="1" si="215"/>
        <v>-2.800658978583196E-2</v>
      </c>
      <c r="DE188" s="20">
        <f t="shared" ca="1" si="216"/>
        <v>-1.4218730198960841E-2</v>
      </c>
      <c r="DF188" s="21">
        <f t="shared" ca="1" si="217"/>
        <v>1.4218730198960841E-2</v>
      </c>
      <c r="DG188" s="21">
        <f t="shared" ca="1" si="218"/>
        <v>2.800658978583196E-2</v>
      </c>
      <c r="DH188" s="21">
        <f t="shared" ca="1" si="219"/>
        <v>5.4365733113673806E-2</v>
      </c>
      <c r="DI188" s="21">
        <f t="shared" ca="1" si="220"/>
        <v>0.10269082921471719</v>
      </c>
      <c r="DJ188" s="21">
        <f t="shared" ca="1" si="221"/>
        <v>0.18484349258649094</v>
      </c>
      <c r="DK188" s="21">
        <f t="shared" ca="1" si="222"/>
        <v>0.30807248764415157</v>
      </c>
      <c r="DL188" s="21">
        <f t="shared" ca="1" si="223"/>
        <v>0.46210873146622733</v>
      </c>
      <c r="DN188" s="16" cm="1">
        <f t="array" aca="1" ref="DN188" ca="1">MAX(_xlfn._xlws.FILTER(CY188:DL188,CY188:DL188&lt;BW188))</f>
        <v>-1.4218730198960841E-2</v>
      </c>
      <c r="DO188" s="16" cm="1">
        <f t="array" aca="1" ref="DO188" ca="1">MIN(_xlfn._xlws.FILTER(CY188:DL188,CY188:DL188&gt;BW188))</f>
        <v>1.4218730198960841E-2</v>
      </c>
      <c r="DP188" s="2" cm="1">
        <f t="array" aca="1" ref="DP188" ca="1">_FV(EE188,"Fechamento anterior",TRUE)</f>
        <v>8.8800000000000008</v>
      </c>
      <c r="DQ188" s="28">
        <f t="shared" ca="1" si="162"/>
        <v>0.46039990525284019</v>
      </c>
      <c r="DR188" s="15">
        <f t="shared" ca="1" si="224"/>
        <v>8.7537376758332286</v>
      </c>
      <c r="DS188" s="15">
        <f t="shared" ca="1" si="225"/>
        <v>9.006262324166773</v>
      </c>
      <c r="DT188" s="9"/>
      <c r="DU188" s="9"/>
      <c r="DV188" s="9"/>
      <c r="DW188" s="89">
        <v>2.8437460397921683E-2</v>
      </c>
      <c r="DX188" s="89">
        <f t="shared" ca="1" si="163"/>
        <v>2.8437460397921683E-2</v>
      </c>
      <c r="DY188" s="72" t="e">
        <f t="shared" ca="1" si="164"/>
        <v>#DIV/0!</v>
      </c>
      <c r="DZ188" s="37"/>
      <c r="EA188" s="35">
        <f t="shared" si="174"/>
        <v>0</v>
      </c>
      <c r="EB188" s="56"/>
      <c r="EC188" s="56"/>
      <c r="EE188" s="2" t="e" vm="190">
        <v>#VALUE!</v>
      </c>
      <c r="EG188" s="10" cm="1">
        <f t="array" aca="1" ref="EG188" ca="1">_FV(EE188,"Ações em circulação",TRUE)</f>
        <v>77334810</v>
      </c>
      <c r="EH188" s="18" t="e">
        <f>VLOOKUP(BR188,Fundamentus!A:U,5,FALSE)</f>
        <v>#N/A</v>
      </c>
      <c r="EI188" s="2" t="e">
        <f t="shared" ca="1" si="165"/>
        <v>#N/A</v>
      </c>
      <c r="EJ188" s="17" t="e">
        <v>#N/A</v>
      </c>
      <c r="EK188" s="17" t="e">
        <f t="shared" ca="1" si="166"/>
        <v>#N/A</v>
      </c>
      <c r="EM188" s="16" t="e">
        <f t="shared" ca="1" si="153"/>
        <v>#N/A</v>
      </c>
      <c r="EN188" s="32" t="e">
        <f>IF(VLOOKUP(BR188,Fundamentus!A:U,3,FALSE)&lt;15,"Bom",IF(VLOOKUP(BR188,Fundamentus!A:U,3,FALSE)&gt;15,"Ruim","n/a"))</f>
        <v>#N/A</v>
      </c>
      <c r="EO188" s="28" t="e">
        <f>IF(VLOOKUP(BR188,Fundamentus!A:U,4,FALSE)&lt;1,"Baixo",IF(VLOOKUP(BR188,Fundamentus!A:U,4,FALSE)&lt;1.5,"Moderado",IF(VLOOKUP(BR188,Fundamentus!A:U,4,FALSE)&gt;1.5,"Alto","n/a")))</f>
        <v>#N/A</v>
      </c>
      <c r="EP188" s="17" t="e">
        <f>IF(VLOOKUP(BR188,Fundamentus!A:U,8,FALSE)&lt;0,"Risco elevado",IF(VLOOKUP(BR188,Fundamentus!A:U,8,FALSE)&lt;1,"Saudável",IF(VLOOKUP(BR188,Fundamentus!A:U,8,FALSE)&lt;3,"Estável",IF(VLOOKUP(BR188,Fundamentus!A:U,8,FALSE)&gt;3,"Alerta","n/a"))))</f>
        <v>#N/A</v>
      </c>
      <c r="EQ188" s="28" t="e">
        <f t="shared" si="167"/>
        <v>#N/A</v>
      </c>
      <c r="ER188" s="17" t="e">
        <f>IF(VLOOKUP(BR188,Fundamentus!A:U,12,FALSE)&lt;2,"Subvalorizada",IF(VLOOKUP(BR188,Fundamentus!A:U,12,FALSE)&lt;6,"Muita barata",IF(VLOOKUP(BR188,Fundamentus!A:U,12,FALSE)&lt;6,"Barata",IF(VLOOKUP(BR188,Fundamentus!A:U,12,FALSE)&lt;8,"Atrativa",IF(VLOOKUP(BR188,Fundamentus!A:U,12,FALSE)&gt;8,"Supervalorizada","n/a")))))</f>
        <v>#N/A</v>
      </c>
      <c r="ET188" s="17" t="e">
        <f>IF(VLOOKUP(BR188,Fundamentus!A:U,17,FALSE)&lt;0.1,"Fraco retorno",IF(VLOOKUP(BR188,Fundamentus!A:U,17,FALSE)&gt;0.1,"Bom retorno","n/a"))</f>
        <v>#N/A</v>
      </c>
      <c r="EU188" s="17" t="e">
        <f>IF(VLOOKUP(BR188,Fundamentus!A:U,16,FALSE)&lt;0.1,"Ineficiente",IF(VLOOKUP(BR188,Fundamentus!A:U,16,FALSE)&gt;0.1,"Eficiente","n/a"))</f>
        <v>#N/A</v>
      </c>
      <c r="EV188" s="33" t="e">
        <f>IF(VLOOKUP(BR188,Fundamentus!A:U,16,FALSE)&lt;0.1,"Oper. Ineficiente",IF(VLOOKUP(BR188,Fundamentus!A:U,16,FALSE)&gt;0.1,"Oper.Eficiente","n/a"))</f>
        <v>#N/A</v>
      </c>
      <c r="EW188" s="34" t="e">
        <f>VLOOKUP(BR188,Fundamentus!A:U,14,FALSE)</f>
        <v>#N/A</v>
      </c>
      <c r="EX188" s="17" t="e">
        <f>IF(VLOOKUP(BR188,Fundamentus!A:U,21,FALSE)&lt;0,"Negativo",IF(VLOOKUP(BR188,Fundamentus!A:U,21,FALSE)&lt;0.05,"Fraco",IF(VLOOKUP(BR188,Fundamentus!A:U,21,FALSE)&lt;0.1,"Bom",IF(VLOOKUP(BR188,Fundamentus!A:U,21,FALSE)&gt;0.1,"Muito bom","n/a"))))</f>
        <v>#N/A</v>
      </c>
      <c r="EZ188" s="29" t="e">
        <f>IF(VLOOKUP(BR188,Fundamentus!A:U,15,FALSE)&gt;1,"Bom",IF(VLOOKUP(BR188,Fundamentus!A:U,15,FALSE)&lt;1,"Ruim","n/a"))</f>
        <v>#N/A</v>
      </c>
      <c r="FA188" s="17" t="e">
        <f>IF(VLOOKUP(BR188,Fundamentus!A:U,20,FALSE)&lt;0.5,"Baixa",IF(VLOOKUP(BR188,Fundamentus!A:U,20,FALSE)&lt;1,"Moderada",IF(VLOOKUP(BR188,Fundamentus!A:U,20,FALSE)&lt;2,"Alerta",IF(VLOOKUP(BR188,Fundamentus!A:U,20,FALSE)&gt;2,"Alta","n/a"))))</f>
        <v>#N/A</v>
      </c>
      <c r="FB188" s="10"/>
    </row>
    <row r="189" spans="1:158" s="2" customFormat="1" ht="11.25"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5">
        <v>1.64</v>
      </c>
      <c r="BC189" s="52">
        <v>1.62</v>
      </c>
      <c r="BD189" s="52">
        <v>1.59</v>
      </c>
      <c r="BE189" s="52">
        <v>1.68</v>
      </c>
      <c r="BF189" s="52">
        <v>1.57</v>
      </c>
      <c r="BG189" s="67">
        <v>1.59</v>
      </c>
      <c r="BH189" s="52">
        <v>1.59</v>
      </c>
      <c r="BI189" s="52">
        <v>1.58</v>
      </c>
      <c r="BJ189" s="52">
        <v>1.58</v>
      </c>
      <c r="BK189" s="52">
        <v>1.57</v>
      </c>
      <c r="BL189" s="52">
        <v>1.48</v>
      </c>
      <c r="BM189" s="52">
        <v>1.4</v>
      </c>
      <c r="BN189" s="52">
        <v>1.36</v>
      </c>
      <c r="BO189" s="52">
        <v>1.41</v>
      </c>
      <c r="BP189" s="52">
        <v>1.33</v>
      </c>
      <c r="BQ189" s="52" cm="1">
        <f t="array" aca="1" ref="BQ189" ca="1">_FV(EE189,"Preço")</f>
        <v>1.33</v>
      </c>
      <c r="BR189" s="69" t="s">
        <v>185</v>
      </c>
      <c r="BS189" s="36" cm="1">
        <f t="array" aca="1" ref="BS189" ca="1">_FV(EE189,"Média de volume",TRUE)</f>
        <v>4360</v>
      </c>
      <c r="BT189" s="36">
        <v>14600</v>
      </c>
      <c r="BU189" s="36" cm="1">
        <f t="array" aca="1" ref="BU189" ca="1">_FV(EE189,"Volume")</f>
        <v>14600</v>
      </c>
      <c r="BV189" s="24" cm="1">
        <f t="array" aca="1" ref="BV189" ca="1">_FV(EE189,"Beta")</f>
        <v>0.91320000000000001</v>
      </c>
      <c r="BW189" s="71" cm="1">
        <f t="array" aca="1" ref="BW189" ca="1">_FV(EE189,"Variação (%)",TRUE)</f>
        <v>-7.463E-3</v>
      </c>
      <c r="BY189" s="17" cm="1">
        <f t="array" aca="1" ref="BY189" ca="1">_FV(EE189,"Baixo")</f>
        <v>1.31</v>
      </c>
      <c r="BZ189" s="17" cm="1">
        <f t="array" aca="1" ref="BZ189" ca="1">_FV(EE189,"Alto")</f>
        <v>1.35</v>
      </c>
      <c r="CA189" s="24"/>
      <c r="CB189" s="63">
        <f ca="1">SQRT(22.5*(BQ189/VLOOKUP(BR189,Fundamentus!A:U,3,FALSE))*(BQ189/VLOOKUP(BR189,Fundamentus!A:U,4,FALSE)))</f>
        <v>0.1435381814188896</v>
      </c>
      <c r="CD189" s="62">
        <f t="shared" ca="1" si="168"/>
        <v>0</v>
      </c>
      <c r="CE189" s="8"/>
      <c r="CF189" s="61">
        <f t="shared" si="169"/>
        <v>1.33</v>
      </c>
      <c r="CG189" s="61">
        <f t="shared" si="170"/>
        <v>2.84</v>
      </c>
      <c r="CH189" s="61">
        <f t="shared" si="171"/>
        <v>1.9493382352941182</v>
      </c>
      <c r="CI189" s="14"/>
      <c r="CJ189" s="35">
        <f t="shared" si="154"/>
        <v>1.1871622510993831</v>
      </c>
      <c r="CK189" s="15">
        <f t="shared" si="172"/>
        <v>1.3349999999999937</v>
      </c>
      <c r="CL189" s="35">
        <f t="shared" si="155"/>
        <v>1.4828377489006044</v>
      </c>
      <c r="CN189" s="14"/>
      <c r="CO189" s="17">
        <f t="shared" si="156"/>
        <v>-0.68333333333333313</v>
      </c>
      <c r="CP189" s="17">
        <f t="shared" si="157"/>
        <v>0.32333333333333347</v>
      </c>
      <c r="CQ189" s="17">
        <f t="shared" si="158"/>
        <v>0.82666666666666666</v>
      </c>
      <c r="CR189" s="38">
        <f t="shared" si="173"/>
        <v>1.8333333333333333</v>
      </c>
      <c r="CS189" s="17">
        <f t="shared" si="159"/>
        <v>2.3366666666666664</v>
      </c>
      <c r="CT189" s="17">
        <f t="shared" si="160"/>
        <v>3.3433333333333328</v>
      </c>
      <c r="CU189" s="17">
        <f t="shared" si="161"/>
        <v>3.8466666666666662</v>
      </c>
      <c r="CV189" s="2" cm="1">
        <f t="array" aca="1" ref="CV189" ca="1">MAX(_xlfn._xlws.FILTER(CO189:CU189,CO189:CU189&lt;BQ189))</f>
        <v>0.82666666666666666</v>
      </c>
      <c r="CW189" s="2" cm="1">
        <f t="array" aca="1" ref="CW189" ca="1">MIN(_xlfn._xlws.FILTER($CO189:$CU189,$CO189:$CU189&gt;BQ189))</f>
        <v>1.8333333333333333</v>
      </c>
      <c r="CX189" s="16">
        <f t="shared" ca="1" si="209"/>
        <v>1.217741935483871</v>
      </c>
      <c r="CY189" s="20">
        <f t="shared" ca="1" si="210"/>
        <v>-0.6088709677419355</v>
      </c>
      <c r="CZ189" s="20">
        <f t="shared" ca="1" si="211"/>
        <v>-0.40591397849462368</v>
      </c>
      <c r="DA189" s="20">
        <f t="shared" ca="1" si="212"/>
        <v>-0.2435483870967742</v>
      </c>
      <c r="DB189" s="20">
        <f t="shared" ca="1" si="213"/>
        <v>-0.13530465949820789</v>
      </c>
      <c r="DC189" s="20">
        <f t="shared" ca="1" si="214"/>
        <v>-7.163187855787477E-2</v>
      </c>
      <c r="DD189" s="20">
        <f t="shared" ca="1" si="215"/>
        <v>-3.6901270772238516E-2</v>
      </c>
      <c r="DE189" s="20">
        <f t="shared" ca="1" si="216"/>
        <v>-1.8734491315136478E-2</v>
      </c>
      <c r="DF189" s="21">
        <f t="shared" ca="1" si="217"/>
        <v>1.8734491315136478E-2</v>
      </c>
      <c r="DG189" s="21">
        <f t="shared" ca="1" si="218"/>
        <v>3.6901270772238516E-2</v>
      </c>
      <c r="DH189" s="21">
        <f t="shared" ca="1" si="219"/>
        <v>7.163187855787477E-2</v>
      </c>
      <c r="DI189" s="21">
        <f t="shared" ca="1" si="220"/>
        <v>0.13530465949820789</v>
      </c>
      <c r="DJ189" s="21">
        <f t="shared" ca="1" si="221"/>
        <v>0.2435483870967742</v>
      </c>
      <c r="DK189" s="21">
        <f t="shared" ca="1" si="222"/>
        <v>0.40591397849462368</v>
      </c>
      <c r="DL189" s="21">
        <f t="shared" ca="1" si="223"/>
        <v>0.6088709677419355</v>
      </c>
      <c r="DN189" s="16" cm="1">
        <f t="array" aca="1" ref="DN189" ca="1">MAX(_xlfn._xlws.FILTER(CY189:DL189,CY189:DL189&lt;BW189))</f>
        <v>-1.8734491315136478E-2</v>
      </c>
      <c r="DO189" s="16" cm="1">
        <f t="array" aca="1" ref="DO189" ca="1">MIN(_xlfn._xlws.FILTER(CY189:DL189,CY189:DL189&gt;BW189))</f>
        <v>1.8734491315136478E-2</v>
      </c>
      <c r="DP189" s="2" cm="1">
        <f t="array" aca="1" ref="DP189" ca="1">_FV(EE189,"Fechamento anterior",TRUE)</f>
        <v>1.34</v>
      </c>
      <c r="DQ189" s="28">
        <f t="shared" ca="1" si="162"/>
        <v>0.30083028565780401</v>
      </c>
      <c r="DR189" s="15">
        <f t="shared" ca="1" si="224"/>
        <v>1.3148957816377171</v>
      </c>
      <c r="DS189" s="15">
        <f t="shared" ca="1" si="225"/>
        <v>1.365104218362283</v>
      </c>
      <c r="DT189" s="9"/>
      <c r="DU189" s="9"/>
      <c r="DV189" s="9"/>
      <c r="DW189" s="89">
        <v>3.0738760150524833E-2</v>
      </c>
      <c r="DX189" s="89">
        <f t="shared" ca="1" si="163"/>
        <v>3.7468982630272957E-2</v>
      </c>
      <c r="DY189" s="72">
        <f t="shared" ca="1" si="164"/>
        <v>-3.3820861296766022E-2</v>
      </c>
      <c r="DZ189" s="37"/>
      <c r="EA189" s="35">
        <f t="shared" si="174"/>
        <v>7.391887445030533E-2</v>
      </c>
      <c r="EB189" s="56"/>
      <c r="EC189" s="56"/>
      <c r="EE189" s="2" t="e" vm="191">
        <v>#VALUE!</v>
      </c>
      <c r="EG189" s="10" cm="1">
        <f t="array" aca="1" ref="EG189" ca="1">_FV(EE189,"Ações em circulação",TRUE)</f>
        <v>260509800</v>
      </c>
      <c r="EH189" s="18">
        <f>VLOOKUP(BR189,Fundamentus!A:U,5,FALSE)</f>
        <v>0.23699999999999999</v>
      </c>
      <c r="EI189" s="2">
        <f t="shared" ca="1" si="165"/>
        <v>1461932632.9113925</v>
      </c>
      <c r="EJ189" s="17">
        <v>69149413.536708862</v>
      </c>
      <c r="EK189" s="17">
        <f t="shared" ca="1" si="166"/>
        <v>69149413.536708862</v>
      </c>
      <c r="EM189" s="16">
        <f t="shared" ca="1" si="153"/>
        <v>0</v>
      </c>
      <c r="EN189" s="32" t="str">
        <f>IF(VLOOKUP(BR189,Fundamentus!A:U,3,FALSE)&lt;15,"Bom",IF(VLOOKUP(BR189,Fundamentus!A:U,3,FALSE)&gt;15,"Ruim","n/a"))</f>
        <v>Bom</v>
      </c>
      <c r="EO189" s="28" t="str">
        <f>IF(VLOOKUP(BR189,Fundamentus!A:U,4,FALSE)&lt;1,"Baixo",IF(VLOOKUP(BR189,Fundamentus!A:U,4,FALSE)&lt;1.5,"Moderado",IF(VLOOKUP(BR189,Fundamentus!A:U,4,FALSE)&gt;1.5,"Alto","n/a")))</f>
        <v>Alto</v>
      </c>
      <c r="EP189" s="17" t="str">
        <f>IF(VLOOKUP(BR189,Fundamentus!A:U,8,FALSE)&lt;0,"Risco elevado",IF(VLOOKUP(BR189,Fundamentus!A:U,8,FALSE)&lt;1,"Saudável",IF(VLOOKUP(BR189,Fundamentus!A:U,8,FALSE)&lt;3,"Estável",IF(VLOOKUP(BR189,Fundamentus!A:U,8,FALSE)&gt;3,"Alerta","n/a"))))</f>
        <v>Risco elevado</v>
      </c>
      <c r="EQ189" s="28" t="str">
        <f t="shared" si="167"/>
        <v>Ruim</v>
      </c>
      <c r="ER189" s="17" t="str">
        <f>IF(VLOOKUP(BR189,Fundamentus!A:U,12,FALSE)&lt;2,"Subvalorizada",IF(VLOOKUP(BR189,Fundamentus!A:U,12,FALSE)&lt;6,"Muita barata",IF(VLOOKUP(BR189,Fundamentus!A:U,12,FALSE)&lt;6,"Barata",IF(VLOOKUP(BR189,Fundamentus!A:U,12,FALSE)&lt;8,"Atrativa",IF(VLOOKUP(BR189,Fundamentus!A:U,12,FALSE)&gt;8,"Supervalorizada","n/a")))))</f>
        <v>Muita barata</v>
      </c>
      <c r="ET189" s="17" t="str">
        <f>IF(VLOOKUP(BR189,Fundamentus!A:U,17,FALSE)&lt;0.1,"Fraco retorno",IF(VLOOKUP(BR189,Fundamentus!A:U,17,FALSE)&gt;0.1,"Bom retorno","n/a"))</f>
        <v>Bom retorno</v>
      </c>
      <c r="EU189" s="17" t="str">
        <f>IF(VLOOKUP(BR189,Fundamentus!A:U,16,FALSE)&lt;0.1,"Ineficiente",IF(VLOOKUP(BR189,Fundamentus!A:U,16,FALSE)&gt;0.1,"Eficiente","n/a"))</f>
        <v>Eficiente</v>
      </c>
      <c r="EV189" s="33" t="str">
        <f>IF(VLOOKUP(BR189,Fundamentus!A:U,16,FALSE)&lt;0.1,"Oper. Ineficiente",IF(VLOOKUP(BR189,Fundamentus!A:U,16,FALSE)&gt;0.1,"Oper.Eficiente","n/a"))</f>
        <v>Oper.Eficiente</v>
      </c>
      <c r="EW189" s="34">
        <f>VLOOKUP(BR189,Fundamentus!A:U,14,FALSE)</f>
        <v>4.7300000000000002E-2</v>
      </c>
      <c r="EX189" s="17" t="str">
        <f>IF(VLOOKUP(BR189,Fundamentus!A:U,21,FALSE)&lt;0,"Negativo",IF(VLOOKUP(BR189,Fundamentus!A:U,21,FALSE)&lt;0.05,"Fraco",IF(VLOOKUP(BR189,Fundamentus!A:U,21,FALSE)&lt;0.1,"Bom",IF(VLOOKUP(BR189,Fundamentus!A:U,21,FALSE)&gt;0.1,"Muito bom","n/a"))))</f>
        <v>Muito bom</v>
      </c>
      <c r="EZ189" s="29" t="str">
        <f>IF(VLOOKUP(BR189,Fundamentus!A:U,15,FALSE)&gt;1,"Bom",IF(VLOOKUP(BR189,Fundamentus!A:U,15,FALSE)&lt;1,"Ruim","n/a"))</f>
        <v>Ruim</v>
      </c>
      <c r="FA189" s="17" t="str">
        <f>IF(VLOOKUP(BR189,Fundamentus!A:U,20,FALSE)&lt;0.5,"Baixa",IF(VLOOKUP(BR189,Fundamentus!A:U,20,FALSE)&lt;1,"Moderada",IF(VLOOKUP(BR189,Fundamentus!A:U,20,FALSE)&lt;2,"Alerta",IF(VLOOKUP(BR189,Fundamentus!A:U,20,FALSE)&gt;2,"Alta","n/a"))))</f>
        <v>Alta</v>
      </c>
      <c r="FB189" s="10"/>
    </row>
    <row r="190" spans="1:158" s="2" customFormat="1" ht="11.25"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5">
        <v>4.54</v>
      </c>
      <c r="BC190" s="52">
        <v>4.54</v>
      </c>
      <c r="BD190" s="52">
        <v>4.37</v>
      </c>
      <c r="BE190" s="52">
        <v>4.29</v>
      </c>
      <c r="BF190" s="52">
        <v>4.08</v>
      </c>
      <c r="BG190" s="67">
        <v>4.03</v>
      </c>
      <c r="BH190" s="52">
        <v>4.01</v>
      </c>
      <c r="BI190" s="52">
        <v>4.01</v>
      </c>
      <c r="BJ190" s="52">
        <v>4.07</v>
      </c>
      <c r="BK190" s="52">
        <v>3.91</v>
      </c>
      <c r="BL190" s="52">
        <v>3.75</v>
      </c>
      <c r="BM190" s="52">
        <v>3.7</v>
      </c>
      <c r="BN190" s="52">
        <v>3.91</v>
      </c>
      <c r="BO190" s="52">
        <v>4.4400000000000004</v>
      </c>
      <c r="BP190" s="52">
        <v>4.1900000000000004</v>
      </c>
      <c r="BQ190" s="52" cm="1">
        <f t="array" aca="1" ref="BQ190" ca="1">_FV(EE190,"Preço")</f>
        <v>4.1900000000000004</v>
      </c>
      <c r="BR190" s="69" t="s">
        <v>186</v>
      </c>
      <c r="BS190" s="36" cm="1">
        <f t="array" aca="1" ref="BS190" ca="1">_FV(EE190,"Média de volume",TRUE)</f>
        <v>168180</v>
      </c>
      <c r="BT190" s="36">
        <v>51000</v>
      </c>
      <c r="BU190" s="36" cm="1">
        <f t="array" aca="1" ref="BU190" ca="1">_FV(EE190,"Volume")</f>
        <v>51000</v>
      </c>
      <c r="BV190" s="24" cm="1">
        <f t="array" aca="1" ref="BV190" ca="1">_FV(EE190,"Beta")</f>
        <v>1.8624000000000001</v>
      </c>
      <c r="BW190" s="71" cm="1">
        <f t="array" aca="1" ref="BW190" ca="1">_FV(EE190,"Variação (%)",TRUE)</f>
        <v>0</v>
      </c>
      <c r="BY190" s="17" cm="1">
        <f t="array" aca="1" ref="BY190" ca="1">_FV(EE190,"Baixo")</f>
        <v>4.0999999999999996</v>
      </c>
      <c r="BZ190" s="17" cm="1">
        <f t="array" aca="1" ref="BZ190" ca="1">_FV(EE190,"Alto")</f>
        <v>4.25</v>
      </c>
      <c r="CA190" s="24"/>
      <c r="CB190" s="63">
        <f ca="1">SQRT(22.5*(BQ190/VLOOKUP(BR190,Fundamentus!A:U,3,FALSE))*(BQ190/VLOOKUP(BR190,Fundamentus!A:U,4,FALSE)))</f>
        <v>12.864898540086729</v>
      </c>
      <c r="CD190" s="62">
        <f t="shared" ca="1" si="168"/>
        <v>0</v>
      </c>
      <c r="CE190" s="8"/>
      <c r="CF190" s="61">
        <f t="shared" si="169"/>
        <v>3.7</v>
      </c>
      <c r="CG190" s="61">
        <f t="shared" si="170"/>
        <v>7.15</v>
      </c>
      <c r="CH190" s="61">
        <f t="shared" si="171"/>
        <v>5.2664705882352951</v>
      </c>
      <c r="CI190" s="14"/>
      <c r="CJ190" s="35">
        <f t="shared" si="154"/>
        <v>4.0342776398135065</v>
      </c>
      <c r="CK190" s="15">
        <f t="shared" si="172"/>
        <v>4.5599999999999454</v>
      </c>
      <c r="CL190" s="35">
        <f t="shared" si="155"/>
        <v>5.0857223601863843</v>
      </c>
      <c r="CN190" s="14"/>
      <c r="CO190" s="17">
        <f t="shared" si="156"/>
        <v>-0.57333333333333147</v>
      </c>
      <c r="CP190" s="17">
        <f t="shared" si="157"/>
        <v>1.5633333333333344</v>
      </c>
      <c r="CQ190" s="17">
        <f t="shared" si="158"/>
        <v>2.8766666666666687</v>
      </c>
      <c r="CR190" s="38">
        <f t="shared" si="173"/>
        <v>5.0133333333333345</v>
      </c>
      <c r="CS190" s="17">
        <f t="shared" si="159"/>
        <v>6.3266666666666689</v>
      </c>
      <c r="CT190" s="17">
        <f t="shared" si="160"/>
        <v>8.4633333333333347</v>
      </c>
      <c r="CU190" s="17">
        <f t="shared" si="161"/>
        <v>9.7766666666666691</v>
      </c>
      <c r="CV190" s="2" cm="1">
        <f t="array" aca="1" ref="CV190" ca="1">MAX(_xlfn._xlws.FILTER(CO190:CU190,CO190:CU190&lt;BQ190))</f>
        <v>2.8766666666666687</v>
      </c>
      <c r="CW190" s="2" cm="1">
        <f t="array" aca="1" ref="CW190" ca="1">MIN(_xlfn._xlws.FILTER($CO190:$CU190,$CO190:$CU190&gt;BQ190))</f>
        <v>5.0133333333333345</v>
      </c>
      <c r="CX190" s="16">
        <f t="shared" ca="1" si="209"/>
        <v>0.74275782155272219</v>
      </c>
      <c r="CY190" s="20">
        <f t="shared" ca="1" si="210"/>
        <v>-0.37137891077636109</v>
      </c>
      <c r="CZ190" s="20">
        <f t="shared" ca="1" si="211"/>
        <v>-0.24758594051757407</v>
      </c>
      <c r="DA190" s="20">
        <f t="shared" ca="1" si="212"/>
        <v>-0.14855156431054445</v>
      </c>
      <c r="DB190" s="20">
        <f t="shared" ca="1" si="213"/>
        <v>-8.2528646839191352E-2</v>
      </c>
      <c r="DC190" s="20">
        <f t="shared" ca="1" si="214"/>
        <v>-4.3691636561924832E-2</v>
      </c>
      <c r="DD190" s="20">
        <f t="shared" ca="1" si="215"/>
        <v>-2.2507812774324915E-2</v>
      </c>
      <c r="DE190" s="20">
        <f t="shared" ca="1" si="216"/>
        <v>-1.1427043408503418E-2</v>
      </c>
      <c r="DF190" s="21">
        <f t="shared" ca="1" si="217"/>
        <v>1.1427043408503418E-2</v>
      </c>
      <c r="DG190" s="21">
        <f t="shared" ca="1" si="218"/>
        <v>2.2507812774324915E-2</v>
      </c>
      <c r="DH190" s="21">
        <f t="shared" ca="1" si="219"/>
        <v>4.3691636561924832E-2</v>
      </c>
      <c r="DI190" s="21">
        <f t="shared" ca="1" si="220"/>
        <v>8.2528646839191352E-2</v>
      </c>
      <c r="DJ190" s="21">
        <f t="shared" ca="1" si="221"/>
        <v>0.14855156431054445</v>
      </c>
      <c r="DK190" s="21">
        <f t="shared" ca="1" si="222"/>
        <v>0.24758594051757407</v>
      </c>
      <c r="DL190" s="21">
        <f t="shared" ca="1" si="223"/>
        <v>0.37137891077636109</v>
      </c>
      <c r="DN190" s="16" cm="1">
        <f t="array" aca="1" ref="DN190" ca="1">MAX(_xlfn._xlws.FILTER(CY190:DL190,CY190:DL190&lt;BW190))</f>
        <v>-1.1427043408503418E-2</v>
      </c>
      <c r="DO190" s="16" cm="1">
        <f t="array" aca="1" ref="DO190" ca="1">MIN(_xlfn._xlws.FILTER(CY190:DL190,CY190:DL190&gt;BW190))</f>
        <v>1.1427043408503418E-2</v>
      </c>
      <c r="DP190" s="2" cm="1">
        <f t="array" aca="1" ref="DP190" ca="1">_FV(EE190,"Fechamento anterior",TRUE)</f>
        <v>4.1900000000000004</v>
      </c>
      <c r="DQ190" s="28">
        <f t="shared" ca="1" si="162"/>
        <v>0.5</v>
      </c>
      <c r="DR190" s="15">
        <f t="shared" ca="1" si="224"/>
        <v>4.1421206881183714</v>
      </c>
      <c r="DS190" s="15">
        <f t="shared" ca="1" si="225"/>
        <v>4.2378793118816294</v>
      </c>
      <c r="DT190" s="9"/>
      <c r="DU190" s="9"/>
      <c r="DV190" s="9"/>
      <c r="DW190" s="89">
        <v>1.0065436571460661E-2</v>
      </c>
      <c r="DX190" s="89">
        <f t="shared" ca="1" si="163"/>
        <v>2.2854086817006836E-2</v>
      </c>
      <c r="DY190" s="72">
        <f t="shared" ca="1" si="164"/>
        <v>-0.70379353822563406</v>
      </c>
      <c r="DZ190" s="37"/>
      <c r="EA190" s="35">
        <f t="shared" si="174"/>
        <v>0.26286118009321968</v>
      </c>
      <c r="EB190" s="56"/>
      <c r="EC190" s="56"/>
      <c r="EE190" s="2" t="e" vm="192">
        <v>#VALUE!</v>
      </c>
      <c r="EG190" s="10" cm="1">
        <f t="array" aca="1" ref="EG190" ca="1">_FV(EE190,"Ações em circulação",TRUE)</f>
        <v>61776580</v>
      </c>
      <c r="EH190" s="18">
        <f>VLOOKUP(BR190,Fundamentus!A:U,5,FALSE)</f>
        <v>0.19400000000000001</v>
      </c>
      <c r="EI190" s="2">
        <f t="shared" ca="1" si="165"/>
        <v>1334246753.6082475</v>
      </c>
      <c r="EJ190" s="17">
        <v>31488223.385154642</v>
      </c>
      <c r="EK190" s="17">
        <f t="shared" ca="1" si="166"/>
        <v>31488223.385154642</v>
      </c>
      <c r="EM190" s="16">
        <f t="shared" ca="1" si="153"/>
        <v>0</v>
      </c>
      <c r="EN190" s="32" t="str">
        <f>IF(VLOOKUP(BR190,Fundamentus!A:U,3,FALSE)&lt;15,"Bom",IF(VLOOKUP(BR190,Fundamentus!A:U,3,FALSE)&gt;15,"Ruim","n/a"))</f>
        <v>Bom</v>
      </c>
      <c r="EO190" s="28" t="str">
        <f>IF(VLOOKUP(BR190,Fundamentus!A:U,4,FALSE)&lt;1,"Baixo",IF(VLOOKUP(BR190,Fundamentus!A:U,4,FALSE)&lt;1.5,"Moderado",IF(VLOOKUP(BR190,Fundamentus!A:U,4,FALSE)&gt;1.5,"Alto","n/a")))</f>
        <v>Baixo</v>
      </c>
      <c r="EP190" s="17" t="str">
        <f>IF(VLOOKUP(BR190,Fundamentus!A:U,8,FALSE)&lt;0,"Risco elevado",IF(VLOOKUP(BR190,Fundamentus!A:U,8,FALSE)&lt;1,"Saudável",IF(VLOOKUP(BR190,Fundamentus!A:U,8,FALSE)&lt;3,"Estável",IF(VLOOKUP(BR190,Fundamentus!A:U,8,FALSE)&gt;3,"Alerta","n/a"))))</f>
        <v>Estável</v>
      </c>
      <c r="EQ190" s="28" t="str">
        <f t="shared" si="167"/>
        <v>Ruim</v>
      </c>
      <c r="ER190" s="17" t="str">
        <f>IF(VLOOKUP(BR190,Fundamentus!A:U,12,FALSE)&lt;2,"Subvalorizada",IF(VLOOKUP(BR190,Fundamentus!A:U,12,FALSE)&lt;6,"Muita barata",IF(VLOOKUP(BR190,Fundamentus!A:U,12,FALSE)&lt;6,"Barata",IF(VLOOKUP(BR190,Fundamentus!A:U,12,FALSE)&lt;8,"Atrativa",IF(VLOOKUP(BR190,Fundamentus!A:U,12,FALSE)&gt;8,"Supervalorizada","n/a")))))</f>
        <v>Muita barata</v>
      </c>
      <c r="ET190" s="17" t="str">
        <f>IF(VLOOKUP(BR190,Fundamentus!A:U,17,FALSE)&lt;0.1,"Fraco retorno",IF(VLOOKUP(BR190,Fundamentus!A:U,17,FALSE)&gt;0.1,"Bom retorno","n/a"))</f>
        <v>Fraco retorno</v>
      </c>
      <c r="EU190" s="17" t="str">
        <f>IF(VLOOKUP(BR190,Fundamentus!A:U,16,FALSE)&lt;0.1,"Ineficiente",IF(VLOOKUP(BR190,Fundamentus!A:U,16,FALSE)&gt;0.1,"Eficiente","n/a"))</f>
        <v>Ineficiente</v>
      </c>
      <c r="EV190" s="33" t="str">
        <f>IF(VLOOKUP(BR190,Fundamentus!A:U,16,FALSE)&lt;0.1,"Oper. Ineficiente",IF(VLOOKUP(BR190,Fundamentus!A:U,16,FALSE)&gt;0.1,"Oper.Eficiente","n/a"))</f>
        <v>Oper. Ineficiente</v>
      </c>
      <c r="EW190" s="34">
        <f>VLOOKUP(BR190,Fundamentus!A:U,14,FALSE)</f>
        <v>2.3599999999999999E-2</v>
      </c>
      <c r="EX190" s="17" t="str">
        <f>IF(VLOOKUP(BR190,Fundamentus!A:U,21,FALSE)&lt;0,"Negativo",IF(VLOOKUP(BR190,Fundamentus!A:U,21,FALSE)&lt;0.05,"Fraco",IF(VLOOKUP(BR190,Fundamentus!A:U,21,FALSE)&lt;0.1,"Bom",IF(VLOOKUP(BR190,Fundamentus!A:U,21,FALSE)&gt;0.1,"Muito bom","n/a"))))</f>
        <v>Bom</v>
      </c>
      <c r="EZ190" s="29" t="str">
        <f>IF(VLOOKUP(BR190,Fundamentus!A:U,15,FALSE)&gt;1,"Bom",IF(VLOOKUP(BR190,Fundamentus!A:U,15,FALSE)&lt;1,"Ruim","n/a"))</f>
        <v>Bom</v>
      </c>
      <c r="FA190" s="17" t="str">
        <f>IF(VLOOKUP(BR190,Fundamentus!A:U,20,FALSE)&lt;0.5,"Baixa",IF(VLOOKUP(BR190,Fundamentus!A:U,20,FALSE)&lt;1,"Moderada",IF(VLOOKUP(BR190,Fundamentus!A:U,20,FALSE)&lt;2,"Alerta",IF(VLOOKUP(BR190,Fundamentus!A:U,20,FALSE)&gt;2,"Alta","n/a"))))</f>
        <v>Baixa</v>
      </c>
      <c r="FB190" s="10"/>
    </row>
    <row r="191" spans="1:158" s="2" customFormat="1" ht="11.25"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5">
        <v>0.89</v>
      </c>
      <c r="BC191" s="52">
        <v>0.94</v>
      </c>
      <c r="BD191" s="52">
        <v>1.1200000000000001</v>
      </c>
      <c r="BE191" s="52">
        <v>1</v>
      </c>
      <c r="BF191" s="52">
        <v>1.01</v>
      </c>
      <c r="BG191" s="67">
        <v>1.02</v>
      </c>
      <c r="BH191" s="52">
        <v>1.03</v>
      </c>
      <c r="BI191" s="52">
        <v>1.03</v>
      </c>
      <c r="BJ191" s="52">
        <v>1.1100000000000001</v>
      </c>
      <c r="BK191" s="52">
        <v>1.1200000000000001</v>
      </c>
      <c r="BL191" s="52">
        <v>1.1200000000000001</v>
      </c>
      <c r="BM191" s="52">
        <v>1.06</v>
      </c>
      <c r="BN191" s="52">
        <v>1.05</v>
      </c>
      <c r="BO191" s="52">
        <v>1.05</v>
      </c>
      <c r="BP191" s="52">
        <v>1</v>
      </c>
      <c r="BQ191" s="52" cm="1">
        <f t="array" aca="1" ref="BQ191" ca="1">_FV(EE191,"Preço")</f>
        <v>1</v>
      </c>
      <c r="BR191" s="66" t="s">
        <v>180</v>
      </c>
      <c r="BS191" s="36" cm="1">
        <f t="array" aca="1" ref="BS191" ca="1">_FV(EE191,"Média de volume",TRUE)</f>
        <v>474190</v>
      </c>
      <c r="BT191" s="36">
        <v>397800</v>
      </c>
      <c r="BU191" s="36" cm="1">
        <f t="array" aca="1" ref="BU191" ca="1">_FV(EE191,"Volume")</f>
        <v>397800</v>
      </c>
      <c r="BV191" s="24" cm="1">
        <f t="array" aca="1" ref="BV191" ca="1">_FV(EE191,"Beta")</f>
        <v>1.5896999999999999</v>
      </c>
      <c r="BW191" s="71" cm="1">
        <f t="array" aca="1" ref="BW191" ca="1">_FV(EE191,"Variação (%)",TRUE)</f>
        <v>-9.9010000000000001E-3</v>
      </c>
      <c r="BY191" s="17" cm="1">
        <f t="array" aca="1" ref="BY191" ca="1">_FV(EE191,"Baixo")</f>
        <v>0.98</v>
      </c>
      <c r="BZ191" s="17" cm="1">
        <f t="array" aca="1" ref="BZ191" ca="1">_FV(EE191,"Alto")</f>
        <v>1.02</v>
      </c>
      <c r="CA191" s="24"/>
      <c r="CB191" s="63">
        <f ca="1">SQRT(22.5*(BQ191/VLOOKUP(BR191,Fundamentus!A:U,3,FALSE))*(BQ191/VLOOKUP(BR191,Fundamentus!A:U,4,FALSE)))</f>
        <v>1.0509444351990529</v>
      </c>
      <c r="CD191" s="62">
        <f t="shared" ca="1" si="168"/>
        <v>0</v>
      </c>
      <c r="CE191" s="8"/>
      <c r="CF191" s="61">
        <f t="shared" si="169"/>
        <v>0.67</v>
      </c>
      <c r="CG191" s="61">
        <f t="shared" si="170"/>
        <v>1.18</v>
      </c>
      <c r="CH191" s="61">
        <f t="shared" si="171"/>
        <v>0.93897058823529378</v>
      </c>
      <c r="CI191" s="14"/>
      <c r="CJ191" s="35">
        <f t="shared" si="154"/>
        <v>0.92927329309938456</v>
      </c>
      <c r="CK191" s="15">
        <f t="shared" si="172"/>
        <v>0.99500000000000455</v>
      </c>
      <c r="CL191" s="35">
        <f t="shared" si="155"/>
        <v>1.0607267069006245</v>
      </c>
      <c r="CN191" s="14"/>
      <c r="CO191" s="17">
        <f t="shared" si="156"/>
        <v>0.2100000000000003</v>
      </c>
      <c r="CP191" s="17">
        <f t="shared" si="157"/>
        <v>0.44000000000000017</v>
      </c>
      <c r="CQ191" s="17">
        <f t="shared" si="158"/>
        <v>0.7200000000000002</v>
      </c>
      <c r="CR191" s="38">
        <f t="shared" si="173"/>
        <v>0.95000000000000007</v>
      </c>
      <c r="CS191" s="17">
        <f t="shared" si="159"/>
        <v>1.23</v>
      </c>
      <c r="CT191" s="17">
        <f t="shared" si="160"/>
        <v>1.46</v>
      </c>
      <c r="CU191" s="17">
        <f t="shared" si="161"/>
        <v>1.74</v>
      </c>
      <c r="CV191" s="2" cm="1">
        <f t="array" aca="1" ref="CV191" ca="1">MAX(_xlfn._xlws.FILTER(CO191:CU191,CO191:CU191&lt;BQ191))</f>
        <v>0.95000000000000007</v>
      </c>
      <c r="CW191" s="2" cm="1">
        <f t="array" aca="1" ref="CW191" ca="1">MIN(_xlfn._xlws.FILTER($CO191:$CU191,$CO191:$CU191&gt;BQ191))</f>
        <v>1.23</v>
      </c>
      <c r="CX191" s="16">
        <f t="shared" ca="1" si="209"/>
        <v>0.29473684210526296</v>
      </c>
      <c r="CY191" s="20">
        <f t="shared" ca="1" si="210"/>
        <v>-0.14736842105263148</v>
      </c>
      <c r="CZ191" s="20">
        <f t="shared" ca="1" si="211"/>
        <v>-9.824561403508765E-2</v>
      </c>
      <c r="DA191" s="20">
        <f t="shared" ca="1" si="212"/>
        <v>-5.8947368421052596E-2</v>
      </c>
      <c r="DB191" s="20">
        <f t="shared" ca="1" si="213"/>
        <v>-3.2748538011695888E-2</v>
      </c>
      <c r="DC191" s="20">
        <f t="shared" ca="1" si="214"/>
        <v>-1.7337461300309585E-2</v>
      </c>
      <c r="DD191" s="20">
        <f t="shared" ca="1" si="215"/>
        <v>-8.9314194577352415E-3</v>
      </c>
      <c r="DE191" s="20">
        <f t="shared" ca="1" si="216"/>
        <v>-4.5344129554655841E-3</v>
      </c>
      <c r="DF191" s="21">
        <f t="shared" ca="1" si="217"/>
        <v>4.5344129554655841E-3</v>
      </c>
      <c r="DG191" s="21">
        <f t="shared" ca="1" si="218"/>
        <v>8.9314194577352415E-3</v>
      </c>
      <c r="DH191" s="21">
        <f t="shared" ca="1" si="219"/>
        <v>1.7337461300309585E-2</v>
      </c>
      <c r="DI191" s="21">
        <f t="shared" ca="1" si="220"/>
        <v>3.2748538011695888E-2</v>
      </c>
      <c r="DJ191" s="21">
        <f t="shared" ca="1" si="221"/>
        <v>5.8947368421052596E-2</v>
      </c>
      <c r="DK191" s="21">
        <f t="shared" ca="1" si="222"/>
        <v>9.824561403508765E-2</v>
      </c>
      <c r="DL191" s="21">
        <f t="shared" ca="1" si="223"/>
        <v>0.14736842105263148</v>
      </c>
      <c r="DN191" s="16" cm="1">
        <f t="array" aca="1" ref="DN191" ca="1">MAX(_xlfn._xlws.FILTER(CY191:DL191,CY191:DL191&lt;BW191))</f>
        <v>-1.7337461300309585E-2</v>
      </c>
      <c r="DO191" s="16" cm="1">
        <f t="array" aca="1" ref="DO191" ca="1">MIN(_xlfn._xlws.FILTER(CY191:DL191,CY191:DL191&gt;BW191))</f>
        <v>-8.9314194577352415E-3</v>
      </c>
      <c r="DP191" s="2" cm="1">
        <f t="array" aca="1" ref="DP191" ca="1">_FV(EE191,"Fechamento anterior",TRUE)</f>
        <v>1.01</v>
      </c>
      <c r="DQ191" s="28">
        <f t="shared" ca="1" si="162"/>
        <v>0.88465788543138746</v>
      </c>
      <c r="DR191" s="15">
        <f t="shared" ca="1" si="224"/>
        <v>0.9924891640866873</v>
      </c>
      <c r="DS191" s="15">
        <f t="shared" ca="1" si="225"/>
        <v>1.0009792663476875</v>
      </c>
      <c r="DT191" s="9"/>
      <c r="DU191" s="9"/>
      <c r="DV191" s="9"/>
      <c r="DW191" s="89">
        <v>2.727969348659004E-2</v>
      </c>
      <c r="DX191" s="89">
        <f t="shared" ca="1" si="163"/>
        <v>8.4060418425743431E-3</v>
      </c>
      <c r="DY191" s="72">
        <f t="shared" ca="1" si="164"/>
        <v>7.6072577431203811E-2</v>
      </c>
      <c r="DZ191" s="37"/>
      <c r="EA191" s="35">
        <f t="shared" si="174"/>
        <v>3.2863353450309996E-2</v>
      </c>
      <c r="EB191" s="56"/>
      <c r="EC191" s="56"/>
      <c r="EE191" s="2" t="e" vm="193">
        <v>#VALUE!</v>
      </c>
      <c r="EG191" s="10" cm="1">
        <f t="array" aca="1" ref="EG191" ca="1">_FV(EE191,"Ações em circulação",TRUE)</f>
        <v>361423100</v>
      </c>
      <c r="EH191" s="18">
        <f>VLOOKUP(BR191,Fundamentus!A:U,5,FALSE)</f>
        <v>0.38</v>
      </c>
      <c r="EI191" s="2">
        <f t="shared" ca="1" si="165"/>
        <v>951113421.05263162</v>
      </c>
      <c r="EJ191" s="17">
        <v>7513796.0263157906</v>
      </c>
      <c r="EK191" s="17">
        <f t="shared" ca="1" si="166"/>
        <v>7513796.0263157906</v>
      </c>
      <c r="EM191" s="16">
        <f t="shared" ca="1" si="153"/>
        <v>0</v>
      </c>
      <c r="EN191" s="32" t="str">
        <f>IF(VLOOKUP(BR191,Fundamentus!A:U,3,FALSE)&lt;15,"Bom",IF(VLOOKUP(BR191,Fundamentus!A:U,3,FALSE)&gt;15,"Ruim","n/a"))</f>
        <v>Ruim</v>
      </c>
      <c r="EO191" s="28" t="str">
        <f>IF(VLOOKUP(BR191,Fundamentus!A:U,4,FALSE)&lt;1,"Baixo",IF(VLOOKUP(BR191,Fundamentus!A:U,4,FALSE)&lt;1.5,"Moderado",IF(VLOOKUP(BR191,Fundamentus!A:U,4,FALSE)&gt;1.5,"Alto","n/a")))</f>
        <v>Baixo</v>
      </c>
      <c r="EP191" s="17" t="str">
        <f>IF(VLOOKUP(BR191,Fundamentus!A:U,8,FALSE)&lt;0,"Risco elevado",IF(VLOOKUP(BR191,Fundamentus!A:U,8,FALSE)&lt;1,"Saudável",IF(VLOOKUP(BR191,Fundamentus!A:U,8,FALSE)&lt;3,"Estável",IF(VLOOKUP(BR191,Fundamentus!A:U,8,FALSE)&gt;3,"Alerta","n/a"))))</f>
        <v>Estável</v>
      </c>
      <c r="EQ191" s="28" t="str">
        <f t="shared" si="167"/>
        <v>Ruim</v>
      </c>
      <c r="ER191" s="17" t="str">
        <f>IF(VLOOKUP(BR191,Fundamentus!A:U,12,FALSE)&lt;2,"Subvalorizada",IF(VLOOKUP(BR191,Fundamentus!A:U,12,FALSE)&lt;6,"Muita barata",IF(VLOOKUP(BR191,Fundamentus!A:U,12,FALSE)&lt;6,"Barata",IF(VLOOKUP(BR191,Fundamentus!A:U,12,FALSE)&lt;8,"Atrativa",IF(VLOOKUP(BR191,Fundamentus!A:U,12,FALSE)&gt;8,"Supervalorizada","n/a")))))</f>
        <v>Muita barata</v>
      </c>
      <c r="ET191" s="17" t="str">
        <f>IF(VLOOKUP(BR191,Fundamentus!A:U,17,FALSE)&lt;0.1,"Fraco retorno",IF(VLOOKUP(BR191,Fundamentus!A:U,17,FALSE)&gt;0.1,"Bom retorno","n/a"))</f>
        <v>Fraco retorno</v>
      </c>
      <c r="EU191" s="17" t="str">
        <f>IF(VLOOKUP(BR191,Fundamentus!A:U,16,FALSE)&lt;0.1,"Ineficiente",IF(VLOOKUP(BR191,Fundamentus!A:U,16,FALSE)&gt;0.1,"Eficiente","n/a"))</f>
        <v>Ineficiente</v>
      </c>
      <c r="EV191" s="33" t="str">
        <f>IF(VLOOKUP(BR191,Fundamentus!A:U,16,FALSE)&lt;0.1,"Oper. Ineficiente",IF(VLOOKUP(BR191,Fundamentus!A:U,16,FALSE)&gt;0.1,"Oper.Eficiente","n/a"))</f>
        <v>Oper. Ineficiente</v>
      </c>
      <c r="EW191" s="34">
        <f>VLOOKUP(BR191,Fundamentus!A:U,14,FALSE)</f>
        <v>7.9000000000000008E-3</v>
      </c>
      <c r="EX191" s="17" t="str">
        <f>IF(VLOOKUP(BR191,Fundamentus!A:U,21,FALSE)&lt;0,"Negativo",IF(VLOOKUP(BR191,Fundamentus!A:U,21,FALSE)&lt;0.05,"Fraco",IF(VLOOKUP(BR191,Fundamentus!A:U,21,FALSE)&lt;0.1,"Bom",IF(VLOOKUP(BR191,Fundamentus!A:U,21,FALSE)&gt;0.1,"Muito bom","n/a"))))</f>
        <v>Muito bom</v>
      </c>
      <c r="EZ191" s="29" t="str">
        <f>IF(VLOOKUP(BR191,Fundamentus!A:U,15,FALSE)&gt;1,"Bom",IF(VLOOKUP(BR191,Fundamentus!A:U,15,FALSE)&lt;1,"Ruim","n/a"))</f>
        <v>Bom</v>
      </c>
      <c r="FA191" s="17" t="str">
        <f>IF(VLOOKUP(BR191,Fundamentus!A:U,20,FALSE)&lt;0.5,"Baixa",IF(VLOOKUP(BR191,Fundamentus!A:U,20,FALSE)&lt;1,"Moderada",IF(VLOOKUP(BR191,Fundamentus!A:U,20,FALSE)&lt;2,"Alerta",IF(VLOOKUP(BR191,Fundamentus!A:U,20,FALSE)&gt;2,"Alta","n/a"))))</f>
        <v>Moderada</v>
      </c>
      <c r="FB191" s="10"/>
    </row>
    <row r="192" spans="1:158" s="2" customFormat="1" ht="11.25"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5">
        <v>4.5599999999999996</v>
      </c>
      <c r="BC192" s="52">
        <v>4.4400000000000004</v>
      </c>
      <c r="BD192" s="52">
        <v>4.95</v>
      </c>
      <c r="BE192" s="52">
        <v>4.74</v>
      </c>
      <c r="BF192" s="52">
        <v>4.66</v>
      </c>
      <c r="BG192" s="67">
        <v>4.4000000000000004</v>
      </c>
      <c r="BH192" s="52">
        <v>4.7300000000000004</v>
      </c>
      <c r="BI192" s="52">
        <v>4.59</v>
      </c>
      <c r="BJ192" s="52">
        <v>4.62</v>
      </c>
      <c r="BK192" s="52">
        <v>4.58</v>
      </c>
      <c r="BL192" s="52">
        <v>4.3099999999999996</v>
      </c>
      <c r="BM192" s="52">
        <v>4.43</v>
      </c>
      <c r="BN192" s="52">
        <v>4.2300000000000004</v>
      </c>
      <c r="BO192" s="52">
        <v>4.58</v>
      </c>
      <c r="BP192" s="52">
        <v>4.76</v>
      </c>
      <c r="BQ192" s="52" cm="1">
        <f t="array" aca="1" ref="BQ192" ca="1">_FV(EE192,"Preço")</f>
        <v>4.76</v>
      </c>
      <c r="BR192" s="69" t="s">
        <v>188</v>
      </c>
      <c r="BS192" s="36" cm="1">
        <f t="array" aca="1" ref="BS192" ca="1">_FV(EE192,"Média de volume",TRUE)</f>
        <v>186490</v>
      </c>
      <c r="BT192" s="36">
        <v>170500</v>
      </c>
      <c r="BU192" s="36" cm="1">
        <f t="array" aca="1" ref="BU192" ca="1">_FV(EE192,"Volume")</f>
        <v>170500</v>
      </c>
      <c r="BV192" s="24" cm="1">
        <f t="array" aca="1" ref="BV192" ca="1">_FV(EE192,"Beta")</f>
        <v>1.5833999999999999</v>
      </c>
      <c r="BW192" s="71" cm="1">
        <f t="array" aca="1" ref="BW192" ca="1">_FV(EE192,"Variação (%)",TRUE)</f>
        <v>1.4924999999999999E-2</v>
      </c>
      <c r="BY192" s="17" cm="1">
        <f t="array" aca="1" ref="BY192" ca="1">_FV(EE192,"Baixo")</f>
        <v>4.55</v>
      </c>
      <c r="BZ192" s="17" cm="1">
        <f t="array" aca="1" ref="BZ192" ca="1">_FV(EE192,"Alto")</f>
        <v>4.79</v>
      </c>
      <c r="CA192" s="24"/>
      <c r="CB192" s="63" t="e">
        <f ca="1">SQRT(22.5*(BQ192/VLOOKUP(BR192,Fundamentus!A:U,3,FALSE))*(BQ192/VLOOKUP(BR192,Fundamentus!A:U,4,FALSE)))</f>
        <v>#NUM!</v>
      </c>
      <c r="CD192" s="62">
        <f t="shared" ca="1" si="168"/>
        <v>0</v>
      </c>
      <c r="CE192" s="8"/>
      <c r="CF192" s="61">
        <f t="shared" si="169"/>
        <v>3.51</v>
      </c>
      <c r="CG192" s="61">
        <f t="shared" si="170"/>
        <v>5.81</v>
      </c>
      <c r="CH192" s="61">
        <f t="shared" si="171"/>
        <v>4.4244852941176473</v>
      </c>
      <c r="CI192" s="14"/>
      <c r="CJ192" s="35">
        <f t="shared" si="154"/>
        <v>4.5531205931608705</v>
      </c>
      <c r="CK192" s="15">
        <f t="shared" si="172"/>
        <v>4.8350000000000364</v>
      </c>
      <c r="CL192" s="35">
        <f t="shared" si="155"/>
        <v>5.1168794068392023</v>
      </c>
      <c r="CN192" s="14"/>
      <c r="CO192" s="17">
        <f t="shared" si="156"/>
        <v>1.2766666666666673</v>
      </c>
      <c r="CP192" s="17">
        <f t="shared" si="157"/>
        <v>2.3933333333333335</v>
      </c>
      <c r="CQ192" s="17">
        <f t="shared" si="158"/>
        <v>3.5766666666666671</v>
      </c>
      <c r="CR192" s="38">
        <f t="shared" si="173"/>
        <v>4.6933333333333334</v>
      </c>
      <c r="CS192" s="17">
        <f t="shared" si="159"/>
        <v>5.8766666666666669</v>
      </c>
      <c r="CT192" s="17">
        <f t="shared" si="160"/>
        <v>6.9933333333333332</v>
      </c>
      <c r="CU192" s="17">
        <f t="shared" si="161"/>
        <v>8.1766666666666659</v>
      </c>
      <c r="CV192" s="2" cm="1">
        <f t="array" aca="1" ref="CV192" ca="1">MAX(_xlfn._xlws.FILTER(CO192:CU192,CO192:CU192&lt;BQ192))</f>
        <v>4.6933333333333334</v>
      </c>
      <c r="CW192" s="2" cm="1">
        <f t="array" aca="1" ref="CW192" ca="1">MIN(_xlfn._xlws.FILTER($CO192:$CU192,$CO192:$CU192&gt;BQ192))</f>
        <v>5.8766666666666669</v>
      </c>
      <c r="CX192" s="16">
        <f t="shared" ca="1" si="209"/>
        <v>0.25213068181818188</v>
      </c>
      <c r="CY192" s="20">
        <f t="shared" ca="1" si="210"/>
        <v>-0.12606534090909094</v>
      </c>
      <c r="CZ192" s="20">
        <f t="shared" ca="1" si="211"/>
        <v>-8.4043560606060622E-2</v>
      </c>
      <c r="DA192" s="20">
        <f t="shared" ca="1" si="212"/>
        <v>-5.0426136363636374E-2</v>
      </c>
      <c r="DB192" s="20">
        <f t="shared" ca="1" si="213"/>
        <v>-2.8014520202020207E-2</v>
      </c>
      <c r="DC192" s="20">
        <f t="shared" ca="1" si="214"/>
        <v>-1.4831216577540111E-2</v>
      </c>
      <c r="DD192" s="20">
        <f t="shared" ca="1" si="215"/>
        <v>-7.6403236914600568E-3</v>
      </c>
      <c r="DE192" s="20">
        <f t="shared" ca="1" si="216"/>
        <v>-3.8789335664335674E-3</v>
      </c>
      <c r="DF192" s="21">
        <f t="shared" ca="1" si="217"/>
        <v>3.8789335664335674E-3</v>
      </c>
      <c r="DG192" s="21">
        <f t="shared" ca="1" si="218"/>
        <v>7.6403236914600568E-3</v>
      </c>
      <c r="DH192" s="21">
        <f t="shared" ca="1" si="219"/>
        <v>1.4831216577540111E-2</v>
      </c>
      <c r="DI192" s="21">
        <f t="shared" ca="1" si="220"/>
        <v>2.8014520202020207E-2</v>
      </c>
      <c r="DJ192" s="21">
        <f t="shared" ca="1" si="221"/>
        <v>5.0426136363636374E-2</v>
      </c>
      <c r="DK192" s="21">
        <f t="shared" ca="1" si="222"/>
        <v>8.4043560606060622E-2</v>
      </c>
      <c r="DL192" s="21">
        <f t="shared" ca="1" si="223"/>
        <v>0.12606534090909094</v>
      </c>
      <c r="DN192" s="16" cm="1">
        <f t="array" aca="1" ref="DN192" ca="1">MAX(_xlfn._xlws.FILTER(CY192:DL192,CY192:DL192&lt;BW192))</f>
        <v>1.4831216577540111E-2</v>
      </c>
      <c r="DO192" s="16" cm="1">
        <f t="array" aca="1" ref="DO192" ca="1">MIN(_xlfn._xlws.FILTER(CY192:DL192,CY192:DL192&gt;BW192))</f>
        <v>2.8014520202020207E-2</v>
      </c>
      <c r="DP192" s="2" cm="1">
        <f t="array" aca="1" ref="DP192" ca="1">_FV(EE192,"Fechamento anterior",TRUE)</f>
        <v>4.6900000000000004</v>
      </c>
      <c r="DQ192" s="28">
        <f t="shared" ca="1" si="162"/>
        <v>7.1421063695541499E-3</v>
      </c>
      <c r="DR192" s="15">
        <f t="shared" ca="1" si="224"/>
        <v>4.7595584057486633</v>
      </c>
      <c r="DS192" s="15">
        <f t="shared" ca="1" si="225"/>
        <v>4.821388099747475</v>
      </c>
      <c r="DT192" s="9"/>
      <c r="DU192" s="9"/>
      <c r="DV192" s="9"/>
      <c r="DW192" s="89">
        <v>1.0474000445070826E-2</v>
      </c>
      <c r="DX192" s="89">
        <f t="shared" ca="1" si="163"/>
        <v>1.3183303624480096E-2</v>
      </c>
      <c r="DY192" s="72">
        <f t="shared" ca="1" si="164"/>
        <v>-0.26607122826404245</v>
      </c>
      <c r="DZ192" s="37"/>
      <c r="EA192" s="35">
        <f t="shared" si="174"/>
        <v>0.14093970341958292</v>
      </c>
      <c r="EB192" s="56"/>
      <c r="EC192" s="56"/>
      <c r="EE192" s="2" t="e" vm="194">
        <v>#VALUE!</v>
      </c>
      <c r="EG192" s="10" cm="1">
        <f t="array" aca="1" ref="EG192" ca="1">_FV(EE192,"Ações em circulação",TRUE)</f>
        <v>339428000</v>
      </c>
      <c r="EH192" s="18">
        <f>VLOOKUP(BR192,Fundamentus!A:U,5,FALSE)</f>
        <v>0.68899999999999995</v>
      </c>
      <c r="EI192" s="2">
        <f t="shared" ca="1" si="165"/>
        <v>2344959767.7793908</v>
      </c>
      <c r="EJ192" s="17">
        <v>-382697434.10159659</v>
      </c>
      <c r="EK192" s="17">
        <f t="shared" ca="1" si="166"/>
        <v>-382697434.10159659</v>
      </c>
      <c r="EM192" s="16">
        <f t="shared" ca="1" si="153"/>
        <v>0</v>
      </c>
      <c r="EN192" s="32" t="str">
        <f>IF(VLOOKUP(BR192,Fundamentus!A:U,3,FALSE)&lt;15,"Bom",IF(VLOOKUP(BR192,Fundamentus!A:U,3,FALSE)&gt;15,"Ruim","n/a"))</f>
        <v>Bom</v>
      </c>
      <c r="EO192" s="28" t="str">
        <f>IF(VLOOKUP(BR192,Fundamentus!A:U,4,FALSE)&lt;1,"Baixo",IF(VLOOKUP(BR192,Fundamentus!A:U,4,FALSE)&lt;1.5,"Moderado",IF(VLOOKUP(BR192,Fundamentus!A:U,4,FALSE)&gt;1.5,"Alto","n/a")))</f>
        <v>Moderado</v>
      </c>
      <c r="EP192" s="17" t="str">
        <f>IF(VLOOKUP(BR192,Fundamentus!A:U,8,FALSE)&lt;0,"Risco elevado",IF(VLOOKUP(BR192,Fundamentus!A:U,8,FALSE)&lt;1,"Saudável",IF(VLOOKUP(BR192,Fundamentus!A:U,8,FALSE)&lt;3,"Estável",IF(VLOOKUP(BR192,Fundamentus!A:U,8,FALSE)&gt;3,"Alerta","n/a"))))</f>
        <v>Estável</v>
      </c>
      <c r="EQ192" s="28" t="str">
        <f t="shared" si="167"/>
        <v>Ruim</v>
      </c>
      <c r="ER192" s="17" t="str">
        <f>IF(VLOOKUP(BR192,Fundamentus!A:U,12,FALSE)&lt;2,"Subvalorizada",IF(VLOOKUP(BR192,Fundamentus!A:U,12,FALSE)&lt;6,"Muita barata",IF(VLOOKUP(BR192,Fundamentus!A:U,12,FALSE)&lt;6,"Barata",IF(VLOOKUP(BR192,Fundamentus!A:U,12,FALSE)&lt;8,"Atrativa",IF(VLOOKUP(BR192,Fundamentus!A:U,12,FALSE)&gt;8,"Supervalorizada","n/a")))))</f>
        <v>Muita barata</v>
      </c>
      <c r="ET192" s="17" t="str">
        <f>IF(VLOOKUP(BR192,Fundamentus!A:U,17,FALSE)&lt;0.1,"Fraco retorno",IF(VLOOKUP(BR192,Fundamentus!A:U,17,FALSE)&gt;0.1,"Bom retorno","n/a"))</f>
        <v>Fraco retorno</v>
      </c>
      <c r="EU192" s="17" t="str">
        <f>IF(VLOOKUP(BR192,Fundamentus!A:U,16,FALSE)&lt;0.1,"Ineficiente",IF(VLOOKUP(BR192,Fundamentus!A:U,16,FALSE)&gt;0.1,"Eficiente","n/a"))</f>
        <v>Ineficiente</v>
      </c>
      <c r="EV192" s="33" t="str">
        <f>IF(VLOOKUP(BR192,Fundamentus!A:U,16,FALSE)&lt;0.1,"Oper. Ineficiente",IF(VLOOKUP(BR192,Fundamentus!A:U,16,FALSE)&gt;0.1,"Oper.Eficiente","n/a"))</f>
        <v>Oper. Ineficiente</v>
      </c>
      <c r="EW192" s="34">
        <f>VLOOKUP(BR192,Fundamentus!A:U,14,FALSE)</f>
        <v>-0.16320000000000001</v>
      </c>
      <c r="EX192" s="17" t="str">
        <f>IF(VLOOKUP(BR192,Fundamentus!A:U,21,FALSE)&lt;0,"Negativo",IF(VLOOKUP(BR192,Fundamentus!A:U,21,FALSE)&lt;0.05,"Fraco",IF(VLOOKUP(BR192,Fundamentus!A:U,21,FALSE)&lt;0.1,"Bom",IF(VLOOKUP(BR192,Fundamentus!A:U,21,FALSE)&gt;0.1,"Muito bom","n/a"))))</f>
        <v>Muito bom</v>
      </c>
      <c r="EZ192" s="29" t="str">
        <f>IF(VLOOKUP(BR192,Fundamentus!A:U,15,FALSE)&gt;1,"Bom",IF(VLOOKUP(BR192,Fundamentus!A:U,15,FALSE)&lt;1,"Ruim","n/a"))</f>
        <v>Bom</v>
      </c>
      <c r="FA192" s="17" t="str">
        <f>IF(VLOOKUP(BR192,Fundamentus!A:U,20,FALSE)&lt;0.5,"Baixa",IF(VLOOKUP(BR192,Fundamentus!A:U,20,FALSE)&lt;1,"Moderada",IF(VLOOKUP(BR192,Fundamentus!A:U,20,FALSE)&lt;2,"Alerta",IF(VLOOKUP(BR192,Fundamentus!A:U,20,FALSE)&gt;2,"Alta","n/a"))))</f>
        <v>Moderada</v>
      </c>
      <c r="FB192" s="10"/>
    </row>
    <row r="193" spans="1:158" s="2" customFormat="1" ht="11.25"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5">
        <v>7</v>
      </c>
      <c r="BC193" s="52">
        <v>6.97</v>
      </c>
      <c r="BD193" s="52">
        <v>7.89</v>
      </c>
      <c r="BE193" s="52">
        <v>9</v>
      </c>
      <c r="BF193" s="52">
        <v>8.19</v>
      </c>
      <c r="BG193" s="67">
        <v>7.2</v>
      </c>
      <c r="BH193" s="52">
        <v>7.85</v>
      </c>
      <c r="BI193" s="52">
        <v>7.27</v>
      </c>
      <c r="BJ193" s="52">
        <v>6.59</v>
      </c>
      <c r="BK193" s="52">
        <v>7.39</v>
      </c>
      <c r="BL193" s="52">
        <v>7.49</v>
      </c>
      <c r="BM193" s="52">
        <v>7.32</v>
      </c>
      <c r="BN193" s="52">
        <v>6.68</v>
      </c>
      <c r="BO193" s="52">
        <v>7.24</v>
      </c>
      <c r="BP193" s="52">
        <v>7.8</v>
      </c>
      <c r="BQ193" s="52" cm="1">
        <f t="array" aca="1" ref="BQ193" ca="1">_FV(EE193,"Preço")</f>
        <v>7.8</v>
      </c>
      <c r="BR193" s="69" t="s">
        <v>189</v>
      </c>
      <c r="BS193" s="36" cm="1">
        <f t="array" aca="1" ref="BS193" ca="1">_FV(EE193,"Média de volume",TRUE)</f>
        <v>42680</v>
      </c>
      <c r="BT193" s="36">
        <v>15300</v>
      </c>
      <c r="BU193" s="36" cm="1">
        <f t="array" aca="1" ref="BU193" ca="1">_FV(EE193,"Volume")</f>
        <v>15300</v>
      </c>
      <c r="BV193" s="24" cm="1">
        <f t="array" aca="1" ref="BV193" ca="1">_FV(EE193,"Beta")</f>
        <v>0.56189999999999996</v>
      </c>
      <c r="BW193" s="71" cm="1">
        <f t="array" aca="1" ref="BW193" ca="1">_FV(EE193,"Variação (%)",TRUE)</f>
        <v>-7.0321999999999996E-2</v>
      </c>
      <c r="BY193" s="17" cm="1">
        <f t="array" aca="1" ref="BY193" ca="1">_FV(EE193,"Baixo")</f>
        <v>7.8</v>
      </c>
      <c r="BZ193" s="17" cm="1">
        <f t="array" aca="1" ref="BZ193" ca="1">_FV(EE193,"Alto")</f>
        <v>8.2899999999999991</v>
      </c>
      <c r="CA193" s="24"/>
      <c r="CB193" s="63" t="e">
        <f ca="1">SQRT(22.5*(BQ193/VLOOKUP(BR193,Fundamentus!A:U,3,FALSE))*(BQ193/VLOOKUP(BR193,Fundamentus!A:U,4,FALSE)))</f>
        <v>#NUM!</v>
      </c>
      <c r="CD193" s="62">
        <f t="shared" ca="1" si="168"/>
        <v>0</v>
      </c>
      <c r="CE193" s="8"/>
      <c r="CF193" s="61">
        <f t="shared" si="169"/>
        <v>0.52</v>
      </c>
      <c r="CG193" s="61">
        <f t="shared" si="170"/>
        <v>9</v>
      </c>
      <c r="CH193" s="61">
        <f t="shared" si="171"/>
        <v>5.1703676470588222</v>
      </c>
      <c r="CI193" s="14"/>
      <c r="CJ193" s="35">
        <f t="shared" si="154"/>
        <v>7.1916902253172035</v>
      </c>
      <c r="CK193" s="15">
        <f t="shared" si="172"/>
        <v>7.7599999999999909</v>
      </c>
      <c r="CL193" s="35">
        <f t="shared" si="155"/>
        <v>8.3283097746827774</v>
      </c>
      <c r="CN193" s="14"/>
      <c r="CO193" s="17">
        <f t="shared" si="156"/>
        <v>-5.9333333333333336</v>
      </c>
      <c r="CP193" s="17">
        <f t="shared" si="157"/>
        <v>-2.706666666666667</v>
      </c>
      <c r="CQ193" s="17">
        <f t="shared" si="158"/>
        <v>2.5466666666666669</v>
      </c>
      <c r="CR193" s="38">
        <f t="shared" si="173"/>
        <v>5.7733333333333334</v>
      </c>
      <c r="CS193" s="17">
        <f t="shared" si="159"/>
        <v>11.026666666666667</v>
      </c>
      <c r="CT193" s="17">
        <f t="shared" si="160"/>
        <v>14.253333333333334</v>
      </c>
      <c r="CU193" s="17">
        <f t="shared" si="161"/>
        <v>19.506666666666668</v>
      </c>
      <c r="CV193" s="2" cm="1">
        <f t="array" aca="1" ref="CV193" ca="1">MAX(_xlfn._xlws.FILTER(CO193:CU193,CO193:CU193&lt;BQ193))</f>
        <v>5.7733333333333334</v>
      </c>
      <c r="CW193" s="2" cm="1">
        <f t="array" aca="1" ref="CW193" ca="1">MIN(_xlfn._xlws.FILTER($CO193:$CU193,$CO193:$CU193&gt;BQ193))</f>
        <v>11.026666666666667</v>
      </c>
      <c r="CX193" s="16">
        <f t="shared" ca="1" si="209"/>
        <v>0.90993071593533492</v>
      </c>
      <c r="CY193" s="20">
        <f t="shared" ca="1" si="210"/>
        <v>-0.45496535796766746</v>
      </c>
      <c r="CZ193" s="20">
        <f t="shared" ca="1" si="211"/>
        <v>-0.30331023864511164</v>
      </c>
      <c r="DA193" s="20">
        <f t="shared" ca="1" si="212"/>
        <v>-0.18198614318706699</v>
      </c>
      <c r="DB193" s="20">
        <f t="shared" ca="1" si="213"/>
        <v>-0.10110341288170388</v>
      </c>
      <c r="DC193" s="20">
        <f t="shared" ca="1" si="214"/>
        <v>-5.3525336231490292E-2</v>
      </c>
      <c r="DD193" s="20">
        <f t="shared" ca="1" si="215"/>
        <v>-2.7573658058646512E-2</v>
      </c>
      <c r="DE193" s="20">
        <f t="shared" ca="1" si="216"/>
        <v>-1.3998934091312846E-2</v>
      </c>
      <c r="DF193" s="21">
        <f t="shared" ca="1" si="217"/>
        <v>1.3998934091312846E-2</v>
      </c>
      <c r="DG193" s="21">
        <f t="shared" ca="1" si="218"/>
        <v>2.7573658058646512E-2</v>
      </c>
      <c r="DH193" s="21">
        <f t="shared" ca="1" si="219"/>
        <v>5.3525336231490292E-2</v>
      </c>
      <c r="DI193" s="21">
        <f t="shared" ca="1" si="220"/>
        <v>0.10110341288170388</v>
      </c>
      <c r="DJ193" s="21">
        <f t="shared" ca="1" si="221"/>
        <v>0.18198614318706699</v>
      </c>
      <c r="DK193" s="21">
        <f t="shared" ca="1" si="222"/>
        <v>0.30331023864511164</v>
      </c>
      <c r="DL193" s="21">
        <f t="shared" ca="1" si="223"/>
        <v>0.45496535796766746</v>
      </c>
      <c r="DN193" s="16" cm="1">
        <f t="array" aca="1" ref="DN193" ca="1">MAX(_xlfn._xlws.FILTER(CY193:DL193,CY193:DL193&lt;BW193))</f>
        <v>-0.10110341288170388</v>
      </c>
      <c r="DO193" s="16" cm="1">
        <f t="array" aca="1" ref="DO193" ca="1">MIN(_xlfn._xlws.FILTER(CY193:DL193,CY193:DL193&gt;BW193))</f>
        <v>-5.3525336231490292E-2</v>
      </c>
      <c r="DP193" s="2" cm="1">
        <f t="array" aca="1" ref="DP193" ca="1">_FV(EE193,"Fechamento anterior",TRUE)</f>
        <v>8.39</v>
      </c>
      <c r="DQ193" s="28">
        <f t="shared" ca="1" si="162"/>
        <v>0.6469702721998013</v>
      </c>
      <c r="DR193" s="15">
        <f t="shared" ca="1" si="224"/>
        <v>7.5417423659225049</v>
      </c>
      <c r="DS193" s="15">
        <f t="shared" ca="1" si="225"/>
        <v>7.9409224290177969</v>
      </c>
      <c r="DT193" s="9"/>
      <c r="DU193" s="9"/>
      <c r="DV193" s="9"/>
      <c r="DW193" s="89">
        <v>2.7905268955388286E-2</v>
      </c>
      <c r="DX193" s="89">
        <f t="shared" ca="1" si="163"/>
        <v>4.7578076650213588E-2</v>
      </c>
      <c r="DY193" s="72">
        <f t="shared" ca="1" si="164"/>
        <v>7.038414924736365E-2</v>
      </c>
      <c r="DZ193" s="37"/>
      <c r="EA193" s="35">
        <f t="shared" si="174"/>
        <v>0.28415488734139355</v>
      </c>
      <c r="EB193" s="56"/>
      <c r="EC193" s="56"/>
      <c r="EE193" s="2" t="e" vm="195">
        <v>#VALUE!</v>
      </c>
      <c r="EG193" s="10" cm="1">
        <f t="array" aca="1" ref="EG193" ca="1">_FV(EE193,"Ações em circulação",TRUE)</f>
        <v>40021020</v>
      </c>
      <c r="EH193" s="18">
        <f>VLOOKUP(BR193,Fundamentus!A:U,5,FALSE)</f>
        <v>7.1740000000000004</v>
      </c>
      <c r="EI193" s="2">
        <f t="shared" ca="1" si="165"/>
        <v>43513236.13047114</v>
      </c>
      <c r="EJ193" s="17">
        <v>-89981020.994201258</v>
      </c>
      <c r="EK193" s="17">
        <f t="shared" ca="1" si="166"/>
        <v>-89981020.994201258</v>
      </c>
      <c r="EM193" s="16">
        <f t="shared" ca="1" si="153"/>
        <v>0</v>
      </c>
      <c r="EN193" s="32" t="str">
        <f>IF(VLOOKUP(BR193,Fundamentus!A:U,3,FALSE)&lt;15,"Bom",IF(VLOOKUP(BR193,Fundamentus!A:U,3,FALSE)&gt;15,"Ruim","n/a"))</f>
        <v>Bom</v>
      </c>
      <c r="EO193" s="28" t="str">
        <f>IF(VLOOKUP(BR193,Fundamentus!A:U,4,FALSE)&lt;1,"Baixo",IF(VLOOKUP(BR193,Fundamentus!A:U,4,FALSE)&lt;1.5,"Moderado",IF(VLOOKUP(BR193,Fundamentus!A:U,4,FALSE)&gt;1.5,"Alto","n/a")))</f>
        <v>Alto</v>
      </c>
      <c r="EP193" s="17" t="str">
        <f>IF(VLOOKUP(BR193,Fundamentus!A:U,8,FALSE)&lt;0,"Risco elevado",IF(VLOOKUP(BR193,Fundamentus!A:U,8,FALSE)&lt;1,"Saudável",IF(VLOOKUP(BR193,Fundamentus!A:U,8,FALSE)&lt;3,"Estável",IF(VLOOKUP(BR193,Fundamentus!A:U,8,FALSE)&gt;3,"Alerta","n/a"))))</f>
        <v>Alerta</v>
      </c>
      <c r="EQ193" s="28" t="str">
        <f t="shared" si="167"/>
        <v>Bom</v>
      </c>
      <c r="ER193" s="17" t="str">
        <f>IF(VLOOKUP(BR193,Fundamentus!A:U,12,FALSE)&lt;2,"Subvalorizada",IF(VLOOKUP(BR193,Fundamentus!A:U,12,FALSE)&lt;6,"Muita barata",IF(VLOOKUP(BR193,Fundamentus!A:U,12,FALSE)&lt;6,"Barata",IF(VLOOKUP(BR193,Fundamentus!A:U,12,FALSE)&lt;8,"Atrativa",IF(VLOOKUP(BR193,Fundamentus!A:U,12,FALSE)&gt;8,"Supervalorizada","n/a")))))</f>
        <v>Subvalorizada</v>
      </c>
      <c r="ET193" s="17" t="str">
        <f>IF(VLOOKUP(BR193,Fundamentus!A:U,17,FALSE)&lt;0.1,"Fraco retorno",IF(VLOOKUP(BR193,Fundamentus!A:U,17,FALSE)&gt;0.1,"Bom retorno","n/a"))</f>
        <v>Fraco retorno</v>
      </c>
      <c r="EU193" s="17" t="str">
        <f>IF(VLOOKUP(BR193,Fundamentus!A:U,16,FALSE)&lt;0.1,"Ineficiente",IF(VLOOKUP(BR193,Fundamentus!A:U,16,FALSE)&gt;0.1,"Eficiente","n/a"))</f>
        <v>Ineficiente</v>
      </c>
      <c r="EV193" s="33" t="str">
        <f>IF(VLOOKUP(BR193,Fundamentus!A:U,16,FALSE)&lt;0.1,"Oper. Ineficiente",IF(VLOOKUP(BR193,Fundamentus!A:U,16,FALSE)&gt;0.1,"Oper.Eficiente","n/a"))</f>
        <v>Oper. Ineficiente</v>
      </c>
      <c r="EW193" s="34">
        <f>VLOOKUP(BR193,Fundamentus!A:U,14,FALSE)</f>
        <v>-2.0678999999999998</v>
      </c>
      <c r="EX193" s="17" t="str">
        <f>IF(VLOOKUP(BR193,Fundamentus!A:U,21,FALSE)&lt;0,"Negativo",IF(VLOOKUP(BR193,Fundamentus!A:U,21,FALSE)&lt;0.05,"Fraco",IF(VLOOKUP(BR193,Fundamentus!A:U,21,FALSE)&lt;0.1,"Bom",IF(VLOOKUP(BR193,Fundamentus!A:U,21,FALSE)&gt;0.1,"Muito bom","n/a"))))</f>
        <v>Negativo</v>
      </c>
      <c r="EZ193" s="29" t="str">
        <f>IF(VLOOKUP(BR193,Fundamentus!A:U,15,FALSE)&gt;1,"Bom",IF(VLOOKUP(BR193,Fundamentus!A:U,15,FALSE)&lt;1,"Ruim","n/a"))</f>
        <v>Bom</v>
      </c>
      <c r="FA193" s="17" t="str">
        <f>IF(VLOOKUP(BR193,Fundamentus!A:U,20,FALSE)&lt;0.5,"Baixa",IF(VLOOKUP(BR193,Fundamentus!A:U,20,FALSE)&lt;1,"Moderada",IF(VLOOKUP(BR193,Fundamentus!A:U,20,FALSE)&lt;2,"Alerta",IF(VLOOKUP(BR193,Fundamentus!A:U,20,FALSE)&gt;2,"Alta","n/a"))))</f>
        <v>Baixa</v>
      </c>
      <c r="FB193" s="10"/>
    </row>
    <row r="194" spans="1:158" s="2" customFormat="1" ht="11.25"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5">
        <v>20.3</v>
      </c>
      <c r="BC194" s="52">
        <v>21.38</v>
      </c>
      <c r="BD194" s="52">
        <v>20.32</v>
      </c>
      <c r="BE194" s="52">
        <v>20.3</v>
      </c>
      <c r="BF194" s="52">
        <v>19.61</v>
      </c>
      <c r="BG194" s="67">
        <v>19.5</v>
      </c>
      <c r="BH194" s="52">
        <v>19.7</v>
      </c>
      <c r="BI194" s="52">
        <v>20.71</v>
      </c>
      <c r="BJ194" s="52">
        <v>21.88</v>
      </c>
      <c r="BK194" s="52">
        <v>20.2</v>
      </c>
      <c r="BL194" s="52">
        <v>18.829999999999998</v>
      </c>
      <c r="BM194" s="52">
        <v>18.64</v>
      </c>
      <c r="BN194" s="52">
        <v>18.579999999999998</v>
      </c>
      <c r="BO194" s="52">
        <v>19.61</v>
      </c>
      <c r="BP194" s="52">
        <v>20.13</v>
      </c>
      <c r="BQ194" s="52" cm="1">
        <f t="array" aca="1" ref="BQ194" ca="1">_FV(EE194,"Preço")</f>
        <v>20.13</v>
      </c>
      <c r="BR194" s="69" t="s">
        <v>190</v>
      </c>
      <c r="BS194" s="36" cm="1">
        <f t="array" aca="1" ref="BS194" ca="1">_FV(EE194,"Média de volume",TRUE)</f>
        <v>753550</v>
      </c>
      <c r="BT194" s="36">
        <v>2757100</v>
      </c>
      <c r="BU194" s="36" cm="1">
        <f t="array" aca="1" ref="BU194" ca="1">_FV(EE194,"Volume")</f>
        <v>2757100</v>
      </c>
      <c r="BV194" s="24" cm="1">
        <f t="array" aca="1" ref="BV194" ca="1">_FV(EE194,"Beta")</f>
        <v>0.94640000000000002</v>
      </c>
      <c r="BW194" s="71" cm="1">
        <f t="array" aca="1" ref="BW194" ca="1">_FV(EE194,"Variação (%)",TRUE)</f>
        <v>3.3368000000000002E-2</v>
      </c>
      <c r="BY194" s="17" cm="1">
        <f t="array" aca="1" ref="BY194" ca="1">_FV(EE194,"Baixo")</f>
        <v>19.489999999999998</v>
      </c>
      <c r="BZ194" s="17" cm="1">
        <f t="array" aca="1" ref="BZ194" ca="1">_FV(EE194,"Alto")</f>
        <v>20.28</v>
      </c>
      <c r="CA194" s="24"/>
      <c r="CB194" s="63">
        <f ca="1">SQRT(22.5*(BQ194/VLOOKUP(BR194,Fundamentus!A:U,3,FALSE))*(BQ194/VLOOKUP(BR194,Fundamentus!A:U,4,FALSE)))</f>
        <v>21.216997228233431</v>
      </c>
      <c r="CD194" s="62">
        <f t="shared" ca="1" si="168"/>
        <v>0</v>
      </c>
      <c r="CE194" s="8"/>
      <c r="CF194" s="61">
        <f t="shared" si="169"/>
        <v>14.46</v>
      </c>
      <c r="CG194" s="61">
        <f t="shared" si="170"/>
        <v>21.88</v>
      </c>
      <c r="CH194" s="61">
        <f t="shared" si="171"/>
        <v>17.042426470588236</v>
      </c>
      <c r="CI194" s="14"/>
      <c r="CJ194" s="35">
        <f t="shared" si="154"/>
        <v>19.35037989894176</v>
      </c>
      <c r="CK194" s="15">
        <f t="shared" si="172"/>
        <v>20.614999999999782</v>
      </c>
      <c r="CL194" s="35">
        <f t="shared" si="155"/>
        <v>21.879620101057803</v>
      </c>
      <c r="CN194" s="14"/>
      <c r="CO194" s="17">
        <f t="shared" si="156"/>
        <v>8.3466666666666711</v>
      </c>
      <c r="CP194" s="17">
        <f t="shared" si="157"/>
        <v>11.403333333333336</v>
      </c>
      <c r="CQ194" s="17">
        <f t="shared" si="158"/>
        <v>15.766666666666669</v>
      </c>
      <c r="CR194" s="38">
        <f t="shared" si="173"/>
        <v>18.823333333333334</v>
      </c>
      <c r="CS194" s="17">
        <f t="shared" si="159"/>
        <v>23.186666666666667</v>
      </c>
      <c r="CT194" s="17">
        <f t="shared" si="160"/>
        <v>26.243333333333332</v>
      </c>
      <c r="CU194" s="17">
        <f t="shared" si="161"/>
        <v>30.606666666666666</v>
      </c>
      <c r="CV194" s="2" cm="1">
        <f t="array" aca="1" ref="CV194" ca="1">MAX(_xlfn._xlws.FILTER(CO194:CU194,CO194:CU194&lt;BQ194))</f>
        <v>18.823333333333334</v>
      </c>
      <c r="CW194" s="2" cm="1">
        <f t="array" aca="1" ref="CW194" ca="1">MIN(_xlfn._xlws.FILTER($CO194:$CU194,$CO194:$CU194&gt;BQ194))</f>
        <v>23.186666666666667</v>
      </c>
      <c r="CX194" s="16">
        <f t="shared" ca="1" si="209"/>
        <v>0.23180449796352054</v>
      </c>
      <c r="CY194" s="20">
        <f t="shared" ca="1" si="210"/>
        <v>-0.11590224898176027</v>
      </c>
      <c r="CZ194" s="20">
        <f t="shared" ca="1" si="211"/>
        <v>-7.7268165987840184E-2</v>
      </c>
      <c r="DA194" s="20">
        <f t="shared" ca="1" si="212"/>
        <v>-4.6360899592704105E-2</v>
      </c>
      <c r="DB194" s="20">
        <f t="shared" ca="1" si="213"/>
        <v>-2.5756055329280061E-2</v>
      </c>
      <c r="DC194" s="20">
        <f t="shared" ca="1" si="214"/>
        <v>-1.3635558703736502E-2</v>
      </c>
      <c r="DD194" s="20">
        <f t="shared" ca="1" si="215"/>
        <v>-7.024378726167289E-3</v>
      </c>
      <c r="DE194" s="20">
        <f t="shared" ca="1" si="216"/>
        <v>-3.5662230455926237E-3</v>
      </c>
      <c r="DF194" s="21">
        <f t="shared" ca="1" si="217"/>
        <v>3.5662230455926237E-3</v>
      </c>
      <c r="DG194" s="21">
        <f t="shared" ca="1" si="218"/>
        <v>7.024378726167289E-3</v>
      </c>
      <c r="DH194" s="21">
        <f t="shared" ca="1" si="219"/>
        <v>1.3635558703736502E-2</v>
      </c>
      <c r="DI194" s="21">
        <f t="shared" ca="1" si="220"/>
        <v>2.5756055329280061E-2</v>
      </c>
      <c r="DJ194" s="21">
        <f t="shared" ca="1" si="221"/>
        <v>4.6360899592704105E-2</v>
      </c>
      <c r="DK194" s="21">
        <f t="shared" ca="1" si="222"/>
        <v>7.7268165987840184E-2</v>
      </c>
      <c r="DL194" s="21">
        <f t="shared" ca="1" si="223"/>
        <v>0.11590224898176027</v>
      </c>
      <c r="DN194" s="16" cm="1">
        <f t="array" aca="1" ref="DN194" ca="1">MAX(_xlfn._xlws.FILTER(CY194:DL194,CY194:DL194&lt;BW194))</f>
        <v>2.5756055329280061E-2</v>
      </c>
      <c r="DO194" s="16" cm="1">
        <f t="array" aca="1" ref="DO194" ca="1">MIN(_xlfn._xlws.FILTER(CY194:DL194,CY194:DL194&gt;BW194))</f>
        <v>4.6360899592704105E-2</v>
      </c>
      <c r="DP194" s="2" cm="1">
        <f t="array" aca="1" ref="DP194" ca="1">_FV(EE194,"Fechamento anterior",TRUE)</f>
        <v>19.48</v>
      </c>
      <c r="DQ194" s="28">
        <f t="shared" ca="1" si="162"/>
        <v>0.36940347821039865</v>
      </c>
      <c r="DR194" s="15">
        <f t="shared" ca="1" si="224"/>
        <v>19.981727957814375</v>
      </c>
      <c r="DS194" s="15">
        <f t="shared" ca="1" si="225"/>
        <v>20.383110324065875</v>
      </c>
      <c r="DT194" s="9"/>
      <c r="DU194" s="9"/>
      <c r="DV194" s="9"/>
      <c r="DW194" s="89">
        <v>6.4075544914529315E-3</v>
      </c>
      <c r="DX194" s="89">
        <f t="shared" ca="1" si="163"/>
        <v>2.0604844263424044E-2</v>
      </c>
      <c r="DY194" s="72">
        <f t="shared" ca="1" si="164"/>
        <v>-0.38351438475002597</v>
      </c>
      <c r="DZ194" s="37"/>
      <c r="EA194" s="35">
        <f t="shared" si="174"/>
        <v>0.63231005052901079</v>
      </c>
      <c r="EB194" s="56"/>
      <c r="EC194" s="56"/>
      <c r="EE194" s="2" t="e" vm="196">
        <v>#VALUE!</v>
      </c>
      <c r="EG194" s="10" cm="1">
        <f t="array" aca="1" ref="EG194" ca="1">_FV(EE194,"Ações em circulação",TRUE)</f>
        <v>275536300</v>
      </c>
      <c r="EH194" s="18">
        <f>VLOOKUP(BR194,Fundamentus!A:U,5,FALSE)</f>
        <v>1.6259999999999999</v>
      </c>
      <c r="EI194" s="2">
        <f t="shared" ca="1" si="165"/>
        <v>3411159728.7822881</v>
      </c>
      <c r="EJ194" s="17">
        <v>635499057.47214019</v>
      </c>
      <c r="EK194" s="17">
        <f t="shared" ca="1" si="166"/>
        <v>635499057.47214019</v>
      </c>
      <c r="EM194" s="16">
        <f t="shared" ca="1" si="153"/>
        <v>0</v>
      </c>
      <c r="EN194" s="32" t="str">
        <f>IF(VLOOKUP(BR194,Fundamentus!A:U,3,FALSE)&lt;15,"Bom",IF(VLOOKUP(BR194,Fundamentus!A:U,3,FALSE)&gt;15,"Ruim","n/a"))</f>
        <v>Bom</v>
      </c>
      <c r="EO194" s="28" t="str">
        <f>IF(VLOOKUP(BR194,Fundamentus!A:U,4,FALSE)&lt;1,"Baixo",IF(VLOOKUP(BR194,Fundamentus!A:U,4,FALSE)&lt;1.5,"Moderado",IF(VLOOKUP(BR194,Fundamentus!A:U,4,FALSE)&gt;1.5,"Alto","n/a")))</f>
        <v>Alto</v>
      </c>
      <c r="EP194" s="17" t="str">
        <f>IF(VLOOKUP(BR194,Fundamentus!A:U,8,FALSE)&lt;0,"Risco elevado",IF(VLOOKUP(BR194,Fundamentus!A:U,8,FALSE)&lt;1,"Saudável",IF(VLOOKUP(BR194,Fundamentus!A:U,8,FALSE)&lt;3,"Estável",IF(VLOOKUP(BR194,Fundamentus!A:U,8,FALSE)&gt;3,"Alerta","n/a"))))</f>
        <v>Alerta</v>
      </c>
      <c r="EQ194" s="28" t="str">
        <f t="shared" si="167"/>
        <v>Bom</v>
      </c>
      <c r="ER194" s="17" t="str">
        <f>IF(VLOOKUP(BR194,Fundamentus!A:U,12,FALSE)&lt;2,"Subvalorizada",IF(VLOOKUP(BR194,Fundamentus!A:U,12,FALSE)&lt;6,"Muita barata",IF(VLOOKUP(BR194,Fundamentus!A:U,12,FALSE)&lt;6,"Barata",IF(VLOOKUP(BR194,Fundamentus!A:U,12,FALSE)&lt;8,"Atrativa",IF(VLOOKUP(BR194,Fundamentus!A:U,12,FALSE)&gt;8,"Supervalorizada","n/a")))))</f>
        <v>Atrativa</v>
      </c>
      <c r="ET194" s="17" t="str">
        <f>IF(VLOOKUP(BR194,Fundamentus!A:U,17,FALSE)&lt;0.1,"Fraco retorno",IF(VLOOKUP(BR194,Fundamentus!A:U,17,FALSE)&gt;0.1,"Bom retorno","n/a"))</f>
        <v>Bom retorno</v>
      </c>
      <c r="EU194" s="17" t="str">
        <f>IF(VLOOKUP(BR194,Fundamentus!A:U,16,FALSE)&lt;0.1,"Ineficiente",IF(VLOOKUP(BR194,Fundamentus!A:U,16,FALSE)&gt;0.1,"Eficiente","n/a"))</f>
        <v>Eficiente</v>
      </c>
      <c r="EV194" s="33" t="str">
        <f>IF(VLOOKUP(BR194,Fundamentus!A:U,16,FALSE)&lt;0.1,"Oper. Ineficiente",IF(VLOOKUP(BR194,Fundamentus!A:U,16,FALSE)&gt;0.1,"Oper.Eficiente","n/a"))</f>
        <v>Oper.Eficiente</v>
      </c>
      <c r="EW194" s="34">
        <f>VLOOKUP(BR194,Fundamentus!A:U,14,FALSE)</f>
        <v>0.18629999999999999</v>
      </c>
      <c r="EX194" s="17" t="str">
        <f>IF(VLOOKUP(BR194,Fundamentus!A:U,21,FALSE)&lt;0,"Negativo",IF(VLOOKUP(BR194,Fundamentus!A:U,21,FALSE)&lt;0.05,"Fraco",IF(VLOOKUP(BR194,Fundamentus!A:U,21,FALSE)&lt;0.1,"Bom",IF(VLOOKUP(BR194,Fundamentus!A:U,21,FALSE)&gt;0.1,"Muito bom","n/a"))))</f>
        <v>Muito bom</v>
      </c>
      <c r="EZ194" s="29" t="str">
        <f>IF(VLOOKUP(BR194,Fundamentus!A:U,15,FALSE)&gt;1,"Bom",IF(VLOOKUP(BR194,Fundamentus!A:U,15,FALSE)&lt;1,"Ruim","n/a"))</f>
        <v>Bom</v>
      </c>
      <c r="FA194" s="17" t="str">
        <f>IF(VLOOKUP(BR194,Fundamentus!A:U,20,FALSE)&lt;0.5,"Baixa",IF(VLOOKUP(BR194,Fundamentus!A:U,20,FALSE)&lt;1,"Moderada",IF(VLOOKUP(BR194,Fundamentus!A:U,20,FALSE)&lt;2,"Alerta",IF(VLOOKUP(BR194,Fundamentus!A:U,20,FALSE)&gt;2,"Alta","n/a"))))</f>
        <v>Baixa</v>
      </c>
      <c r="FB194" s="10"/>
    </row>
    <row r="195" spans="1:158" s="2" customFormat="1" ht="11.25"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5">
        <v>1.25</v>
      </c>
      <c r="BC195" s="52">
        <v>1.25</v>
      </c>
      <c r="BD195" s="52">
        <v>1.23</v>
      </c>
      <c r="BE195" s="52">
        <v>1.22</v>
      </c>
      <c r="BF195" s="52">
        <v>1.22</v>
      </c>
      <c r="BG195" s="67">
        <v>1.21</v>
      </c>
      <c r="BH195" s="52">
        <v>1.2</v>
      </c>
      <c r="BI195" s="52">
        <v>1.21</v>
      </c>
      <c r="BJ195" s="52">
        <v>1.2</v>
      </c>
      <c r="BK195" s="52">
        <v>1.19</v>
      </c>
      <c r="BL195" s="52">
        <v>1.1599999999999999</v>
      </c>
      <c r="BM195" s="52">
        <v>1.1599999999999999</v>
      </c>
      <c r="BN195" s="52">
        <v>1.17</v>
      </c>
      <c r="BO195" s="52">
        <v>1.1499999999999999</v>
      </c>
      <c r="BP195" s="52">
        <v>1.1499999999999999</v>
      </c>
      <c r="BQ195" s="52" cm="1">
        <f t="array" aca="1" ref="BQ195" ca="1">_FV(EE195,"Preço")</f>
        <v>1.1499999999999999</v>
      </c>
      <c r="BR195" s="69" t="s">
        <v>191</v>
      </c>
      <c r="BS195" s="36" cm="1">
        <f t="array" aca="1" ref="BS195" ca="1">_FV(EE195,"Média de volume",TRUE)</f>
        <v>43970</v>
      </c>
      <c r="BT195" s="36">
        <v>9800</v>
      </c>
      <c r="BU195" s="36" cm="1">
        <f t="array" aca="1" ref="BU195" ca="1">_FV(EE195,"Volume")</f>
        <v>9800</v>
      </c>
      <c r="BV195" s="24" cm="1">
        <f t="array" aca="1" ref="BV195" ca="1">_FV(EE195,"Beta")</f>
        <v>1.7968999999999999</v>
      </c>
      <c r="BW195" s="71" cm="1">
        <f t="array" aca="1" ref="BW195" ca="1">_FV(EE195,"Variação (%)",TRUE)</f>
        <v>-1.7094000000000002E-2</v>
      </c>
      <c r="BY195" s="17" cm="1">
        <f t="array" aca="1" ref="BY195" ca="1">_FV(EE195,"Baixo")</f>
        <v>1.1399999999999999</v>
      </c>
      <c r="BZ195" s="17" cm="1">
        <f t="array" aca="1" ref="BZ195" ca="1">_FV(EE195,"Alto")</f>
        <v>1.17</v>
      </c>
      <c r="CA195" s="24"/>
      <c r="CB195" s="63" t="e">
        <f ca="1">SQRT(22.5*(BQ195/VLOOKUP(BR195,Fundamentus!A:U,3,FALSE))*(BQ195/VLOOKUP(BR195,Fundamentus!A:U,4,FALSE)))</f>
        <v>#NUM!</v>
      </c>
      <c r="CD195" s="62">
        <f t="shared" ca="1" si="168"/>
        <v>0</v>
      </c>
      <c r="CE195" s="8"/>
      <c r="CF195" s="61">
        <f t="shared" si="169"/>
        <v>1.1499999999999999</v>
      </c>
      <c r="CG195" s="61">
        <f t="shared" si="170"/>
        <v>1.79</v>
      </c>
      <c r="CH195" s="61">
        <f t="shared" si="171"/>
        <v>1.3694117647058826</v>
      </c>
      <c r="CI195" s="14"/>
      <c r="CJ195" s="35">
        <f t="shared" si="154"/>
        <v>1.117870680067502</v>
      </c>
      <c r="CK195" s="15">
        <f t="shared" si="172"/>
        <v>1.1450000000000031</v>
      </c>
      <c r="CL195" s="35">
        <f t="shared" si="155"/>
        <v>1.1721293199325042</v>
      </c>
      <c r="CN195" s="14"/>
      <c r="CO195" s="17">
        <f t="shared" si="156"/>
        <v>0.29666666666666641</v>
      </c>
      <c r="CP195" s="17">
        <f t="shared" si="157"/>
        <v>0.72333333333333316</v>
      </c>
      <c r="CQ195" s="17">
        <f t="shared" si="158"/>
        <v>0.93666666666666654</v>
      </c>
      <c r="CR195" s="38">
        <f t="shared" si="173"/>
        <v>1.3633333333333333</v>
      </c>
      <c r="CS195" s="17">
        <f t="shared" si="159"/>
        <v>1.5766666666666667</v>
      </c>
      <c r="CT195" s="17">
        <f t="shared" si="160"/>
        <v>2.0033333333333334</v>
      </c>
      <c r="CU195" s="17">
        <f t="shared" si="161"/>
        <v>2.2166666666666668</v>
      </c>
      <c r="CV195" s="2" cm="1">
        <f t="array" aca="1" ref="CV195" ca="1">MAX(_xlfn._xlws.FILTER(CO195:CU195,CO195:CU195&lt;BQ195))</f>
        <v>0.93666666666666654</v>
      </c>
      <c r="CW195" s="2" cm="1">
        <f t="array" aca="1" ref="CW195" ca="1">MIN(_xlfn._xlws.FILTER($CO195:$CU195,$CO195:$CU195&gt;BQ195))</f>
        <v>1.3633333333333333</v>
      </c>
      <c r="CX195" s="16">
        <f t="shared" ca="1" si="209"/>
        <v>0.45551601423487553</v>
      </c>
      <c r="CY195" s="20">
        <f t="shared" ca="1" si="210"/>
        <v>-0.22775800711743777</v>
      </c>
      <c r="CZ195" s="20">
        <f t="shared" ca="1" si="211"/>
        <v>-0.15183867141162519</v>
      </c>
      <c r="DA195" s="20">
        <f t="shared" ca="1" si="212"/>
        <v>-9.1103202846975109E-2</v>
      </c>
      <c r="DB195" s="20">
        <f t="shared" ca="1" si="213"/>
        <v>-5.0612890470541724E-2</v>
      </c>
      <c r="DC195" s="20">
        <f t="shared" ca="1" si="214"/>
        <v>-2.6795059660875031E-2</v>
      </c>
      <c r="DD195" s="20">
        <f t="shared" ca="1" si="215"/>
        <v>-1.3803515582875016E-2</v>
      </c>
      <c r="DE195" s="20">
        <f t="shared" ca="1" si="216"/>
        <v>-7.0079386805365464E-3</v>
      </c>
      <c r="DF195" s="21">
        <f t="shared" ca="1" si="217"/>
        <v>7.0079386805365464E-3</v>
      </c>
      <c r="DG195" s="21">
        <f t="shared" ca="1" si="218"/>
        <v>1.3803515582875016E-2</v>
      </c>
      <c r="DH195" s="21">
        <f t="shared" ca="1" si="219"/>
        <v>2.6795059660875031E-2</v>
      </c>
      <c r="DI195" s="21">
        <f t="shared" ca="1" si="220"/>
        <v>5.0612890470541724E-2</v>
      </c>
      <c r="DJ195" s="21">
        <f t="shared" ca="1" si="221"/>
        <v>9.1103202846975109E-2</v>
      </c>
      <c r="DK195" s="21">
        <f t="shared" ca="1" si="222"/>
        <v>0.15183867141162519</v>
      </c>
      <c r="DL195" s="21">
        <f t="shared" ca="1" si="223"/>
        <v>0.22775800711743777</v>
      </c>
      <c r="DN195" s="16" cm="1">
        <f t="array" aca="1" ref="DN195" ca="1">MAX(_xlfn._xlws.FILTER(CY195:DL195,CY195:DL195&lt;BW195))</f>
        <v>-2.6795059660875031E-2</v>
      </c>
      <c r="DO195" s="16" cm="1">
        <f t="array" aca="1" ref="DO195" ca="1">MIN(_xlfn._xlws.FILTER(CY195:DL195,CY195:DL195&gt;BW195))</f>
        <v>-1.3803515582875016E-2</v>
      </c>
      <c r="DP195" s="2" cm="1">
        <f t="array" aca="1" ref="DP195" ca="1">_FV(EE195,"Fechamento anterior",TRUE)</f>
        <v>1.17</v>
      </c>
      <c r="DQ195" s="28">
        <f t="shared" ca="1" si="162"/>
        <v>0.74671975160256021</v>
      </c>
      <c r="DR195" s="15">
        <f t="shared" ca="1" si="224"/>
        <v>1.1386497801967761</v>
      </c>
      <c r="DS195" s="15">
        <f t="shared" ca="1" si="225"/>
        <v>1.1538498867680362</v>
      </c>
      <c r="DT195" s="9"/>
      <c r="DU195" s="9"/>
      <c r="DV195" s="9"/>
      <c r="DW195" s="89">
        <v>6.7955769023384698E-3</v>
      </c>
      <c r="DX195" s="89">
        <f t="shared" ca="1" si="163"/>
        <v>1.2991544078000015E-2</v>
      </c>
      <c r="DY195" s="72">
        <f t="shared" ca="1" si="164"/>
        <v>0.18430244519350261</v>
      </c>
      <c r="DZ195" s="37"/>
      <c r="EA195" s="35">
        <f t="shared" si="174"/>
        <v>1.3564659966250548E-2</v>
      </c>
      <c r="EB195" s="56"/>
      <c r="EC195" s="56"/>
      <c r="EE195" s="2" t="e" vm="197">
        <v>#VALUE!</v>
      </c>
      <c r="EG195" s="10" cm="1">
        <f t="array" aca="1" ref="EG195" ca="1">_FV(EE195,"Ações em circulação",TRUE)</f>
        <v>43716190</v>
      </c>
      <c r="EH195" s="18">
        <f>VLOOKUP(BR195,Fundamentus!A:U,5,FALSE)</f>
        <v>0.48</v>
      </c>
      <c r="EI195" s="2">
        <f t="shared" ca="1" si="165"/>
        <v>104736705.20833333</v>
      </c>
      <c r="EJ195" s="17">
        <v>-35149638.267916664</v>
      </c>
      <c r="EK195" s="17">
        <f t="shared" ca="1" si="166"/>
        <v>-35149638.267916664</v>
      </c>
      <c r="EM195" s="16">
        <f t="shared" ref="EM195:EM258" ca="1" si="226">(EK195/EJ195)-1</f>
        <v>0</v>
      </c>
      <c r="EN195" s="32" t="str">
        <f>IF(VLOOKUP(BR195,Fundamentus!A:U,3,FALSE)&lt;15,"Bom",IF(VLOOKUP(BR195,Fundamentus!A:U,3,FALSE)&gt;15,"Ruim","n/a"))</f>
        <v>Bom</v>
      </c>
      <c r="EO195" s="28" t="str">
        <f>IF(VLOOKUP(BR195,Fundamentus!A:U,4,FALSE)&lt;1,"Baixo",IF(VLOOKUP(BR195,Fundamentus!A:U,4,FALSE)&lt;1.5,"Moderado",IF(VLOOKUP(BR195,Fundamentus!A:U,4,FALSE)&gt;1.5,"Alto","n/a")))</f>
        <v>Baixo</v>
      </c>
      <c r="EP195" s="17" t="str">
        <f>IF(VLOOKUP(BR195,Fundamentus!A:U,8,FALSE)&lt;0,"Risco elevado",IF(VLOOKUP(BR195,Fundamentus!A:U,8,FALSE)&lt;1,"Saudável",IF(VLOOKUP(BR195,Fundamentus!A:U,8,FALSE)&lt;3,"Estável",IF(VLOOKUP(BR195,Fundamentus!A:U,8,FALSE)&gt;3,"Alerta","n/a"))))</f>
        <v>Alerta</v>
      </c>
      <c r="EQ195" s="28" t="str">
        <f t="shared" si="167"/>
        <v>Ruim</v>
      </c>
      <c r="ER195" s="17" t="str">
        <f>IF(VLOOKUP(BR195,Fundamentus!A:U,12,FALSE)&lt;2,"Subvalorizada",IF(VLOOKUP(BR195,Fundamentus!A:U,12,FALSE)&lt;6,"Muita barata",IF(VLOOKUP(BR195,Fundamentus!A:U,12,FALSE)&lt;6,"Barata",IF(VLOOKUP(BR195,Fundamentus!A:U,12,FALSE)&lt;8,"Atrativa",IF(VLOOKUP(BR195,Fundamentus!A:U,12,FALSE)&gt;8,"Supervalorizada","n/a")))))</f>
        <v>Subvalorizada</v>
      </c>
      <c r="ET195" s="17" t="str">
        <f>IF(VLOOKUP(BR195,Fundamentus!A:U,17,FALSE)&lt;0.1,"Fraco retorno",IF(VLOOKUP(BR195,Fundamentus!A:U,17,FALSE)&gt;0.1,"Bom retorno","n/a"))</f>
        <v>Fraco retorno</v>
      </c>
      <c r="EU195" s="17" t="str">
        <f>IF(VLOOKUP(BR195,Fundamentus!A:U,16,FALSE)&lt;0.1,"Ineficiente",IF(VLOOKUP(BR195,Fundamentus!A:U,16,FALSE)&gt;0.1,"Eficiente","n/a"))</f>
        <v>Ineficiente</v>
      </c>
      <c r="EV195" s="33" t="str">
        <f>IF(VLOOKUP(BR195,Fundamentus!A:U,16,FALSE)&lt;0.1,"Oper. Ineficiente",IF(VLOOKUP(BR195,Fundamentus!A:U,16,FALSE)&gt;0.1,"Oper.Eficiente","n/a"))</f>
        <v>Oper. Ineficiente</v>
      </c>
      <c r="EW195" s="34">
        <f>VLOOKUP(BR195,Fundamentus!A:U,14,FALSE)</f>
        <v>-0.33560000000000001</v>
      </c>
      <c r="EX195" s="17" t="str">
        <f>IF(VLOOKUP(BR195,Fundamentus!A:U,21,FALSE)&lt;0,"Negativo",IF(VLOOKUP(BR195,Fundamentus!A:U,21,FALSE)&lt;0.05,"Fraco",IF(VLOOKUP(BR195,Fundamentus!A:U,21,FALSE)&lt;0.1,"Bom",IF(VLOOKUP(BR195,Fundamentus!A:U,21,FALSE)&gt;0.1,"Muito bom","n/a"))))</f>
        <v>Muito bom</v>
      </c>
      <c r="EZ195" s="29" t="str">
        <f>IF(VLOOKUP(BR195,Fundamentus!A:U,15,FALSE)&gt;1,"Bom",IF(VLOOKUP(BR195,Fundamentus!A:U,15,FALSE)&lt;1,"Ruim","n/a"))</f>
        <v>Bom</v>
      </c>
      <c r="FA195" s="17" t="str">
        <f>IF(VLOOKUP(BR195,Fundamentus!A:U,20,FALSE)&lt;0.5,"Baixa",IF(VLOOKUP(BR195,Fundamentus!A:U,20,FALSE)&lt;1,"Moderada",IF(VLOOKUP(BR195,Fundamentus!A:U,20,FALSE)&lt;2,"Alerta",IF(VLOOKUP(BR195,Fundamentus!A:U,20,FALSE)&gt;2,"Alta","n/a"))))</f>
        <v>Alerta</v>
      </c>
      <c r="FB195" s="10"/>
    </row>
    <row r="196" spans="1:158" s="2" customFormat="1" ht="11.25"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5">
        <v>7.14</v>
      </c>
      <c r="BC196" s="52">
        <v>6.54</v>
      </c>
      <c r="BD196" s="52">
        <v>6.44</v>
      </c>
      <c r="BE196" s="52">
        <v>6.75</v>
      </c>
      <c r="BF196" s="52">
        <v>6.99</v>
      </c>
      <c r="BG196" s="67">
        <v>7.19</v>
      </c>
      <c r="BH196" s="52">
        <v>7.49</v>
      </c>
      <c r="BI196" s="52">
        <v>7.37</v>
      </c>
      <c r="BJ196" s="52">
        <v>7.37</v>
      </c>
      <c r="BK196" s="52">
        <v>6.91</v>
      </c>
      <c r="BL196" s="52">
        <v>6.79</v>
      </c>
      <c r="BM196" s="52">
        <v>6.75</v>
      </c>
      <c r="BN196" s="52">
        <v>6.74</v>
      </c>
      <c r="BO196" s="52">
        <v>6.8</v>
      </c>
      <c r="BP196" s="52">
        <v>7.07</v>
      </c>
      <c r="BQ196" s="52" cm="1">
        <f t="array" aca="1" ref="BQ196" ca="1">_FV(EE196,"Preço")</f>
        <v>7.07</v>
      </c>
      <c r="BR196" s="69" t="s">
        <v>192</v>
      </c>
      <c r="BS196" s="36" cm="1">
        <f t="array" aca="1" ref="BS196" ca="1">_FV(EE196,"Média de volume",TRUE)</f>
        <v>3397790</v>
      </c>
      <c r="BT196" s="36">
        <v>2239500</v>
      </c>
      <c r="BU196" s="36" cm="1">
        <f t="array" aca="1" ref="BU196" ca="1">_FV(EE196,"Volume")</f>
        <v>2239500</v>
      </c>
      <c r="BV196" s="24" cm="1">
        <f t="array" aca="1" ref="BV196" ca="1">_FV(EE196,"Beta")</f>
        <v>1.6198999999999999</v>
      </c>
      <c r="BW196" s="71" cm="1">
        <f t="array" aca="1" ref="BW196" ca="1">_FV(EE196,"Variação (%)",TRUE)</f>
        <v>-1.9417E-2</v>
      </c>
      <c r="BY196" s="17" cm="1">
        <f t="array" aca="1" ref="BY196" ca="1">_FV(EE196,"Baixo")</f>
        <v>7.07</v>
      </c>
      <c r="BZ196" s="17" cm="1">
        <f t="array" aca="1" ref="BZ196" ca="1">_FV(EE196,"Alto")</f>
        <v>7.29</v>
      </c>
      <c r="CA196" s="24"/>
      <c r="CB196" s="63">
        <f ca="1">SQRT(22.5*(BQ196/VLOOKUP(BR196,Fundamentus!A:U,3,FALSE))*(BQ196/VLOOKUP(BR196,Fundamentus!A:U,4,FALSE)))</f>
        <v>12.162209092880266</v>
      </c>
      <c r="CD196" s="62">
        <f t="shared" ca="1" si="168"/>
        <v>0</v>
      </c>
      <c r="CE196" s="8"/>
      <c r="CF196" s="61">
        <f t="shared" si="169"/>
        <v>4.07</v>
      </c>
      <c r="CG196" s="61">
        <f t="shared" si="170"/>
        <v>7.99</v>
      </c>
      <c r="CH196" s="61">
        <f t="shared" si="171"/>
        <v>6.4616911764705884</v>
      </c>
      <c r="CI196" s="14"/>
      <c r="CJ196" s="35">
        <f t="shared" si="154"/>
        <v>6.9740702683373792</v>
      </c>
      <c r="CK196" s="15">
        <f t="shared" si="172"/>
        <v>7.0950000000000273</v>
      </c>
      <c r="CL196" s="35">
        <f t="shared" si="155"/>
        <v>7.2159297316626754</v>
      </c>
      <c r="CN196" s="14"/>
      <c r="CO196" s="17">
        <f t="shared" si="156"/>
        <v>0.84333333333333549</v>
      </c>
      <c r="CP196" s="17">
        <f t="shared" si="157"/>
        <v>2.4566666666666679</v>
      </c>
      <c r="CQ196" s="17">
        <f t="shared" si="158"/>
        <v>4.7633333333333354</v>
      </c>
      <c r="CR196" s="38">
        <f t="shared" si="173"/>
        <v>6.3766666666666678</v>
      </c>
      <c r="CS196" s="17">
        <f t="shared" si="159"/>
        <v>8.6833333333333353</v>
      </c>
      <c r="CT196" s="17">
        <f t="shared" si="160"/>
        <v>10.296666666666667</v>
      </c>
      <c r="CU196" s="17">
        <f t="shared" si="161"/>
        <v>12.603333333333335</v>
      </c>
      <c r="CV196" s="2" cm="1">
        <f t="array" aca="1" ref="CV196" ca="1">MAX(_xlfn._xlws.FILTER(CO196:CU196,CO196:CU196&lt;BQ196))</f>
        <v>6.3766666666666678</v>
      </c>
      <c r="CW196" s="2" cm="1">
        <f t="array" aca="1" ref="CW196" ca="1">MIN(_xlfn._xlws.FILTER($CO196:$CU196,$CO196:$CU196&gt;BQ196))</f>
        <v>8.6833333333333353</v>
      </c>
      <c r="CX196" s="16">
        <f t="shared" ca="1" si="209"/>
        <v>0.3617354939884998</v>
      </c>
      <c r="CY196" s="20">
        <f t="shared" ca="1" si="210"/>
        <v>-0.1808677469942499</v>
      </c>
      <c r="CZ196" s="20">
        <f t="shared" ca="1" si="211"/>
        <v>-0.1205784979961666</v>
      </c>
      <c r="DA196" s="20">
        <f t="shared" ca="1" si="212"/>
        <v>-7.234709879769996E-2</v>
      </c>
      <c r="DB196" s="20">
        <f t="shared" ca="1" si="213"/>
        <v>-4.0192832665388867E-2</v>
      </c>
      <c r="DC196" s="20">
        <f t="shared" ca="1" si="214"/>
        <v>-2.1278558469911751E-2</v>
      </c>
      <c r="DD196" s="20">
        <f t="shared" ca="1" si="215"/>
        <v>-1.0961681636015146E-2</v>
      </c>
      <c r="DE196" s="20">
        <f t="shared" ca="1" si="216"/>
        <v>-5.5651614459769202E-3</v>
      </c>
      <c r="DF196" s="21">
        <f t="shared" ca="1" si="217"/>
        <v>5.5651614459769202E-3</v>
      </c>
      <c r="DG196" s="21">
        <f t="shared" ca="1" si="218"/>
        <v>1.0961681636015146E-2</v>
      </c>
      <c r="DH196" s="21">
        <f t="shared" ca="1" si="219"/>
        <v>2.1278558469911751E-2</v>
      </c>
      <c r="DI196" s="21">
        <f t="shared" ca="1" si="220"/>
        <v>4.0192832665388867E-2</v>
      </c>
      <c r="DJ196" s="21">
        <f t="shared" ca="1" si="221"/>
        <v>7.234709879769996E-2</v>
      </c>
      <c r="DK196" s="21">
        <f t="shared" ca="1" si="222"/>
        <v>0.1205784979961666</v>
      </c>
      <c r="DL196" s="21">
        <f t="shared" ca="1" si="223"/>
        <v>0.1808677469942499</v>
      </c>
      <c r="DN196" s="16" cm="1">
        <f t="array" aca="1" ref="DN196" ca="1">MAX(_xlfn._xlws.FILTER(CY196:DL196,CY196:DL196&lt;BW196))</f>
        <v>-2.1278558469911751E-2</v>
      </c>
      <c r="DO196" s="16" cm="1">
        <f t="array" aca="1" ref="DO196" ca="1">MIN(_xlfn._xlws.FILTER(CY196:DL196,CY196:DL196&gt;BW196))</f>
        <v>-1.0961681636015146E-2</v>
      </c>
      <c r="DP196" s="2" cm="1">
        <f t="array" aca="1" ref="DP196" ca="1">_FV(EE196,"Fechamento anterior",TRUE)</f>
        <v>7.21</v>
      </c>
      <c r="DQ196" s="28">
        <f t="shared" ca="1" si="162"/>
        <v>0.18039206745609396</v>
      </c>
      <c r="DR196" s="15">
        <f t="shared" ca="1" si="224"/>
        <v>7.056581593431936</v>
      </c>
      <c r="DS196" s="15">
        <f t="shared" ca="1" si="225"/>
        <v>7.1309662754043304</v>
      </c>
      <c r="DT196" s="9"/>
      <c r="DU196" s="9"/>
      <c r="DV196" s="9"/>
      <c r="DW196" s="89">
        <v>1.0056273545762655E-2</v>
      </c>
      <c r="DX196" s="89">
        <f t="shared" ca="1" si="163"/>
        <v>1.0316876833896605E-2</v>
      </c>
      <c r="DY196" s="72">
        <f t="shared" ca="1" si="164"/>
        <v>-0.20673162551760479</v>
      </c>
      <c r="DZ196" s="37"/>
      <c r="EA196" s="35">
        <f t="shared" si="174"/>
        <v>6.0464865831323912E-2</v>
      </c>
      <c r="EB196" s="56"/>
      <c r="EC196" s="56"/>
      <c r="EE196" s="2" t="e" vm="198">
        <v>#VALUE!</v>
      </c>
      <c r="EG196" s="10" cm="1">
        <f t="array" aca="1" ref="EG196" ca="1">_FV(EE196,"Ações em circulação",TRUE)</f>
        <v>696334200</v>
      </c>
      <c r="EH196" s="18">
        <f>VLOOKUP(BR196,Fundamentus!A:U,5,FALSE)</f>
        <v>0.46400000000000002</v>
      </c>
      <c r="EI196" s="2">
        <f t="shared" ca="1" si="165"/>
        <v>10610092228.448275</v>
      </c>
      <c r="EJ196" s="17">
        <v>847746369.05301714</v>
      </c>
      <c r="EK196" s="17">
        <f t="shared" ca="1" si="166"/>
        <v>847746369.05301714</v>
      </c>
      <c r="EM196" s="16">
        <f t="shared" ca="1" si="226"/>
        <v>0</v>
      </c>
      <c r="EN196" s="32" t="str">
        <f>IF(VLOOKUP(BR196,Fundamentus!A:U,3,FALSE)&lt;15,"Bom",IF(VLOOKUP(BR196,Fundamentus!A:U,3,FALSE)&gt;15,"Ruim","n/a"))</f>
        <v>Bom</v>
      </c>
      <c r="EO196" s="28" t="str">
        <f>IF(VLOOKUP(BR196,Fundamentus!A:U,4,FALSE)&lt;1,"Baixo",IF(VLOOKUP(BR196,Fundamentus!A:U,4,FALSE)&lt;1.5,"Moderado",IF(VLOOKUP(BR196,Fundamentus!A:U,4,FALSE)&gt;1.5,"Alto","n/a")))</f>
        <v>Moderado</v>
      </c>
      <c r="EP196" s="17" t="str">
        <f>IF(VLOOKUP(BR196,Fundamentus!A:U,8,FALSE)&lt;0,"Risco elevado",IF(VLOOKUP(BR196,Fundamentus!A:U,8,FALSE)&lt;1,"Saudável",IF(VLOOKUP(BR196,Fundamentus!A:U,8,FALSE)&lt;3,"Estável",IF(VLOOKUP(BR196,Fundamentus!A:U,8,FALSE)&gt;3,"Alerta","n/a"))))</f>
        <v>Risco elevado</v>
      </c>
      <c r="EQ196" s="28" t="str">
        <f t="shared" si="167"/>
        <v>Ruim</v>
      </c>
      <c r="ER196" s="17" t="str">
        <f>IF(VLOOKUP(BR196,Fundamentus!A:U,12,FALSE)&lt;2,"Subvalorizada",IF(VLOOKUP(BR196,Fundamentus!A:U,12,FALSE)&lt;6,"Muita barata",IF(VLOOKUP(BR196,Fundamentus!A:U,12,FALSE)&lt;6,"Barata",IF(VLOOKUP(BR196,Fundamentus!A:U,12,FALSE)&lt;8,"Atrativa",IF(VLOOKUP(BR196,Fundamentus!A:U,12,FALSE)&gt;8,"Supervalorizada","n/a")))))</f>
        <v>Muita barata</v>
      </c>
      <c r="ET196" s="17" t="str">
        <f>IF(VLOOKUP(BR196,Fundamentus!A:U,17,FALSE)&lt;0.1,"Fraco retorno",IF(VLOOKUP(BR196,Fundamentus!A:U,17,FALSE)&gt;0.1,"Bom retorno","n/a"))</f>
        <v>Bom retorno</v>
      </c>
      <c r="EU196" s="17" t="str">
        <f>IF(VLOOKUP(BR196,Fundamentus!A:U,16,FALSE)&lt;0.1,"Ineficiente",IF(VLOOKUP(BR196,Fundamentus!A:U,16,FALSE)&gt;0.1,"Eficiente","n/a"))</f>
        <v>Eficiente</v>
      </c>
      <c r="EV196" s="33" t="str">
        <f>IF(VLOOKUP(BR196,Fundamentus!A:U,16,FALSE)&lt;0.1,"Oper. Ineficiente",IF(VLOOKUP(BR196,Fundamentus!A:U,16,FALSE)&gt;0.1,"Oper.Eficiente","n/a"))</f>
        <v>Oper.Eficiente</v>
      </c>
      <c r="EW196" s="34">
        <f>VLOOKUP(BR196,Fundamentus!A:U,14,FALSE)</f>
        <v>7.9899999999999999E-2</v>
      </c>
      <c r="EX196" s="17" t="str">
        <f>IF(VLOOKUP(BR196,Fundamentus!A:U,21,FALSE)&lt;0,"Negativo",IF(VLOOKUP(BR196,Fundamentus!A:U,21,FALSE)&lt;0.05,"Fraco",IF(VLOOKUP(BR196,Fundamentus!A:U,21,FALSE)&lt;0.1,"Bom",IF(VLOOKUP(BR196,Fundamentus!A:U,21,FALSE)&gt;0.1,"Muito bom","n/a"))))</f>
        <v>Muito bom</v>
      </c>
      <c r="EZ196" s="29" t="str">
        <f>IF(VLOOKUP(BR196,Fundamentus!A:U,15,FALSE)&gt;1,"Bom",IF(VLOOKUP(BR196,Fundamentus!A:U,15,FALSE)&lt;1,"Ruim","n/a"))</f>
        <v>Ruim</v>
      </c>
      <c r="FA196" s="17" t="str">
        <f>IF(VLOOKUP(BR196,Fundamentus!A:U,20,FALSE)&lt;0.5,"Baixa",IF(VLOOKUP(BR196,Fundamentus!A:U,20,FALSE)&lt;1,"Moderada",IF(VLOOKUP(BR196,Fundamentus!A:U,20,FALSE)&lt;2,"Alerta",IF(VLOOKUP(BR196,Fundamentus!A:U,20,FALSE)&gt;2,"Alta","n/a"))))</f>
        <v>Alta</v>
      </c>
      <c r="FB196" s="10"/>
    </row>
    <row r="197" spans="1:158" s="2" customFormat="1" ht="11.25"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5">
        <v>0.66</v>
      </c>
      <c r="BC197" s="52">
        <v>0.56999999999999995</v>
      </c>
      <c r="BD197" s="52">
        <v>0.42</v>
      </c>
      <c r="BE197" s="52">
        <v>0.34</v>
      </c>
      <c r="BF197" s="52">
        <v>0.27</v>
      </c>
      <c r="BG197" s="67">
        <v>0.3</v>
      </c>
      <c r="BH197" s="52">
        <v>0.27</v>
      </c>
      <c r="BI197" s="52">
        <v>0.3</v>
      </c>
      <c r="BJ197" s="52">
        <v>0.25</v>
      </c>
      <c r="BK197" s="52">
        <v>0.24</v>
      </c>
      <c r="BL197" s="52">
        <v>0.22</v>
      </c>
      <c r="BM197" s="52">
        <v>0.22</v>
      </c>
      <c r="BN197" s="52">
        <v>0.22</v>
      </c>
      <c r="BO197" s="52">
        <v>0.18</v>
      </c>
      <c r="BP197" s="52">
        <v>0.18</v>
      </c>
      <c r="BQ197" s="52" cm="1">
        <f t="array" aca="1" ref="BQ197" ca="1">_FV(EE197,"Preço")</f>
        <v>0.18</v>
      </c>
      <c r="BR197" s="69" t="s">
        <v>193</v>
      </c>
      <c r="BS197" s="36" cm="1">
        <f t="array" aca="1" ref="BS197" ca="1">_FV(EE197,"Média de volume",TRUE)</f>
        <v>1222450</v>
      </c>
      <c r="BT197" s="36">
        <v>2068300</v>
      </c>
      <c r="BU197" s="36" cm="1">
        <f t="array" aca="1" ref="BU197" ca="1">_FV(EE197,"Volume")</f>
        <v>2068300</v>
      </c>
      <c r="BV197" s="24" cm="1">
        <f t="array" aca="1" ref="BV197" ca="1">_FV(EE197,"Beta")</f>
        <v>1.7743</v>
      </c>
      <c r="BW197" s="71" cm="1">
        <f t="array" aca="1" ref="BW197" ca="1">_FV(EE197,"Variação (%)",TRUE)</f>
        <v>0</v>
      </c>
      <c r="BY197" s="17" cm="1">
        <f t="array" aca="1" ref="BY197" ca="1">_FV(EE197,"Baixo")</f>
        <v>0.18</v>
      </c>
      <c r="BZ197" s="17" cm="1">
        <f t="array" aca="1" ref="BZ197" ca="1">_FV(EE197,"Alto")</f>
        <v>0.21</v>
      </c>
      <c r="CA197" s="24"/>
      <c r="CB197" s="63" t="e">
        <f ca="1">SQRT(22.5*(BQ197/VLOOKUP(BR197,Fundamentus!A:U,3,FALSE))*(BQ197/VLOOKUP(BR197,Fundamentus!A:U,4,FALSE)))</f>
        <v>#DIV/0!</v>
      </c>
      <c r="CD197" s="62">
        <f t="shared" ca="1" si="168"/>
        <v>0</v>
      </c>
      <c r="CE197" s="8"/>
      <c r="CF197" s="61">
        <f t="shared" si="169"/>
        <v>0.01</v>
      </c>
      <c r="CG197" s="61">
        <f t="shared" si="170"/>
        <v>1.05</v>
      </c>
      <c r="CH197" s="61">
        <f t="shared" si="171"/>
        <v>0.24845588235294111</v>
      </c>
      <c r="CI197" s="14"/>
      <c r="CJ197" s="35">
        <f t="shared" si="154"/>
        <v>0.12080816411546574</v>
      </c>
      <c r="CK197" s="15">
        <f t="shared" si="172"/>
        <v>0.15999999999999659</v>
      </c>
      <c r="CL197" s="35">
        <f t="shared" si="155"/>
        <v>0.19919183588452744</v>
      </c>
      <c r="CN197" s="14"/>
      <c r="CO197" s="17">
        <f t="shared" si="156"/>
        <v>-1.2633333333333334</v>
      </c>
      <c r="CP197" s="17">
        <f t="shared" si="157"/>
        <v>-0.62666666666666671</v>
      </c>
      <c r="CQ197" s="17">
        <f t="shared" si="158"/>
        <v>-0.22333333333333338</v>
      </c>
      <c r="CR197" s="38">
        <f t="shared" si="173"/>
        <v>0.41333333333333333</v>
      </c>
      <c r="CS197" s="17">
        <f t="shared" si="159"/>
        <v>0.81666666666666665</v>
      </c>
      <c r="CT197" s="17">
        <f t="shared" si="160"/>
        <v>1.4533333333333334</v>
      </c>
      <c r="CU197" s="17">
        <f t="shared" si="161"/>
        <v>1.8566666666666667</v>
      </c>
      <c r="CV197" s="2" cm="1">
        <f t="array" aca="1" ref="CV197" ca="1">MAX(_xlfn._xlws.FILTER(CO197:CU197,CO197:CU197&lt;BQ197))</f>
        <v>-0.22333333333333338</v>
      </c>
      <c r="CW197" s="2" cm="1">
        <f t="array" aca="1" ref="CW197" ca="1">MIN(_xlfn._xlws.FILTER($CO197:$CU197,$CO197:$CU197&gt;BQ197))</f>
        <v>0.41333333333333333</v>
      </c>
      <c r="CX197" s="16">
        <f t="shared" ca="1" si="209"/>
        <v>-2.850746268656716</v>
      </c>
      <c r="CY197" s="20">
        <f t="shared" ca="1" si="210"/>
        <v>1.425373134328358</v>
      </c>
      <c r="CZ197" s="20">
        <f t="shared" ca="1" si="211"/>
        <v>0.95024875621890537</v>
      </c>
      <c r="DA197" s="20">
        <f t="shared" ca="1" si="212"/>
        <v>0.57014925373134318</v>
      </c>
      <c r="DB197" s="20">
        <f t="shared" ca="1" si="213"/>
        <v>0.31674958540630177</v>
      </c>
      <c r="DC197" s="20">
        <f t="shared" ca="1" si="214"/>
        <v>0.16769095697980682</v>
      </c>
      <c r="DD197" s="20">
        <f t="shared" ca="1" si="215"/>
        <v>8.6386250565355024E-2</v>
      </c>
      <c r="DE197" s="20">
        <f t="shared" ca="1" si="216"/>
        <v>4.3857634902411013E-2</v>
      </c>
      <c r="DF197" s="21">
        <f t="shared" ca="1" si="217"/>
        <v>-4.3857634902411013E-2</v>
      </c>
      <c r="DG197" s="21">
        <f t="shared" ca="1" si="218"/>
        <v>-8.6386250565355024E-2</v>
      </c>
      <c r="DH197" s="21">
        <f t="shared" ca="1" si="219"/>
        <v>-0.16769095697980682</v>
      </c>
      <c r="DI197" s="21">
        <f t="shared" ca="1" si="220"/>
        <v>-0.31674958540630177</v>
      </c>
      <c r="DJ197" s="21">
        <f t="shared" ca="1" si="221"/>
        <v>-0.57014925373134318</v>
      </c>
      <c r="DK197" s="21">
        <f t="shared" ca="1" si="222"/>
        <v>-0.95024875621890537</v>
      </c>
      <c r="DL197" s="21">
        <f t="shared" ca="1" si="223"/>
        <v>-1.425373134328358</v>
      </c>
      <c r="DN197" s="16" cm="1">
        <f t="array" aca="1" ref="DN197" ca="1">MAX(_xlfn._xlws.FILTER(CY197:DL197,CY197:DL197&lt;BW197))</f>
        <v>-4.3857634902411013E-2</v>
      </c>
      <c r="DO197" s="16" cm="1">
        <f t="array" aca="1" ref="DO197" ca="1">MIN(_xlfn._xlws.FILTER(CY197:DL197,CY197:DL197&gt;BW197))</f>
        <v>4.3857634902411013E-2</v>
      </c>
      <c r="DP197" s="2" cm="1">
        <f t="array" aca="1" ref="DP197" ca="1">_FV(EE197,"Fechamento anterior",TRUE)</f>
        <v>0.18</v>
      </c>
      <c r="DQ197" s="28">
        <f t="shared" ca="1" si="162"/>
        <v>0.5</v>
      </c>
      <c r="DR197" s="15">
        <f t="shared" ca="1" si="224"/>
        <v>0.17210562571756602</v>
      </c>
      <c r="DS197" s="15">
        <f t="shared" ca="1" si="225"/>
        <v>0.18789437428243397</v>
      </c>
      <c r="DT197" s="9"/>
      <c r="DU197" s="9"/>
      <c r="DV197" s="9"/>
      <c r="DW197" s="89">
        <v>8.1304706414451797E-2</v>
      </c>
      <c r="DX197" s="89">
        <f t="shared" ca="1" si="163"/>
        <v>8.7715269804822027E-2</v>
      </c>
      <c r="DY197" s="72">
        <f t="shared" ca="1" si="164"/>
        <v>0.51031036307991573</v>
      </c>
      <c r="DZ197" s="37"/>
      <c r="EA197" s="35">
        <f t="shared" si="174"/>
        <v>1.9595917942265426E-2</v>
      </c>
      <c r="EB197" s="56"/>
      <c r="EC197" s="56"/>
      <c r="EE197" s="2" t="e" vm="199">
        <v>#VALUE!</v>
      </c>
      <c r="EG197" s="10" cm="1">
        <f t="array" aca="1" ref="EG197" ca="1">_FV(EE197,"Ações em circulação",TRUE)</f>
        <v>657497300</v>
      </c>
      <c r="EH197" s="18">
        <f>VLOOKUP(BR197,Fundamentus!A:U,5,FALSE)</f>
        <v>4.7E-2</v>
      </c>
      <c r="EI197" s="2">
        <f t="shared" ca="1" si="165"/>
        <v>2518074765.9574466</v>
      </c>
      <c r="EJ197" s="17">
        <v>-8461486636.0468082</v>
      </c>
      <c r="EK197" s="17">
        <f t="shared" ca="1" si="166"/>
        <v>-8461486636.0468082</v>
      </c>
      <c r="EM197" s="16">
        <f t="shared" ca="1" si="226"/>
        <v>0</v>
      </c>
      <c r="EN197" s="32" t="str">
        <f>IF(VLOOKUP(BR197,Fundamentus!A:U,3,FALSE)&lt;15,"Bom",IF(VLOOKUP(BR197,Fundamentus!A:U,3,FALSE)&gt;15,"Ruim","n/a"))</f>
        <v>Bom</v>
      </c>
      <c r="EO197" s="28" t="str">
        <f>IF(VLOOKUP(BR197,Fundamentus!A:U,4,FALSE)&lt;1,"Baixo",IF(VLOOKUP(BR197,Fundamentus!A:U,4,FALSE)&lt;1.5,"Moderado",IF(VLOOKUP(BR197,Fundamentus!A:U,4,FALSE)&gt;1.5,"Alto","n/a")))</f>
        <v>Baixo</v>
      </c>
      <c r="EP197" s="17" t="str">
        <f>IF(VLOOKUP(BR197,Fundamentus!A:U,8,FALSE)&lt;0,"Risco elevado",IF(VLOOKUP(BR197,Fundamentus!A:U,8,FALSE)&lt;1,"Saudável",IF(VLOOKUP(BR197,Fundamentus!A:U,8,FALSE)&lt;3,"Estável",IF(VLOOKUP(BR197,Fundamentus!A:U,8,FALSE)&gt;3,"Alerta","n/a"))))</f>
        <v>Risco elevado</v>
      </c>
      <c r="EQ197" s="28" t="str">
        <f t="shared" si="167"/>
        <v>Ruim</v>
      </c>
      <c r="ER197" s="17" t="str">
        <f>IF(VLOOKUP(BR197,Fundamentus!A:U,12,FALSE)&lt;2,"Subvalorizada",IF(VLOOKUP(BR197,Fundamentus!A:U,12,FALSE)&lt;6,"Muita barata",IF(VLOOKUP(BR197,Fundamentus!A:U,12,FALSE)&lt;6,"Barata",IF(VLOOKUP(BR197,Fundamentus!A:U,12,FALSE)&lt;8,"Atrativa",IF(VLOOKUP(BR197,Fundamentus!A:U,12,FALSE)&gt;8,"Supervalorizada","n/a")))))</f>
        <v>Subvalorizada</v>
      </c>
      <c r="ET197" s="17" t="str">
        <f>IF(VLOOKUP(BR197,Fundamentus!A:U,17,FALSE)&lt;0.1,"Fraco retorno",IF(VLOOKUP(BR197,Fundamentus!A:U,17,FALSE)&gt;0.1,"Bom retorno","n/a"))</f>
        <v>Bom retorno</v>
      </c>
      <c r="EU197" s="17" t="str">
        <f>IF(VLOOKUP(BR197,Fundamentus!A:U,16,FALSE)&lt;0.1,"Ineficiente",IF(VLOOKUP(BR197,Fundamentus!A:U,16,FALSE)&gt;0.1,"Eficiente","n/a"))</f>
        <v>Ineficiente</v>
      </c>
      <c r="EV197" s="33" t="str">
        <f>IF(VLOOKUP(BR197,Fundamentus!A:U,16,FALSE)&lt;0.1,"Oper. Ineficiente",IF(VLOOKUP(BR197,Fundamentus!A:U,16,FALSE)&gt;0.1,"Oper.Eficiente","n/a"))</f>
        <v>Oper. Ineficiente</v>
      </c>
      <c r="EW197" s="34">
        <f>VLOOKUP(BR197,Fundamentus!A:U,14,FALSE)</f>
        <v>-3.3603000000000001</v>
      </c>
      <c r="EX197" s="17" t="str">
        <f>IF(VLOOKUP(BR197,Fundamentus!A:U,21,FALSE)&lt;0,"Negativo",IF(VLOOKUP(BR197,Fundamentus!A:U,21,FALSE)&lt;0.05,"Fraco",IF(VLOOKUP(BR197,Fundamentus!A:U,21,FALSE)&lt;0.1,"Bom",IF(VLOOKUP(BR197,Fundamentus!A:U,21,FALSE)&gt;0.1,"Muito bom","n/a"))))</f>
        <v>Negativo</v>
      </c>
      <c r="EZ197" s="29" t="str">
        <f>IF(VLOOKUP(BR197,Fundamentus!A:U,15,FALSE)&gt;1,"Bom",IF(VLOOKUP(BR197,Fundamentus!A:U,15,FALSE)&lt;1,"Ruim","n/a"))</f>
        <v>Ruim</v>
      </c>
      <c r="FA197" s="17" t="str">
        <f>IF(VLOOKUP(BR197,Fundamentus!A:U,20,FALSE)&lt;0.5,"Baixa",IF(VLOOKUP(BR197,Fundamentus!A:U,20,FALSE)&lt;1,"Moderada",IF(VLOOKUP(BR197,Fundamentus!A:U,20,FALSE)&lt;2,"Alerta",IF(VLOOKUP(BR197,Fundamentus!A:U,20,FALSE)&gt;2,"Alta","n/a"))))</f>
        <v>Baixa</v>
      </c>
      <c r="FB197" s="10"/>
    </row>
    <row r="198" spans="1:158" s="2" customFormat="1" ht="11.25"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5">
        <v>25.99</v>
      </c>
      <c r="BC198" s="52">
        <v>25.4</v>
      </c>
      <c r="BD198" s="52">
        <v>25.82</v>
      </c>
      <c r="BE198" s="52">
        <v>26.83</v>
      </c>
      <c r="BF198" s="52">
        <v>25.99</v>
      </c>
      <c r="BG198" s="67">
        <v>25.4</v>
      </c>
      <c r="BH198" s="52">
        <v>26.4</v>
      </c>
      <c r="BI198" s="52">
        <v>26.17</v>
      </c>
      <c r="BJ198" s="52">
        <v>28.11</v>
      </c>
      <c r="BK198" s="52">
        <v>26.82</v>
      </c>
      <c r="BL198" s="52">
        <v>27.76</v>
      </c>
      <c r="BM198" s="52">
        <v>27.7</v>
      </c>
      <c r="BN198" s="52">
        <v>28.79</v>
      </c>
      <c r="BO198" s="52">
        <v>28.33</v>
      </c>
      <c r="BP198" s="52">
        <v>29</v>
      </c>
      <c r="BQ198" s="52" cm="1">
        <f t="array" aca="1" ref="BQ198" ca="1">_FV(EE198,"Preço")</f>
        <v>29</v>
      </c>
      <c r="BR198" s="69" t="s">
        <v>194</v>
      </c>
      <c r="BS198" s="36" cm="1">
        <f t="array" aca="1" ref="BS198" ca="1">_FV(EE198,"Média de volume",TRUE)</f>
        <v>7980</v>
      </c>
      <c r="BT198" s="36">
        <v>1100</v>
      </c>
      <c r="BU198" s="36" cm="1">
        <f t="array" aca="1" ref="BU198" ca="1">_FV(EE198,"Volume")</f>
        <v>1100</v>
      </c>
      <c r="BV198" s="24" cm="1">
        <f t="array" aca="1" ref="BV198" ca="1">_FV(EE198,"Beta")</f>
        <v>0.31390000000000001</v>
      </c>
      <c r="BW198" s="71" cm="1">
        <f t="array" aca="1" ref="BW198" ca="1">_FV(EE198,"Variação (%)",TRUE)</f>
        <v>-3.4360000000000003E-3</v>
      </c>
      <c r="BY198" s="17" cm="1">
        <f t="array" aca="1" ref="BY198" ca="1">_FV(EE198,"Baixo")</f>
        <v>28.75</v>
      </c>
      <c r="BZ198" s="17" cm="1">
        <f t="array" aca="1" ref="BZ198" ca="1">_FV(EE198,"Alto")</f>
        <v>29</v>
      </c>
      <c r="CA198" s="24"/>
      <c r="CB198" s="63">
        <f ca="1">SQRT(22.5*(BQ198/VLOOKUP(BR198,Fundamentus!A:U,3,FALSE))*(BQ198/VLOOKUP(BR198,Fundamentus!A:U,4,FALSE)))</f>
        <v>80.046588425551818</v>
      </c>
      <c r="CD198" s="62">
        <f t="shared" ca="1" si="168"/>
        <v>0</v>
      </c>
      <c r="CE198" s="8"/>
      <c r="CF198" s="61">
        <f t="shared" si="169"/>
        <v>23.48</v>
      </c>
      <c r="CG198" s="61">
        <f t="shared" si="170"/>
        <v>37.15</v>
      </c>
      <c r="CH198" s="61">
        <f t="shared" si="171"/>
        <v>27.645661764705881</v>
      </c>
      <c r="CI198" s="14"/>
      <c r="CJ198" s="35">
        <f t="shared" ref="CJ198:CJ261" si="227">CK198-EA198*2</f>
        <v>27.988048606768185</v>
      </c>
      <c r="CK198" s="15">
        <f t="shared" si="172"/>
        <v>29.315000000000055</v>
      </c>
      <c r="CL198" s="35">
        <f t="shared" ref="CL198:CL261" si="228">CK198+EA198*2</f>
        <v>30.641951393231924</v>
      </c>
      <c r="CN198" s="14"/>
      <c r="CO198" s="17">
        <f t="shared" ref="CO198:CO261" si="229">CF198-2*(CG198-CR198)</f>
        <v>8.9333333333333336</v>
      </c>
      <c r="CP198" s="17">
        <f t="shared" ref="CP198:CP261" si="230">CR198-(CG198-CF198)</f>
        <v>16.206666666666667</v>
      </c>
      <c r="CQ198" s="17">
        <f t="shared" ref="CQ198:CQ261" si="231">2*CR198-CG198</f>
        <v>22.603333333333332</v>
      </c>
      <c r="CR198" s="38">
        <f t="shared" si="173"/>
        <v>29.876666666666665</v>
      </c>
      <c r="CS198" s="17">
        <f t="shared" ref="CS198:CS261" si="232">2*CR198-CF198</f>
        <v>36.273333333333326</v>
      </c>
      <c r="CT198" s="17">
        <f t="shared" ref="CT198:CT261" si="233">CR198+(CG198-CF198)</f>
        <v>43.546666666666667</v>
      </c>
      <c r="CU198" s="17">
        <f t="shared" ref="CU198:CU261" si="234">CG198+2*(CR198-CF198)</f>
        <v>49.943333333333328</v>
      </c>
      <c r="CV198" s="2" cm="1">
        <f t="array" aca="1" ref="CV198" ca="1">MAX(_xlfn._xlws.FILTER(CO198:CU198,CO198:CU198&lt;BQ198))</f>
        <v>22.603333333333332</v>
      </c>
      <c r="CW198" s="2" cm="1">
        <f t="array" aca="1" ref="CW198" ca="1">MIN(_xlfn._xlws.FILTER($CO198:$CU198,$CO198:$CU198&gt;BQ198))</f>
        <v>29.876666666666665</v>
      </c>
      <c r="CX198" s="16">
        <f t="shared" ca="1" si="209"/>
        <v>0.32178144816398757</v>
      </c>
      <c r="CY198" s="20">
        <f t="shared" ca="1" si="210"/>
        <v>-0.16089072408199379</v>
      </c>
      <c r="CZ198" s="20">
        <f t="shared" ca="1" si="211"/>
        <v>-0.1072604827213292</v>
      </c>
      <c r="DA198" s="20">
        <f t="shared" ca="1" si="212"/>
        <v>-6.435628963279752E-2</v>
      </c>
      <c r="DB198" s="20">
        <f t="shared" ca="1" si="213"/>
        <v>-3.5753494240443065E-2</v>
      </c>
      <c r="DC198" s="20">
        <f t="shared" ca="1" si="214"/>
        <v>-1.8928320480234562E-2</v>
      </c>
      <c r="DD198" s="20">
        <f t="shared" ca="1" si="215"/>
        <v>-9.7509529746662906E-3</v>
      </c>
      <c r="DE198" s="20">
        <f t="shared" ca="1" si="216"/>
        <v>-4.9504838179075007E-3</v>
      </c>
      <c r="DF198" s="21">
        <f t="shared" ca="1" si="217"/>
        <v>4.9504838179075007E-3</v>
      </c>
      <c r="DG198" s="21">
        <f t="shared" ca="1" si="218"/>
        <v>9.7509529746662906E-3</v>
      </c>
      <c r="DH198" s="21">
        <f t="shared" ca="1" si="219"/>
        <v>1.8928320480234562E-2</v>
      </c>
      <c r="DI198" s="21">
        <f t="shared" ca="1" si="220"/>
        <v>3.5753494240443065E-2</v>
      </c>
      <c r="DJ198" s="21">
        <f t="shared" ca="1" si="221"/>
        <v>6.435628963279752E-2</v>
      </c>
      <c r="DK198" s="21">
        <f t="shared" ca="1" si="222"/>
        <v>0.1072604827213292</v>
      </c>
      <c r="DL198" s="21">
        <f t="shared" ca="1" si="223"/>
        <v>0.16089072408199379</v>
      </c>
      <c r="DN198" s="16" cm="1">
        <f t="array" aca="1" ref="DN198" ca="1">MAX(_xlfn._xlws.FILTER(CY198:DL198,CY198:DL198&lt;BW198))</f>
        <v>-4.9504838179075007E-3</v>
      </c>
      <c r="DO198" s="16" cm="1">
        <f t="array" aca="1" ref="DO198" ca="1">MIN(_xlfn._xlws.FILTER(CY198:DL198,CY198:DL198&gt;BW198))</f>
        <v>4.9504838179075007E-3</v>
      </c>
      <c r="DP198" s="2" cm="1">
        <f t="array" aca="1" ref="DP198" ca="1">_FV(EE198,"Fechamento anterior",TRUE)</f>
        <v>29.1</v>
      </c>
      <c r="DQ198" s="28">
        <f t="shared" ref="DQ198:DQ261" ca="1" si="235">(BQ198-DR198)/(DS198-DR198)</f>
        <v>0.15292017475060998</v>
      </c>
      <c r="DR198" s="15">
        <f t="shared" ca="1" si="224"/>
        <v>28.955940920898893</v>
      </c>
      <c r="DS198" s="15">
        <f t="shared" ca="1" si="225"/>
        <v>29.24405907910111</v>
      </c>
      <c r="DT198" s="9"/>
      <c r="DU198" s="9"/>
      <c r="DV198" s="9"/>
      <c r="DW198" s="89">
        <v>1.7691405332003918E-2</v>
      </c>
      <c r="DX198" s="89">
        <f t="shared" ref="DX198:DX261" ca="1" si="236">DO198-DN198</f>
        <v>9.9009676358150014E-3</v>
      </c>
      <c r="DY198" s="72">
        <f t="shared" ref="DY198:DY261" ca="1" si="237">(BQ198-CK198)/(CK198-CJ198)</f>
        <v>-0.23738623856662391</v>
      </c>
      <c r="DZ198" s="37"/>
      <c r="EA198" s="35">
        <f t="shared" si="174"/>
        <v>0.6634756966159342</v>
      </c>
      <c r="EB198" s="56"/>
      <c r="EC198" s="56"/>
      <c r="EE198" s="2" t="e" vm="200">
        <v>#VALUE!</v>
      </c>
      <c r="EG198" s="10" cm="1">
        <f t="array" aca="1" ref="EG198" ca="1">_FV(EE198,"Ações em circulação",TRUE)</f>
        <v>86302020</v>
      </c>
      <c r="EH198" s="18">
        <f>VLOOKUP(BR198,Fundamentus!A:U,5,FALSE)</f>
        <v>0.28299999999999997</v>
      </c>
      <c r="EI198" s="2">
        <f t="shared" ref="EI198:EI261" ca="1" si="238">(BQ198*EG198)/EH198</f>
        <v>8843669893.9929333</v>
      </c>
      <c r="EJ198" s="17">
        <v>389121475.33568907</v>
      </c>
      <c r="EK198" s="17">
        <f t="shared" ref="EK198:EK261" ca="1" si="239">EI198*EW198</f>
        <v>389121475.33568907</v>
      </c>
      <c r="EM198" s="16">
        <f t="shared" ca="1" si="226"/>
        <v>0</v>
      </c>
      <c r="EN198" s="32" t="str">
        <f>IF(VLOOKUP(BR198,Fundamentus!A:U,3,FALSE)&lt;15,"Bom",IF(VLOOKUP(BR198,Fundamentus!A:U,3,FALSE)&gt;15,"Ruim","n/a"))</f>
        <v>Bom</v>
      </c>
      <c r="EO198" s="28" t="str">
        <f>IF(VLOOKUP(BR198,Fundamentus!A:U,4,FALSE)&lt;1,"Baixo",IF(VLOOKUP(BR198,Fundamentus!A:U,4,FALSE)&lt;1.5,"Moderado",IF(VLOOKUP(BR198,Fundamentus!A:U,4,FALSE)&gt;1.5,"Alto","n/a")))</f>
        <v>Baixo</v>
      </c>
      <c r="EP198" s="17" t="str">
        <f>IF(VLOOKUP(BR198,Fundamentus!A:U,8,FALSE)&lt;0,"Risco elevado",IF(VLOOKUP(BR198,Fundamentus!A:U,8,FALSE)&lt;1,"Saudável",IF(VLOOKUP(BR198,Fundamentus!A:U,8,FALSE)&lt;3,"Estável",IF(VLOOKUP(BR198,Fundamentus!A:U,8,FALSE)&gt;3,"Alerta","n/a"))))</f>
        <v>Risco elevado</v>
      </c>
      <c r="EQ198" s="28" t="str">
        <f t="shared" ref="EQ198:EQ261" si="240">IF(EH198&gt;1,"Bom","Ruim")</f>
        <v>Ruim</v>
      </c>
      <c r="ER198" s="17" t="str">
        <f>IF(VLOOKUP(BR198,Fundamentus!A:U,12,FALSE)&lt;2,"Subvalorizada",IF(VLOOKUP(BR198,Fundamentus!A:U,12,FALSE)&lt;6,"Muita barata",IF(VLOOKUP(BR198,Fundamentus!A:U,12,FALSE)&lt;6,"Barata",IF(VLOOKUP(BR198,Fundamentus!A:U,12,FALSE)&lt;8,"Atrativa",IF(VLOOKUP(BR198,Fundamentus!A:U,12,FALSE)&gt;8,"Supervalorizada","n/a")))))</f>
        <v>Muita barata</v>
      </c>
      <c r="ET198" s="17" t="str">
        <f>IF(VLOOKUP(BR198,Fundamentus!A:U,17,FALSE)&lt;0.1,"Fraco retorno",IF(VLOOKUP(BR198,Fundamentus!A:U,17,FALSE)&gt;0.1,"Bom retorno","n/a"))</f>
        <v>Fraco retorno</v>
      </c>
      <c r="EU198" s="17" t="str">
        <f>IF(VLOOKUP(BR198,Fundamentus!A:U,16,FALSE)&lt;0.1,"Ineficiente",IF(VLOOKUP(BR198,Fundamentus!A:U,16,FALSE)&gt;0.1,"Eficiente","n/a"))</f>
        <v>Ineficiente</v>
      </c>
      <c r="EV198" s="33" t="str">
        <f>IF(VLOOKUP(BR198,Fundamentus!A:U,16,FALSE)&lt;0.1,"Oper. Ineficiente",IF(VLOOKUP(BR198,Fundamentus!A:U,16,FALSE)&gt;0.1,"Oper.Eficiente","n/a"))</f>
        <v>Oper. Ineficiente</v>
      </c>
      <c r="EW198" s="34">
        <f>VLOOKUP(BR198,Fundamentus!A:U,14,FALSE)</f>
        <v>4.3999999999999997E-2</v>
      </c>
      <c r="EX198" s="17" t="str">
        <f>IF(VLOOKUP(BR198,Fundamentus!A:U,21,FALSE)&lt;0,"Negativo",IF(VLOOKUP(BR198,Fundamentus!A:U,21,FALSE)&lt;0.05,"Fraco",IF(VLOOKUP(BR198,Fundamentus!A:U,21,FALSE)&lt;0.1,"Bom",IF(VLOOKUP(BR198,Fundamentus!A:U,21,FALSE)&gt;0.1,"Muito bom","n/a"))))</f>
        <v>Bom</v>
      </c>
      <c r="EZ198" s="29" t="str">
        <f>IF(VLOOKUP(BR198,Fundamentus!A:U,15,FALSE)&gt;1,"Bom",IF(VLOOKUP(BR198,Fundamentus!A:U,15,FALSE)&lt;1,"Ruim","n/a"))</f>
        <v>Ruim</v>
      </c>
      <c r="FA198" s="17" t="str">
        <f>IF(VLOOKUP(BR198,Fundamentus!A:U,20,FALSE)&lt;0.5,"Baixa",IF(VLOOKUP(BR198,Fundamentus!A:U,20,FALSE)&lt;1,"Moderada",IF(VLOOKUP(BR198,Fundamentus!A:U,20,FALSE)&lt;2,"Alerta",IF(VLOOKUP(BR198,Fundamentus!A:U,20,FALSE)&gt;2,"Alta","n/a"))))</f>
        <v>Alerta</v>
      </c>
      <c r="FB198" s="10"/>
    </row>
    <row r="199" spans="1:158" s="2" customFormat="1" ht="11.25"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5">
        <v>14.6</v>
      </c>
      <c r="BC199" s="52">
        <v>16.5</v>
      </c>
      <c r="BD199" s="52">
        <v>17.059999999999999</v>
      </c>
      <c r="BE199" s="52">
        <v>17.829999999999998</v>
      </c>
      <c r="BF199" s="52">
        <v>17.100000000000001</v>
      </c>
      <c r="BG199" s="67">
        <v>16.649999999999999</v>
      </c>
      <c r="BH199" s="52">
        <v>16.89</v>
      </c>
      <c r="BI199" s="52">
        <v>19.940000000000001</v>
      </c>
      <c r="BJ199" s="52">
        <v>19.73</v>
      </c>
      <c r="BK199" s="52">
        <v>17.649999999999999</v>
      </c>
      <c r="BL199" s="52">
        <v>16.53</v>
      </c>
      <c r="BM199" s="52">
        <v>15.96</v>
      </c>
      <c r="BN199" s="52">
        <v>17.07</v>
      </c>
      <c r="BO199" s="52">
        <v>16.5</v>
      </c>
      <c r="BP199" s="52">
        <v>14.95</v>
      </c>
      <c r="BQ199" s="52" cm="1">
        <f t="array" aca="1" ref="BQ199" ca="1">_FV(EE199,"Preço")</f>
        <v>14.95</v>
      </c>
      <c r="BR199" s="69" t="s">
        <v>195</v>
      </c>
      <c r="BS199" s="36" cm="1">
        <f t="array" aca="1" ref="BS199" ca="1">_FV(EE199,"Média de volume",TRUE)</f>
        <v>4209740</v>
      </c>
      <c r="BT199" s="36">
        <v>3730700</v>
      </c>
      <c r="BU199" s="36" cm="1">
        <f t="array" aca="1" ref="BU199" ca="1">_FV(EE199,"Volume")</f>
        <v>3730700</v>
      </c>
      <c r="BV199" s="24" cm="1">
        <f t="array" aca="1" ref="BV199" ca="1">_FV(EE199,"Beta")</f>
        <v>2.0813999999999999</v>
      </c>
      <c r="BW199" s="71" cm="1">
        <f t="array" aca="1" ref="BW199" ca="1">_FV(EE199,"Variação (%)",TRUE)</f>
        <v>-9.9340000000000001E-3</v>
      </c>
      <c r="BY199" s="17" cm="1">
        <f t="array" aca="1" ref="BY199" ca="1">_FV(EE199,"Baixo")</f>
        <v>14.88</v>
      </c>
      <c r="BZ199" s="17" cm="1">
        <f t="array" aca="1" ref="BZ199" ca="1">_FV(EE199,"Alto")</f>
        <v>15.45</v>
      </c>
      <c r="CA199" s="24"/>
      <c r="CB199" s="63">
        <f ca="1">SQRT(22.5*(BQ199/VLOOKUP(BR199,Fundamentus!A:U,3,FALSE))*(BQ199/VLOOKUP(BR199,Fundamentus!A:U,4,FALSE)))</f>
        <v>14.951993732088614</v>
      </c>
      <c r="CD199" s="62">
        <f t="shared" ref="CD199:CD262" ca="1" si="241">(BQ199 - BP199) / BP199</f>
        <v>0</v>
      </c>
      <c r="CE199" s="8"/>
      <c r="CF199" s="61">
        <f t="shared" ref="CF199:CF262" si="242">MIN(A199:BP199)</f>
        <v>7.44</v>
      </c>
      <c r="CG199" s="61">
        <f t="shared" ref="CG199:CG262" si="243">MAX(A199:BP199)</f>
        <v>19.940000000000001</v>
      </c>
      <c r="CH199" s="61">
        <f t="shared" ref="CH199:CH262" si="244">AVERAGE(A199:BP199)</f>
        <v>11.826397058823533</v>
      </c>
      <c r="CI199" s="14"/>
      <c r="CJ199" s="35">
        <f t="shared" si="227"/>
        <v>14.072104534375862</v>
      </c>
      <c r="CK199" s="15">
        <f t="shared" ref="CK199:CK262" si="245">FORECAST("22/08/2025", BM199:BP199, $BM$5:$BP$5)</f>
        <v>15.2199999999998</v>
      </c>
      <c r="CL199" s="35">
        <f t="shared" si="228"/>
        <v>16.367895465623739</v>
      </c>
      <c r="CN199" s="14"/>
      <c r="CO199" s="17">
        <f t="shared" si="229"/>
        <v>-4.2200000000000033</v>
      </c>
      <c r="CP199" s="17">
        <f t="shared" si="230"/>
        <v>1.6099999999999994</v>
      </c>
      <c r="CQ199" s="17">
        <f t="shared" si="231"/>
        <v>8.2799999999999976</v>
      </c>
      <c r="CR199" s="38">
        <f t="shared" ref="CR199:CR262" si="246">(CG199+CF199+BP199)/3</f>
        <v>14.11</v>
      </c>
      <c r="CS199" s="17">
        <f t="shared" si="232"/>
        <v>20.779999999999998</v>
      </c>
      <c r="CT199" s="17">
        <f t="shared" si="233"/>
        <v>26.61</v>
      </c>
      <c r="CU199" s="17">
        <f t="shared" si="234"/>
        <v>33.28</v>
      </c>
      <c r="CV199" s="2" cm="1">
        <f t="array" aca="1" ref="CV199" ca="1">MAX(_xlfn._xlws.FILTER(CO199:CU199,CO199:CU199&lt;BQ199))</f>
        <v>14.11</v>
      </c>
      <c r="CW199" s="2" cm="1">
        <f t="array" aca="1" ref="CW199" ca="1">MIN(_xlfn._xlws.FILTER($CO199:$CU199,$CO199:$CU199&gt;BQ199))</f>
        <v>20.779999999999998</v>
      </c>
      <c r="CX199" s="16">
        <f t="shared" ca="1" si="209"/>
        <v>0.47271438695960311</v>
      </c>
      <c r="CY199" s="20">
        <f t="shared" ca="1" si="210"/>
        <v>-0.23635719347980155</v>
      </c>
      <c r="CZ199" s="20">
        <f t="shared" ca="1" si="211"/>
        <v>-0.15757146231986771</v>
      </c>
      <c r="DA199" s="20">
        <f t="shared" ca="1" si="212"/>
        <v>-9.4542877391920618E-2</v>
      </c>
      <c r="DB199" s="20">
        <f t="shared" ca="1" si="213"/>
        <v>-5.2523820773289237E-2</v>
      </c>
      <c r="DC199" s="20">
        <f t="shared" ca="1" si="214"/>
        <v>-2.7806728644682536E-2</v>
      </c>
      <c r="DD199" s="20">
        <f t="shared" ca="1" si="215"/>
        <v>-1.4324678392715246E-2</v>
      </c>
      <c r="DE199" s="20">
        <f t="shared" ca="1" si="216"/>
        <v>-7.27252903014774E-3</v>
      </c>
      <c r="DF199" s="21">
        <f t="shared" ca="1" si="217"/>
        <v>7.27252903014774E-3</v>
      </c>
      <c r="DG199" s="21">
        <f t="shared" ca="1" si="218"/>
        <v>1.4324678392715246E-2</v>
      </c>
      <c r="DH199" s="21">
        <f t="shared" ca="1" si="219"/>
        <v>2.7806728644682536E-2</v>
      </c>
      <c r="DI199" s="21">
        <f t="shared" ca="1" si="220"/>
        <v>5.2523820773289237E-2</v>
      </c>
      <c r="DJ199" s="21">
        <f t="shared" ca="1" si="221"/>
        <v>9.4542877391920618E-2</v>
      </c>
      <c r="DK199" s="21">
        <f t="shared" ca="1" si="222"/>
        <v>0.15757146231986771</v>
      </c>
      <c r="DL199" s="21">
        <f t="shared" ca="1" si="223"/>
        <v>0.23635719347980155</v>
      </c>
      <c r="DN199" s="16" cm="1">
        <f t="array" aca="1" ref="DN199" ca="1">MAX(_xlfn._xlws.FILTER(CY199:DL199,CY199:DL199&lt;BW199))</f>
        <v>-1.4324678392715246E-2</v>
      </c>
      <c r="DO199" s="16" cm="1">
        <f t="array" aca="1" ref="DO199" ca="1">MIN(_xlfn._xlws.FILTER(CY199:DL199,CY199:DL199&gt;BW199))</f>
        <v>-7.27252903014774E-3</v>
      </c>
      <c r="DP199" s="2" cm="1">
        <f t="array" aca="1" ref="DP199" ca="1">_FV(EE199,"Fechamento anterior",TRUE)</f>
        <v>15.1</v>
      </c>
      <c r="DQ199" s="28">
        <f t="shared" ca="1" si="235"/>
        <v>0.62263337495159388</v>
      </c>
      <c r="DR199" s="15">
        <f t="shared" ca="1" si="224"/>
        <v>14.88369735627</v>
      </c>
      <c r="DS199" s="15">
        <f t="shared" ca="1" si="225"/>
        <v>14.990184811644768</v>
      </c>
      <c r="DT199" s="9"/>
      <c r="DU199" s="9"/>
      <c r="DV199" s="9"/>
      <c r="DW199" s="89">
        <v>2.5690981345440022E-2</v>
      </c>
      <c r="DX199" s="89">
        <f t="shared" ca="1" si="236"/>
        <v>7.0521493625675061E-3</v>
      </c>
      <c r="DY199" s="72">
        <f t="shared" ca="1" si="237"/>
        <v>-0.23521305561830261</v>
      </c>
      <c r="DZ199" s="37"/>
      <c r="EA199" s="35">
        <f t="shared" ref="EA199:EA262" si="247">_xlfn.STDEV.P(BK199:BO199)</f>
        <v>0.57394773281196887</v>
      </c>
      <c r="EB199" s="56"/>
      <c r="EC199" s="56"/>
      <c r="EE199" s="2" t="e" vm="201">
        <v>#VALUE!</v>
      </c>
      <c r="EG199" s="10" cm="1">
        <f t="array" aca="1" ref="EG199" ca="1">_FV(EE199,"Ações em circulação",TRUE)</f>
        <v>308245100</v>
      </c>
      <c r="EH199" s="18">
        <f>VLOOKUP(BR199,Fundamentus!A:U,5,FALSE)</f>
        <v>0.68300000000000005</v>
      </c>
      <c r="EI199" s="2">
        <f t="shared" ca="1" si="238"/>
        <v>6747092598.8286963</v>
      </c>
      <c r="EJ199" s="17">
        <v>333981083.64202046</v>
      </c>
      <c r="EK199" s="17">
        <f t="shared" ca="1" si="239"/>
        <v>333981083.64202046</v>
      </c>
      <c r="EM199" s="16">
        <f t="shared" ca="1" si="226"/>
        <v>0</v>
      </c>
      <c r="EN199" s="32" t="str">
        <f>IF(VLOOKUP(BR199,Fundamentus!A:U,3,FALSE)&lt;15,"Bom",IF(VLOOKUP(BR199,Fundamentus!A:U,3,FALSE)&gt;15,"Ruim","n/a"))</f>
        <v>Bom</v>
      </c>
      <c r="EO199" s="28" t="str">
        <f>IF(VLOOKUP(BR199,Fundamentus!A:U,4,FALSE)&lt;1,"Baixo",IF(VLOOKUP(BR199,Fundamentus!A:U,4,FALSE)&lt;1.5,"Moderado",IF(VLOOKUP(BR199,Fundamentus!A:U,4,FALSE)&gt;1.5,"Alto","n/a")))</f>
        <v>Alto</v>
      </c>
      <c r="EP199" s="17" t="str">
        <f>IF(VLOOKUP(BR199,Fundamentus!A:U,8,FALSE)&lt;0,"Risco elevado",IF(VLOOKUP(BR199,Fundamentus!A:U,8,FALSE)&lt;1,"Saudável",IF(VLOOKUP(BR199,Fundamentus!A:U,8,FALSE)&lt;3,"Estável",IF(VLOOKUP(BR199,Fundamentus!A:U,8,FALSE)&gt;3,"Alerta","n/a"))))</f>
        <v>Alerta</v>
      </c>
      <c r="EQ199" s="28" t="str">
        <f t="shared" si="240"/>
        <v>Ruim</v>
      </c>
      <c r="ER199" s="17" t="str">
        <f>IF(VLOOKUP(BR199,Fundamentus!A:U,12,FALSE)&lt;2,"Subvalorizada",IF(VLOOKUP(BR199,Fundamentus!A:U,12,FALSE)&lt;6,"Muita barata",IF(VLOOKUP(BR199,Fundamentus!A:U,12,FALSE)&lt;6,"Barata",IF(VLOOKUP(BR199,Fundamentus!A:U,12,FALSE)&lt;8,"Atrativa",IF(VLOOKUP(BR199,Fundamentus!A:U,12,FALSE)&gt;8,"Supervalorizada","n/a")))))</f>
        <v>Muita barata</v>
      </c>
      <c r="ET199" s="17" t="str">
        <f>IF(VLOOKUP(BR199,Fundamentus!A:U,17,FALSE)&lt;0.1,"Fraco retorno",IF(VLOOKUP(BR199,Fundamentus!A:U,17,FALSE)&gt;0.1,"Bom retorno","n/a"))</f>
        <v>Bom retorno</v>
      </c>
      <c r="EU199" s="17" t="str">
        <f>IF(VLOOKUP(BR199,Fundamentus!A:U,16,FALSE)&lt;0.1,"Ineficiente",IF(VLOOKUP(BR199,Fundamentus!A:U,16,FALSE)&gt;0.1,"Eficiente","n/a"))</f>
        <v>Eficiente</v>
      </c>
      <c r="EV199" s="33" t="str">
        <f>IF(VLOOKUP(BR199,Fundamentus!A:U,16,FALSE)&lt;0.1,"Oper. Ineficiente",IF(VLOOKUP(BR199,Fundamentus!A:U,16,FALSE)&gt;0.1,"Oper.Eficiente","n/a"))</f>
        <v>Oper.Eficiente</v>
      </c>
      <c r="EW199" s="34">
        <f>VLOOKUP(BR199,Fundamentus!A:U,14,FALSE)</f>
        <v>4.9500000000000002E-2</v>
      </c>
      <c r="EX199" s="17" t="str">
        <f>IF(VLOOKUP(BR199,Fundamentus!A:U,21,FALSE)&lt;0,"Negativo",IF(VLOOKUP(BR199,Fundamentus!A:U,21,FALSE)&lt;0.05,"Fraco",IF(VLOOKUP(BR199,Fundamentus!A:U,21,FALSE)&lt;0.1,"Bom",IF(VLOOKUP(BR199,Fundamentus!A:U,21,FALSE)&gt;0.1,"Muito bom","n/a"))))</f>
        <v>Muito bom</v>
      </c>
      <c r="EZ199" s="29" t="str">
        <f>IF(VLOOKUP(BR199,Fundamentus!A:U,15,FALSE)&gt;1,"Bom",IF(VLOOKUP(BR199,Fundamentus!A:U,15,FALSE)&lt;1,"Ruim","n/a"))</f>
        <v>Bom</v>
      </c>
      <c r="FA199" s="17" t="str">
        <f>IF(VLOOKUP(BR199,Fundamentus!A:U,20,FALSE)&lt;0.5,"Baixa",IF(VLOOKUP(BR199,Fundamentus!A:U,20,FALSE)&lt;1,"Moderada",IF(VLOOKUP(BR199,Fundamentus!A:U,20,FALSE)&lt;2,"Alerta",IF(VLOOKUP(BR199,Fundamentus!A:U,20,FALSE)&gt;2,"Alta","n/a"))))</f>
        <v>Baixa</v>
      </c>
      <c r="FB199" s="10"/>
    </row>
    <row r="200" spans="1:158" s="2" customFormat="1" ht="11.25"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5">
        <v>120.01</v>
      </c>
      <c r="BC200" s="52">
        <v>125.01</v>
      </c>
      <c r="BD200" s="52">
        <v>130.66999999999999</v>
      </c>
      <c r="BE200" s="52">
        <v>192</v>
      </c>
      <c r="BF200" s="52">
        <v>178.01</v>
      </c>
      <c r="BG200" s="67">
        <v>169.82</v>
      </c>
      <c r="BH200" s="52">
        <v>172.18</v>
      </c>
      <c r="BI200" s="52">
        <v>159.75</v>
      </c>
      <c r="BJ200" s="52">
        <v>161.49</v>
      </c>
      <c r="BK200" s="52">
        <v>162.13999999999999</v>
      </c>
      <c r="BL200" s="52">
        <v>141.79</v>
      </c>
      <c r="BM200" s="52">
        <v>132.54</v>
      </c>
      <c r="BN200" s="52">
        <v>136</v>
      </c>
      <c r="BO200" s="52">
        <v>15.25</v>
      </c>
      <c r="BP200" s="52">
        <v>14.01</v>
      </c>
      <c r="BQ200" s="52" cm="1">
        <f t="array" aca="1" ref="BQ200" ca="1">_FV(EE200,"Preço")</f>
        <v>14.01</v>
      </c>
      <c r="BR200" s="69" t="s">
        <v>196</v>
      </c>
      <c r="BS200" s="36" cm="1">
        <f t="array" aca="1" ref="BS200" ca="1">_FV(EE200,"Média de volume",TRUE)</f>
        <v>560800</v>
      </c>
      <c r="BT200" s="36">
        <v>287300</v>
      </c>
      <c r="BU200" s="36" cm="1">
        <f t="array" aca="1" ref="BU200" ca="1">_FV(EE200,"Volume")</f>
        <v>287300</v>
      </c>
      <c r="BV200" s="24" cm="1">
        <f t="array" aca="1" ref="BV200" ca="1">_FV(EE200,"Beta")</f>
        <v>1.5980000000000001</v>
      </c>
      <c r="BW200" s="71" cm="1">
        <f t="array" aca="1" ref="BW200" ca="1">_FV(EE200,"Variação (%)",TRUE)</f>
        <v>-2.5051999999999998E-2</v>
      </c>
      <c r="BY200" s="17" cm="1">
        <f t="array" aca="1" ref="BY200" ca="1">_FV(EE200,"Baixo")</f>
        <v>14.01</v>
      </c>
      <c r="BZ200" s="17" cm="1">
        <f t="array" aca="1" ref="BZ200" ca="1">_FV(EE200,"Alto")</f>
        <v>14.44</v>
      </c>
      <c r="CA200" s="24"/>
      <c r="CB200" s="63" t="e">
        <f ca="1">SQRT(22.5*(BQ200/VLOOKUP(BR200,Fundamentus!A:U,3,FALSE))*(BQ200/VLOOKUP(BR200,Fundamentus!A:U,4,FALSE)))</f>
        <v>#NUM!</v>
      </c>
      <c r="CD200" s="62">
        <f t="shared" ca="1" si="241"/>
        <v>0</v>
      </c>
      <c r="CE200" s="8"/>
      <c r="CF200" s="61">
        <f t="shared" si="242"/>
        <v>8.08</v>
      </c>
      <c r="CG200" s="61">
        <f t="shared" si="243"/>
        <v>268.51</v>
      </c>
      <c r="CH200" s="61">
        <f t="shared" si="244"/>
        <v>106.20742647058825</v>
      </c>
      <c r="CI200" s="14"/>
      <c r="CJ200" s="35">
        <f t="shared" si="227"/>
        <v>-148.96615783888313</v>
      </c>
      <c r="CK200" s="15">
        <f t="shared" si="245"/>
        <v>-44.635000000009313</v>
      </c>
      <c r="CL200" s="35">
        <f t="shared" si="228"/>
        <v>59.696157838864522</v>
      </c>
      <c r="CN200" s="14"/>
      <c r="CO200" s="17">
        <f t="shared" si="229"/>
        <v>-335.20666666666665</v>
      </c>
      <c r="CP200" s="17">
        <f t="shared" si="230"/>
        <v>-163.56333333333333</v>
      </c>
      <c r="CQ200" s="17">
        <f t="shared" si="231"/>
        <v>-74.776666666666671</v>
      </c>
      <c r="CR200" s="38">
        <f t="shared" si="246"/>
        <v>96.86666666666666</v>
      </c>
      <c r="CS200" s="17">
        <f t="shared" si="232"/>
        <v>185.65333333333331</v>
      </c>
      <c r="CT200" s="17">
        <f t="shared" si="233"/>
        <v>357.29666666666668</v>
      </c>
      <c r="CU200" s="17">
        <f t="shared" si="234"/>
        <v>446.08333333333331</v>
      </c>
      <c r="CV200" s="2" cm="1">
        <f t="array" aca="1" ref="CV200" ca="1">MAX(_xlfn._xlws.FILTER(CO200:CU200,CO200:CU200&lt;BQ200))</f>
        <v>-74.776666666666671</v>
      </c>
      <c r="CW200" s="2" cm="1">
        <f t="array" aca="1" ref="CW200" ca="1">MIN(_xlfn._xlws.FILTER($CO200:$CU200,$CO200:$CU200&gt;BQ200))</f>
        <v>96.86666666666666</v>
      </c>
      <c r="CX200" s="16">
        <f t="shared" ca="1" si="209"/>
        <v>-2.2954130076226988</v>
      </c>
      <c r="CY200" s="20">
        <f t="shared" ca="1" si="210"/>
        <v>1.1477065038113494</v>
      </c>
      <c r="CZ200" s="20">
        <f t="shared" ca="1" si="211"/>
        <v>0.76513766920756632</v>
      </c>
      <c r="DA200" s="20">
        <f t="shared" ca="1" si="212"/>
        <v>0.45908260152453978</v>
      </c>
      <c r="DB200" s="20">
        <f t="shared" ca="1" si="213"/>
        <v>0.2550458897358554</v>
      </c>
      <c r="DC200" s="20">
        <f t="shared" ca="1" si="214"/>
        <v>0.13502429456604112</v>
      </c>
      <c r="DD200" s="20">
        <f t="shared" ca="1" si="215"/>
        <v>6.9557969927960567E-2</v>
      </c>
      <c r="DE200" s="20">
        <f t="shared" ca="1" si="216"/>
        <v>3.5314046271118442E-2</v>
      </c>
      <c r="DF200" s="21">
        <f t="shared" ca="1" si="217"/>
        <v>-3.5314046271118442E-2</v>
      </c>
      <c r="DG200" s="21">
        <f t="shared" ca="1" si="218"/>
        <v>-6.9557969927960567E-2</v>
      </c>
      <c r="DH200" s="21">
        <f t="shared" ca="1" si="219"/>
        <v>-0.13502429456604112</v>
      </c>
      <c r="DI200" s="21">
        <f t="shared" ca="1" si="220"/>
        <v>-0.2550458897358554</v>
      </c>
      <c r="DJ200" s="21">
        <f t="shared" ca="1" si="221"/>
        <v>-0.45908260152453978</v>
      </c>
      <c r="DK200" s="21">
        <f t="shared" ca="1" si="222"/>
        <v>-0.76513766920756632</v>
      </c>
      <c r="DL200" s="21">
        <f t="shared" ca="1" si="223"/>
        <v>-1.1477065038113494</v>
      </c>
      <c r="DN200" s="16" cm="1">
        <f t="array" aca="1" ref="DN200" ca="1">MAX(_xlfn._xlws.FILTER(CY200:DL200,CY200:DL200&lt;BW200))</f>
        <v>-3.5314046271118442E-2</v>
      </c>
      <c r="DO200" s="16" cm="1">
        <f t="array" aca="1" ref="DO200" ca="1">MIN(_xlfn._xlws.FILTER(CY200:DL200,CY200:DL200&gt;BW200))</f>
        <v>3.5314046271118442E-2</v>
      </c>
      <c r="DP200" s="2" cm="1">
        <f t="array" aca="1" ref="DP200" ca="1">_FV(EE200,"Fechamento anterior",TRUE)</f>
        <v>14.37</v>
      </c>
      <c r="DQ200" s="28">
        <f t="shared" ca="1" si="235"/>
        <v>0.1452942283295541</v>
      </c>
      <c r="DR200" s="15">
        <f t="shared" ca="1" si="224"/>
        <v>13.862537155084027</v>
      </c>
      <c r="DS200" s="15">
        <f t="shared" ca="1" si="225"/>
        <v>14.877462844915971</v>
      </c>
      <c r="DT200" s="9"/>
      <c r="DU200" s="9"/>
      <c r="DV200" s="9"/>
      <c r="DW200" s="89">
        <v>3.4543342616364922E-2</v>
      </c>
      <c r="DX200" s="89">
        <f t="shared" ca="1" si="236"/>
        <v>7.0628092542236884E-2</v>
      </c>
      <c r="DY200" s="72">
        <f t="shared" ca="1" si="237"/>
        <v>0.56210437241172995</v>
      </c>
      <c r="DZ200" s="37"/>
      <c r="EA200" s="35">
        <f t="shared" si="247"/>
        <v>52.165578919436918</v>
      </c>
      <c r="EB200" s="56"/>
      <c r="EC200" s="56"/>
      <c r="EE200" s="2" t="e" vm="202">
        <v>#VALUE!</v>
      </c>
      <c r="EG200" s="10" cm="1">
        <f t="array" aca="1" ref="EG200" ca="1">_FV(EE200,"Ações em circulação",TRUE)</f>
        <v>1670419000</v>
      </c>
      <c r="EH200" s="18">
        <f>VLOOKUP(BR200,Fundamentus!A:U,5,FALSE)</f>
        <v>3.4649999999999999</v>
      </c>
      <c r="EI200" s="2">
        <f t="shared" ca="1" si="238"/>
        <v>6753988510.8225107</v>
      </c>
      <c r="EJ200" s="17">
        <v>-133053573.66320345</v>
      </c>
      <c r="EK200" s="17">
        <f t="shared" ca="1" si="239"/>
        <v>-133053573.66320345</v>
      </c>
      <c r="EM200" s="16">
        <f t="shared" ca="1" si="226"/>
        <v>0</v>
      </c>
      <c r="EN200" s="32" t="str">
        <f>IF(VLOOKUP(BR200,Fundamentus!A:U,3,FALSE)&lt;15,"Bom",IF(VLOOKUP(BR200,Fundamentus!A:U,3,FALSE)&gt;15,"Ruim","n/a"))</f>
        <v>Bom</v>
      </c>
      <c r="EO200" s="28" t="str">
        <f>IF(VLOOKUP(BR200,Fundamentus!A:U,4,FALSE)&lt;1,"Baixo",IF(VLOOKUP(BR200,Fundamentus!A:U,4,FALSE)&lt;1.5,"Moderado",IF(VLOOKUP(BR200,Fundamentus!A:U,4,FALSE)&gt;1.5,"Alto","n/a")))</f>
        <v>Alto</v>
      </c>
      <c r="EP200" s="17" t="str">
        <f>IF(VLOOKUP(BR200,Fundamentus!A:U,8,FALSE)&lt;0,"Risco elevado",IF(VLOOKUP(BR200,Fundamentus!A:U,8,FALSE)&lt;1,"Saudável",IF(VLOOKUP(BR200,Fundamentus!A:U,8,FALSE)&lt;3,"Estável",IF(VLOOKUP(BR200,Fundamentus!A:U,8,FALSE)&gt;3,"Alerta","n/a"))))</f>
        <v>Alerta</v>
      </c>
      <c r="EQ200" s="28" t="str">
        <f t="shared" si="240"/>
        <v>Bom</v>
      </c>
      <c r="ER200" s="17" t="str">
        <f>IF(VLOOKUP(BR200,Fundamentus!A:U,12,FALSE)&lt;2,"Subvalorizada",IF(VLOOKUP(BR200,Fundamentus!A:U,12,FALSE)&lt;6,"Muita barata",IF(VLOOKUP(BR200,Fundamentus!A:U,12,FALSE)&lt;6,"Barata",IF(VLOOKUP(BR200,Fundamentus!A:U,12,FALSE)&lt;8,"Atrativa",IF(VLOOKUP(BR200,Fundamentus!A:U,12,FALSE)&gt;8,"Supervalorizada","n/a")))))</f>
        <v>Supervalorizada</v>
      </c>
      <c r="ET200" s="17" t="str">
        <f>IF(VLOOKUP(BR200,Fundamentus!A:U,17,FALSE)&lt;0.1,"Fraco retorno",IF(VLOOKUP(BR200,Fundamentus!A:U,17,FALSE)&gt;0.1,"Bom retorno","n/a"))</f>
        <v>Fraco retorno</v>
      </c>
      <c r="EU200" s="17" t="str">
        <f>IF(VLOOKUP(BR200,Fundamentus!A:U,16,FALSE)&lt;0.1,"Ineficiente",IF(VLOOKUP(BR200,Fundamentus!A:U,16,FALSE)&gt;0.1,"Eficiente","n/a"))</f>
        <v>Ineficiente</v>
      </c>
      <c r="EV200" s="33" t="str">
        <f>IF(VLOOKUP(BR200,Fundamentus!A:U,16,FALSE)&lt;0.1,"Oper. Ineficiente",IF(VLOOKUP(BR200,Fundamentus!A:U,16,FALSE)&gt;0.1,"Oper.Eficiente","n/a"))</f>
        <v>Oper. Ineficiente</v>
      </c>
      <c r="EW200" s="34">
        <f>VLOOKUP(BR200,Fundamentus!A:U,14,FALSE)</f>
        <v>-1.9699999999999999E-2</v>
      </c>
      <c r="EX200" s="17" t="str">
        <f>IF(VLOOKUP(BR200,Fundamentus!A:U,21,FALSE)&lt;0,"Negativo",IF(VLOOKUP(BR200,Fundamentus!A:U,21,FALSE)&lt;0.05,"Fraco",IF(VLOOKUP(BR200,Fundamentus!A:U,21,FALSE)&lt;0.1,"Bom",IF(VLOOKUP(BR200,Fundamentus!A:U,21,FALSE)&gt;0.1,"Muito bom","n/a"))))</f>
        <v>Muito bom</v>
      </c>
      <c r="EZ200" s="29" t="str">
        <f>IF(VLOOKUP(BR200,Fundamentus!A:U,15,FALSE)&gt;1,"Bom",IF(VLOOKUP(BR200,Fundamentus!A:U,15,FALSE)&lt;1,"Ruim","n/a"))</f>
        <v>Bom</v>
      </c>
      <c r="FA200" s="17" t="str">
        <f>IF(VLOOKUP(BR200,Fundamentus!A:U,20,FALSE)&lt;0.5,"Baixa",IF(VLOOKUP(BR200,Fundamentus!A:U,20,FALSE)&lt;1,"Moderada",IF(VLOOKUP(BR200,Fundamentus!A:U,20,FALSE)&lt;2,"Alerta",IF(VLOOKUP(BR200,Fundamentus!A:U,20,FALSE)&gt;2,"Alta","n/a"))))</f>
        <v>Alta</v>
      </c>
      <c r="FB200" s="10"/>
    </row>
    <row r="201" spans="1:158" s="2" customFormat="1" ht="11.25"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5">
        <v>20.190000000000001</v>
      </c>
      <c r="BC201" s="52">
        <v>20.21</v>
      </c>
      <c r="BD201" s="52">
        <v>26.36</v>
      </c>
      <c r="BE201" s="52">
        <v>26</v>
      </c>
      <c r="BF201" s="52">
        <v>26.41</v>
      </c>
      <c r="BG201" s="67">
        <v>26.56</v>
      </c>
      <c r="BH201" s="52">
        <v>26.5</v>
      </c>
      <c r="BI201" s="52">
        <v>26</v>
      </c>
      <c r="BJ201" s="52">
        <v>25.5</v>
      </c>
      <c r="BK201" s="52">
        <v>24.48</v>
      </c>
      <c r="BL201" s="52">
        <v>25</v>
      </c>
      <c r="BM201" s="52">
        <v>25.6</v>
      </c>
      <c r="BN201" s="52">
        <v>25.37</v>
      </c>
      <c r="BO201" s="52">
        <v>25.1</v>
      </c>
      <c r="BP201" s="52">
        <v>26</v>
      </c>
      <c r="BQ201" s="52" cm="1">
        <f t="array" aca="1" ref="BQ201" ca="1">_FV(EE201,"Preço")</f>
        <v>26</v>
      </c>
      <c r="BR201" s="69" t="s">
        <v>197</v>
      </c>
      <c r="BS201" s="36" cm="1">
        <f t="array" aca="1" ref="BS201" ca="1">_FV(EE201,"Média de volume",TRUE)</f>
        <v>10250</v>
      </c>
      <c r="BT201" s="36">
        <v>9800</v>
      </c>
      <c r="BU201" s="36" cm="1">
        <f t="array" aca="1" ref="BU201" ca="1">_FV(EE201,"Volume")</f>
        <v>9800</v>
      </c>
      <c r="BV201" s="24" cm="1">
        <f t="array" aca="1" ref="BV201" ca="1">_FV(EE201,"Beta")</f>
        <v>1.0557000000000001</v>
      </c>
      <c r="BW201" s="71" cm="1">
        <f t="array" aca="1" ref="BW201" ca="1">_FV(EE201,"Variação (%)",TRUE)</f>
        <v>1.5625E-2</v>
      </c>
      <c r="BY201" s="17" cm="1">
        <f t="array" aca="1" ref="BY201" ca="1">_FV(EE201,"Baixo")</f>
        <v>25.4</v>
      </c>
      <c r="BZ201" s="17" cm="1">
        <f t="array" aca="1" ref="BZ201" ca="1">_FV(EE201,"Alto")</f>
        <v>26</v>
      </c>
      <c r="CA201" s="24"/>
      <c r="CB201" s="63" t="e">
        <f ca="1">SQRT(22.5*(BQ201/VLOOKUP(BR201,Fundamentus!A:U,3,FALSE))*(BQ201/VLOOKUP(BR201,Fundamentus!A:U,4,FALSE)))</f>
        <v>#NUM!</v>
      </c>
      <c r="CD201" s="62">
        <f t="shared" ca="1" si="241"/>
        <v>0</v>
      </c>
      <c r="CE201" s="8"/>
      <c r="CF201" s="61">
        <f t="shared" si="242"/>
        <v>0.79</v>
      </c>
      <c r="CG201" s="61">
        <f t="shared" si="243"/>
        <v>31.5</v>
      </c>
      <c r="CH201" s="61">
        <f t="shared" si="244"/>
        <v>16.137941176470587</v>
      </c>
      <c r="CI201" s="14"/>
      <c r="CJ201" s="35">
        <f t="shared" si="227"/>
        <v>24.992741787763247</v>
      </c>
      <c r="CK201" s="15">
        <f t="shared" si="245"/>
        <v>25.75</v>
      </c>
      <c r="CL201" s="35">
        <f t="shared" si="228"/>
        <v>26.507258212236753</v>
      </c>
      <c r="CN201" s="14"/>
      <c r="CO201" s="17">
        <f t="shared" si="229"/>
        <v>-23.35</v>
      </c>
      <c r="CP201" s="17">
        <f t="shared" si="230"/>
        <v>-11.280000000000001</v>
      </c>
      <c r="CQ201" s="17">
        <f t="shared" si="231"/>
        <v>7.3599999999999994</v>
      </c>
      <c r="CR201" s="38">
        <f t="shared" si="246"/>
        <v>19.43</v>
      </c>
      <c r="CS201" s="17">
        <f t="shared" si="232"/>
        <v>38.07</v>
      </c>
      <c r="CT201" s="17">
        <f t="shared" si="233"/>
        <v>50.14</v>
      </c>
      <c r="CU201" s="17">
        <f t="shared" si="234"/>
        <v>68.78</v>
      </c>
      <c r="CV201" s="2" cm="1">
        <f t="array" aca="1" ref="CV201" ca="1">MAX(_xlfn._xlws.FILTER(CO201:CU201,CO201:CU201&lt;BQ201))</f>
        <v>19.43</v>
      </c>
      <c r="CW201" s="2" cm="1">
        <f t="array" aca="1" ref="CW201" ca="1">MIN(_xlfn._xlws.FILTER($CO201:$CU201,$CO201:$CU201&gt;BQ201))</f>
        <v>38.07</v>
      </c>
      <c r="CX201" s="16">
        <f t="shared" ca="1" si="209"/>
        <v>0.95934122490993312</v>
      </c>
      <c r="CY201" s="20">
        <f t="shared" ca="1" si="210"/>
        <v>-0.47967061245496656</v>
      </c>
      <c r="CZ201" s="20">
        <f t="shared" ca="1" si="211"/>
        <v>-0.31978040830331106</v>
      </c>
      <c r="DA201" s="20">
        <f t="shared" ca="1" si="212"/>
        <v>-0.19186824498198662</v>
      </c>
      <c r="DB201" s="20">
        <f t="shared" ca="1" si="213"/>
        <v>-0.10659346943443701</v>
      </c>
      <c r="DC201" s="20">
        <f t="shared" ca="1" si="214"/>
        <v>-5.6431836759407827E-2</v>
      </c>
      <c r="DD201" s="20">
        <f t="shared" ca="1" si="215"/>
        <v>-2.9070946209391914E-2</v>
      </c>
      <c r="DE201" s="20">
        <f t="shared" ca="1" si="216"/>
        <v>-1.4759095767845124E-2</v>
      </c>
      <c r="DF201" s="21">
        <f t="shared" ca="1" si="217"/>
        <v>1.4759095767845124E-2</v>
      </c>
      <c r="DG201" s="21">
        <f t="shared" ca="1" si="218"/>
        <v>2.9070946209391914E-2</v>
      </c>
      <c r="DH201" s="21">
        <f t="shared" ca="1" si="219"/>
        <v>5.6431836759407827E-2</v>
      </c>
      <c r="DI201" s="21">
        <f t="shared" ca="1" si="220"/>
        <v>0.10659346943443701</v>
      </c>
      <c r="DJ201" s="21">
        <f t="shared" ca="1" si="221"/>
        <v>0.19186824498198662</v>
      </c>
      <c r="DK201" s="21">
        <f t="shared" ca="1" si="222"/>
        <v>0.31978040830331106</v>
      </c>
      <c r="DL201" s="21">
        <f t="shared" ca="1" si="223"/>
        <v>0.47967061245496656</v>
      </c>
      <c r="DN201" s="16" cm="1">
        <f t="array" aca="1" ref="DN201" ca="1">MAX(_xlfn._xlws.FILTER(CY201:DL201,CY201:DL201&lt;BW201))</f>
        <v>1.4759095767845124E-2</v>
      </c>
      <c r="DO201" s="16" cm="1">
        <f t="array" aca="1" ref="DO201" ca="1">MIN(_xlfn._xlws.FILTER(CY201:DL201,CY201:DL201&gt;BW201))</f>
        <v>2.9070946209391914E-2</v>
      </c>
      <c r="DP201" s="2" cm="1">
        <f t="array" aca="1" ref="DP201" ca="1">_FV(EE201,"Fechamento anterior",TRUE)</f>
        <v>25.6</v>
      </c>
      <c r="DQ201" s="28">
        <f t="shared" ca="1" si="235"/>
        <v>6.0502604865209385E-2</v>
      </c>
      <c r="DR201" s="15">
        <f t="shared" ca="1" si="224"/>
        <v>25.977832851656835</v>
      </c>
      <c r="DS201" s="15">
        <f t="shared" ca="1" si="225"/>
        <v>26.344216222960434</v>
      </c>
      <c r="DT201" s="9"/>
      <c r="DU201" s="9"/>
      <c r="DV201" s="9"/>
      <c r="DW201" s="89">
        <v>1.4302338191517492E-2</v>
      </c>
      <c r="DX201" s="89">
        <f t="shared" ca="1" si="236"/>
        <v>1.431185044154679E-2</v>
      </c>
      <c r="DY201" s="72">
        <f t="shared" ca="1" si="237"/>
        <v>0.33013838075332591</v>
      </c>
      <c r="DZ201" s="37"/>
      <c r="EA201" s="35">
        <f t="shared" si="247"/>
        <v>0.3786291061183758</v>
      </c>
      <c r="EB201" s="56"/>
      <c r="EC201" s="56"/>
      <c r="EE201" s="2" t="e" vm="203">
        <v>#VALUE!</v>
      </c>
      <c r="EG201" s="10" cm="1">
        <f t="array" aca="1" ref="EG201" ca="1">_FV(EE201,"Ações em circulação",TRUE)</f>
        <v>9140940</v>
      </c>
      <c r="EH201" s="18">
        <f>VLOOKUP(BR201,Fundamentus!A:U,5,FALSE)</f>
        <v>0.85299999999999998</v>
      </c>
      <c r="EI201" s="2">
        <f t="shared" ca="1" si="238"/>
        <v>278621852.28604925</v>
      </c>
      <c r="EJ201" s="17">
        <v>-31512131.493552171</v>
      </c>
      <c r="EK201" s="17">
        <f t="shared" ca="1" si="239"/>
        <v>-31512131.493552171</v>
      </c>
      <c r="EM201" s="16">
        <f t="shared" ca="1" si="226"/>
        <v>0</v>
      </c>
      <c r="EN201" s="32" t="str">
        <f>IF(VLOOKUP(BR201,Fundamentus!A:U,3,FALSE)&lt;15,"Bom",IF(VLOOKUP(BR201,Fundamentus!A:U,3,FALSE)&gt;15,"Ruim","n/a"))</f>
        <v>Bom</v>
      </c>
      <c r="EO201" s="28" t="str">
        <f>IF(VLOOKUP(BR201,Fundamentus!A:U,4,FALSE)&lt;1,"Baixo",IF(VLOOKUP(BR201,Fundamentus!A:U,4,FALSE)&lt;1.5,"Moderado",IF(VLOOKUP(BR201,Fundamentus!A:U,4,FALSE)&gt;1.5,"Alto","n/a")))</f>
        <v>Baixo</v>
      </c>
      <c r="EP201" s="17" t="str">
        <f>IF(VLOOKUP(BR201,Fundamentus!A:U,8,FALSE)&lt;0,"Risco elevado",IF(VLOOKUP(BR201,Fundamentus!A:U,8,FALSE)&lt;1,"Saudável",IF(VLOOKUP(BR201,Fundamentus!A:U,8,FALSE)&lt;3,"Estável",IF(VLOOKUP(BR201,Fundamentus!A:U,8,FALSE)&gt;3,"Alerta","n/a"))))</f>
        <v>Estável</v>
      </c>
      <c r="EQ201" s="28" t="str">
        <f t="shared" si="240"/>
        <v>Ruim</v>
      </c>
      <c r="ER201" s="17" t="str">
        <f>IF(VLOOKUP(BR201,Fundamentus!A:U,12,FALSE)&lt;2,"Subvalorizada",IF(VLOOKUP(BR201,Fundamentus!A:U,12,FALSE)&lt;6,"Muita barata",IF(VLOOKUP(BR201,Fundamentus!A:U,12,FALSE)&lt;6,"Barata",IF(VLOOKUP(BR201,Fundamentus!A:U,12,FALSE)&lt;8,"Atrativa",IF(VLOOKUP(BR201,Fundamentus!A:U,12,FALSE)&gt;8,"Supervalorizada","n/a")))))</f>
        <v>Muita barata</v>
      </c>
      <c r="ET201" s="17" t="str">
        <f>IF(VLOOKUP(BR201,Fundamentus!A:U,17,FALSE)&lt;0.1,"Fraco retorno",IF(VLOOKUP(BR201,Fundamentus!A:U,17,FALSE)&gt;0.1,"Bom retorno","n/a"))</f>
        <v>Fraco retorno</v>
      </c>
      <c r="EU201" s="17" t="str">
        <f>IF(VLOOKUP(BR201,Fundamentus!A:U,16,FALSE)&lt;0.1,"Ineficiente",IF(VLOOKUP(BR201,Fundamentus!A:U,16,FALSE)&gt;0.1,"Eficiente","n/a"))</f>
        <v>Ineficiente</v>
      </c>
      <c r="EV201" s="33" t="str">
        <f>IF(VLOOKUP(BR201,Fundamentus!A:U,16,FALSE)&lt;0.1,"Oper. Ineficiente",IF(VLOOKUP(BR201,Fundamentus!A:U,16,FALSE)&gt;0.1,"Oper.Eficiente","n/a"))</f>
        <v>Oper. Ineficiente</v>
      </c>
      <c r="EW201" s="34">
        <f>VLOOKUP(BR201,Fundamentus!A:U,14,FALSE)</f>
        <v>-0.11310000000000001</v>
      </c>
      <c r="EX201" s="17" t="str">
        <f>IF(VLOOKUP(BR201,Fundamentus!A:U,21,FALSE)&lt;0,"Negativo",IF(VLOOKUP(BR201,Fundamentus!A:U,21,FALSE)&lt;0.05,"Fraco",IF(VLOOKUP(BR201,Fundamentus!A:U,21,FALSE)&lt;0.1,"Bom",IF(VLOOKUP(BR201,Fundamentus!A:U,21,FALSE)&gt;0.1,"Muito bom","n/a"))))</f>
        <v>Bom</v>
      </c>
      <c r="EZ201" s="29" t="str">
        <f>IF(VLOOKUP(BR201,Fundamentus!A:U,15,FALSE)&gt;1,"Bom",IF(VLOOKUP(BR201,Fundamentus!A:U,15,FALSE)&lt;1,"Ruim","n/a"))</f>
        <v>Bom</v>
      </c>
      <c r="FA201" s="17" t="str">
        <f>IF(VLOOKUP(BR201,Fundamentus!A:U,20,FALSE)&lt;0.5,"Baixa",IF(VLOOKUP(BR201,Fundamentus!A:U,20,FALSE)&lt;1,"Moderada",IF(VLOOKUP(BR201,Fundamentus!A:U,20,FALSE)&lt;2,"Alerta",IF(VLOOKUP(BR201,Fundamentus!A:U,20,FALSE)&gt;2,"Alta","n/a"))))</f>
        <v>Baixa</v>
      </c>
      <c r="FB201" s="10"/>
    </row>
    <row r="202" spans="1:158" s="2" customFormat="1" ht="11.25"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5">
        <v>4.4400000000000004</v>
      </c>
      <c r="BC202" s="52">
        <v>5.0199999999999996</v>
      </c>
      <c r="BD202" s="52">
        <v>4.82</v>
      </c>
      <c r="BE202" s="52">
        <v>4.75</v>
      </c>
      <c r="BF202" s="52">
        <v>4.76</v>
      </c>
      <c r="BG202" s="67">
        <v>5.0599999999999996</v>
      </c>
      <c r="BH202" s="52">
        <v>5.0599999999999996</v>
      </c>
      <c r="BI202" s="52">
        <v>5.04</v>
      </c>
      <c r="BJ202" s="52">
        <v>5.31</v>
      </c>
      <c r="BK202" s="52">
        <v>5.14</v>
      </c>
      <c r="BL202" s="52">
        <v>4.9800000000000004</v>
      </c>
      <c r="BM202" s="52">
        <v>4.84</v>
      </c>
      <c r="BN202" s="52">
        <v>4.5199999999999996</v>
      </c>
      <c r="BO202" s="52">
        <v>4.59</v>
      </c>
      <c r="BP202" s="52">
        <v>4.43</v>
      </c>
      <c r="BQ202" s="52" cm="1">
        <f t="array" aca="1" ref="BQ202" ca="1">_FV(EE202,"Preço")</f>
        <v>4.43</v>
      </c>
      <c r="BR202" s="69" t="s">
        <v>251</v>
      </c>
      <c r="BS202" s="36" cm="1">
        <f t="array" aca="1" ref="BS202" ca="1">_FV(EE202,"Média de volume",TRUE)</f>
        <v>1080170</v>
      </c>
      <c r="BT202" s="36">
        <v>992700</v>
      </c>
      <c r="BU202" s="36" cm="1">
        <f t="array" aca="1" ref="BU202" ca="1">_FV(EE202,"Volume")</f>
        <v>992700</v>
      </c>
      <c r="BV202" s="24" cm="1">
        <f t="array" aca="1" ref="BV202" ca="1">_FV(EE202,"Beta")</f>
        <v>0.39679999999999999</v>
      </c>
      <c r="BW202" s="71" cm="1">
        <f t="array" aca="1" ref="BW202" ca="1">_FV(EE202,"Variação (%)",TRUE)</f>
        <v>-1.3363E-2</v>
      </c>
      <c r="BY202" s="17" cm="1">
        <f t="array" aca="1" ref="BY202" ca="1">_FV(EE202,"Baixo")</f>
        <v>4.3899999999999997</v>
      </c>
      <c r="BZ202" s="17" cm="1">
        <f t="array" aca="1" ref="BZ202" ca="1">_FV(EE202,"Alto")</f>
        <v>4.53</v>
      </c>
      <c r="CA202" s="24"/>
      <c r="CB202" s="63">
        <f ca="1">SQRT(22.5*(BQ202/VLOOKUP(BR202,Fundamentus!A:U,3,FALSE))*(BQ202/VLOOKUP(BR202,Fundamentus!A:U,4,FALSE)))</f>
        <v>10.332983168226422</v>
      </c>
      <c r="CD202" s="62">
        <f t="shared" ca="1" si="241"/>
        <v>0</v>
      </c>
      <c r="CE202" s="8"/>
      <c r="CF202" s="61">
        <f t="shared" si="242"/>
        <v>3.55</v>
      </c>
      <c r="CG202" s="61">
        <f t="shared" si="243"/>
        <v>10</v>
      </c>
      <c r="CH202" s="61">
        <f t="shared" si="244"/>
        <v>6.6088970588235307</v>
      </c>
      <c r="CI202" s="14"/>
      <c r="CJ202" s="35">
        <f t="shared" si="227"/>
        <v>3.8392790535095713</v>
      </c>
      <c r="CK202" s="15">
        <f t="shared" si="245"/>
        <v>4.3050000000000637</v>
      </c>
      <c r="CL202" s="35">
        <f t="shared" si="228"/>
        <v>4.770720946490556</v>
      </c>
      <c r="CN202" s="14"/>
      <c r="CO202" s="17">
        <f t="shared" si="229"/>
        <v>-4.4633333333333338</v>
      </c>
      <c r="CP202" s="17">
        <f t="shared" si="230"/>
        <v>-0.456666666666667</v>
      </c>
      <c r="CQ202" s="17">
        <f t="shared" si="231"/>
        <v>1.9866666666666664</v>
      </c>
      <c r="CR202" s="38">
        <f t="shared" si="246"/>
        <v>5.9933333333333332</v>
      </c>
      <c r="CS202" s="17">
        <f t="shared" si="232"/>
        <v>8.4366666666666674</v>
      </c>
      <c r="CT202" s="17">
        <f t="shared" si="233"/>
        <v>12.443333333333333</v>
      </c>
      <c r="CU202" s="17">
        <f t="shared" si="234"/>
        <v>14.886666666666667</v>
      </c>
      <c r="CV202" s="2" cm="1">
        <f t="array" aca="1" ref="CV202" ca="1">MAX(_xlfn._xlws.FILTER(CO202:CU202,CO202:CU202&lt;BQ202))</f>
        <v>1.9866666666666664</v>
      </c>
      <c r="CW202" s="2" cm="1">
        <f t="array" aca="1" ref="CW202" ca="1">MIN(_xlfn._xlws.FILTER($CO202:$CU202,$CO202:$CU202&gt;BQ202))</f>
        <v>5.9933333333333332</v>
      </c>
      <c r="CX202" s="16">
        <f t="shared" ca="1" si="209"/>
        <v>2.0167785234899331</v>
      </c>
      <c r="CY202" s="20">
        <f t="shared" ca="1" si="210"/>
        <v>-1.0083892617449666</v>
      </c>
      <c r="CZ202" s="20">
        <f t="shared" ca="1" si="211"/>
        <v>-0.67225950782997768</v>
      </c>
      <c r="DA202" s="20">
        <f t="shared" ca="1" si="212"/>
        <v>-0.40335570469798665</v>
      </c>
      <c r="DB202" s="20">
        <f t="shared" ca="1" si="213"/>
        <v>-0.22408650260999258</v>
      </c>
      <c r="DC202" s="20">
        <f t="shared" ca="1" si="214"/>
        <v>-0.11863403079352548</v>
      </c>
      <c r="DD202" s="20">
        <f t="shared" ca="1" si="215"/>
        <v>-6.1114500711816157E-2</v>
      </c>
      <c r="DE202" s="20">
        <f t="shared" ca="1" si="216"/>
        <v>-3.1027361899845125E-2</v>
      </c>
      <c r="DF202" s="21">
        <f t="shared" ca="1" si="217"/>
        <v>3.1027361899845125E-2</v>
      </c>
      <c r="DG202" s="21">
        <f t="shared" ca="1" si="218"/>
        <v>6.1114500711816157E-2</v>
      </c>
      <c r="DH202" s="21">
        <f t="shared" ca="1" si="219"/>
        <v>0.11863403079352548</v>
      </c>
      <c r="DI202" s="21">
        <f t="shared" ca="1" si="220"/>
        <v>0.22408650260999258</v>
      </c>
      <c r="DJ202" s="21">
        <f t="shared" ca="1" si="221"/>
        <v>0.40335570469798665</v>
      </c>
      <c r="DK202" s="21">
        <f t="shared" ca="1" si="222"/>
        <v>0.67225950782997768</v>
      </c>
      <c r="DL202" s="21">
        <f t="shared" ca="1" si="223"/>
        <v>1.0083892617449666</v>
      </c>
      <c r="DN202" s="16" cm="1">
        <f t="array" aca="1" ref="DN202" ca="1">MAX(_xlfn._xlws.FILTER(CY202:DL202,CY202:DL202&lt;BW202))</f>
        <v>-3.1027361899845125E-2</v>
      </c>
      <c r="DO202" s="16" cm="1">
        <f t="array" aca="1" ref="DO202" ca="1">MIN(_xlfn._xlws.FILTER(CY202:DL202,CY202:DL202&gt;BW202))</f>
        <v>3.1027361899845125E-2</v>
      </c>
      <c r="DP202" s="2" cm="1">
        <f t="array" aca="1" ref="DP202" ca="1">_FV(EE202,"Fechamento anterior",TRUE)</f>
        <v>4.49</v>
      </c>
      <c r="DQ202" s="28">
        <f t="shared" ca="1" si="235"/>
        <v>0.28465734540427995</v>
      </c>
      <c r="DR202" s="15">
        <f t="shared" ca="1" si="224"/>
        <v>4.3506871450696956</v>
      </c>
      <c r="DS202" s="15">
        <f t="shared" ca="1" si="225"/>
        <v>4.6293128549303049</v>
      </c>
      <c r="DT202" s="9"/>
      <c r="DU202" s="9"/>
      <c r="DV202" s="9"/>
      <c r="DW202" s="89">
        <v>5.8108770210681032E-2</v>
      </c>
      <c r="DX202" s="89">
        <f t="shared" ca="1" si="236"/>
        <v>6.2054723799690251E-2</v>
      </c>
      <c r="DY202" s="72">
        <f t="shared" ca="1" si="237"/>
        <v>0.2684010692280252</v>
      </c>
      <c r="DZ202" s="37"/>
      <c r="EA202" s="35">
        <f t="shared" si="247"/>
        <v>0.23286047324524625</v>
      </c>
      <c r="EB202" s="56"/>
      <c r="EC202" s="56"/>
      <c r="EE202" s="2" t="e" vm="204">
        <v>#VALUE!</v>
      </c>
      <c r="EG202" s="10" cm="1">
        <f t="array" aca="1" ref="EG202" ca="1">_FV(EE202,"Ações em circulação",TRUE)</f>
        <v>350000000</v>
      </c>
      <c r="EH202" s="18">
        <f>VLOOKUP(BR202,Fundamentus!A:U,5,FALSE)</f>
        <v>0.14299999999999999</v>
      </c>
      <c r="EI202" s="2">
        <f t="shared" ca="1" si="238"/>
        <v>10842657342.657343</v>
      </c>
      <c r="EJ202" s="17">
        <v>184325174.82517484</v>
      </c>
      <c r="EK202" s="17">
        <f t="shared" ca="1" si="239"/>
        <v>184325174.82517484</v>
      </c>
      <c r="EM202" s="16">
        <f t="shared" ca="1" si="226"/>
        <v>0</v>
      </c>
      <c r="EN202" s="32" t="str">
        <f>IF(VLOOKUP(BR202,Fundamentus!A:U,3,FALSE)&lt;15,"Bom",IF(VLOOKUP(BR202,Fundamentus!A:U,3,FALSE)&gt;15,"Ruim","n/a"))</f>
        <v>Bom</v>
      </c>
      <c r="EO202" s="28" t="str">
        <f>IF(VLOOKUP(BR202,Fundamentus!A:U,4,FALSE)&lt;1,"Baixo",IF(VLOOKUP(BR202,Fundamentus!A:U,4,FALSE)&lt;1.5,"Moderado",IF(VLOOKUP(BR202,Fundamentus!A:U,4,FALSE)&gt;1.5,"Alto","n/a")))</f>
        <v>Baixo</v>
      </c>
      <c r="EP202" s="17" t="str">
        <f>IF(VLOOKUP(BR202,Fundamentus!A:U,8,FALSE)&lt;0,"Risco elevado",IF(VLOOKUP(BR202,Fundamentus!A:U,8,FALSE)&lt;1,"Saudável",IF(VLOOKUP(BR202,Fundamentus!A:U,8,FALSE)&lt;3,"Estável",IF(VLOOKUP(BR202,Fundamentus!A:U,8,FALSE)&gt;3,"Alerta","n/a"))))</f>
        <v>Saudável</v>
      </c>
      <c r="EQ202" s="28" t="str">
        <f t="shared" si="240"/>
        <v>Ruim</v>
      </c>
      <c r="ER202" s="17" t="str">
        <f>IF(VLOOKUP(BR202,Fundamentus!A:U,12,FALSE)&lt;2,"Subvalorizada",IF(VLOOKUP(BR202,Fundamentus!A:U,12,FALSE)&lt;6,"Muita barata",IF(VLOOKUP(BR202,Fundamentus!A:U,12,FALSE)&lt;6,"Barata",IF(VLOOKUP(BR202,Fundamentus!A:U,12,FALSE)&lt;8,"Atrativa",IF(VLOOKUP(BR202,Fundamentus!A:U,12,FALSE)&gt;8,"Supervalorizada","n/a")))))</f>
        <v>Atrativa</v>
      </c>
      <c r="ET202" s="17" t="str">
        <f>IF(VLOOKUP(BR202,Fundamentus!A:U,17,FALSE)&lt;0.1,"Fraco retorno",IF(VLOOKUP(BR202,Fundamentus!A:U,17,FALSE)&gt;0.1,"Bom retorno","n/a"))</f>
        <v>Fraco retorno</v>
      </c>
      <c r="EU202" s="17" t="str">
        <f>IF(VLOOKUP(BR202,Fundamentus!A:U,16,FALSE)&lt;0.1,"Ineficiente",IF(VLOOKUP(BR202,Fundamentus!A:U,16,FALSE)&gt;0.1,"Eficiente","n/a"))</f>
        <v>Ineficiente</v>
      </c>
      <c r="EV202" s="33" t="str">
        <f>IF(VLOOKUP(BR202,Fundamentus!A:U,16,FALSE)&lt;0.1,"Oper. Ineficiente",IF(VLOOKUP(BR202,Fundamentus!A:U,16,FALSE)&gt;0.1,"Oper.Eficiente","n/a"))</f>
        <v>Oper. Ineficiente</v>
      </c>
      <c r="EW202" s="34">
        <f>VLOOKUP(BR202,Fundamentus!A:U,14,FALSE)</f>
        <v>1.7000000000000001E-2</v>
      </c>
      <c r="EX202" s="17" t="str">
        <f>IF(VLOOKUP(BR202,Fundamentus!A:U,21,FALSE)&lt;0,"Negativo",IF(VLOOKUP(BR202,Fundamentus!A:U,21,FALSE)&lt;0.05,"Fraco",IF(VLOOKUP(BR202,Fundamentus!A:U,21,FALSE)&lt;0.1,"Bom",IF(VLOOKUP(BR202,Fundamentus!A:U,21,FALSE)&gt;0.1,"Muito bom","n/a"))))</f>
        <v>Muito bom</v>
      </c>
      <c r="EZ202" s="29" t="str">
        <f>IF(VLOOKUP(BR202,Fundamentus!A:U,15,FALSE)&gt;1,"Bom",IF(VLOOKUP(BR202,Fundamentus!A:U,15,FALSE)&lt;1,"Ruim","n/a"))</f>
        <v>Bom</v>
      </c>
      <c r="FA202" s="17" t="str">
        <f>IF(VLOOKUP(BR202,Fundamentus!A:U,20,FALSE)&lt;0.5,"Baixa",IF(VLOOKUP(BR202,Fundamentus!A:U,20,FALSE)&lt;1,"Moderada",IF(VLOOKUP(BR202,Fundamentus!A:U,20,FALSE)&lt;2,"Alerta",IF(VLOOKUP(BR202,Fundamentus!A:U,20,FALSE)&gt;2,"Alta","n/a"))))</f>
        <v>Alerta</v>
      </c>
      <c r="FB202" s="10"/>
    </row>
    <row r="203" spans="1:158" s="2" customFormat="1" ht="11.25"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5">
        <v>8</v>
      </c>
      <c r="BC203" s="52">
        <v>8.1300000000000008</v>
      </c>
      <c r="BD203" s="52">
        <v>8.0299999999999994</v>
      </c>
      <c r="BE203" s="52">
        <v>7.95</v>
      </c>
      <c r="BF203" s="52">
        <v>7.66</v>
      </c>
      <c r="BG203" s="67">
        <v>7.75</v>
      </c>
      <c r="BH203" s="52">
        <v>7.63</v>
      </c>
      <c r="BI203" s="52">
        <v>7.15</v>
      </c>
      <c r="BJ203" s="52">
        <v>7.35</v>
      </c>
      <c r="BK203" s="52">
        <v>7.12</v>
      </c>
      <c r="BL203" s="52">
        <v>6.75</v>
      </c>
      <c r="BM203" s="52">
        <v>6.22</v>
      </c>
      <c r="BN203" s="52">
        <v>6.48</v>
      </c>
      <c r="BO203" s="52">
        <v>5.86</v>
      </c>
      <c r="BP203" s="52">
        <v>5.16</v>
      </c>
      <c r="BQ203" s="52" cm="1">
        <f t="array" aca="1" ref="BQ203" ca="1">_FV(EE203,"Preço")</f>
        <v>5.16</v>
      </c>
      <c r="BR203" s="69" t="s">
        <v>199</v>
      </c>
      <c r="BS203" s="36" cm="1">
        <f t="array" aca="1" ref="BS203" ca="1">_FV(EE203,"Média de volume",TRUE)</f>
        <v>361070</v>
      </c>
      <c r="BT203" s="36">
        <v>21000</v>
      </c>
      <c r="BU203" s="36" cm="1">
        <f t="array" aca="1" ref="BU203" ca="1">_FV(EE203,"Volume")</f>
        <v>21000</v>
      </c>
      <c r="BV203" s="24" cm="1">
        <f t="array" aca="1" ref="BV203" ca="1">_FV(EE203,"Beta")</f>
        <v>1.2574000000000001</v>
      </c>
      <c r="BW203" s="71" cm="1">
        <f t="array" aca="1" ref="BW203" ca="1">_FV(EE203,"Variação (%)",TRUE)</f>
        <v>-5.8394000000000001E-2</v>
      </c>
      <c r="BY203" s="17" cm="1">
        <f t="array" aca="1" ref="BY203" ca="1">_FV(EE203,"Baixo")</f>
        <v>5.16</v>
      </c>
      <c r="BZ203" s="17" cm="1">
        <f t="array" aca="1" ref="BZ203" ca="1">_FV(EE203,"Alto")</f>
        <v>5.55</v>
      </c>
      <c r="CA203" s="24"/>
      <c r="CB203" s="63">
        <f ca="1">SQRT(22.5*(BQ203/VLOOKUP(BR203,Fundamentus!A:U,3,FALSE))*(BQ203/VLOOKUP(BR203,Fundamentus!A:U,4,FALSE)))</f>
        <v>8.5636027440207627</v>
      </c>
      <c r="CD203" s="62">
        <f t="shared" ca="1" si="241"/>
        <v>0</v>
      </c>
      <c r="CE203" s="8"/>
      <c r="CF203" s="61">
        <f t="shared" si="242"/>
        <v>5.16</v>
      </c>
      <c r="CG203" s="61">
        <f t="shared" si="243"/>
        <v>12.71</v>
      </c>
      <c r="CH203" s="61">
        <f t="shared" si="244"/>
        <v>9.4044117647058822</v>
      </c>
      <c r="CI203" s="14"/>
      <c r="CJ203" s="35">
        <f t="shared" si="227"/>
        <v>4.1154446229415065</v>
      </c>
      <c r="CK203" s="15">
        <f t="shared" si="245"/>
        <v>4.9799999999995634</v>
      </c>
      <c r="CL203" s="35">
        <f t="shared" si="228"/>
        <v>5.8445553770576204</v>
      </c>
      <c r="CN203" s="14"/>
      <c r="CO203" s="17">
        <f t="shared" si="229"/>
        <v>-4.9066666666666681</v>
      </c>
      <c r="CP203" s="17">
        <f t="shared" si="230"/>
        <v>0.12666666666666604</v>
      </c>
      <c r="CQ203" s="17">
        <f t="shared" si="231"/>
        <v>2.6433333333333326</v>
      </c>
      <c r="CR203" s="38">
        <f t="shared" si="246"/>
        <v>7.6766666666666667</v>
      </c>
      <c r="CS203" s="17">
        <f t="shared" si="232"/>
        <v>10.193333333333333</v>
      </c>
      <c r="CT203" s="17">
        <f t="shared" si="233"/>
        <v>15.226666666666667</v>
      </c>
      <c r="CU203" s="17">
        <f t="shared" si="234"/>
        <v>17.743333333333332</v>
      </c>
      <c r="CV203" s="2" cm="1">
        <f t="array" aca="1" ref="CV203" ca="1">MAX(_xlfn._xlws.FILTER(CO203:CU203,CO203:CU203&lt;BQ203))</f>
        <v>2.6433333333333326</v>
      </c>
      <c r="CW203" s="2" cm="1">
        <f t="array" aca="1" ref="CW203" ca="1">MIN(_xlfn._xlws.FILTER($CO203:$CU203,$CO203:$CU203&gt;BQ203))</f>
        <v>7.6766666666666667</v>
      </c>
      <c r="CX203" s="16">
        <f t="shared" ca="1" si="209"/>
        <v>1.9041614123581345</v>
      </c>
      <c r="CY203" s="20">
        <f t="shared" ca="1" si="210"/>
        <v>-0.95208070617906726</v>
      </c>
      <c r="CZ203" s="20">
        <f t="shared" ca="1" si="211"/>
        <v>-0.63472047078604488</v>
      </c>
      <c r="DA203" s="20">
        <f t="shared" ca="1" si="212"/>
        <v>-0.38083228247162693</v>
      </c>
      <c r="DB203" s="20">
        <f t="shared" ca="1" si="213"/>
        <v>-0.21157349026201494</v>
      </c>
      <c r="DC203" s="20">
        <f t="shared" ca="1" si="214"/>
        <v>-0.11200949484459614</v>
      </c>
      <c r="DD203" s="20">
        <f t="shared" ca="1" si="215"/>
        <v>-5.7701860980549531E-2</v>
      </c>
      <c r="DE203" s="20">
        <f t="shared" ca="1" si="216"/>
        <v>-2.9294790959355915E-2</v>
      </c>
      <c r="DF203" s="21">
        <f t="shared" ca="1" si="217"/>
        <v>2.9294790959355915E-2</v>
      </c>
      <c r="DG203" s="21">
        <f t="shared" ca="1" si="218"/>
        <v>5.7701860980549531E-2</v>
      </c>
      <c r="DH203" s="21">
        <f t="shared" ca="1" si="219"/>
        <v>0.11200949484459614</v>
      </c>
      <c r="DI203" s="21">
        <f t="shared" ca="1" si="220"/>
        <v>0.21157349026201494</v>
      </c>
      <c r="DJ203" s="21">
        <f t="shared" ca="1" si="221"/>
        <v>0.38083228247162693</v>
      </c>
      <c r="DK203" s="21">
        <f t="shared" ca="1" si="222"/>
        <v>0.63472047078604488</v>
      </c>
      <c r="DL203" s="21">
        <f t="shared" ca="1" si="223"/>
        <v>0.95208070617906726</v>
      </c>
      <c r="DN203" s="16" cm="1">
        <f t="array" aca="1" ref="DN203" ca="1">MAX(_xlfn._xlws.FILTER(CY203:DL203,CY203:DL203&lt;BW203))</f>
        <v>-0.11200949484459614</v>
      </c>
      <c r="DO203" s="16" cm="1">
        <f t="array" aca="1" ref="DO203" ca="1">MIN(_xlfn._xlws.FILTER(CY203:DL203,CY203:DL203&gt;BW203))</f>
        <v>-5.7701860980549531E-2</v>
      </c>
      <c r="DP203" s="2" cm="1">
        <f t="array" aca="1" ref="DP203" ca="1">_FV(EE203,"Fechamento anterior",TRUE)</f>
        <v>5.48</v>
      </c>
      <c r="DQ203" s="28">
        <f t="shared" ca="1" si="235"/>
        <v>0.9872522598733493</v>
      </c>
      <c r="DR203" s="15">
        <f t="shared" ca="1" si="224"/>
        <v>4.8661879682516131</v>
      </c>
      <c r="DS203" s="15">
        <f t="shared" ca="1" si="225"/>
        <v>5.1637938018265892</v>
      </c>
      <c r="DT203" s="9"/>
      <c r="DU203" s="9"/>
      <c r="DV203" s="9"/>
      <c r="DW203" s="89">
        <v>3.9285970320453119E-2</v>
      </c>
      <c r="DX203" s="89">
        <f t="shared" ca="1" si="236"/>
        <v>5.4307633864046613E-2</v>
      </c>
      <c r="DY203" s="72">
        <f t="shared" ca="1" si="237"/>
        <v>0.20819950320932337</v>
      </c>
      <c r="DZ203" s="37"/>
      <c r="EA203" s="35">
        <f t="shared" si="247"/>
        <v>0.4322776885290287</v>
      </c>
      <c r="EB203" s="56"/>
      <c r="EC203" s="56"/>
      <c r="EE203" s="2" t="e" vm="205">
        <v>#VALUE!</v>
      </c>
      <c r="EG203" s="10" cm="1">
        <f t="array" aca="1" ref="EG203" ca="1">_FV(EE203,"Ações em circulação",TRUE)</f>
        <v>139297900</v>
      </c>
      <c r="EH203" s="18">
        <f>VLOOKUP(BR203,Fundamentus!A:U,5,FALSE)</f>
        <v>0.56599999999999995</v>
      </c>
      <c r="EI203" s="2">
        <f t="shared" ca="1" si="238"/>
        <v>1269924318.0212016</v>
      </c>
      <c r="EJ203" s="17">
        <v>61591329.424028277</v>
      </c>
      <c r="EK203" s="17">
        <f t="shared" ca="1" si="239"/>
        <v>61591329.424028277</v>
      </c>
      <c r="EM203" s="16">
        <f t="shared" ca="1" si="226"/>
        <v>0</v>
      </c>
      <c r="EN203" s="32" t="str">
        <f>IF(VLOOKUP(BR203,Fundamentus!A:U,3,FALSE)&lt;15,"Bom",IF(VLOOKUP(BR203,Fundamentus!A:U,3,FALSE)&gt;15,"Ruim","n/a"))</f>
        <v>Bom</v>
      </c>
      <c r="EO203" s="28" t="str">
        <f>IF(VLOOKUP(BR203,Fundamentus!A:U,4,FALSE)&lt;1,"Baixo",IF(VLOOKUP(BR203,Fundamentus!A:U,4,FALSE)&lt;1.5,"Moderado",IF(VLOOKUP(BR203,Fundamentus!A:U,4,FALSE)&gt;1.5,"Alto","n/a")))</f>
        <v>Baixo</v>
      </c>
      <c r="EP203" s="17" t="str">
        <f>IF(VLOOKUP(BR203,Fundamentus!A:U,8,FALSE)&lt;0,"Risco elevado",IF(VLOOKUP(BR203,Fundamentus!A:U,8,FALSE)&lt;1,"Saudável",IF(VLOOKUP(BR203,Fundamentus!A:U,8,FALSE)&lt;3,"Estável",IF(VLOOKUP(BR203,Fundamentus!A:U,8,FALSE)&gt;3,"Alerta","n/a"))))</f>
        <v>Estável</v>
      </c>
      <c r="EQ203" s="28" t="str">
        <f t="shared" si="240"/>
        <v>Ruim</v>
      </c>
      <c r="ER203" s="17" t="str">
        <f>IF(VLOOKUP(BR203,Fundamentus!A:U,12,FALSE)&lt;2,"Subvalorizada",IF(VLOOKUP(BR203,Fundamentus!A:U,12,FALSE)&lt;6,"Muita barata",IF(VLOOKUP(BR203,Fundamentus!A:U,12,FALSE)&lt;6,"Barata",IF(VLOOKUP(BR203,Fundamentus!A:U,12,FALSE)&lt;8,"Atrativa",IF(VLOOKUP(BR203,Fundamentus!A:U,12,FALSE)&gt;8,"Supervalorizada","n/a")))))</f>
        <v>Supervalorizada</v>
      </c>
      <c r="ET203" s="17" t="str">
        <f>IF(VLOOKUP(BR203,Fundamentus!A:U,17,FALSE)&lt;0.1,"Fraco retorno",IF(VLOOKUP(BR203,Fundamentus!A:U,17,FALSE)&gt;0.1,"Bom retorno","n/a"))</f>
        <v>Fraco retorno</v>
      </c>
      <c r="EU203" s="17" t="str">
        <f>IF(VLOOKUP(BR203,Fundamentus!A:U,16,FALSE)&lt;0.1,"Ineficiente",IF(VLOOKUP(BR203,Fundamentus!A:U,16,FALSE)&gt;0.1,"Eficiente","n/a"))</f>
        <v>Ineficiente</v>
      </c>
      <c r="EV203" s="33" t="str">
        <f>IF(VLOOKUP(BR203,Fundamentus!A:U,16,FALSE)&lt;0.1,"Oper. Ineficiente",IF(VLOOKUP(BR203,Fundamentus!A:U,16,FALSE)&gt;0.1,"Oper.Eficiente","n/a"))</f>
        <v>Oper. Ineficiente</v>
      </c>
      <c r="EW203" s="34">
        <f>VLOOKUP(BR203,Fundamentus!A:U,14,FALSE)</f>
        <v>4.8500000000000001E-2</v>
      </c>
      <c r="EX203" s="17" t="str">
        <f>IF(VLOOKUP(BR203,Fundamentus!A:U,21,FALSE)&lt;0,"Negativo",IF(VLOOKUP(BR203,Fundamentus!A:U,21,FALSE)&lt;0.05,"Fraco",IF(VLOOKUP(BR203,Fundamentus!A:U,21,FALSE)&lt;0.1,"Bom",IF(VLOOKUP(BR203,Fundamentus!A:U,21,FALSE)&gt;0.1,"Muito bom","n/a"))))</f>
        <v>Negativo</v>
      </c>
      <c r="EZ203" s="29" t="str">
        <f>IF(VLOOKUP(BR203,Fundamentus!A:U,15,FALSE)&gt;1,"Bom",IF(VLOOKUP(BR203,Fundamentus!A:U,15,FALSE)&lt;1,"Ruim","n/a"))</f>
        <v>Bom</v>
      </c>
      <c r="FA203" s="17" t="str">
        <f>IF(VLOOKUP(BR203,Fundamentus!A:U,20,FALSE)&lt;0.5,"Baixa",IF(VLOOKUP(BR203,Fundamentus!A:U,20,FALSE)&lt;1,"Moderada",IF(VLOOKUP(BR203,Fundamentus!A:U,20,FALSE)&lt;2,"Alerta",IF(VLOOKUP(BR203,Fundamentus!A:U,20,FALSE)&gt;2,"Alta","n/a"))))</f>
        <v>Moderada</v>
      </c>
      <c r="FB203" s="10"/>
    </row>
    <row r="204" spans="1:158" s="5" customFormat="1" ht="11.25"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5">
        <v>11.43</v>
      </c>
      <c r="BC204" s="52">
        <v>10.98</v>
      </c>
      <c r="BD204" s="52">
        <v>11.04</v>
      </c>
      <c r="BE204" s="52">
        <v>12.29</v>
      </c>
      <c r="BF204" s="52">
        <v>11.47</v>
      </c>
      <c r="BG204" s="67">
        <v>11.8</v>
      </c>
      <c r="BH204" s="52">
        <v>11.6</v>
      </c>
      <c r="BI204" s="52">
        <v>11.79</v>
      </c>
      <c r="BJ204" s="52">
        <v>12.65</v>
      </c>
      <c r="BK204" s="52">
        <v>12</v>
      </c>
      <c r="BL204" s="52">
        <v>11.92</v>
      </c>
      <c r="BM204" s="52">
        <v>12.2</v>
      </c>
      <c r="BN204" s="52">
        <v>10.96</v>
      </c>
      <c r="BO204" s="52">
        <v>10.9</v>
      </c>
      <c r="BP204" s="52">
        <v>10.029999999999999</v>
      </c>
      <c r="BQ204" s="52" cm="1">
        <f t="array" aca="1" ref="BQ204" ca="1">_FV(EE204,"Preço")</f>
        <v>10.029999999999999</v>
      </c>
      <c r="BR204" s="69" t="s">
        <v>200</v>
      </c>
      <c r="BS204" s="36" cm="1">
        <f t="array" aca="1" ref="BS204" ca="1">_FV(EE204,"Média de volume",TRUE)</f>
        <v>2451100</v>
      </c>
      <c r="BT204" s="36">
        <v>1793500</v>
      </c>
      <c r="BU204" s="36" cm="1">
        <f t="array" aca="1" ref="BU204" ca="1">_FV(EE204,"Volume")</f>
        <v>1793500</v>
      </c>
      <c r="BV204" s="24" cm="1">
        <f t="array" aca="1" ref="BV204" ca="1">_FV(EE204,"Beta")</f>
        <v>2.2222</v>
      </c>
      <c r="BW204" s="71" cm="1">
        <f t="array" aca="1" ref="BW204" ca="1">_FV(EE204,"Variação (%)",TRUE)</f>
        <v>-1.8591E-2</v>
      </c>
      <c r="BY204" s="17" cm="1">
        <f t="array" aca="1" ref="BY204" ca="1">_FV(EE204,"Baixo")</f>
        <v>9.9600000000000009</v>
      </c>
      <c r="BZ204" s="17" cm="1">
        <f t="array" aca="1" ref="BZ204" ca="1">_FV(EE204,"Alto")</f>
        <v>10.34</v>
      </c>
      <c r="CA204" s="24"/>
      <c r="CB204" s="63">
        <f ca="1">SQRT(22.5*(BQ204/VLOOKUP(BR204,Fundamentus!A:U,3,FALSE))*(BQ204/VLOOKUP(BR204,Fundamentus!A:U,4,FALSE)))</f>
        <v>20.579104035423001</v>
      </c>
      <c r="CD204" s="62">
        <f t="shared" ca="1" si="241"/>
        <v>0</v>
      </c>
      <c r="CE204" s="8"/>
      <c r="CF204" s="61">
        <f t="shared" si="242"/>
        <v>9.84</v>
      </c>
      <c r="CG204" s="61">
        <f t="shared" si="243"/>
        <v>18.170000000000002</v>
      </c>
      <c r="CH204" s="61">
        <f t="shared" si="244"/>
        <v>12.559117647058825</v>
      </c>
      <c r="CI204" s="14"/>
      <c r="CJ204" s="35">
        <f t="shared" si="227"/>
        <v>8.2765798624269333</v>
      </c>
      <c r="CK204" s="15">
        <f t="shared" si="245"/>
        <v>9.3799999999991996</v>
      </c>
      <c r="CL204" s="35">
        <f t="shared" si="228"/>
        <v>10.483420137571466</v>
      </c>
      <c r="CN204" s="14"/>
      <c r="CO204" s="17">
        <f t="shared" si="229"/>
        <v>-1.1400000000000041</v>
      </c>
      <c r="CP204" s="17">
        <f t="shared" si="230"/>
        <v>4.3499999999999979</v>
      </c>
      <c r="CQ204" s="17">
        <f t="shared" si="231"/>
        <v>7.1899999999999977</v>
      </c>
      <c r="CR204" s="38">
        <f t="shared" si="246"/>
        <v>12.68</v>
      </c>
      <c r="CS204" s="17">
        <f t="shared" si="232"/>
        <v>15.52</v>
      </c>
      <c r="CT204" s="17">
        <f t="shared" si="233"/>
        <v>21.01</v>
      </c>
      <c r="CU204" s="17">
        <f t="shared" si="234"/>
        <v>23.85</v>
      </c>
      <c r="CV204" s="2" cm="1">
        <f t="array" aca="1" ref="CV204" ca="1">MAX(_xlfn._xlws.FILTER(CO204:CU204,CO204:CU204&lt;BQ204))</f>
        <v>7.1899999999999977</v>
      </c>
      <c r="CW204" s="2" cm="1">
        <f t="array" aca="1" ref="CW204" ca="1">MIN(_xlfn._xlws.FILTER($CO204:$CU204,$CO204:$CU204&gt;BQ204))</f>
        <v>12.68</v>
      </c>
      <c r="CX204" s="16">
        <f t="shared" ca="1" si="209"/>
        <v>0.7635605006954107</v>
      </c>
      <c r="CY204" s="20">
        <f t="shared" ca="1" si="210"/>
        <v>-0.38178025034770535</v>
      </c>
      <c r="CZ204" s="20">
        <f t="shared" ca="1" si="211"/>
        <v>-0.25452016689847023</v>
      </c>
      <c r="DA204" s="20">
        <f t="shared" ca="1" si="212"/>
        <v>-0.15271210013908215</v>
      </c>
      <c r="DB204" s="20">
        <f t="shared" ca="1" si="213"/>
        <v>-8.4840055632823416E-2</v>
      </c>
      <c r="DC204" s="20">
        <f t="shared" ca="1" si="214"/>
        <v>-4.4915323570318279E-2</v>
      </c>
      <c r="DD204" s="20">
        <f t="shared" ca="1" si="215"/>
        <v>-2.3138196990770021E-2</v>
      </c>
      <c r="DE204" s="20">
        <f t="shared" ca="1" si="216"/>
        <v>-1.1747084626083242E-2</v>
      </c>
      <c r="DF204" s="21">
        <f t="shared" ca="1" si="217"/>
        <v>1.1747084626083242E-2</v>
      </c>
      <c r="DG204" s="21">
        <f t="shared" ca="1" si="218"/>
        <v>2.3138196990770021E-2</v>
      </c>
      <c r="DH204" s="21">
        <f t="shared" ca="1" si="219"/>
        <v>4.4915323570318279E-2</v>
      </c>
      <c r="DI204" s="21">
        <f t="shared" ca="1" si="220"/>
        <v>8.4840055632823416E-2</v>
      </c>
      <c r="DJ204" s="21">
        <f t="shared" ca="1" si="221"/>
        <v>0.15271210013908215</v>
      </c>
      <c r="DK204" s="21">
        <f t="shared" ca="1" si="222"/>
        <v>0.25452016689847023</v>
      </c>
      <c r="DL204" s="21">
        <f t="shared" ca="1" si="223"/>
        <v>0.38178025034770535</v>
      </c>
      <c r="DN204" s="16" cm="1">
        <f t="array" aca="1" ref="DN204" ca="1">MAX(_xlfn._xlws.FILTER(CY204:DL204,CY204:DL204&lt;BW204))</f>
        <v>-2.3138196990770021E-2</v>
      </c>
      <c r="DO204" s="16" cm="1">
        <f t="array" aca="1" ref="DO204" ca="1">MIN(_xlfn._xlws.FILTER(CY204:DL204,CY204:DL204&gt;BW204))</f>
        <v>-1.1747084626083242E-2</v>
      </c>
      <c r="DP204" s="2" cm="1">
        <f t="array" aca="1" ref="DP204" ca="1">_FV(EE204,"Fechamento anterior",TRUE)</f>
        <v>10.220000000000001</v>
      </c>
      <c r="DQ204" s="28">
        <f t="shared" ca="1" si="235"/>
        <v>0.39918831472628352</v>
      </c>
      <c r="DR204" s="15">
        <f t="shared" ca="1" si="224"/>
        <v>9.9835276267543307</v>
      </c>
      <c r="DS204" s="15">
        <f t="shared" ca="1" si="225"/>
        <v>10.099944795121431</v>
      </c>
      <c r="DT204" s="9"/>
      <c r="DU204" s="9"/>
      <c r="DV204" s="9"/>
      <c r="DW204" s="89">
        <v>1.908707791060733E-2</v>
      </c>
      <c r="DX204" s="89">
        <f t="shared" ca="1" si="236"/>
        <v>1.1391112364686779E-2</v>
      </c>
      <c r="DY204" s="72">
        <f t="shared" ca="1" si="237"/>
        <v>0.58907752166905625</v>
      </c>
      <c r="DZ204" s="37"/>
      <c r="EA204" s="35">
        <f t="shared" si="247"/>
        <v>0.55171006878613293</v>
      </c>
      <c r="EB204" s="56"/>
      <c r="EC204" s="56"/>
      <c r="EE204" s="5" t="e" vm="206">
        <v>#VALUE!</v>
      </c>
      <c r="EG204" s="10" cm="1">
        <f t="array" aca="1" ref="EG204" ca="1">_FV(EE204,"Ações em circulação",TRUE)</f>
        <v>244555300</v>
      </c>
      <c r="EH204" s="18">
        <f>VLOOKUP(BR204,Fundamentus!A:U,5,FALSE)</f>
        <v>0.41099999999999998</v>
      </c>
      <c r="EI204" s="2">
        <f t="shared" ca="1" si="238"/>
        <v>5968101360.0973244</v>
      </c>
      <c r="EJ204" s="17">
        <v>467899146.63163024</v>
      </c>
      <c r="EK204" s="17">
        <f t="shared" ca="1" si="239"/>
        <v>467899146.63163024</v>
      </c>
      <c r="EL204" s="2"/>
      <c r="EM204" s="16">
        <f t="shared" ca="1" si="226"/>
        <v>0</v>
      </c>
      <c r="EN204" s="32" t="str">
        <f>IF(VLOOKUP(BR204,Fundamentus!A:U,3,FALSE)&lt;15,"Bom",IF(VLOOKUP(BR204,Fundamentus!A:U,3,FALSE)&gt;15,"Ruim","n/a"))</f>
        <v>Bom</v>
      </c>
      <c r="EO204" s="28" t="str">
        <f>IF(VLOOKUP(BR204,Fundamentus!A:U,4,FALSE)&lt;1,"Baixo",IF(VLOOKUP(BR204,Fundamentus!A:U,4,FALSE)&lt;1.5,"Moderado",IF(VLOOKUP(BR204,Fundamentus!A:U,4,FALSE)&gt;1.5,"Alto","n/a")))</f>
        <v>Moderado</v>
      </c>
      <c r="EP204" s="17" t="str">
        <f>IF(VLOOKUP(BR204,Fundamentus!A:U,8,FALSE)&lt;0,"Risco elevado",IF(VLOOKUP(BR204,Fundamentus!A:U,8,FALSE)&lt;1,"Saudável",IF(VLOOKUP(BR204,Fundamentus!A:U,8,FALSE)&lt;3,"Estável",IF(VLOOKUP(BR204,Fundamentus!A:U,8,FALSE)&gt;3,"Alerta","n/a"))))</f>
        <v>Estável</v>
      </c>
      <c r="EQ204" s="28" t="str">
        <f t="shared" si="240"/>
        <v>Ruim</v>
      </c>
      <c r="ER204" s="17" t="str">
        <f>IF(VLOOKUP(BR204,Fundamentus!A:U,12,FALSE)&lt;2,"Subvalorizada",IF(VLOOKUP(BR204,Fundamentus!A:U,12,FALSE)&lt;6,"Muita barata",IF(VLOOKUP(BR204,Fundamentus!A:U,12,FALSE)&lt;6,"Barata",IF(VLOOKUP(BR204,Fundamentus!A:U,12,FALSE)&lt;8,"Atrativa",IF(VLOOKUP(BR204,Fundamentus!A:U,12,FALSE)&gt;8,"Supervalorizada","n/a")))))</f>
        <v>Muita barata</v>
      </c>
      <c r="ES204" s="2"/>
      <c r="ET204" s="17" t="str">
        <f>IF(VLOOKUP(BR204,Fundamentus!A:U,17,FALSE)&lt;0.1,"Fraco retorno",IF(VLOOKUP(BR204,Fundamentus!A:U,17,FALSE)&gt;0.1,"Bom retorno","n/a"))</f>
        <v>Bom retorno</v>
      </c>
      <c r="EU204" s="17" t="str">
        <f>IF(VLOOKUP(BR204,Fundamentus!A:U,16,FALSE)&lt;0.1,"Ineficiente",IF(VLOOKUP(BR204,Fundamentus!A:U,16,FALSE)&gt;0.1,"Eficiente","n/a"))</f>
        <v>Ineficiente</v>
      </c>
      <c r="EV204" s="33" t="str">
        <f>IF(VLOOKUP(BR204,Fundamentus!A:U,16,FALSE)&lt;0.1,"Oper. Ineficiente",IF(VLOOKUP(BR204,Fundamentus!A:U,16,FALSE)&gt;0.1,"Oper.Eficiente","n/a"))</f>
        <v>Oper. Ineficiente</v>
      </c>
      <c r="EW204" s="34">
        <f>VLOOKUP(BR204,Fundamentus!A:U,14,FALSE)</f>
        <v>7.8399999999999997E-2</v>
      </c>
      <c r="EX204" s="17" t="str">
        <f>IF(VLOOKUP(BR204,Fundamentus!A:U,21,FALSE)&lt;0,"Negativo",IF(VLOOKUP(BR204,Fundamentus!A:U,21,FALSE)&lt;0.05,"Fraco",IF(VLOOKUP(BR204,Fundamentus!A:U,21,FALSE)&lt;0.1,"Bom",IF(VLOOKUP(BR204,Fundamentus!A:U,21,FALSE)&gt;0.1,"Muito bom","n/a"))))</f>
        <v>Muito bom</v>
      </c>
      <c r="EZ204" s="29" t="str">
        <f>IF(VLOOKUP(BR204,Fundamentus!A:U,15,FALSE)&gt;1,"Bom",IF(VLOOKUP(BR204,Fundamentus!A:U,15,FALSE)&lt;1,"Ruim","n/a"))</f>
        <v>Bom</v>
      </c>
      <c r="FA204" s="17" t="str">
        <f>IF(VLOOKUP(BR204,Fundamentus!A:U,20,FALSE)&lt;0.5,"Baixa",IF(VLOOKUP(BR204,Fundamentus!A:U,20,FALSE)&lt;1,"Moderada",IF(VLOOKUP(BR204,Fundamentus!A:U,20,FALSE)&lt;2,"Alerta",IF(VLOOKUP(BR204,Fundamentus!A:U,20,FALSE)&gt;2,"Alta","n/a"))))</f>
        <v>Moderada</v>
      </c>
      <c r="FB204" s="10"/>
    </row>
    <row r="205" spans="1:158" s="2" customFormat="1" ht="11.25"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5">
        <v>5.76</v>
      </c>
      <c r="BC205" s="52">
        <v>5.99</v>
      </c>
      <c r="BD205" s="52">
        <v>6.21</v>
      </c>
      <c r="BE205" s="52">
        <v>6.39</v>
      </c>
      <c r="BF205" s="52">
        <v>6.55</v>
      </c>
      <c r="BG205" s="67">
        <v>6.87</v>
      </c>
      <c r="BH205" s="52">
        <v>6.8</v>
      </c>
      <c r="BI205" s="52">
        <v>7.13</v>
      </c>
      <c r="BJ205" s="52">
        <v>6.6</v>
      </c>
      <c r="BK205" s="52">
        <v>6.36</v>
      </c>
      <c r="BL205" s="52">
        <v>6.36</v>
      </c>
      <c r="BM205" s="52">
        <v>6.21</v>
      </c>
      <c r="BN205" s="52">
        <v>6.02</v>
      </c>
      <c r="BO205" s="52">
        <v>6.3</v>
      </c>
      <c r="BP205" s="52">
        <v>6.53</v>
      </c>
      <c r="BQ205" s="52" cm="1">
        <f t="array" aca="1" ref="BQ205" ca="1">_FV(EE205,"Preço")</f>
        <v>6.53</v>
      </c>
      <c r="BR205" s="70" t="s">
        <v>201</v>
      </c>
      <c r="BS205" s="36" cm="1">
        <f t="array" aca="1" ref="BS205" ca="1">_FV(EE205,"Média de volume",TRUE)</f>
        <v>44970</v>
      </c>
      <c r="BT205" s="36">
        <v>37400</v>
      </c>
      <c r="BU205" s="36" cm="1">
        <f t="array" aca="1" ref="BU205" ca="1">_FV(EE205,"Volume")</f>
        <v>37400</v>
      </c>
      <c r="BV205" s="24" cm="1">
        <f t="array" aca="1" ref="BV205" ca="1">_FV(EE205,"Beta")</f>
        <v>0.88570000000000004</v>
      </c>
      <c r="BW205" s="71" cm="1">
        <f t="array" aca="1" ref="BW205" ca="1">_FV(EE205,"Variação (%)",TRUE)</f>
        <v>0</v>
      </c>
      <c r="BY205" s="17" cm="1">
        <f t="array" aca="1" ref="BY205" ca="1">_FV(EE205,"Baixo")</f>
        <v>6.4</v>
      </c>
      <c r="BZ205" s="17" cm="1">
        <f t="array" aca="1" ref="BZ205" ca="1">_FV(EE205,"Alto")</f>
        <v>6.63</v>
      </c>
      <c r="CA205" s="24"/>
      <c r="CB205" s="63">
        <f ca="1">SQRT(22.5*(BQ205/VLOOKUP(BR205,Fundamentus!A:U,3,FALSE))*(BQ205/VLOOKUP(BR205,Fundamentus!A:U,4,FALSE)))</f>
        <v>12.74768331415747</v>
      </c>
      <c r="CD205" s="62">
        <f t="shared" ca="1" si="241"/>
        <v>0</v>
      </c>
      <c r="CE205" s="8"/>
      <c r="CF205" s="61">
        <f t="shared" si="242"/>
        <v>3.95</v>
      </c>
      <c r="CG205" s="61">
        <f t="shared" si="243"/>
        <v>7.13</v>
      </c>
      <c r="CH205" s="61">
        <f t="shared" si="244"/>
        <v>5.5707352941176467</v>
      </c>
      <c r="CI205" s="14"/>
      <c r="CJ205" s="35">
        <f t="shared" si="227"/>
        <v>6.3201274828468614</v>
      </c>
      <c r="CK205" s="15">
        <f t="shared" si="245"/>
        <v>6.5750000000000455</v>
      </c>
      <c r="CL205" s="35">
        <f t="shared" si="228"/>
        <v>6.8298725171532295</v>
      </c>
      <c r="CN205" s="14"/>
      <c r="CO205" s="17">
        <f t="shared" si="229"/>
        <v>1.4300000000000006</v>
      </c>
      <c r="CP205" s="17">
        <f t="shared" si="230"/>
        <v>2.6900000000000004</v>
      </c>
      <c r="CQ205" s="17">
        <f t="shared" si="231"/>
        <v>4.6100000000000003</v>
      </c>
      <c r="CR205" s="38">
        <f t="shared" si="246"/>
        <v>5.87</v>
      </c>
      <c r="CS205" s="17">
        <f t="shared" si="232"/>
        <v>7.79</v>
      </c>
      <c r="CT205" s="17">
        <f t="shared" si="233"/>
        <v>9.0500000000000007</v>
      </c>
      <c r="CU205" s="17">
        <f t="shared" si="234"/>
        <v>10.969999999999999</v>
      </c>
      <c r="CV205" s="2" cm="1">
        <f t="array" aca="1" ref="CV205" ca="1">MAX(_xlfn._xlws.FILTER(CO205:CU205,CO205:CU205&lt;BQ205))</f>
        <v>5.87</v>
      </c>
      <c r="CW205" s="2" cm="1">
        <f t="array" aca="1" ref="CW205" ca="1">MIN(_xlfn._xlws.FILTER($CO205:$CU205,$CO205:$CU205&gt;BQ205))</f>
        <v>7.79</v>
      </c>
      <c r="CX205" s="16">
        <f t="shared" ca="1" si="209"/>
        <v>0.32708688245315165</v>
      </c>
      <c r="CY205" s="20">
        <f t="shared" ca="1" si="210"/>
        <v>-0.16354344122657583</v>
      </c>
      <c r="CZ205" s="20">
        <f t="shared" ca="1" si="211"/>
        <v>-0.10902896081771722</v>
      </c>
      <c r="DA205" s="20">
        <f t="shared" ca="1" si="212"/>
        <v>-6.5417376490630327E-2</v>
      </c>
      <c r="DB205" s="20">
        <f t="shared" ca="1" si="213"/>
        <v>-3.6342986939239069E-2</v>
      </c>
      <c r="DC205" s="20">
        <f t="shared" ca="1" si="214"/>
        <v>-1.924040485018539E-2</v>
      </c>
      <c r="DD205" s="20">
        <f t="shared" ca="1" si="215"/>
        <v>-9.9117237107015643E-3</v>
      </c>
      <c r="DE205" s="20">
        <f t="shared" ca="1" si="216"/>
        <v>-5.0321058838946409E-3</v>
      </c>
      <c r="DF205" s="21">
        <f t="shared" ca="1" si="217"/>
        <v>5.0321058838946409E-3</v>
      </c>
      <c r="DG205" s="21">
        <f t="shared" ca="1" si="218"/>
        <v>9.9117237107015643E-3</v>
      </c>
      <c r="DH205" s="21">
        <f t="shared" ca="1" si="219"/>
        <v>1.924040485018539E-2</v>
      </c>
      <c r="DI205" s="21">
        <f t="shared" ca="1" si="220"/>
        <v>3.6342986939239069E-2</v>
      </c>
      <c r="DJ205" s="21">
        <f t="shared" ca="1" si="221"/>
        <v>6.5417376490630327E-2</v>
      </c>
      <c r="DK205" s="21">
        <f t="shared" ca="1" si="222"/>
        <v>0.10902896081771722</v>
      </c>
      <c r="DL205" s="21">
        <f t="shared" ca="1" si="223"/>
        <v>0.16354344122657583</v>
      </c>
      <c r="DN205" s="16" cm="1">
        <f t="array" aca="1" ref="DN205" ca="1">MAX(_xlfn._xlws.FILTER(CY205:DL205,CY205:DL205&lt;BW205))</f>
        <v>-5.0321058838946409E-3</v>
      </c>
      <c r="DO205" s="16" cm="1">
        <f t="array" aca="1" ref="DO205" ca="1">MIN(_xlfn._xlws.FILTER(CY205:DL205,CY205:DL205&gt;BW205))</f>
        <v>5.0321058838946409E-3</v>
      </c>
      <c r="DP205" s="2" cm="1">
        <f t="array" aca="1" ref="DP205" ca="1">_FV(EE205,"Fechamento anterior",TRUE)</f>
        <v>6.53</v>
      </c>
      <c r="DQ205" s="28">
        <f t="shared" ca="1" si="235"/>
        <v>0.5</v>
      </c>
      <c r="DR205" s="15">
        <f t="shared" ca="1" si="224"/>
        <v>6.497140348578168</v>
      </c>
      <c r="DS205" s="15">
        <f t="shared" ca="1" si="225"/>
        <v>6.5628596514218325</v>
      </c>
      <c r="DT205" s="9"/>
      <c r="DU205" s="9"/>
      <c r="DV205" s="9"/>
      <c r="DW205" s="89">
        <v>1.6636957813428398E-2</v>
      </c>
      <c r="DX205" s="89">
        <f t="shared" ca="1" si="236"/>
        <v>1.0064211767789282E-2</v>
      </c>
      <c r="DY205" s="72">
        <f t="shared" ca="1" si="237"/>
        <v>-0.17655885578671171</v>
      </c>
      <c r="DZ205" s="37"/>
      <c r="EA205" s="35">
        <f t="shared" si="247"/>
        <v>0.12743625857659219</v>
      </c>
      <c r="EB205" s="56"/>
      <c r="EC205" s="56"/>
      <c r="EE205" s="2" t="e" vm="207">
        <v>#VALUE!</v>
      </c>
      <c r="EG205" s="10" cm="1">
        <f t="array" aca="1" ref="EG205" ca="1">_FV(EE205,"Ações em circulação",TRUE)</f>
        <v>61856210</v>
      </c>
      <c r="EH205" s="18">
        <f>VLOOKUP(BR205,Fundamentus!A:U,5,FALSE)</f>
        <v>0.93300000000000005</v>
      </c>
      <c r="EI205" s="2">
        <f t="shared" ca="1" si="238"/>
        <v>432927171.81136119</v>
      </c>
      <c r="EJ205" s="17">
        <v>65675051.963783495</v>
      </c>
      <c r="EK205" s="17">
        <f t="shared" ca="1" si="239"/>
        <v>65675051.963783495</v>
      </c>
      <c r="EM205" s="16">
        <f t="shared" ca="1" si="226"/>
        <v>0</v>
      </c>
      <c r="EN205" s="32" t="str">
        <f>IF(VLOOKUP(BR205,Fundamentus!A:U,3,FALSE)&lt;15,"Bom",IF(VLOOKUP(BR205,Fundamentus!A:U,3,FALSE)&gt;15,"Ruim","n/a"))</f>
        <v>Bom</v>
      </c>
      <c r="EO205" s="28" t="str">
        <f>IF(VLOOKUP(BR205,Fundamentus!A:U,4,FALSE)&lt;1,"Baixo",IF(VLOOKUP(BR205,Fundamentus!A:U,4,FALSE)&lt;1.5,"Moderado",IF(VLOOKUP(BR205,Fundamentus!A:U,4,FALSE)&gt;1.5,"Alto","n/a")))</f>
        <v>Baixo</v>
      </c>
      <c r="EP205" s="17" t="str">
        <f>IF(VLOOKUP(BR205,Fundamentus!A:U,8,FALSE)&lt;0,"Risco elevado",IF(VLOOKUP(BR205,Fundamentus!A:U,8,FALSE)&lt;1,"Saudável",IF(VLOOKUP(BR205,Fundamentus!A:U,8,FALSE)&lt;3,"Estável",IF(VLOOKUP(BR205,Fundamentus!A:U,8,FALSE)&gt;3,"Alerta","n/a"))))</f>
        <v>Estável</v>
      </c>
      <c r="EQ205" s="28" t="str">
        <f t="shared" si="240"/>
        <v>Ruim</v>
      </c>
      <c r="ER205" s="17" t="str">
        <f>IF(VLOOKUP(BR205,Fundamentus!A:U,12,FALSE)&lt;2,"Subvalorizada",IF(VLOOKUP(BR205,Fundamentus!A:U,12,FALSE)&lt;6,"Muita barata",IF(VLOOKUP(BR205,Fundamentus!A:U,12,FALSE)&lt;6,"Barata",IF(VLOOKUP(BR205,Fundamentus!A:U,12,FALSE)&lt;8,"Atrativa",IF(VLOOKUP(BR205,Fundamentus!A:U,12,FALSE)&gt;8,"Supervalorizada","n/a")))))</f>
        <v>Muita barata</v>
      </c>
      <c r="ET205" s="17" t="str">
        <f>IF(VLOOKUP(BR205,Fundamentus!A:U,17,FALSE)&lt;0.1,"Fraco retorno",IF(VLOOKUP(BR205,Fundamentus!A:U,17,FALSE)&gt;0.1,"Bom retorno","n/a"))</f>
        <v>Bom retorno</v>
      </c>
      <c r="EU205" s="17" t="str">
        <f>IF(VLOOKUP(BR205,Fundamentus!A:U,16,FALSE)&lt;0.1,"Ineficiente",IF(VLOOKUP(BR205,Fundamentus!A:U,16,FALSE)&gt;0.1,"Eficiente","n/a"))</f>
        <v>Eficiente</v>
      </c>
      <c r="EV205" s="33" t="str">
        <f>IF(VLOOKUP(BR205,Fundamentus!A:U,16,FALSE)&lt;0.1,"Oper. Ineficiente",IF(VLOOKUP(BR205,Fundamentus!A:U,16,FALSE)&gt;0.1,"Oper.Eficiente","n/a"))</f>
        <v>Oper.Eficiente</v>
      </c>
      <c r="EW205" s="34">
        <f>VLOOKUP(BR205,Fundamentus!A:U,14,FALSE)</f>
        <v>0.1517</v>
      </c>
      <c r="EX205" s="17" t="str">
        <f>IF(VLOOKUP(BR205,Fundamentus!A:U,21,FALSE)&lt;0,"Negativo",IF(VLOOKUP(BR205,Fundamentus!A:U,21,FALSE)&lt;0.05,"Fraco",IF(VLOOKUP(BR205,Fundamentus!A:U,21,FALSE)&lt;0.1,"Bom",IF(VLOOKUP(BR205,Fundamentus!A:U,21,FALSE)&gt;0.1,"Muito bom","n/a"))))</f>
        <v>Muito bom</v>
      </c>
      <c r="EZ205" s="29" t="str">
        <f>IF(VLOOKUP(BR205,Fundamentus!A:U,15,FALSE)&gt;1,"Bom",IF(VLOOKUP(BR205,Fundamentus!A:U,15,FALSE)&lt;1,"Ruim","n/a"))</f>
        <v>Bom</v>
      </c>
      <c r="FA205" s="17" t="str">
        <f>IF(VLOOKUP(BR205,Fundamentus!A:U,20,FALSE)&lt;0.5,"Baixa",IF(VLOOKUP(BR205,Fundamentus!A:U,20,FALSE)&lt;1,"Moderada",IF(VLOOKUP(BR205,Fundamentus!A:U,20,FALSE)&lt;2,"Alerta",IF(VLOOKUP(BR205,Fundamentus!A:U,20,FALSE)&gt;2,"Alta","n/a"))))</f>
        <v>Baixa</v>
      </c>
      <c r="FB205" s="10"/>
    </row>
    <row r="206" spans="1:158" s="2" customFormat="1" ht="11.25"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5">
        <v>19.29</v>
      </c>
      <c r="BC206" s="52">
        <v>20.07</v>
      </c>
      <c r="BD206" s="52">
        <v>20.97</v>
      </c>
      <c r="BE206" s="52">
        <v>21.16</v>
      </c>
      <c r="BF206" s="52">
        <v>19.95</v>
      </c>
      <c r="BG206" s="67">
        <v>20.18</v>
      </c>
      <c r="BH206" s="52">
        <v>19.5</v>
      </c>
      <c r="BI206" s="52">
        <v>17.670000000000002</v>
      </c>
      <c r="BJ206" s="52">
        <v>17.850000000000001</v>
      </c>
      <c r="BK206" s="52">
        <v>17.13</v>
      </c>
      <c r="BL206" s="52">
        <v>17.78</v>
      </c>
      <c r="BM206" s="52">
        <v>17.72</v>
      </c>
      <c r="BN206" s="52">
        <v>17.05</v>
      </c>
      <c r="BO206" s="52">
        <v>17.05</v>
      </c>
      <c r="BP206" s="52">
        <v>16.29</v>
      </c>
      <c r="BQ206" s="52" cm="1">
        <f t="array" aca="1" ref="BQ206" ca="1">_FV(EE206,"Preço")</f>
        <v>16.29</v>
      </c>
      <c r="BR206" s="69" t="s">
        <v>202</v>
      </c>
      <c r="BS206" s="36" cm="1">
        <f t="array" aca="1" ref="BS206" ca="1">_FV(EE206,"Média de volume",TRUE)</f>
        <v>1809230</v>
      </c>
      <c r="BT206" s="36">
        <v>2369700</v>
      </c>
      <c r="BU206" s="36" cm="1">
        <f t="array" aca="1" ref="BU206" ca="1">_FV(EE206,"Volume")</f>
        <v>2369700</v>
      </c>
      <c r="BV206" s="24" cm="1">
        <f t="array" aca="1" ref="BV206" ca="1">_FV(EE206,"Beta")</f>
        <v>0.37040000000000001</v>
      </c>
      <c r="BW206" s="71" cm="1">
        <f t="array" aca="1" ref="BW206" ca="1">_FV(EE206,"Variação (%)",TRUE)</f>
        <v>-3.6665000000000003E-2</v>
      </c>
      <c r="BY206" s="17" cm="1">
        <f t="array" aca="1" ref="BY206" ca="1">_FV(EE206,"Baixo")</f>
        <v>16.29</v>
      </c>
      <c r="BZ206" s="17" cm="1">
        <f t="array" aca="1" ref="BZ206" ca="1">_FV(EE206,"Alto")</f>
        <v>16.91</v>
      </c>
      <c r="CA206" s="24"/>
      <c r="CB206" s="63">
        <f ca="1">SQRT(22.5*(BQ206/VLOOKUP(BR206,Fundamentus!A:U,3,FALSE))*(BQ206/VLOOKUP(BR206,Fundamentus!A:U,4,FALSE)))</f>
        <v>25.051197300821482</v>
      </c>
      <c r="CD206" s="62">
        <f t="shared" ca="1" si="241"/>
        <v>0</v>
      </c>
      <c r="CE206" s="8"/>
      <c r="CF206" s="61">
        <f t="shared" si="242"/>
        <v>16.29</v>
      </c>
      <c r="CG206" s="61">
        <f t="shared" si="243"/>
        <v>32.630000000000003</v>
      </c>
      <c r="CH206" s="61">
        <f t="shared" si="244"/>
        <v>24.145588235294127</v>
      </c>
      <c r="CI206" s="14"/>
      <c r="CJ206" s="35">
        <f t="shared" si="227"/>
        <v>15.291602683152776</v>
      </c>
      <c r="CK206" s="15">
        <f t="shared" si="245"/>
        <v>15.954999999999927</v>
      </c>
      <c r="CL206" s="35">
        <f t="shared" si="228"/>
        <v>16.61839731684708</v>
      </c>
      <c r="CN206" s="14"/>
      <c r="CO206" s="17">
        <f t="shared" si="229"/>
        <v>-5.4966666666666697</v>
      </c>
      <c r="CP206" s="17">
        <f t="shared" si="230"/>
        <v>5.3966666666666647</v>
      </c>
      <c r="CQ206" s="17">
        <f t="shared" si="231"/>
        <v>10.843333333333334</v>
      </c>
      <c r="CR206" s="38">
        <f t="shared" si="246"/>
        <v>21.736666666666668</v>
      </c>
      <c r="CS206" s="17">
        <f t="shared" si="232"/>
        <v>27.183333333333337</v>
      </c>
      <c r="CT206" s="17">
        <f t="shared" si="233"/>
        <v>38.076666666666668</v>
      </c>
      <c r="CU206" s="17">
        <f t="shared" si="234"/>
        <v>43.523333333333341</v>
      </c>
      <c r="CV206" s="2" cm="1">
        <f t="array" aca="1" ref="CV206" ca="1">MAX(_xlfn._xlws.FILTER(CO206:CU206,CO206:CU206&lt;BQ206))</f>
        <v>10.843333333333334</v>
      </c>
      <c r="CW206" s="2" cm="1">
        <f t="array" aca="1" ref="CW206" ca="1">MIN(_xlfn._xlws.FILTER($CO206:$CU206,$CO206:$CU206&gt;BQ206))</f>
        <v>21.736666666666668</v>
      </c>
      <c r="CX206" s="16">
        <f t="shared" ref="CX206:CX255" ca="1" si="248">(CW206/CV206)-1</f>
        <v>1.0046111281893637</v>
      </c>
      <c r="CY206" s="20">
        <f t="shared" ref="CY206:CY255" ca="1" si="249">-$CX206/2</f>
        <v>-0.50230556409468186</v>
      </c>
      <c r="CZ206" s="20">
        <f t="shared" ref="CZ206:CZ255" ca="1" si="250">-$CX206/3</f>
        <v>-0.33487037606312126</v>
      </c>
      <c r="DA206" s="20">
        <f t="shared" ref="DA206:DA255" ca="1" si="251">-$CX206/5</f>
        <v>-0.20092222563787274</v>
      </c>
      <c r="DB206" s="20">
        <f t="shared" ref="DB206:DB255" ca="1" si="252">-$CX206/9</f>
        <v>-0.11162345868770708</v>
      </c>
      <c r="DC206" s="20">
        <f t="shared" ref="DC206:DC255" ca="1" si="253">-$CX206/17</f>
        <v>-5.9094772246433162E-2</v>
      </c>
      <c r="DD206" s="20">
        <f t="shared" ref="DD206:DD255" ca="1" si="254">-$CX206/33</f>
        <v>-3.0442761460283747E-2</v>
      </c>
      <c r="DE206" s="20">
        <f t="shared" ref="DE206:DE255" ca="1" si="255">-$CX206/65</f>
        <v>-1.5455555818297903E-2</v>
      </c>
      <c r="DF206" s="21">
        <f t="shared" ref="DF206:DF255" ca="1" si="256">-$CX206/65*-1</f>
        <v>1.5455555818297903E-2</v>
      </c>
      <c r="DG206" s="21">
        <f t="shared" ref="DG206:DG255" ca="1" si="257">-$CX206/33*-1</f>
        <v>3.0442761460283747E-2</v>
      </c>
      <c r="DH206" s="21">
        <f t="shared" ref="DH206:DH255" ca="1" si="258">-$CX206/17*-1</f>
        <v>5.9094772246433162E-2</v>
      </c>
      <c r="DI206" s="21">
        <f t="shared" ref="DI206:DI255" ca="1" si="259">-$CX206/9*-1</f>
        <v>0.11162345868770708</v>
      </c>
      <c r="DJ206" s="21">
        <f t="shared" ref="DJ206:DJ255" ca="1" si="260">-$CX206/5*-1</f>
        <v>0.20092222563787274</v>
      </c>
      <c r="DK206" s="21">
        <f t="shared" ref="DK206:DK255" ca="1" si="261">-$CX206/3*-1</f>
        <v>0.33487037606312126</v>
      </c>
      <c r="DL206" s="21">
        <f t="shared" ref="DL206:DL255" ca="1" si="262">-$CX206/2*-1</f>
        <v>0.50230556409468186</v>
      </c>
      <c r="DN206" s="16" cm="1">
        <f t="array" aca="1" ref="DN206" ca="1">MAX(_xlfn._xlws.FILTER(CY206:DL206,CY206:DL206&lt;BW206))</f>
        <v>-5.9094772246433162E-2</v>
      </c>
      <c r="DO206" s="16" cm="1">
        <f t="array" aca="1" ref="DO206" ca="1">MIN(_xlfn._xlws.FILTER(CY206:DL206,CY206:DL206&gt;BW206))</f>
        <v>-3.0442761460283747E-2</v>
      </c>
      <c r="DP206" s="2" cm="1">
        <f t="array" aca="1" ref="DP206" ca="1">_FV(EE206,"Fechamento anterior",TRUE)</f>
        <v>16.91</v>
      </c>
      <c r="DQ206" s="28">
        <f t="shared" ca="1" si="235"/>
        <v>0.78284477021049081</v>
      </c>
      <c r="DR206" s="15">
        <f t="shared" ref="DR206:DR255" ca="1" si="263">DP206+(DP206*DN206)</f>
        <v>15.910707401312816</v>
      </c>
      <c r="DS206" s="15">
        <f t="shared" ref="DS206:DS255" ca="1" si="264">DP206+(DP206*DO206)</f>
        <v>16.395212903706604</v>
      </c>
      <c r="DT206" s="9"/>
      <c r="DU206" s="9"/>
      <c r="DV206" s="9"/>
      <c r="DW206" s="89">
        <v>2.6954434376419187E-2</v>
      </c>
      <c r="DX206" s="89">
        <f t="shared" ca="1" si="236"/>
        <v>2.8652010786149415E-2</v>
      </c>
      <c r="DY206" s="72">
        <f t="shared" ca="1" si="237"/>
        <v>0.50497641683597139</v>
      </c>
      <c r="DZ206" s="37"/>
      <c r="EA206" s="35">
        <f t="shared" si="247"/>
        <v>0.33169865842357571</v>
      </c>
      <c r="EB206" s="56"/>
      <c r="EC206" s="56"/>
      <c r="EE206" s="2" t="e" vm="208">
        <v>#VALUE!</v>
      </c>
      <c r="EG206" s="10" cm="1">
        <f t="array" aca="1" ref="EG206" ca="1">_FV(EE206,"Ações em circulação",TRUE)</f>
        <v>332435400</v>
      </c>
      <c r="EH206" s="18">
        <f>VLOOKUP(BR206,Fundamentus!A:U,5,FALSE)</f>
        <v>0.83099999999999996</v>
      </c>
      <c r="EI206" s="2">
        <f t="shared" ca="1" si="238"/>
        <v>6516693942.2382679</v>
      </c>
      <c r="EJ206" s="17">
        <v>506347119.31191343</v>
      </c>
      <c r="EK206" s="17">
        <f t="shared" ca="1" si="239"/>
        <v>506347119.31191343</v>
      </c>
      <c r="EM206" s="16">
        <f t="shared" ca="1" si="226"/>
        <v>0</v>
      </c>
      <c r="EN206" s="32" t="str">
        <f>IF(VLOOKUP(BR206,Fundamentus!A:U,3,FALSE)&lt;15,"Bom",IF(VLOOKUP(BR206,Fundamentus!A:U,3,FALSE)&gt;15,"Ruim","n/a"))</f>
        <v>Bom</v>
      </c>
      <c r="EO206" s="28" t="str">
        <f>IF(VLOOKUP(BR206,Fundamentus!A:U,4,FALSE)&lt;1,"Baixo",IF(VLOOKUP(BR206,Fundamentus!A:U,4,FALSE)&lt;1.5,"Moderado",IF(VLOOKUP(BR206,Fundamentus!A:U,4,FALSE)&gt;1.5,"Alto","n/a")))</f>
        <v>Baixo</v>
      </c>
      <c r="EP206" s="17" t="str">
        <f>IF(VLOOKUP(BR206,Fundamentus!A:U,8,FALSE)&lt;0,"Risco elevado",IF(VLOOKUP(BR206,Fundamentus!A:U,8,FALSE)&lt;1,"Saudável",IF(VLOOKUP(BR206,Fundamentus!A:U,8,FALSE)&lt;3,"Estável",IF(VLOOKUP(BR206,Fundamentus!A:U,8,FALSE)&gt;3,"Alerta","n/a"))))</f>
        <v>Estável</v>
      </c>
      <c r="EQ206" s="28" t="str">
        <f t="shared" si="240"/>
        <v>Ruim</v>
      </c>
      <c r="ER206" s="17" t="str">
        <f>IF(VLOOKUP(BR206,Fundamentus!A:U,12,FALSE)&lt;2,"Subvalorizada",IF(VLOOKUP(BR206,Fundamentus!A:U,12,FALSE)&lt;6,"Muita barata",IF(VLOOKUP(BR206,Fundamentus!A:U,12,FALSE)&lt;6,"Barata",IF(VLOOKUP(BR206,Fundamentus!A:U,12,FALSE)&lt;8,"Atrativa",IF(VLOOKUP(BR206,Fundamentus!A:U,12,FALSE)&gt;8,"Supervalorizada","n/a")))))</f>
        <v>Muita barata</v>
      </c>
      <c r="ET206" s="17" t="str">
        <f>IF(VLOOKUP(BR206,Fundamentus!A:U,17,FALSE)&lt;0.1,"Fraco retorno",IF(VLOOKUP(BR206,Fundamentus!A:U,17,FALSE)&gt;0.1,"Bom retorno","n/a"))</f>
        <v>Fraco retorno</v>
      </c>
      <c r="EU206" s="17" t="str">
        <f>IF(VLOOKUP(BR206,Fundamentus!A:U,16,FALSE)&lt;0.1,"Ineficiente",IF(VLOOKUP(BR206,Fundamentus!A:U,16,FALSE)&gt;0.1,"Eficiente","n/a"))</f>
        <v>Ineficiente</v>
      </c>
      <c r="EV206" s="33" t="str">
        <f>IF(VLOOKUP(BR206,Fundamentus!A:U,16,FALSE)&lt;0.1,"Oper. Ineficiente",IF(VLOOKUP(BR206,Fundamentus!A:U,16,FALSE)&gt;0.1,"Oper.Eficiente","n/a"))</f>
        <v>Oper. Ineficiente</v>
      </c>
      <c r="EW206" s="34">
        <f>VLOOKUP(BR206,Fundamentus!A:U,14,FALSE)</f>
        <v>7.7700000000000005E-2</v>
      </c>
      <c r="EX206" s="17" t="str">
        <f>IF(VLOOKUP(BR206,Fundamentus!A:U,21,FALSE)&lt;0,"Negativo",IF(VLOOKUP(BR206,Fundamentus!A:U,21,FALSE)&lt;0.05,"Fraco",IF(VLOOKUP(BR206,Fundamentus!A:U,21,FALSE)&lt;0.1,"Bom",IF(VLOOKUP(BR206,Fundamentus!A:U,21,FALSE)&gt;0.1,"Muito bom","n/a"))))</f>
        <v>Muito bom</v>
      </c>
      <c r="EZ206" s="29" t="str">
        <f>IF(VLOOKUP(BR206,Fundamentus!A:U,15,FALSE)&gt;1,"Bom",IF(VLOOKUP(BR206,Fundamentus!A:U,15,FALSE)&lt;1,"Ruim","n/a"))</f>
        <v>Bom</v>
      </c>
      <c r="FA206" s="17" t="str">
        <f>IF(VLOOKUP(BR206,Fundamentus!A:U,20,FALSE)&lt;0.5,"Baixa",IF(VLOOKUP(BR206,Fundamentus!A:U,20,FALSE)&lt;1,"Moderada",IF(VLOOKUP(BR206,Fundamentus!A:U,20,FALSE)&lt;2,"Alerta",IF(VLOOKUP(BR206,Fundamentus!A:U,20,FALSE)&gt;2,"Alta","n/a"))))</f>
        <v>Alerta</v>
      </c>
      <c r="FB206" s="10"/>
    </row>
    <row r="207" spans="1:158" s="2" customFormat="1" ht="11.25"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5">
        <v>8.0500000000000007</v>
      </c>
      <c r="BC207" s="52">
        <v>8.1</v>
      </c>
      <c r="BD207" s="52">
        <v>7.63</v>
      </c>
      <c r="BE207" s="52">
        <v>7.47</v>
      </c>
      <c r="BF207" s="52">
        <v>7.64</v>
      </c>
      <c r="BG207" s="67">
        <v>7.56</v>
      </c>
      <c r="BH207" s="52">
        <v>7.44</v>
      </c>
      <c r="BI207" s="52">
        <v>7.33</v>
      </c>
      <c r="BJ207" s="52">
        <v>7.58</v>
      </c>
      <c r="BK207" s="52">
        <v>7.3</v>
      </c>
      <c r="BL207" s="52">
        <v>7.12</v>
      </c>
      <c r="BM207" s="52">
        <v>7.27</v>
      </c>
      <c r="BN207" s="52">
        <v>7.55</v>
      </c>
      <c r="BO207" s="52">
        <v>7.79</v>
      </c>
      <c r="BP207" s="52">
        <v>7.41</v>
      </c>
      <c r="BQ207" s="52" cm="1">
        <f t="array" aca="1" ref="BQ207" ca="1">_FV(EE207,"Preço")</f>
        <v>7.41</v>
      </c>
      <c r="BR207" s="69" t="s">
        <v>203</v>
      </c>
      <c r="BS207" s="36" cm="1">
        <f t="array" aca="1" ref="BS207" ca="1">_FV(EE207,"Média de volume",TRUE)</f>
        <v>809600</v>
      </c>
      <c r="BT207" s="36">
        <v>497500</v>
      </c>
      <c r="BU207" s="36" cm="1">
        <f t="array" aca="1" ref="BU207" ca="1">_FV(EE207,"Volume")</f>
        <v>497500</v>
      </c>
      <c r="BV207" s="24" cm="1">
        <f t="array" aca="1" ref="BV207" ca="1">_FV(EE207,"Beta")</f>
        <v>0.6169</v>
      </c>
      <c r="BW207" s="71" cm="1">
        <f t="array" aca="1" ref="BW207" ca="1">_FV(EE207,"Variação (%)",TRUE)</f>
        <v>9.5370000000000003E-3</v>
      </c>
      <c r="BY207" s="17" cm="1">
        <f t="array" aca="1" ref="BY207" ca="1">_FV(EE207,"Baixo")</f>
        <v>7.3</v>
      </c>
      <c r="BZ207" s="17" cm="1">
        <f t="array" aca="1" ref="BZ207" ca="1">_FV(EE207,"Alto")</f>
        <v>7.43</v>
      </c>
      <c r="CA207" s="24"/>
      <c r="CB207" s="63">
        <f ca="1">SQRT(22.5*(BQ207/VLOOKUP(BR207,Fundamentus!A:U,3,FALSE))*(BQ207/VLOOKUP(BR207,Fundamentus!A:U,4,FALSE)))</f>
        <v>13.650939085820909</v>
      </c>
      <c r="CD207" s="62">
        <f t="shared" ca="1" si="241"/>
        <v>0</v>
      </c>
      <c r="CE207" s="8"/>
      <c r="CF207" s="61">
        <f t="shared" si="242"/>
        <v>6.46</v>
      </c>
      <c r="CG207" s="61">
        <f t="shared" si="243"/>
        <v>9.09</v>
      </c>
      <c r="CH207" s="61">
        <f t="shared" si="244"/>
        <v>7.6573529411764714</v>
      </c>
      <c r="CI207" s="14"/>
      <c r="CJ207" s="35">
        <f t="shared" si="227"/>
        <v>7.1969503197337108</v>
      </c>
      <c r="CK207" s="15">
        <f t="shared" si="245"/>
        <v>7.6699999999999591</v>
      </c>
      <c r="CL207" s="35">
        <f t="shared" si="228"/>
        <v>8.1430496802662073</v>
      </c>
      <c r="CN207" s="14"/>
      <c r="CO207" s="17">
        <f t="shared" si="229"/>
        <v>3.5866666666666669</v>
      </c>
      <c r="CP207" s="17">
        <f t="shared" si="230"/>
        <v>5.0233333333333334</v>
      </c>
      <c r="CQ207" s="17">
        <f t="shared" si="231"/>
        <v>6.2166666666666668</v>
      </c>
      <c r="CR207" s="38">
        <f t="shared" si="246"/>
        <v>7.6533333333333333</v>
      </c>
      <c r="CS207" s="17">
        <f t="shared" si="232"/>
        <v>8.8466666666666676</v>
      </c>
      <c r="CT207" s="17">
        <f t="shared" si="233"/>
        <v>10.283333333333333</v>
      </c>
      <c r="CU207" s="17">
        <f t="shared" si="234"/>
        <v>11.476666666666667</v>
      </c>
      <c r="CV207" s="2" cm="1">
        <f t="array" aca="1" ref="CV207" ca="1">MAX(_xlfn._xlws.FILTER(CO207:CU207,CO207:CU207&lt;BQ207))</f>
        <v>6.2166666666666668</v>
      </c>
      <c r="CW207" s="2" cm="1">
        <f t="array" aca="1" ref="CW207" ca="1">MIN(_xlfn._xlws.FILTER($CO207:$CU207,$CO207:$CU207&gt;BQ207))</f>
        <v>7.6533333333333333</v>
      </c>
      <c r="CX207" s="16">
        <f t="shared" ca="1" si="248"/>
        <v>0.23109919571045578</v>
      </c>
      <c r="CY207" s="20">
        <f t="shared" ca="1" si="249"/>
        <v>-0.11554959785522789</v>
      </c>
      <c r="CZ207" s="20">
        <f t="shared" ca="1" si="250"/>
        <v>-7.703306523681859E-2</v>
      </c>
      <c r="DA207" s="20">
        <f t="shared" ca="1" si="251"/>
        <v>-4.6219839142091157E-2</v>
      </c>
      <c r="DB207" s="20">
        <f t="shared" ca="1" si="252"/>
        <v>-2.5677688412272866E-2</v>
      </c>
      <c r="DC207" s="20">
        <f t="shared" ca="1" si="253"/>
        <v>-1.3594070335909163E-2</v>
      </c>
      <c r="DD207" s="20">
        <f t="shared" ca="1" si="254"/>
        <v>-7.0030059306198725E-3</v>
      </c>
      <c r="DE207" s="20">
        <f t="shared" ca="1" si="255"/>
        <v>-3.5553722416993196E-3</v>
      </c>
      <c r="DF207" s="21">
        <f t="shared" ca="1" si="256"/>
        <v>3.5553722416993196E-3</v>
      </c>
      <c r="DG207" s="21">
        <f t="shared" ca="1" si="257"/>
        <v>7.0030059306198725E-3</v>
      </c>
      <c r="DH207" s="21">
        <f t="shared" ca="1" si="258"/>
        <v>1.3594070335909163E-2</v>
      </c>
      <c r="DI207" s="21">
        <f t="shared" ca="1" si="259"/>
        <v>2.5677688412272866E-2</v>
      </c>
      <c r="DJ207" s="21">
        <f t="shared" ca="1" si="260"/>
        <v>4.6219839142091157E-2</v>
      </c>
      <c r="DK207" s="21">
        <f t="shared" ca="1" si="261"/>
        <v>7.703306523681859E-2</v>
      </c>
      <c r="DL207" s="21">
        <f t="shared" ca="1" si="262"/>
        <v>0.11554959785522789</v>
      </c>
      <c r="DN207" s="16" cm="1">
        <f t="array" aca="1" ref="DN207" ca="1">MAX(_xlfn._xlws.FILTER(CY207:DL207,CY207:DL207&lt;BW207))</f>
        <v>7.0030059306198725E-3</v>
      </c>
      <c r="DO207" s="16" cm="1">
        <f t="array" aca="1" ref="DO207" ca="1">MIN(_xlfn._xlws.FILTER(CY207:DL207,CY207:DL207&gt;BW207))</f>
        <v>1.3594070335909163E-2</v>
      </c>
      <c r="DP207" s="2" cm="1">
        <f t="array" aca="1" ref="DP207" ca="1">_FV(EE207,"Fechamento anterior",TRUE)</f>
        <v>7.34</v>
      </c>
      <c r="DQ207" s="28">
        <f t="shared" ca="1" si="235"/>
        <v>0.38442634675079368</v>
      </c>
      <c r="DR207" s="15">
        <f t="shared" ca="1" si="263"/>
        <v>7.3914020635307498</v>
      </c>
      <c r="DS207" s="15">
        <f t="shared" ca="1" si="264"/>
        <v>7.4397804762655735</v>
      </c>
      <c r="DT207" s="9"/>
      <c r="DU207" s="9"/>
      <c r="DV207" s="9"/>
      <c r="DW207" s="89">
        <v>1.508140531276779E-2</v>
      </c>
      <c r="DX207" s="89">
        <f t="shared" ca="1" si="236"/>
        <v>6.5910644052892906E-3</v>
      </c>
      <c r="DY207" s="72">
        <f t="shared" ca="1" si="237"/>
        <v>-0.549625146884408</v>
      </c>
      <c r="DZ207" s="37"/>
      <c r="EA207" s="35">
        <f t="shared" si="247"/>
        <v>0.2365248401331243</v>
      </c>
      <c r="EB207" s="56"/>
      <c r="EC207" s="56"/>
      <c r="EE207" s="2" t="e" vm="209">
        <v>#VALUE!</v>
      </c>
      <c r="EG207" s="10" cm="1">
        <f t="array" aca="1" ref="EG207" ca="1">_FV(EE207,"Ações em circulação",TRUE)</f>
        <v>239829900</v>
      </c>
      <c r="EH207" s="18">
        <f>VLOOKUP(BR207,Fundamentus!A:U,5,FALSE)</f>
        <v>1.0429999999999999</v>
      </c>
      <c r="EI207" s="2">
        <f t="shared" ca="1" si="238"/>
        <v>1703873019.1754556</v>
      </c>
      <c r="EJ207" s="17">
        <v>329699429.21045065</v>
      </c>
      <c r="EK207" s="17">
        <f t="shared" ca="1" si="239"/>
        <v>329699429.21045065</v>
      </c>
      <c r="EM207" s="16">
        <f t="shared" ca="1" si="226"/>
        <v>0</v>
      </c>
      <c r="EN207" s="32" t="str">
        <f>IF(VLOOKUP(BR207,Fundamentus!A:U,3,FALSE)&lt;15,"Bom",IF(VLOOKUP(BR207,Fundamentus!A:U,3,FALSE)&gt;15,"Ruim","n/a"))</f>
        <v>Bom</v>
      </c>
      <c r="EO207" s="28" t="str">
        <f>IF(VLOOKUP(BR207,Fundamentus!A:U,4,FALSE)&lt;1,"Baixo",IF(VLOOKUP(BR207,Fundamentus!A:U,4,FALSE)&lt;1.5,"Moderado",IF(VLOOKUP(BR207,Fundamentus!A:U,4,FALSE)&gt;1.5,"Alto","n/a")))</f>
        <v>Moderado</v>
      </c>
      <c r="EP207" s="17" t="str">
        <f>IF(VLOOKUP(BR207,Fundamentus!A:U,8,FALSE)&lt;0,"Risco elevado",IF(VLOOKUP(BR207,Fundamentus!A:U,8,FALSE)&lt;1,"Saudável",IF(VLOOKUP(BR207,Fundamentus!A:U,8,FALSE)&lt;3,"Estável",IF(VLOOKUP(BR207,Fundamentus!A:U,8,FALSE)&gt;3,"Alerta","n/a"))))</f>
        <v>Estável</v>
      </c>
      <c r="EQ207" s="28" t="str">
        <f t="shared" si="240"/>
        <v>Bom</v>
      </c>
      <c r="ER207" s="17" t="str">
        <f>IF(VLOOKUP(BR207,Fundamentus!A:U,12,FALSE)&lt;2,"Subvalorizada",IF(VLOOKUP(BR207,Fundamentus!A:U,12,FALSE)&lt;6,"Muita barata",IF(VLOOKUP(BR207,Fundamentus!A:U,12,FALSE)&lt;6,"Barata",IF(VLOOKUP(BR207,Fundamentus!A:U,12,FALSE)&lt;8,"Atrativa",IF(VLOOKUP(BR207,Fundamentus!A:U,12,FALSE)&gt;8,"Supervalorizada","n/a")))))</f>
        <v>Muita barata</v>
      </c>
      <c r="ET207" s="17" t="str">
        <f>IF(VLOOKUP(BR207,Fundamentus!A:U,17,FALSE)&lt;0.1,"Fraco retorno",IF(VLOOKUP(BR207,Fundamentus!A:U,17,FALSE)&gt;0.1,"Bom retorno","n/a"))</f>
        <v>Bom retorno</v>
      </c>
      <c r="EU207" s="17" t="str">
        <f>IF(VLOOKUP(BR207,Fundamentus!A:U,16,FALSE)&lt;0.1,"Ineficiente",IF(VLOOKUP(BR207,Fundamentus!A:U,16,FALSE)&gt;0.1,"Eficiente","n/a"))</f>
        <v>Eficiente</v>
      </c>
      <c r="EV207" s="33" t="str">
        <f>IF(VLOOKUP(BR207,Fundamentus!A:U,16,FALSE)&lt;0.1,"Oper. Ineficiente",IF(VLOOKUP(BR207,Fundamentus!A:U,16,FALSE)&gt;0.1,"Oper.Eficiente","n/a"))</f>
        <v>Oper.Eficiente</v>
      </c>
      <c r="EW207" s="34">
        <f>VLOOKUP(BR207,Fundamentus!A:U,14,FALSE)</f>
        <v>0.19350000000000001</v>
      </c>
      <c r="EX207" s="17" t="str">
        <f>IF(VLOOKUP(BR207,Fundamentus!A:U,21,FALSE)&lt;0,"Negativo",IF(VLOOKUP(BR207,Fundamentus!A:U,21,FALSE)&lt;0.05,"Fraco",IF(VLOOKUP(BR207,Fundamentus!A:U,21,FALSE)&lt;0.1,"Bom",IF(VLOOKUP(BR207,Fundamentus!A:U,21,FALSE)&gt;0.1,"Muito bom","n/a"))))</f>
        <v>Bom</v>
      </c>
      <c r="EZ207" s="29" t="str">
        <f>IF(VLOOKUP(BR207,Fundamentus!A:U,15,FALSE)&gt;1,"Bom",IF(VLOOKUP(BR207,Fundamentus!A:U,15,FALSE)&lt;1,"Ruim","n/a"))</f>
        <v>Bom</v>
      </c>
      <c r="FA207" s="17" t="str">
        <f>IF(VLOOKUP(BR207,Fundamentus!A:U,20,FALSE)&lt;0.5,"Baixa",IF(VLOOKUP(BR207,Fundamentus!A:U,20,FALSE)&lt;1,"Moderada",IF(VLOOKUP(BR207,Fundamentus!A:U,20,FALSE)&lt;2,"Alerta",IF(VLOOKUP(BR207,Fundamentus!A:U,20,FALSE)&gt;2,"Alta","n/a"))))</f>
        <v>Alerta</v>
      </c>
      <c r="FB207" s="10"/>
    </row>
    <row r="208" spans="1:158" s="2" customFormat="1" ht="11.25"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5">
        <v>4.43</v>
      </c>
      <c r="BC208" s="52">
        <v>4.18</v>
      </c>
      <c r="BD208" s="52">
        <v>4.4800000000000004</v>
      </c>
      <c r="BE208" s="52">
        <v>4.32</v>
      </c>
      <c r="BF208" s="52">
        <v>4.2</v>
      </c>
      <c r="BG208" s="67">
        <v>4.16</v>
      </c>
      <c r="BH208" s="52">
        <v>4.0199999999999996</v>
      </c>
      <c r="BI208" s="52">
        <v>3.97</v>
      </c>
      <c r="BJ208" s="52">
        <v>3.86</v>
      </c>
      <c r="BK208" s="52">
        <v>3.65</v>
      </c>
      <c r="BL208" s="52">
        <v>3.95</v>
      </c>
      <c r="BM208" s="52">
        <v>3.99</v>
      </c>
      <c r="BN208" s="52">
        <v>4.04</v>
      </c>
      <c r="BO208" s="52">
        <v>4.2300000000000004</v>
      </c>
      <c r="BP208" s="52">
        <v>3.9</v>
      </c>
      <c r="BQ208" s="52" cm="1">
        <f t="array" aca="1" ref="BQ208" ca="1">_FV(EE208,"Preço")</f>
        <v>3.9</v>
      </c>
      <c r="BR208" s="69" t="s">
        <v>204</v>
      </c>
      <c r="BS208" s="36" cm="1">
        <f t="array" aca="1" ref="BS208" ca="1">_FV(EE208,"Média de volume",TRUE)</f>
        <v>7552810</v>
      </c>
      <c r="BT208" s="36">
        <v>9215900</v>
      </c>
      <c r="BU208" s="36" cm="1">
        <f t="array" aca="1" ref="BU208" ca="1">_FV(EE208,"Volume")</f>
        <v>9215900</v>
      </c>
      <c r="BV208" s="24" cm="1">
        <f t="array" aca="1" ref="BV208" ca="1">_FV(EE208,"Beta")</f>
        <v>1.1634</v>
      </c>
      <c r="BW208" s="71" cm="1">
        <f t="array" aca="1" ref="BW208" ca="1">_FV(EE208,"Variação (%)",TRUE)</f>
        <v>-2.0101000000000001E-2</v>
      </c>
      <c r="BY208" s="17" cm="1">
        <f t="array" aca="1" ref="BY208" ca="1">_FV(EE208,"Baixo")</f>
        <v>3.82</v>
      </c>
      <c r="BZ208" s="17" cm="1">
        <f t="array" aca="1" ref="BZ208" ca="1">_FV(EE208,"Alto")</f>
        <v>4</v>
      </c>
      <c r="CA208" s="24"/>
      <c r="CB208" s="63" t="e">
        <f ca="1">SQRT(22.5*(BQ208/VLOOKUP(BR208,Fundamentus!A:U,3,FALSE))*(BQ208/VLOOKUP(BR208,Fundamentus!A:U,4,FALSE)))</f>
        <v>#NUM!</v>
      </c>
      <c r="CD208" s="62">
        <f t="shared" ca="1" si="241"/>
        <v>0</v>
      </c>
      <c r="CE208" s="8"/>
      <c r="CF208" s="61">
        <f t="shared" si="242"/>
        <v>3.45</v>
      </c>
      <c r="CG208" s="61">
        <f t="shared" si="243"/>
        <v>5.25</v>
      </c>
      <c r="CH208" s="61">
        <f t="shared" si="244"/>
        <v>4.2537500000000001</v>
      </c>
      <c r="CI208" s="14"/>
      <c r="CJ208" s="35">
        <f t="shared" si="227"/>
        <v>3.6451080155564832</v>
      </c>
      <c r="CK208" s="15">
        <f t="shared" si="245"/>
        <v>4.0200000000000031</v>
      </c>
      <c r="CL208" s="35">
        <f t="shared" si="228"/>
        <v>4.3948919844435226</v>
      </c>
      <c r="CN208" s="14"/>
      <c r="CO208" s="17">
        <f t="shared" si="229"/>
        <v>1.3500000000000005</v>
      </c>
      <c r="CP208" s="17">
        <f t="shared" si="230"/>
        <v>2.4000000000000004</v>
      </c>
      <c r="CQ208" s="17">
        <f t="shared" si="231"/>
        <v>3.1500000000000004</v>
      </c>
      <c r="CR208" s="38">
        <f t="shared" si="246"/>
        <v>4.2</v>
      </c>
      <c r="CS208" s="17">
        <f t="shared" si="232"/>
        <v>4.95</v>
      </c>
      <c r="CT208" s="17">
        <f t="shared" si="233"/>
        <v>6</v>
      </c>
      <c r="CU208" s="17">
        <f t="shared" si="234"/>
        <v>6.75</v>
      </c>
      <c r="CV208" s="2" cm="1">
        <f t="array" aca="1" ref="CV208" ca="1">MAX(_xlfn._xlws.FILTER(CO208:CU208,CO208:CU208&lt;BQ208))</f>
        <v>3.1500000000000004</v>
      </c>
      <c r="CW208" s="2" cm="1">
        <f t="array" aca="1" ref="CW208" ca="1">MIN(_xlfn._xlws.FILTER($CO208:$CU208,$CO208:$CU208&gt;BQ208))</f>
        <v>4.2</v>
      </c>
      <c r="CX208" s="16">
        <f t="shared" ca="1" si="248"/>
        <v>0.33333333333333326</v>
      </c>
      <c r="CY208" s="20">
        <f t="shared" ca="1" si="249"/>
        <v>-0.16666666666666663</v>
      </c>
      <c r="CZ208" s="20">
        <f t="shared" ca="1" si="250"/>
        <v>-0.11111111111111109</v>
      </c>
      <c r="DA208" s="20">
        <f t="shared" ca="1" si="251"/>
        <v>-6.6666666666666652E-2</v>
      </c>
      <c r="DB208" s="20">
        <f t="shared" ca="1" si="252"/>
        <v>-3.7037037037037028E-2</v>
      </c>
      <c r="DC208" s="20">
        <f t="shared" ca="1" si="253"/>
        <v>-1.9607843137254898E-2</v>
      </c>
      <c r="DD208" s="20">
        <f t="shared" ca="1" si="254"/>
        <v>-1.0101010101010098E-2</v>
      </c>
      <c r="DE208" s="20">
        <f t="shared" ca="1" si="255"/>
        <v>-5.1282051282051273E-3</v>
      </c>
      <c r="DF208" s="21">
        <f t="shared" ca="1" si="256"/>
        <v>5.1282051282051273E-3</v>
      </c>
      <c r="DG208" s="21">
        <f t="shared" ca="1" si="257"/>
        <v>1.0101010101010098E-2</v>
      </c>
      <c r="DH208" s="21">
        <f t="shared" ca="1" si="258"/>
        <v>1.9607843137254898E-2</v>
      </c>
      <c r="DI208" s="21">
        <f t="shared" ca="1" si="259"/>
        <v>3.7037037037037028E-2</v>
      </c>
      <c r="DJ208" s="21">
        <f t="shared" ca="1" si="260"/>
        <v>6.6666666666666652E-2</v>
      </c>
      <c r="DK208" s="21">
        <f t="shared" ca="1" si="261"/>
        <v>0.11111111111111109</v>
      </c>
      <c r="DL208" s="21">
        <f t="shared" ca="1" si="262"/>
        <v>0.16666666666666663</v>
      </c>
      <c r="DN208" s="16" cm="1">
        <f t="array" aca="1" ref="DN208" ca="1">MAX(_xlfn._xlws.FILTER(CY208:DL208,CY208:DL208&lt;BW208))</f>
        <v>-3.7037037037037028E-2</v>
      </c>
      <c r="DO208" s="16" cm="1">
        <f t="array" aca="1" ref="DO208" ca="1">MIN(_xlfn._xlws.FILTER(CY208:DL208,CY208:DL208&gt;BW208))</f>
        <v>-1.9607843137254898E-2</v>
      </c>
      <c r="DP208" s="2" cm="1">
        <f t="array" aca="1" ref="DP208" ca="1">_FV(EE208,"Fechamento anterior",TRUE)</f>
        <v>3.98</v>
      </c>
      <c r="DQ208" s="28">
        <f t="shared" ca="1" si="235"/>
        <v>0.97173366834170849</v>
      </c>
      <c r="DR208" s="15">
        <f t="shared" ca="1" si="263"/>
        <v>3.8325925925925928</v>
      </c>
      <c r="DS208" s="15">
        <f t="shared" ca="1" si="264"/>
        <v>3.9019607843137254</v>
      </c>
      <c r="DT208" s="9"/>
      <c r="DU208" s="9"/>
      <c r="DV208" s="9"/>
      <c r="DW208" s="89">
        <v>8.5825154074412255E-3</v>
      </c>
      <c r="DX208" s="89">
        <f t="shared" ca="1" si="236"/>
        <v>1.742919389978213E-2</v>
      </c>
      <c r="DY208" s="72">
        <f t="shared" ca="1" si="237"/>
        <v>-0.32009219983224807</v>
      </c>
      <c r="DZ208" s="37"/>
      <c r="EA208" s="35">
        <f t="shared" si="247"/>
        <v>0.18744599222175987</v>
      </c>
      <c r="EB208" s="56"/>
      <c r="EC208" s="56"/>
      <c r="EE208" s="2" t="e" vm="210">
        <v>#VALUE!</v>
      </c>
      <c r="EG208" s="10" cm="1">
        <f t="array" aca="1" ref="EG208" ca="1">_FV(EE208,"Ações em circulação",TRUE)</f>
        <v>462739900</v>
      </c>
      <c r="EH208" s="18">
        <f>VLOOKUP(BR208,Fundamentus!A:U,5,FALSE)</f>
        <v>0.54600000000000004</v>
      </c>
      <c r="EI208" s="2">
        <f t="shared" ca="1" si="238"/>
        <v>3305284999.9999995</v>
      </c>
      <c r="EJ208" s="17">
        <v>-39663419.999999993</v>
      </c>
      <c r="EK208" s="17">
        <f t="shared" ca="1" si="239"/>
        <v>-39663419.999999993</v>
      </c>
      <c r="EM208" s="16">
        <f t="shared" ca="1" si="226"/>
        <v>0</v>
      </c>
      <c r="EN208" s="32" t="str">
        <f>IF(VLOOKUP(BR208,Fundamentus!A:U,3,FALSE)&lt;15,"Bom",IF(VLOOKUP(BR208,Fundamentus!A:U,3,FALSE)&gt;15,"Ruim","n/a"))</f>
        <v>Bom</v>
      </c>
      <c r="EO208" s="28" t="str">
        <f>IF(VLOOKUP(BR208,Fundamentus!A:U,4,FALSE)&lt;1,"Baixo",IF(VLOOKUP(BR208,Fundamentus!A:U,4,FALSE)&lt;1.5,"Moderado",IF(VLOOKUP(BR208,Fundamentus!A:U,4,FALSE)&gt;1.5,"Alto","n/a")))</f>
        <v>Moderado</v>
      </c>
      <c r="EP208" s="17" t="str">
        <f>IF(VLOOKUP(BR208,Fundamentus!A:U,8,FALSE)&lt;0,"Risco elevado",IF(VLOOKUP(BR208,Fundamentus!A:U,8,FALSE)&lt;1,"Saudável",IF(VLOOKUP(BR208,Fundamentus!A:U,8,FALSE)&lt;3,"Estável",IF(VLOOKUP(BR208,Fundamentus!A:U,8,FALSE)&gt;3,"Alerta","n/a"))))</f>
        <v>Alerta</v>
      </c>
      <c r="EQ208" s="28" t="str">
        <f t="shared" si="240"/>
        <v>Ruim</v>
      </c>
      <c r="ER208" s="17" t="str">
        <f>IF(VLOOKUP(BR208,Fundamentus!A:U,12,FALSE)&lt;2,"Subvalorizada",IF(VLOOKUP(BR208,Fundamentus!A:U,12,FALSE)&lt;6,"Muita barata",IF(VLOOKUP(BR208,Fundamentus!A:U,12,FALSE)&lt;6,"Barata",IF(VLOOKUP(BR208,Fundamentus!A:U,12,FALSE)&lt;8,"Atrativa",IF(VLOOKUP(BR208,Fundamentus!A:U,12,FALSE)&gt;8,"Supervalorizada","n/a")))))</f>
        <v>Muita barata</v>
      </c>
      <c r="ET208" s="17" t="str">
        <f>IF(VLOOKUP(BR208,Fundamentus!A:U,17,FALSE)&lt;0.1,"Fraco retorno",IF(VLOOKUP(BR208,Fundamentus!A:U,17,FALSE)&gt;0.1,"Bom retorno","n/a"))</f>
        <v>Fraco retorno</v>
      </c>
      <c r="EU208" s="17" t="str">
        <f>IF(VLOOKUP(BR208,Fundamentus!A:U,16,FALSE)&lt;0.1,"Ineficiente",IF(VLOOKUP(BR208,Fundamentus!A:U,16,FALSE)&gt;0.1,"Eficiente","n/a"))</f>
        <v>Ineficiente</v>
      </c>
      <c r="EV208" s="33" t="str">
        <f>IF(VLOOKUP(BR208,Fundamentus!A:U,16,FALSE)&lt;0.1,"Oper. Ineficiente",IF(VLOOKUP(BR208,Fundamentus!A:U,16,FALSE)&gt;0.1,"Oper.Eficiente","n/a"))</f>
        <v>Oper. Ineficiente</v>
      </c>
      <c r="EW208" s="34">
        <f>VLOOKUP(BR208,Fundamentus!A:U,14,FALSE)</f>
        <v>-1.2E-2</v>
      </c>
      <c r="EX208" s="17" t="str">
        <f>IF(VLOOKUP(BR208,Fundamentus!A:U,21,FALSE)&lt;0,"Negativo",IF(VLOOKUP(BR208,Fundamentus!A:U,21,FALSE)&lt;0.05,"Fraco",IF(VLOOKUP(BR208,Fundamentus!A:U,21,FALSE)&lt;0.1,"Bom",IF(VLOOKUP(BR208,Fundamentus!A:U,21,FALSE)&gt;0.1,"Muito bom","n/a"))))</f>
        <v>Muito bom</v>
      </c>
      <c r="EZ208" s="29" t="str">
        <f>IF(VLOOKUP(BR208,Fundamentus!A:U,15,FALSE)&gt;1,"Bom",IF(VLOOKUP(BR208,Fundamentus!A:U,15,FALSE)&lt;1,"Ruim","n/a"))</f>
        <v>Bom</v>
      </c>
      <c r="FA208" s="17" t="str">
        <f>IF(VLOOKUP(BR208,Fundamentus!A:U,20,FALSE)&lt;0.5,"Baixa",IF(VLOOKUP(BR208,Fundamentus!A:U,20,FALSE)&lt;1,"Moderada",IF(VLOOKUP(BR208,Fundamentus!A:U,20,FALSE)&lt;2,"Alerta",IF(VLOOKUP(BR208,Fundamentus!A:U,20,FALSE)&gt;2,"Alta","n/a"))))</f>
        <v>Baixa</v>
      </c>
      <c r="FB208" s="10"/>
    </row>
    <row r="209" spans="1:158" s="2" customFormat="1" ht="11.25"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5">
        <v>38.020000000000003</v>
      </c>
      <c r="BC209" s="52">
        <v>40.67</v>
      </c>
      <c r="BD209" s="52">
        <v>42.5</v>
      </c>
      <c r="BE209" s="52">
        <v>42.21</v>
      </c>
      <c r="BF209" s="52">
        <v>40.98</v>
      </c>
      <c r="BG209" s="67">
        <v>41.04</v>
      </c>
      <c r="BH209" s="52">
        <v>40.89</v>
      </c>
      <c r="BI209" s="52">
        <v>41.52</v>
      </c>
      <c r="BJ209" s="52">
        <v>43.11</v>
      </c>
      <c r="BK209" s="52">
        <v>41.09</v>
      </c>
      <c r="BL209" s="52">
        <v>41.7</v>
      </c>
      <c r="BM209" s="52">
        <v>43</v>
      </c>
      <c r="BN209" s="52">
        <v>43.8</v>
      </c>
      <c r="BO209" s="52">
        <v>42.8</v>
      </c>
      <c r="BP209" s="52">
        <v>42.16</v>
      </c>
      <c r="BQ209" s="52" cm="1">
        <f t="array" aca="1" ref="BQ209" ca="1">_FV(EE209,"Preço")</f>
        <v>42.16</v>
      </c>
      <c r="BR209" s="69" t="s">
        <v>32</v>
      </c>
      <c r="BS209" s="36" cm="1">
        <f t="array" aca="1" ref="BS209" ca="1">_FV(EE209,"Média de volume",TRUE)</f>
        <v>2958150</v>
      </c>
      <c r="BT209" s="36">
        <v>2805400</v>
      </c>
      <c r="BU209" s="36" cm="1">
        <f t="array" aca="1" ref="BU209" ca="1">_FV(EE209,"Volume")</f>
        <v>2805400</v>
      </c>
      <c r="BV209" s="24" cm="1">
        <f t="array" aca="1" ref="BV209" ca="1">_FV(EE209,"Beta")</f>
        <v>0.96850000000000003</v>
      </c>
      <c r="BW209" s="71" cm="1">
        <f t="array" aca="1" ref="BW209" ca="1">_FV(EE209,"Variação (%)",TRUE)</f>
        <v>2.0823000000000001E-2</v>
      </c>
      <c r="BY209" s="17" cm="1">
        <f t="array" aca="1" ref="BY209" ca="1">_FV(EE209,"Baixo")</f>
        <v>41.06</v>
      </c>
      <c r="BZ209" s="17" cm="1">
        <f t="array" aca="1" ref="BZ209" ca="1">_FV(EE209,"Alto")</f>
        <v>42.16</v>
      </c>
      <c r="CA209" s="24"/>
      <c r="CB209" s="63">
        <f ca="1">SQRT(22.5*(BQ209/VLOOKUP(BR209,Fundamentus!A:U,3,FALSE))*(BQ209/VLOOKUP(BR209,Fundamentus!A:U,4,FALSE)))</f>
        <v>15.117316239498411</v>
      </c>
      <c r="CD209" s="62">
        <f t="shared" ca="1" si="241"/>
        <v>0</v>
      </c>
      <c r="CE209" s="8"/>
      <c r="CF209" s="61">
        <f t="shared" si="242"/>
        <v>26.14</v>
      </c>
      <c r="CG209" s="61">
        <f t="shared" si="243"/>
        <v>43.8</v>
      </c>
      <c r="CH209" s="61">
        <f t="shared" si="244"/>
        <v>32.950367647058833</v>
      </c>
      <c r="CI209" s="14"/>
      <c r="CJ209" s="35">
        <f t="shared" si="227"/>
        <v>40.13009223018296</v>
      </c>
      <c r="CK209" s="15">
        <f t="shared" si="245"/>
        <v>42.059999999999945</v>
      </c>
      <c r="CL209" s="35">
        <f t="shared" si="228"/>
        <v>43.989907769816931</v>
      </c>
      <c r="CN209" s="14"/>
      <c r="CO209" s="17">
        <f t="shared" si="229"/>
        <v>13.273333333333341</v>
      </c>
      <c r="CP209" s="17">
        <f t="shared" si="230"/>
        <v>19.706666666666671</v>
      </c>
      <c r="CQ209" s="17">
        <f t="shared" si="231"/>
        <v>30.933333333333337</v>
      </c>
      <c r="CR209" s="38">
        <f t="shared" si="246"/>
        <v>37.366666666666667</v>
      </c>
      <c r="CS209" s="17">
        <f t="shared" si="232"/>
        <v>48.593333333333334</v>
      </c>
      <c r="CT209" s="17">
        <f t="shared" si="233"/>
        <v>55.026666666666664</v>
      </c>
      <c r="CU209" s="17">
        <f t="shared" si="234"/>
        <v>66.25333333333333</v>
      </c>
      <c r="CV209" s="2" cm="1">
        <f t="array" aca="1" ref="CV209" ca="1">MAX(_xlfn._xlws.FILTER(CO209:CU209,CO209:CU209&lt;BQ209))</f>
        <v>37.366666666666667</v>
      </c>
      <c r="CW209" s="2" cm="1">
        <f t="array" aca="1" ref="CW209" ca="1">MIN(_xlfn._xlws.FILTER($CO209:$CU209,$CO209:$CU209&gt;BQ209))</f>
        <v>48.593333333333334</v>
      </c>
      <c r="CX209" s="16">
        <f t="shared" ca="1" si="248"/>
        <v>0.30044603033006245</v>
      </c>
      <c r="CY209" s="20">
        <f t="shared" ca="1" si="249"/>
        <v>-0.15022301516503123</v>
      </c>
      <c r="CZ209" s="20">
        <f t="shared" ca="1" si="250"/>
        <v>-0.10014867677668748</v>
      </c>
      <c r="DA209" s="20">
        <f t="shared" ca="1" si="251"/>
        <v>-6.0089206066012493E-2</v>
      </c>
      <c r="DB209" s="20">
        <f t="shared" ca="1" si="252"/>
        <v>-3.3382892258895826E-2</v>
      </c>
      <c r="DC209" s="20">
        <f t="shared" ca="1" si="253"/>
        <v>-1.7673295901768381E-2</v>
      </c>
      <c r="DD209" s="20">
        <f t="shared" ca="1" si="254"/>
        <v>-9.1044251615170439E-3</v>
      </c>
      <c r="DE209" s="20">
        <f t="shared" ca="1" si="255"/>
        <v>-4.6222466204624991E-3</v>
      </c>
      <c r="DF209" s="21">
        <f t="shared" ca="1" si="256"/>
        <v>4.6222466204624991E-3</v>
      </c>
      <c r="DG209" s="21">
        <f t="shared" ca="1" si="257"/>
        <v>9.1044251615170439E-3</v>
      </c>
      <c r="DH209" s="21">
        <f t="shared" ca="1" si="258"/>
        <v>1.7673295901768381E-2</v>
      </c>
      <c r="DI209" s="21">
        <f t="shared" ca="1" si="259"/>
        <v>3.3382892258895826E-2</v>
      </c>
      <c r="DJ209" s="21">
        <f t="shared" ca="1" si="260"/>
        <v>6.0089206066012493E-2</v>
      </c>
      <c r="DK209" s="21">
        <f t="shared" ca="1" si="261"/>
        <v>0.10014867677668748</v>
      </c>
      <c r="DL209" s="21">
        <f t="shared" ca="1" si="262"/>
        <v>0.15022301516503123</v>
      </c>
      <c r="DN209" s="16" cm="1">
        <f t="array" aca="1" ref="DN209" ca="1">MAX(_xlfn._xlws.FILTER(CY209:DL209,CY209:DL209&lt;BW209))</f>
        <v>1.7673295901768381E-2</v>
      </c>
      <c r="DO209" s="16" cm="1">
        <f t="array" aca="1" ref="DO209" ca="1">MIN(_xlfn._xlws.FILTER(CY209:DL209,CY209:DL209&gt;BW209))</f>
        <v>3.3382892258895826E-2</v>
      </c>
      <c r="DP209" s="2" cm="1">
        <f t="array" aca="1" ref="DP209" ca="1">_FV(EE209,"Fechamento anterior",TRUE)</f>
        <v>41.3</v>
      </c>
      <c r="DQ209" s="28">
        <f t="shared" ca="1" si="235"/>
        <v>0.20051111299626517</v>
      </c>
      <c r="DR209" s="15">
        <f t="shared" ca="1" si="263"/>
        <v>42.029907120743033</v>
      </c>
      <c r="DS209" s="15">
        <f t="shared" ca="1" si="264"/>
        <v>42.678713450292392</v>
      </c>
      <c r="DT209" s="9"/>
      <c r="DU209" s="9"/>
      <c r="DV209" s="9"/>
      <c r="DW209" s="89">
        <v>9.3666844065992561E-3</v>
      </c>
      <c r="DX209" s="89">
        <f t="shared" ca="1" si="236"/>
        <v>1.5709596357127445E-2</v>
      </c>
      <c r="DY209" s="72">
        <f t="shared" ca="1" si="237"/>
        <v>5.1815947665485716E-2</v>
      </c>
      <c r="DZ209" s="37"/>
      <c r="EA209" s="35">
        <f t="shared" si="247"/>
        <v>0.96495388490849421</v>
      </c>
      <c r="EB209" s="56"/>
      <c r="EC209" s="56"/>
      <c r="EE209" s="2" t="e" vm="211">
        <v>#VALUE!</v>
      </c>
      <c r="EG209" s="10" cm="1">
        <f t="array" aca="1" ref="EG209" ca="1">_FV(EE209,"Ações em circulação",TRUE)</f>
        <v>599401600</v>
      </c>
      <c r="EH209" s="18">
        <f>VLOOKUP(BR209,Fundamentus!A:U,5,FALSE)</f>
        <v>4.7249999999999996</v>
      </c>
      <c r="EI209" s="2">
        <f t="shared" ca="1" si="238"/>
        <v>5348311419.2592592</v>
      </c>
      <c r="EJ209" s="17">
        <v>793154583.47614813</v>
      </c>
      <c r="EK209" s="17">
        <f t="shared" ca="1" si="239"/>
        <v>793154583.47614813</v>
      </c>
      <c r="EM209" s="16">
        <f t="shared" ca="1" si="226"/>
        <v>0</v>
      </c>
      <c r="EN209" s="32" t="str">
        <f>IF(VLOOKUP(BR209,Fundamentus!A:U,3,FALSE)&lt;15,"Bom",IF(VLOOKUP(BR209,Fundamentus!A:U,3,FALSE)&gt;15,"Ruim","n/a"))</f>
        <v>Ruim</v>
      </c>
      <c r="EO209" s="28" t="str">
        <f>IF(VLOOKUP(BR209,Fundamentus!A:U,4,FALSE)&lt;1,"Baixo",IF(VLOOKUP(BR209,Fundamentus!A:U,4,FALSE)&lt;1.5,"Moderado",IF(VLOOKUP(BR209,Fundamentus!A:U,4,FALSE)&gt;1.5,"Alto","n/a")))</f>
        <v>Alto</v>
      </c>
      <c r="EP209" s="17" t="str">
        <f>IF(VLOOKUP(BR209,Fundamentus!A:U,8,FALSE)&lt;0,"Risco elevado",IF(VLOOKUP(BR209,Fundamentus!A:U,8,FALSE)&lt;1,"Saudável",IF(VLOOKUP(BR209,Fundamentus!A:U,8,FALSE)&lt;3,"Estável",IF(VLOOKUP(BR209,Fundamentus!A:U,8,FALSE)&gt;3,"Alerta","n/a"))))</f>
        <v>Alerta</v>
      </c>
      <c r="EQ209" s="28" t="str">
        <f t="shared" si="240"/>
        <v>Bom</v>
      </c>
      <c r="ER209" s="17" t="str">
        <f>IF(VLOOKUP(BR209,Fundamentus!A:U,12,FALSE)&lt;2,"Subvalorizada",IF(VLOOKUP(BR209,Fundamentus!A:U,12,FALSE)&lt;6,"Muita barata",IF(VLOOKUP(BR209,Fundamentus!A:U,12,FALSE)&lt;6,"Barata",IF(VLOOKUP(BR209,Fundamentus!A:U,12,FALSE)&lt;8,"Atrativa",IF(VLOOKUP(BR209,Fundamentus!A:U,12,FALSE)&gt;8,"Supervalorizada","n/a")))))</f>
        <v>Supervalorizada</v>
      </c>
      <c r="ET209" s="17" t="str">
        <f>IF(VLOOKUP(BR209,Fundamentus!A:U,17,FALSE)&lt;0.1,"Fraco retorno",IF(VLOOKUP(BR209,Fundamentus!A:U,17,FALSE)&gt;0.1,"Bom retorno","n/a"))</f>
        <v>Bom retorno</v>
      </c>
      <c r="EU209" s="17" t="str">
        <f>IF(VLOOKUP(BR209,Fundamentus!A:U,16,FALSE)&lt;0.1,"Ineficiente",IF(VLOOKUP(BR209,Fundamentus!A:U,16,FALSE)&gt;0.1,"Eficiente","n/a"))</f>
        <v>Eficiente</v>
      </c>
      <c r="EV209" s="33" t="str">
        <f>IF(VLOOKUP(BR209,Fundamentus!A:U,16,FALSE)&lt;0.1,"Oper. Ineficiente",IF(VLOOKUP(BR209,Fundamentus!A:U,16,FALSE)&gt;0.1,"Oper.Eficiente","n/a"))</f>
        <v>Oper.Eficiente</v>
      </c>
      <c r="EW209" s="34">
        <f>VLOOKUP(BR209,Fundamentus!A:U,14,FALSE)</f>
        <v>0.14829999999999999</v>
      </c>
      <c r="EX209" s="17" t="str">
        <f>IF(VLOOKUP(BR209,Fundamentus!A:U,21,FALSE)&lt;0,"Negativo",IF(VLOOKUP(BR209,Fundamentus!A:U,21,FALSE)&lt;0.05,"Fraco",IF(VLOOKUP(BR209,Fundamentus!A:U,21,FALSE)&lt;0.1,"Bom",IF(VLOOKUP(BR209,Fundamentus!A:U,21,FALSE)&gt;0.1,"Muito bom","n/a"))))</f>
        <v>Muito bom</v>
      </c>
      <c r="EZ209" s="29" t="str">
        <f>IF(VLOOKUP(BR209,Fundamentus!A:U,15,FALSE)&gt;1,"Bom",IF(VLOOKUP(BR209,Fundamentus!A:U,15,FALSE)&lt;1,"Ruim","n/a"))</f>
        <v>Bom</v>
      </c>
      <c r="FA209" s="17" t="str">
        <f>IF(VLOOKUP(BR209,Fundamentus!A:U,20,FALSE)&lt;0.5,"Baixa",IF(VLOOKUP(BR209,Fundamentus!A:U,20,FALSE)&lt;1,"Moderada",IF(VLOOKUP(BR209,Fundamentus!A:U,20,FALSE)&lt;2,"Alerta",IF(VLOOKUP(BR209,Fundamentus!A:U,20,FALSE)&gt;2,"Alta","n/a"))))</f>
        <v>Baixa</v>
      </c>
      <c r="FB209" s="10">
        <v>4</v>
      </c>
    </row>
    <row r="210" spans="1:158" s="2" customFormat="1" ht="11.25"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5">
        <v>15.7</v>
      </c>
      <c r="BC210" s="52">
        <v>15.97</v>
      </c>
      <c r="BD210" s="52">
        <v>15.54</v>
      </c>
      <c r="BE210" s="52">
        <v>15.85</v>
      </c>
      <c r="BF210" s="52">
        <v>17.07</v>
      </c>
      <c r="BG210" s="67">
        <v>16.53</v>
      </c>
      <c r="BH210" s="52">
        <v>16.54</v>
      </c>
      <c r="BI210" s="52">
        <v>16.18</v>
      </c>
      <c r="BJ210" s="52">
        <v>16.329999999999998</v>
      </c>
      <c r="BK210" s="52">
        <v>13.88</v>
      </c>
      <c r="BL210" s="52">
        <v>13.3</v>
      </c>
      <c r="BM210" s="52">
        <v>12.39</v>
      </c>
      <c r="BN210" s="52">
        <v>13.01</v>
      </c>
      <c r="BO210" s="52">
        <v>13.53</v>
      </c>
      <c r="BP210" s="52">
        <v>13.05</v>
      </c>
      <c r="BQ210" s="52" cm="1">
        <f t="array" aca="1" ref="BQ210" ca="1">_FV(EE210,"Preço")</f>
        <v>13.05</v>
      </c>
      <c r="BR210" s="69" t="s">
        <v>206</v>
      </c>
      <c r="BS210" s="36" cm="1">
        <f t="array" aca="1" ref="BS210" ca="1">_FV(EE210,"Média de volume",TRUE)</f>
        <v>3763430</v>
      </c>
      <c r="BT210" s="36">
        <v>5618100</v>
      </c>
      <c r="BU210" s="36" cm="1">
        <f t="array" aca="1" ref="BU210" ca="1">_FV(EE210,"Volume")</f>
        <v>5618100</v>
      </c>
      <c r="BV210" s="24" cm="1">
        <f t="array" aca="1" ref="BV210" ca="1">_FV(EE210,"Beta")</f>
        <v>2.0472000000000001</v>
      </c>
      <c r="BW210" s="71" cm="1">
        <f t="array" aca="1" ref="BW210" ca="1">_FV(EE210,"Variação (%)",TRUE)</f>
        <v>7.6689999999999994E-4</v>
      </c>
      <c r="BY210" s="17" cm="1">
        <f t="array" aca="1" ref="BY210" ca="1">_FV(EE210,"Baixo")</f>
        <v>12.27</v>
      </c>
      <c r="BZ210" s="17" cm="1">
        <f t="array" aca="1" ref="BZ210" ca="1">_FV(EE210,"Alto")</f>
        <v>13.06</v>
      </c>
      <c r="CA210" s="24"/>
      <c r="CB210" s="63">
        <f ca="1">SQRT(22.5*(BQ210/VLOOKUP(BR210,Fundamentus!A:U,3,FALSE))*(BQ210/VLOOKUP(BR210,Fundamentus!A:U,4,FALSE)))</f>
        <v>17.279085485968771</v>
      </c>
      <c r="CD210" s="62">
        <f t="shared" ca="1" si="241"/>
        <v>0</v>
      </c>
      <c r="CE210" s="8"/>
      <c r="CF210" s="61">
        <f t="shared" si="242"/>
        <v>8.0399999999999991</v>
      </c>
      <c r="CG210" s="61">
        <f t="shared" si="243"/>
        <v>17.07</v>
      </c>
      <c r="CH210" s="61">
        <f t="shared" si="244"/>
        <v>11.848823529411765</v>
      </c>
      <c r="CI210" s="14"/>
      <c r="CJ210" s="35">
        <f t="shared" si="227"/>
        <v>12.611603252682645</v>
      </c>
      <c r="CK210" s="15">
        <f t="shared" si="245"/>
        <v>13.619999999999891</v>
      </c>
      <c r="CL210" s="35">
        <f t="shared" si="228"/>
        <v>14.628396747317137</v>
      </c>
      <c r="CN210" s="14"/>
      <c r="CO210" s="17">
        <f t="shared" si="229"/>
        <v>-0.66000000000000369</v>
      </c>
      <c r="CP210" s="17">
        <f t="shared" si="230"/>
        <v>3.6899999999999977</v>
      </c>
      <c r="CQ210" s="17">
        <f t="shared" si="231"/>
        <v>8.3699999999999974</v>
      </c>
      <c r="CR210" s="38">
        <f t="shared" si="246"/>
        <v>12.719999999999999</v>
      </c>
      <c r="CS210" s="17">
        <f t="shared" si="232"/>
        <v>17.399999999999999</v>
      </c>
      <c r="CT210" s="17">
        <f t="shared" si="233"/>
        <v>21.75</v>
      </c>
      <c r="CU210" s="17">
        <f t="shared" si="234"/>
        <v>26.43</v>
      </c>
      <c r="CV210" s="2" cm="1">
        <f t="array" aca="1" ref="CV210" ca="1">MAX(_xlfn._xlws.FILTER(CO210:CU210,CO210:CU210&lt;BQ210))</f>
        <v>12.719999999999999</v>
      </c>
      <c r="CW210" s="2" cm="1">
        <f t="array" aca="1" ref="CW210" ca="1">MIN(_xlfn._xlws.FILTER($CO210:$CU210,$CO210:$CU210&gt;BQ210))</f>
        <v>17.399999999999999</v>
      </c>
      <c r="CX210" s="16">
        <f t="shared" ca="1" si="248"/>
        <v>0.36792452830188682</v>
      </c>
      <c r="CY210" s="20">
        <f t="shared" ca="1" si="249"/>
        <v>-0.18396226415094341</v>
      </c>
      <c r="CZ210" s="20">
        <f t="shared" ca="1" si="250"/>
        <v>-0.12264150943396228</v>
      </c>
      <c r="DA210" s="20">
        <f t="shared" ca="1" si="251"/>
        <v>-7.358490566037737E-2</v>
      </c>
      <c r="DB210" s="20">
        <f t="shared" ca="1" si="252"/>
        <v>-4.0880503144654093E-2</v>
      </c>
      <c r="DC210" s="20">
        <f t="shared" ca="1" si="253"/>
        <v>-2.1642619311875694E-2</v>
      </c>
      <c r="DD210" s="20">
        <f t="shared" ca="1" si="254"/>
        <v>-1.1149228130360206E-2</v>
      </c>
      <c r="DE210" s="20">
        <f t="shared" ca="1" si="255"/>
        <v>-5.6603773584905665E-3</v>
      </c>
      <c r="DF210" s="21">
        <f t="shared" ca="1" si="256"/>
        <v>5.6603773584905665E-3</v>
      </c>
      <c r="DG210" s="21">
        <f t="shared" ca="1" si="257"/>
        <v>1.1149228130360206E-2</v>
      </c>
      <c r="DH210" s="21">
        <f t="shared" ca="1" si="258"/>
        <v>2.1642619311875694E-2</v>
      </c>
      <c r="DI210" s="21">
        <f t="shared" ca="1" si="259"/>
        <v>4.0880503144654093E-2</v>
      </c>
      <c r="DJ210" s="21">
        <f t="shared" ca="1" si="260"/>
        <v>7.358490566037737E-2</v>
      </c>
      <c r="DK210" s="21">
        <f t="shared" ca="1" si="261"/>
        <v>0.12264150943396228</v>
      </c>
      <c r="DL210" s="21">
        <f t="shared" ca="1" si="262"/>
        <v>0.18396226415094341</v>
      </c>
      <c r="DN210" s="16" cm="1">
        <f t="array" aca="1" ref="DN210" ca="1">MAX(_xlfn._xlws.FILTER(CY210:DL210,CY210:DL210&lt;BW210))</f>
        <v>-5.6603773584905665E-3</v>
      </c>
      <c r="DO210" s="16" cm="1">
        <f t="array" aca="1" ref="DO210" ca="1">MIN(_xlfn._xlws.FILTER(CY210:DL210,CY210:DL210&gt;BW210))</f>
        <v>5.6603773584905665E-3</v>
      </c>
      <c r="DP210" s="2" cm="1">
        <f t="array" aca="1" ref="DP210" ca="1">_FV(EE210,"Fechamento anterior",TRUE)</f>
        <v>13.04</v>
      </c>
      <c r="DQ210" s="28">
        <f t="shared" ca="1" si="235"/>
        <v>0.56774028629857987</v>
      </c>
      <c r="DR210" s="15">
        <f t="shared" ca="1" si="263"/>
        <v>12.966188679245283</v>
      </c>
      <c r="DS210" s="15">
        <f t="shared" ca="1" si="264"/>
        <v>13.113811320754715</v>
      </c>
      <c r="DT210" s="9"/>
      <c r="DU210" s="9"/>
      <c r="DV210" s="9"/>
      <c r="DW210" s="89">
        <v>1.1562350692785483E-2</v>
      </c>
      <c r="DX210" s="89">
        <f t="shared" ca="1" si="236"/>
        <v>1.1320754716981133E-2</v>
      </c>
      <c r="DY210" s="72">
        <f t="shared" ca="1" si="237"/>
        <v>-0.56525370744831038</v>
      </c>
      <c r="DZ210" s="37"/>
      <c r="EA210" s="35">
        <f t="shared" si="247"/>
        <v>0.50419837365862252</v>
      </c>
      <c r="EB210" s="56"/>
      <c r="EC210" s="56"/>
      <c r="EE210" s="2" t="e" vm="212">
        <v>#VALUE!</v>
      </c>
      <c r="EG210" s="10" cm="1">
        <f t="array" aca="1" ref="EG210" ca="1">_FV(EE210,"Ações em circulação",TRUE)</f>
        <v>274088800</v>
      </c>
      <c r="EH210" s="18">
        <f>VLOOKUP(BR210,Fundamentus!A:U,5,FALSE)</f>
        <v>0.66300000000000003</v>
      </c>
      <c r="EI210" s="2">
        <f t="shared" ca="1" si="238"/>
        <v>5394960542.9864254</v>
      </c>
      <c r="EJ210" s="17">
        <v>320460656.25339365</v>
      </c>
      <c r="EK210" s="17">
        <f t="shared" ca="1" si="239"/>
        <v>320460656.25339365</v>
      </c>
      <c r="EM210" s="16">
        <f t="shared" ca="1" si="226"/>
        <v>0</v>
      </c>
      <c r="EN210" s="32" t="str">
        <f>IF(VLOOKUP(BR210,Fundamentus!A:U,3,FALSE)&lt;15,"Bom",IF(VLOOKUP(BR210,Fundamentus!A:U,3,FALSE)&gt;15,"Ruim","n/a"))</f>
        <v>Bom</v>
      </c>
      <c r="EO210" s="28" t="str">
        <f>IF(VLOOKUP(BR210,Fundamentus!A:U,4,FALSE)&lt;1,"Baixo",IF(VLOOKUP(BR210,Fundamentus!A:U,4,FALSE)&lt;1.5,"Moderado",IF(VLOOKUP(BR210,Fundamentus!A:U,4,FALSE)&gt;1.5,"Alto","n/a")))</f>
        <v>Moderado</v>
      </c>
      <c r="EP210" s="17" t="str">
        <f>IF(VLOOKUP(BR210,Fundamentus!A:U,8,FALSE)&lt;0,"Risco elevado",IF(VLOOKUP(BR210,Fundamentus!A:U,8,FALSE)&lt;1,"Saudável",IF(VLOOKUP(BR210,Fundamentus!A:U,8,FALSE)&lt;3,"Estável",IF(VLOOKUP(BR210,Fundamentus!A:U,8,FALSE)&gt;3,"Alerta","n/a"))))</f>
        <v>Alerta</v>
      </c>
      <c r="EQ210" s="28" t="str">
        <f t="shared" si="240"/>
        <v>Ruim</v>
      </c>
      <c r="ER210" s="17" t="str">
        <f>IF(VLOOKUP(BR210,Fundamentus!A:U,12,FALSE)&lt;2,"Subvalorizada",IF(VLOOKUP(BR210,Fundamentus!A:U,12,FALSE)&lt;6,"Muita barata",IF(VLOOKUP(BR210,Fundamentus!A:U,12,FALSE)&lt;6,"Barata",IF(VLOOKUP(BR210,Fundamentus!A:U,12,FALSE)&lt;8,"Atrativa",IF(VLOOKUP(BR210,Fundamentus!A:U,12,FALSE)&gt;8,"Supervalorizada","n/a")))))</f>
        <v>Muita barata</v>
      </c>
      <c r="ET210" s="17" t="str">
        <f>IF(VLOOKUP(BR210,Fundamentus!A:U,17,FALSE)&lt;0.1,"Fraco retorno",IF(VLOOKUP(BR210,Fundamentus!A:U,17,FALSE)&gt;0.1,"Bom retorno","n/a"))</f>
        <v>Bom retorno</v>
      </c>
      <c r="EU210" s="17" t="str">
        <f>IF(VLOOKUP(BR210,Fundamentus!A:U,16,FALSE)&lt;0.1,"Ineficiente",IF(VLOOKUP(BR210,Fundamentus!A:U,16,FALSE)&gt;0.1,"Eficiente","n/a"))</f>
        <v>Eficiente</v>
      </c>
      <c r="EV210" s="33" t="str">
        <f>IF(VLOOKUP(BR210,Fundamentus!A:U,16,FALSE)&lt;0.1,"Oper. Ineficiente",IF(VLOOKUP(BR210,Fundamentus!A:U,16,FALSE)&gt;0.1,"Oper.Eficiente","n/a"))</f>
        <v>Oper.Eficiente</v>
      </c>
      <c r="EW210" s="34">
        <f>VLOOKUP(BR210,Fundamentus!A:U,14,FALSE)</f>
        <v>5.9400000000000001E-2</v>
      </c>
      <c r="EX210" s="17" t="str">
        <f>IF(VLOOKUP(BR210,Fundamentus!A:U,21,FALSE)&lt;0,"Negativo",IF(VLOOKUP(BR210,Fundamentus!A:U,21,FALSE)&lt;0.05,"Fraco",IF(VLOOKUP(BR210,Fundamentus!A:U,21,FALSE)&lt;0.1,"Bom",IF(VLOOKUP(BR210,Fundamentus!A:U,21,FALSE)&gt;0.1,"Muito bom","n/a"))))</f>
        <v>Bom</v>
      </c>
      <c r="EZ210" s="29" t="str">
        <f>IF(VLOOKUP(BR210,Fundamentus!A:U,15,FALSE)&gt;1,"Bom",IF(VLOOKUP(BR210,Fundamentus!A:U,15,FALSE)&lt;1,"Ruim","n/a"))</f>
        <v>Bom</v>
      </c>
      <c r="FA210" s="17" t="str">
        <f>IF(VLOOKUP(BR210,Fundamentus!A:U,20,FALSE)&lt;0.5,"Baixa",IF(VLOOKUP(BR210,Fundamentus!A:U,20,FALSE)&lt;1,"Moderada",IF(VLOOKUP(BR210,Fundamentus!A:U,20,FALSE)&lt;2,"Alerta",IF(VLOOKUP(BR210,Fundamentus!A:U,20,FALSE)&gt;2,"Alta","n/a"))))</f>
        <v>Alerta</v>
      </c>
    </row>
    <row r="211" spans="1:158" s="2" customFormat="1" ht="11.25"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5">
        <v>6.67</v>
      </c>
      <c r="BC211" s="52">
        <v>6.59</v>
      </c>
      <c r="BD211" s="52">
        <v>6.32</v>
      </c>
      <c r="BE211" s="52">
        <v>6.22</v>
      </c>
      <c r="BF211" s="52">
        <v>5.83</v>
      </c>
      <c r="BG211" s="67">
        <v>6.02</v>
      </c>
      <c r="BH211" s="52">
        <v>6.2</v>
      </c>
      <c r="BI211" s="52">
        <v>5.85</v>
      </c>
      <c r="BJ211" s="52">
        <v>5.99</v>
      </c>
      <c r="BK211" s="52">
        <v>5.6</v>
      </c>
      <c r="BL211" s="52">
        <v>5.2</v>
      </c>
      <c r="BM211" s="52">
        <v>5.39</v>
      </c>
      <c r="BN211" s="52">
        <v>5.13</v>
      </c>
      <c r="BO211" s="52">
        <v>5.54</v>
      </c>
      <c r="BP211" s="52">
        <v>5.3</v>
      </c>
      <c r="BQ211" s="52" cm="1">
        <f t="array" aca="1" ref="BQ211" ca="1">_FV(EE211,"Preço")</f>
        <v>5.3</v>
      </c>
      <c r="BR211" s="69" t="s">
        <v>207</v>
      </c>
      <c r="BS211" s="36" cm="1">
        <f t="array" aca="1" ref="BS211" ca="1">_FV(EE211,"Média de volume",TRUE)</f>
        <v>585550</v>
      </c>
      <c r="BT211" s="36">
        <v>389900</v>
      </c>
      <c r="BU211" s="36" cm="1">
        <f t="array" aca="1" ref="BU211" ca="1">_FV(EE211,"Volume")</f>
        <v>389900</v>
      </c>
      <c r="BV211" s="24" cm="1">
        <f t="array" aca="1" ref="BV211" ca="1">_FV(EE211,"Beta")</f>
        <v>1.4762</v>
      </c>
      <c r="BW211" s="71" cm="1">
        <f t="array" aca="1" ref="BW211" ca="1">_FV(EE211,"Variação (%)",TRUE)</f>
        <v>-5.6289999999999995E-3</v>
      </c>
      <c r="BY211" s="17" cm="1">
        <f t="array" aca="1" ref="BY211" ca="1">_FV(EE211,"Baixo")</f>
        <v>5.2</v>
      </c>
      <c r="BZ211" s="17" cm="1">
        <f t="array" aca="1" ref="BZ211" ca="1">_FV(EE211,"Alto")</f>
        <v>5.39</v>
      </c>
      <c r="CA211" s="24"/>
      <c r="CB211" s="63">
        <f ca="1">SQRT(22.5*(BQ211/VLOOKUP(BR211,Fundamentus!A:U,3,FALSE))*(BQ211/VLOOKUP(BR211,Fundamentus!A:U,4,FALSE)))</f>
        <v>9.9055134995588769</v>
      </c>
      <c r="CD211" s="62">
        <f t="shared" ca="1" si="241"/>
        <v>0</v>
      </c>
      <c r="CE211" s="8"/>
      <c r="CF211" s="61">
        <f t="shared" si="242"/>
        <v>5.13</v>
      </c>
      <c r="CG211" s="61">
        <f t="shared" si="243"/>
        <v>12.01</v>
      </c>
      <c r="CH211" s="61">
        <f t="shared" si="244"/>
        <v>7.3201470588235296</v>
      </c>
      <c r="CI211" s="14"/>
      <c r="CJ211" s="35">
        <f t="shared" si="227"/>
        <v>5.0076527528345967</v>
      </c>
      <c r="CK211" s="15">
        <f t="shared" si="245"/>
        <v>5.375</v>
      </c>
      <c r="CL211" s="35">
        <f t="shared" si="228"/>
        <v>5.7423472471654033</v>
      </c>
      <c r="CN211" s="14"/>
      <c r="CO211" s="17">
        <f t="shared" si="229"/>
        <v>-3.9299999999999988</v>
      </c>
      <c r="CP211" s="17">
        <f t="shared" si="230"/>
        <v>0.60000000000000053</v>
      </c>
      <c r="CQ211" s="17">
        <f t="shared" si="231"/>
        <v>2.9500000000000011</v>
      </c>
      <c r="CR211" s="38">
        <f t="shared" si="246"/>
        <v>7.48</v>
      </c>
      <c r="CS211" s="17">
        <f t="shared" si="232"/>
        <v>9.8300000000000018</v>
      </c>
      <c r="CT211" s="17">
        <f t="shared" si="233"/>
        <v>14.36</v>
      </c>
      <c r="CU211" s="17">
        <f t="shared" si="234"/>
        <v>16.71</v>
      </c>
      <c r="CV211" s="2" cm="1">
        <f t="array" aca="1" ref="CV211" ca="1">MAX(_xlfn._xlws.FILTER(CO211:CU211,CO211:CU211&lt;BQ211))</f>
        <v>2.9500000000000011</v>
      </c>
      <c r="CW211" s="2" cm="1">
        <f t="array" aca="1" ref="CW211" ca="1">MIN(_xlfn._xlws.FILTER($CO211:$CU211,$CO211:$CU211&gt;BQ211))</f>
        <v>7.48</v>
      </c>
      <c r="CX211" s="16">
        <f t="shared" ca="1" si="248"/>
        <v>1.5355932203389822</v>
      </c>
      <c r="CY211" s="20">
        <f t="shared" ca="1" si="249"/>
        <v>-0.76779661016949108</v>
      </c>
      <c r="CZ211" s="20">
        <f t="shared" ca="1" si="250"/>
        <v>-0.51186440677966072</v>
      </c>
      <c r="DA211" s="20">
        <f t="shared" ca="1" si="251"/>
        <v>-0.30711864406779643</v>
      </c>
      <c r="DB211" s="20">
        <f t="shared" ca="1" si="252"/>
        <v>-0.17062146892655358</v>
      </c>
      <c r="DC211" s="20">
        <f t="shared" ca="1" si="253"/>
        <v>-9.0329012961116603E-2</v>
      </c>
      <c r="DD211" s="20">
        <f t="shared" ca="1" si="254"/>
        <v>-4.6533127889060062E-2</v>
      </c>
      <c r="DE211" s="20">
        <f t="shared" ca="1" si="255"/>
        <v>-2.3624511082138186E-2</v>
      </c>
      <c r="DF211" s="21">
        <f t="shared" ca="1" si="256"/>
        <v>2.3624511082138186E-2</v>
      </c>
      <c r="DG211" s="21">
        <f t="shared" ca="1" si="257"/>
        <v>4.6533127889060062E-2</v>
      </c>
      <c r="DH211" s="21">
        <f t="shared" ca="1" si="258"/>
        <v>9.0329012961116603E-2</v>
      </c>
      <c r="DI211" s="21">
        <f t="shared" ca="1" si="259"/>
        <v>0.17062146892655358</v>
      </c>
      <c r="DJ211" s="21">
        <f t="shared" ca="1" si="260"/>
        <v>0.30711864406779643</v>
      </c>
      <c r="DK211" s="21">
        <f t="shared" ca="1" si="261"/>
        <v>0.51186440677966072</v>
      </c>
      <c r="DL211" s="21">
        <f t="shared" ca="1" si="262"/>
        <v>0.76779661016949108</v>
      </c>
      <c r="DN211" s="16" cm="1">
        <f t="array" aca="1" ref="DN211" ca="1">MAX(_xlfn._xlws.FILTER(CY211:DL211,CY211:DL211&lt;BW211))</f>
        <v>-2.3624511082138186E-2</v>
      </c>
      <c r="DO211" s="16" cm="1">
        <f t="array" aca="1" ref="DO211" ca="1">MIN(_xlfn._xlws.FILTER(CY211:DL211,CY211:DL211&gt;BW211))</f>
        <v>2.3624511082138186E-2</v>
      </c>
      <c r="DP211" s="2" cm="1">
        <f t="array" aca="1" ref="DP211" ca="1">_FV(EE211,"Fechamento anterior",TRUE)</f>
        <v>5.33</v>
      </c>
      <c r="DQ211" s="28">
        <f t="shared" ca="1" si="235"/>
        <v>0.38087546438378217</v>
      </c>
      <c r="DR211" s="15">
        <f t="shared" ca="1" si="263"/>
        <v>5.2040813559322032</v>
      </c>
      <c r="DS211" s="15">
        <f t="shared" ca="1" si="264"/>
        <v>5.4559186440677969</v>
      </c>
      <c r="DT211" s="9"/>
      <c r="DU211" s="9"/>
      <c r="DV211" s="9"/>
      <c r="DW211" s="89">
        <v>2.1346285011879872E-2</v>
      </c>
      <c r="DX211" s="89">
        <f t="shared" ca="1" si="236"/>
        <v>4.7249022164276372E-2</v>
      </c>
      <c r="DY211" s="72">
        <f t="shared" ca="1" si="237"/>
        <v>-0.20416649526770608</v>
      </c>
      <c r="DZ211" s="37"/>
      <c r="EA211" s="35">
        <f t="shared" si="247"/>
        <v>0.18367362358270162</v>
      </c>
      <c r="EB211" s="56"/>
      <c r="EC211" s="56"/>
      <c r="EE211" s="2" t="e" vm="213">
        <v>#VALUE!</v>
      </c>
      <c r="EG211" s="10" cm="1">
        <f t="array" aca="1" ref="EG211" ca="1">_FV(EE211,"Ações em circulação",TRUE)</f>
        <v>286431100</v>
      </c>
      <c r="EH211" s="18">
        <f>VLOOKUP(BR211,Fundamentus!A:U,5,FALSE)</f>
        <v>0.16600000000000001</v>
      </c>
      <c r="EI211" s="2">
        <f t="shared" ca="1" si="238"/>
        <v>9145089337.3493977</v>
      </c>
      <c r="EJ211" s="17">
        <v>202106474.35542169</v>
      </c>
      <c r="EK211" s="17">
        <f t="shared" ca="1" si="239"/>
        <v>202106474.35542169</v>
      </c>
      <c r="EM211" s="16">
        <f t="shared" ca="1" si="226"/>
        <v>0</v>
      </c>
      <c r="EN211" s="32" t="str">
        <f>IF(VLOOKUP(BR211,Fundamentus!A:U,3,FALSE)&lt;15,"Bom",IF(VLOOKUP(BR211,Fundamentus!A:U,3,FALSE)&gt;15,"Ruim","n/a"))</f>
        <v>Bom</v>
      </c>
      <c r="EO211" s="28" t="str">
        <f>IF(VLOOKUP(BR211,Fundamentus!A:U,4,FALSE)&lt;1,"Baixo",IF(VLOOKUP(BR211,Fundamentus!A:U,4,FALSE)&lt;1.5,"Moderado",IF(VLOOKUP(BR211,Fundamentus!A:U,4,FALSE)&gt;1.5,"Alto","n/a")))</f>
        <v>Baixo</v>
      </c>
      <c r="EP211" s="17" t="str">
        <f>IF(VLOOKUP(BR211,Fundamentus!A:U,8,FALSE)&lt;0,"Risco elevado",IF(VLOOKUP(BR211,Fundamentus!A:U,8,FALSE)&lt;1,"Saudável",IF(VLOOKUP(BR211,Fundamentus!A:U,8,FALSE)&lt;3,"Estável",IF(VLOOKUP(BR211,Fundamentus!A:U,8,FALSE)&gt;3,"Alerta","n/a"))))</f>
        <v>Saudável</v>
      </c>
      <c r="EQ211" s="28" t="str">
        <f t="shared" si="240"/>
        <v>Ruim</v>
      </c>
      <c r="ER211" s="17" t="str">
        <f>IF(VLOOKUP(BR211,Fundamentus!A:U,12,FALSE)&lt;2,"Subvalorizada",IF(VLOOKUP(BR211,Fundamentus!A:U,12,FALSE)&lt;6,"Muita barata",IF(VLOOKUP(BR211,Fundamentus!A:U,12,FALSE)&lt;6,"Barata",IF(VLOOKUP(BR211,Fundamentus!A:U,12,FALSE)&lt;8,"Atrativa",IF(VLOOKUP(BR211,Fundamentus!A:U,12,FALSE)&gt;8,"Supervalorizada","n/a")))))</f>
        <v>Muita barata</v>
      </c>
      <c r="ET211" s="17" t="str">
        <f>IF(VLOOKUP(BR211,Fundamentus!A:U,17,FALSE)&lt;0.1,"Fraco retorno",IF(VLOOKUP(BR211,Fundamentus!A:U,17,FALSE)&gt;0.1,"Bom retorno","n/a"))</f>
        <v>Bom retorno</v>
      </c>
      <c r="EU211" s="17" t="str">
        <f>IF(VLOOKUP(BR211,Fundamentus!A:U,16,FALSE)&lt;0.1,"Ineficiente",IF(VLOOKUP(BR211,Fundamentus!A:U,16,FALSE)&gt;0.1,"Eficiente","n/a"))</f>
        <v>Eficiente</v>
      </c>
      <c r="EV211" s="33" t="str">
        <f>IF(VLOOKUP(BR211,Fundamentus!A:U,16,FALSE)&lt;0.1,"Oper. Ineficiente",IF(VLOOKUP(BR211,Fundamentus!A:U,16,FALSE)&gt;0.1,"Oper.Eficiente","n/a"))</f>
        <v>Oper.Eficiente</v>
      </c>
      <c r="EW211" s="34">
        <f>VLOOKUP(BR211,Fundamentus!A:U,14,FALSE)</f>
        <v>2.2100000000000002E-2</v>
      </c>
      <c r="EX211" s="17" t="str">
        <f>IF(VLOOKUP(BR211,Fundamentus!A:U,21,FALSE)&lt;0,"Negativo",IF(VLOOKUP(BR211,Fundamentus!A:U,21,FALSE)&lt;0.05,"Fraco",IF(VLOOKUP(BR211,Fundamentus!A:U,21,FALSE)&lt;0.1,"Bom",IF(VLOOKUP(BR211,Fundamentus!A:U,21,FALSE)&gt;0.1,"Muito bom","n/a"))))</f>
        <v>Muito bom</v>
      </c>
      <c r="EZ211" s="29" t="str">
        <f>IF(VLOOKUP(BR211,Fundamentus!A:U,15,FALSE)&gt;1,"Bom",IF(VLOOKUP(BR211,Fundamentus!A:U,15,FALSE)&lt;1,"Ruim","n/a"))</f>
        <v>Bom</v>
      </c>
      <c r="FA211" s="17" t="str">
        <f>IF(VLOOKUP(BR211,Fundamentus!A:U,20,FALSE)&lt;0.5,"Baixa",IF(VLOOKUP(BR211,Fundamentus!A:U,20,FALSE)&lt;1,"Moderada",IF(VLOOKUP(BR211,Fundamentus!A:U,20,FALSE)&lt;2,"Alerta",IF(VLOOKUP(BR211,Fundamentus!A:U,20,FALSE)&gt;2,"Alta","n/a"))))</f>
        <v>Alta</v>
      </c>
    </row>
    <row r="212" spans="1:158" s="2" customFormat="1" ht="11.25"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5">
        <v>5.36</v>
      </c>
      <c r="BC212" s="52">
        <v>4.78</v>
      </c>
      <c r="BD212" s="52">
        <v>5.2</v>
      </c>
      <c r="BE212" s="52">
        <v>5.04</v>
      </c>
      <c r="BF212" s="52">
        <v>4.62</v>
      </c>
      <c r="BG212" s="67">
        <v>4.5999999999999996</v>
      </c>
      <c r="BH212" s="52">
        <v>4.5</v>
      </c>
      <c r="BI212" s="52">
        <v>5.08</v>
      </c>
      <c r="BJ212" s="52">
        <v>4.9800000000000004</v>
      </c>
      <c r="BK212" s="52">
        <v>5.36</v>
      </c>
      <c r="BL212" s="52">
        <v>5.47</v>
      </c>
      <c r="BM212" s="52">
        <v>5.44</v>
      </c>
      <c r="BN212" s="52">
        <v>5.65</v>
      </c>
      <c r="BO212" s="52">
        <v>5.61</v>
      </c>
      <c r="BP212" s="52">
        <v>5.37</v>
      </c>
      <c r="BQ212" s="52" cm="1">
        <f t="array" aca="1" ref="BQ212" ca="1">_FV(EE212,"Preço")</f>
        <v>5.37</v>
      </c>
      <c r="BR212" s="69" t="s">
        <v>208</v>
      </c>
      <c r="BS212" s="36" cm="1">
        <f t="array" aca="1" ref="BS212" ca="1">_FV(EE212,"Média de volume",TRUE)</f>
        <v>853310</v>
      </c>
      <c r="BT212" s="36">
        <v>1321200</v>
      </c>
      <c r="BU212" s="36" cm="1">
        <f t="array" aca="1" ref="BU212" ca="1">_FV(EE212,"Volume")</f>
        <v>1321200</v>
      </c>
      <c r="BV212" s="24" cm="1">
        <f t="array" aca="1" ref="BV212" ca="1">_FV(EE212,"Beta")</f>
        <v>1.3433999999999999</v>
      </c>
      <c r="BW212" s="71" cm="1">
        <f t="array" aca="1" ref="BW212" ca="1">_FV(EE212,"Variação (%)",TRUE)</f>
        <v>-3.7109999999999999E-3</v>
      </c>
      <c r="BY212" s="17" cm="1">
        <f t="array" aca="1" ref="BY212" ca="1">_FV(EE212,"Baixo")</f>
        <v>5.0999999999999996</v>
      </c>
      <c r="BZ212" s="17" cm="1">
        <f t="array" aca="1" ref="BZ212" ca="1">_FV(EE212,"Alto")</f>
        <v>5.37</v>
      </c>
      <c r="CA212" s="24"/>
      <c r="CB212" s="63" t="e">
        <f ca="1">SQRT(22.5*(BQ212/VLOOKUP(BR212,Fundamentus!A:U,3,FALSE))*(BQ212/VLOOKUP(BR212,Fundamentus!A:U,4,FALSE)))</f>
        <v>#NUM!</v>
      </c>
      <c r="CD212" s="62">
        <f t="shared" ca="1" si="241"/>
        <v>0</v>
      </c>
      <c r="CE212" s="8"/>
      <c r="CF212" s="61">
        <f t="shared" si="242"/>
        <v>1.95</v>
      </c>
      <c r="CG212" s="61">
        <f t="shared" si="243"/>
        <v>9.08</v>
      </c>
      <c r="CH212" s="61">
        <f t="shared" si="244"/>
        <v>5.0917647058823539</v>
      </c>
      <c r="CI212" s="14"/>
      <c r="CJ212" s="35">
        <f t="shared" si="227"/>
        <v>5.2386299466192359</v>
      </c>
      <c r="CK212" s="15">
        <f t="shared" si="245"/>
        <v>5.4550000000000125</v>
      </c>
      <c r="CL212" s="35">
        <f t="shared" si="228"/>
        <v>5.6713700533807891</v>
      </c>
      <c r="CN212" s="14"/>
      <c r="CO212" s="17">
        <f t="shared" si="229"/>
        <v>-5.2766666666666682</v>
      </c>
      <c r="CP212" s="17">
        <f t="shared" si="230"/>
        <v>-1.663333333333334</v>
      </c>
      <c r="CQ212" s="17">
        <f t="shared" si="231"/>
        <v>1.8533333333333317</v>
      </c>
      <c r="CR212" s="38">
        <f t="shared" si="246"/>
        <v>5.4666666666666659</v>
      </c>
      <c r="CS212" s="17">
        <f t="shared" si="232"/>
        <v>8.9833333333333325</v>
      </c>
      <c r="CT212" s="17">
        <f t="shared" si="233"/>
        <v>12.596666666666666</v>
      </c>
      <c r="CU212" s="17">
        <f t="shared" si="234"/>
        <v>16.11333333333333</v>
      </c>
      <c r="CV212" s="2" cm="1">
        <f t="array" aca="1" ref="CV212" ca="1">MAX(_xlfn._xlws.FILTER(CO212:CU212,CO212:CU212&lt;BQ212))</f>
        <v>1.8533333333333317</v>
      </c>
      <c r="CW212" s="2" cm="1">
        <f t="array" aca="1" ref="CW212" ca="1">MIN(_xlfn._xlws.FILTER($CO212:$CU212,$CO212:$CU212&gt;BQ212))</f>
        <v>5.4666666666666659</v>
      </c>
      <c r="CX212" s="16">
        <f t="shared" ca="1" si="248"/>
        <v>1.9496402877697863</v>
      </c>
      <c r="CY212" s="20">
        <f t="shared" ca="1" si="249"/>
        <v>-0.97482014388489313</v>
      </c>
      <c r="CZ212" s="20">
        <f t="shared" ca="1" si="250"/>
        <v>-0.64988009592326212</v>
      </c>
      <c r="DA212" s="20">
        <f t="shared" ca="1" si="251"/>
        <v>-0.38992805755395726</v>
      </c>
      <c r="DB212" s="20">
        <f t="shared" ca="1" si="252"/>
        <v>-0.21662669864108736</v>
      </c>
      <c r="DC212" s="20">
        <f t="shared" ca="1" si="253"/>
        <v>-0.11468472280998743</v>
      </c>
      <c r="DD212" s="20">
        <f t="shared" ca="1" si="254"/>
        <v>-5.9080008720296555E-2</v>
      </c>
      <c r="DE212" s="20">
        <f t="shared" ca="1" si="255"/>
        <v>-2.999446596568902E-2</v>
      </c>
      <c r="DF212" s="21">
        <f t="shared" ca="1" si="256"/>
        <v>2.999446596568902E-2</v>
      </c>
      <c r="DG212" s="21">
        <f t="shared" ca="1" si="257"/>
        <v>5.9080008720296555E-2</v>
      </c>
      <c r="DH212" s="21">
        <f t="shared" ca="1" si="258"/>
        <v>0.11468472280998743</v>
      </c>
      <c r="DI212" s="21">
        <f t="shared" ca="1" si="259"/>
        <v>0.21662669864108736</v>
      </c>
      <c r="DJ212" s="21">
        <f t="shared" ca="1" si="260"/>
        <v>0.38992805755395726</v>
      </c>
      <c r="DK212" s="21">
        <f t="shared" ca="1" si="261"/>
        <v>0.64988009592326212</v>
      </c>
      <c r="DL212" s="21">
        <f t="shared" ca="1" si="262"/>
        <v>0.97482014388489313</v>
      </c>
      <c r="DN212" s="16" cm="1">
        <f t="array" aca="1" ref="DN212" ca="1">MAX(_xlfn._xlws.FILTER(CY212:DL212,CY212:DL212&lt;BW212))</f>
        <v>-2.999446596568902E-2</v>
      </c>
      <c r="DO212" s="16" cm="1">
        <f t="array" aca="1" ref="DO212" ca="1">MIN(_xlfn._xlws.FILTER(CY212:DL212,CY212:DL212&gt;BW212))</f>
        <v>2.999446596568902E-2</v>
      </c>
      <c r="DP212" s="2" cm="1">
        <f t="array" aca="1" ref="DP212" ca="1">_FV(EE212,"Fechamento anterior",TRUE)</f>
        <v>5.39</v>
      </c>
      <c r="DQ212" s="28">
        <f t="shared" ca="1" si="235"/>
        <v>0.43814567088157091</v>
      </c>
      <c r="DR212" s="15">
        <f t="shared" ca="1" si="263"/>
        <v>5.2283298284449362</v>
      </c>
      <c r="DS212" s="15">
        <f t="shared" ca="1" si="264"/>
        <v>5.5516701715550631</v>
      </c>
      <c r="DT212" s="9"/>
      <c r="DU212" s="9"/>
      <c r="DV212" s="9"/>
      <c r="DW212" s="89">
        <v>1.9951923076923082E-2</v>
      </c>
      <c r="DX212" s="89">
        <f t="shared" ca="1" si="236"/>
        <v>5.9988931931378039E-2</v>
      </c>
      <c r="DY212" s="72">
        <f t="shared" ca="1" si="237"/>
        <v>-0.39284549165602883</v>
      </c>
      <c r="DZ212" s="37"/>
      <c r="EA212" s="35">
        <f t="shared" si="247"/>
        <v>0.10818502669038821</v>
      </c>
      <c r="EB212" s="56"/>
      <c r="EC212" s="56"/>
      <c r="EE212" s="2" t="e" vm="214">
        <v>#VALUE!</v>
      </c>
      <c r="EG212" s="10" cm="1">
        <f t="array" aca="1" ref="EG212" ca="1">_FV(EE212,"Ações em circulação",TRUE)</f>
        <v>651756300</v>
      </c>
      <c r="EH212" s="18">
        <f>VLOOKUP(BR212,Fundamentus!A:U,5,FALSE)</f>
        <v>0.56699999999999995</v>
      </c>
      <c r="EI212" s="2">
        <f t="shared" ca="1" si="238"/>
        <v>6172718396.8253975</v>
      </c>
      <c r="EJ212" s="17">
        <v>-856773313.47936523</v>
      </c>
      <c r="EK212" s="17">
        <f t="shared" ca="1" si="239"/>
        <v>-856773313.47936523</v>
      </c>
      <c r="EM212" s="16">
        <f t="shared" ca="1" si="226"/>
        <v>0</v>
      </c>
      <c r="EN212" s="32" t="str">
        <f>IF(VLOOKUP(BR212,Fundamentus!A:U,3,FALSE)&lt;15,"Bom",IF(VLOOKUP(BR212,Fundamentus!A:U,3,FALSE)&gt;15,"Ruim","n/a"))</f>
        <v>Bom</v>
      </c>
      <c r="EO212" s="28" t="str">
        <f>IF(VLOOKUP(BR212,Fundamentus!A:U,4,FALSE)&lt;1,"Baixo",IF(VLOOKUP(BR212,Fundamentus!A:U,4,FALSE)&lt;1.5,"Moderado",IF(VLOOKUP(BR212,Fundamentus!A:U,4,FALSE)&gt;1.5,"Alto","n/a")))</f>
        <v>Moderado</v>
      </c>
      <c r="EP212" s="17" t="str">
        <f>IF(VLOOKUP(BR212,Fundamentus!A:U,8,FALSE)&lt;0,"Risco elevado",IF(VLOOKUP(BR212,Fundamentus!A:U,8,FALSE)&lt;1,"Saudável",IF(VLOOKUP(BR212,Fundamentus!A:U,8,FALSE)&lt;3,"Estável",IF(VLOOKUP(BR212,Fundamentus!A:U,8,FALSE)&gt;3,"Alerta","n/a"))))</f>
        <v>Estável</v>
      </c>
      <c r="EQ212" s="28" t="str">
        <f t="shared" si="240"/>
        <v>Ruim</v>
      </c>
      <c r="ER212" s="17" t="str">
        <f>IF(VLOOKUP(BR212,Fundamentus!A:U,12,FALSE)&lt;2,"Subvalorizada",IF(VLOOKUP(BR212,Fundamentus!A:U,12,FALSE)&lt;6,"Muita barata",IF(VLOOKUP(BR212,Fundamentus!A:U,12,FALSE)&lt;6,"Barata",IF(VLOOKUP(BR212,Fundamentus!A:U,12,FALSE)&lt;8,"Atrativa",IF(VLOOKUP(BR212,Fundamentus!A:U,12,FALSE)&gt;8,"Supervalorizada","n/a")))))</f>
        <v>Supervalorizada</v>
      </c>
      <c r="ET212" s="17" t="str">
        <f>IF(VLOOKUP(BR212,Fundamentus!A:U,17,FALSE)&lt;0.1,"Fraco retorno",IF(VLOOKUP(BR212,Fundamentus!A:U,17,FALSE)&gt;0.1,"Bom retorno","n/a"))</f>
        <v>Fraco retorno</v>
      </c>
      <c r="EU212" s="17" t="str">
        <f>IF(VLOOKUP(BR212,Fundamentus!A:U,16,FALSE)&lt;0.1,"Ineficiente",IF(VLOOKUP(BR212,Fundamentus!A:U,16,FALSE)&gt;0.1,"Eficiente","n/a"))</f>
        <v>Ineficiente</v>
      </c>
      <c r="EV212" s="33" t="str">
        <f>IF(VLOOKUP(BR212,Fundamentus!A:U,16,FALSE)&lt;0.1,"Oper. Ineficiente",IF(VLOOKUP(BR212,Fundamentus!A:U,16,FALSE)&gt;0.1,"Oper.Eficiente","n/a"))</f>
        <v>Oper. Ineficiente</v>
      </c>
      <c r="EW212" s="34">
        <f>VLOOKUP(BR212,Fundamentus!A:U,14,FALSE)</f>
        <v>-0.13880000000000001</v>
      </c>
      <c r="EX212" s="17" t="str">
        <f>IF(VLOOKUP(BR212,Fundamentus!A:U,21,FALSE)&lt;0,"Negativo",IF(VLOOKUP(BR212,Fundamentus!A:U,21,FALSE)&lt;0.05,"Fraco",IF(VLOOKUP(BR212,Fundamentus!A:U,21,FALSE)&lt;0.1,"Bom",IF(VLOOKUP(BR212,Fundamentus!A:U,21,FALSE)&gt;0.1,"Muito bom","n/a"))))</f>
        <v>Muito bom</v>
      </c>
      <c r="EZ212" s="29" t="str">
        <f>IF(VLOOKUP(BR212,Fundamentus!A:U,15,FALSE)&gt;1,"Bom",IF(VLOOKUP(BR212,Fundamentus!A:U,15,FALSE)&lt;1,"Ruim","n/a"))</f>
        <v>Bom</v>
      </c>
      <c r="FA212" s="17" t="str">
        <f>IF(VLOOKUP(BR212,Fundamentus!A:U,20,FALSE)&lt;0.5,"Baixa",IF(VLOOKUP(BR212,Fundamentus!A:U,20,FALSE)&lt;1,"Moderada",IF(VLOOKUP(BR212,Fundamentus!A:U,20,FALSE)&lt;2,"Alerta",IF(VLOOKUP(BR212,Fundamentus!A:U,20,FALSE)&gt;2,"Alta","n/a"))))</f>
        <v>Alerta</v>
      </c>
    </row>
    <row r="213" spans="1:158" s="2" customFormat="1" ht="11.25"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5">
        <v>5.55</v>
      </c>
      <c r="BC213" s="52">
        <v>5.97</v>
      </c>
      <c r="BD213" s="52">
        <v>5.83</v>
      </c>
      <c r="BE213" s="52">
        <v>6.09</v>
      </c>
      <c r="BF213" s="52">
        <v>5.41</v>
      </c>
      <c r="BG213" s="67">
        <v>4.9800000000000004</v>
      </c>
      <c r="BH213" s="52">
        <v>5</v>
      </c>
      <c r="BI213" s="52">
        <v>4.92</v>
      </c>
      <c r="BJ213" s="52">
        <v>3.92</v>
      </c>
      <c r="BK213" s="52">
        <v>4.9000000000000004</v>
      </c>
      <c r="BL213" s="52">
        <v>5.07</v>
      </c>
      <c r="BM213" s="52">
        <v>4.84</v>
      </c>
      <c r="BN213" s="52">
        <v>5.05</v>
      </c>
      <c r="BO213" s="52">
        <v>5.2</v>
      </c>
      <c r="BP213" s="52">
        <v>5.5</v>
      </c>
      <c r="BQ213" s="52" cm="1">
        <f t="array" aca="1" ref="BQ213" ca="1">_FV(EE213,"Preço")</f>
        <v>5.5</v>
      </c>
      <c r="BR213" s="69" t="s">
        <v>209</v>
      </c>
      <c r="BS213" s="36" cm="1">
        <f t="array" aca="1" ref="BS213" ca="1">_FV(EE213,"Média de volume",TRUE)</f>
        <v>104790</v>
      </c>
      <c r="BT213" s="36">
        <v>47900</v>
      </c>
      <c r="BU213" s="36" cm="1">
        <f t="array" aca="1" ref="BU213" ca="1">_FV(EE213,"Volume")</f>
        <v>47900</v>
      </c>
      <c r="BV213" s="24" cm="1">
        <f t="array" aca="1" ref="BV213" ca="1">_FV(EE213,"Beta")</f>
        <v>0.90229999999999999</v>
      </c>
      <c r="BW213" s="71" cm="1">
        <f t="array" aca="1" ref="BW213" ca="1">_FV(EE213,"Variação (%)",TRUE)</f>
        <v>-7.2199999999999999E-3</v>
      </c>
      <c r="BY213" s="17" cm="1">
        <f t="array" aca="1" ref="BY213" ca="1">_FV(EE213,"Baixo")</f>
        <v>5.41</v>
      </c>
      <c r="BZ213" s="17" cm="1">
        <f t="array" aca="1" ref="BZ213" ca="1">_FV(EE213,"Alto")</f>
        <v>5.65</v>
      </c>
      <c r="CA213" s="24"/>
      <c r="CB213" s="63" t="e">
        <f ca="1">SQRT(22.5*(BQ213/VLOOKUP(BR213,Fundamentus!A:U,3,FALSE))*(BQ213/VLOOKUP(BR213,Fundamentus!A:U,4,FALSE)))</f>
        <v>#NUM!</v>
      </c>
      <c r="CD213" s="62">
        <f t="shared" ca="1" si="241"/>
        <v>0</v>
      </c>
      <c r="CE213" s="8"/>
      <c r="CF213" s="61">
        <f t="shared" si="242"/>
        <v>3.92</v>
      </c>
      <c r="CG213" s="61">
        <f t="shared" si="243"/>
        <v>16.13</v>
      </c>
      <c r="CH213" s="61">
        <f t="shared" si="244"/>
        <v>10.029926470588238</v>
      </c>
      <c r="CI213" s="14"/>
      <c r="CJ213" s="35">
        <f t="shared" si="227"/>
        <v>5.4234381166268708</v>
      </c>
      <c r="CK213" s="15">
        <f t="shared" si="245"/>
        <v>5.6800000000000637</v>
      </c>
      <c r="CL213" s="35">
        <f t="shared" si="228"/>
        <v>5.9365618833732565</v>
      </c>
      <c r="CN213" s="14"/>
      <c r="CO213" s="17">
        <f t="shared" si="229"/>
        <v>-11.306666666666667</v>
      </c>
      <c r="CP213" s="17">
        <f t="shared" si="230"/>
        <v>-3.6933333333333334</v>
      </c>
      <c r="CQ213" s="17">
        <f t="shared" si="231"/>
        <v>0.90333333333333243</v>
      </c>
      <c r="CR213" s="38">
        <f t="shared" si="246"/>
        <v>8.5166666666666657</v>
      </c>
      <c r="CS213" s="17">
        <f t="shared" si="232"/>
        <v>13.113333333333332</v>
      </c>
      <c r="CT213" s="17">
        <f t="shared" si="233"/>
        <v>20.726666666666667</v>
      </c>
      <c r="CU213" s="17">
        <f t="shared" si="234"/>
        <v>25.323333333333331</v>
      </c>
      <c r="CV213" s="2" cm="1">
        <f t="array" aca="1" ref="CV213" ca="1">MAX(_xlfn._xlws.FILTER(CO213:CU213,CO213:CU213&lt;BQ213))</f>
        <v>0.90333333333333243</v>
      </c>
      <c r="CW213" s="2" cm="1">
        <f t="array" aca="1" ref="CW213" ca="1">MIN(_xlfn._xlws.FILTER($CO213:$CU213,$CO213:$CU213&gt;BQ213))</f>
        <v>8.5166666666666657</v>
      </c>
      <c r="CX213" s="16">
        <f t="shared" ca="1" si="248"/>
        <v>8.428044280442812</v>
      </c>
      <c r="CY213" s="20">
        <f t="shared" ca="1" si="249"/>
        <v>-4.214022140221406</v>
      </c>
      <c r="CZ213" s="20">
        <f t="shared" ca="1" si="250"/>
        <v>-2.8093480934809372</v>
      </c>
      <c r="DA213" s="20">
        <f t="shared" ca="1" si="251"/>
        <v>-1.6856088560885625</v>
      </c>
      <c r="DB213" s="20">
        <f t="shared" ca="1" si="252"/>
        <v>-0.9364493644936458</v>
      </c>
      <c r="DC213" s="20">
        <f t="shared" ca="1" si="253"/>
        <v>-0.49576731061428303</v>
      </c>
      <c r="DD213" s="20">
        <f t="shared" ca="1" si="254"/>
        <v>-0.25539528122553978</v>
      </c>
      <c r="DE213" s="20">
        <f t="shared" ca="1" si="255"/>
        <v>-0.12966221969912017</v>
      </c>
      <c r="DF213" s="21">
        <f t="shared" ca="1" si="256"/>
        <v>0.12966221969912017</v>
      </c>
      <c r="DG213" s="21">
        <f t="shared" ca="1" si="257"/>
        <v>0.25539528122553978</v>
      </c>
      <c r="DH213" s="21">
        <f t="shared" ca="1" si="258"/>
        <v>0.49576731061428303</v>
      </c>
      <c r="DI213" s="21">
        <f t="shared" ca="1" si="259"/>
        <v>0.9364493644936458</v>
      </c>
      <c r="DJ213" s="21">
        <f t="shared" ca="1" si="260"/>
        <v>1.6856088560885625</v>
      </c>
      <c r="DK213" s="21">
        <f t="shared" ca="1" si="261"/>
        <v>2.8093480934809372</v>
      </c>
      <c r="DL213" s="21">
        <f t="shared" ca="1" si="262"/>
        <v>4.214022140221406</v>
      </c>
      <c r="DN213" s="16" cm="1">
        <f t="array" aca="1" ref="DN213" ca="1">MAX(_xlfn._xlws.FILTER(CY213:DL213,CY213:DL213&lt;BW213))</f>
        <v>-0.12966221969912017</v>
      </c>
      <c r="DO213" s="16" cm="1">
        <f t="array" aca="1" ref="DO213" ca="1">MIN(_xlfn._xlws.FILTER(CY213:DL213,CY213:DL213&gt;BW213))</f>
        <v>0.12966221969912017</v>
      </c>
      <c r="DP213" s="2" cm="1">
        <f t="array" aca="1" ref="DP213" ca="1">_FV(EE213,"Fechamento anterior",TRUE)</f>
        <v>5.54</v>
      </c>
      <c r="DQ213" s="28">
        <f t="shared" ca="1" si="235"/>
        <v>0.47215759292393483</v>
      </c>
      <c r="DR213" s="15">
        <f t="shared" ca="1" si="263"/>
        <v>4.8216713028668741</v>
      </c>
      <c r="DS213" s="15">
        <f t="shared" ca="1" si="264"/>
        <v>6.258328697133126</v>
      </c>
      <c r="DT213" s="9"/>
      <c r="DU213" s="9"/>
      <c r="DV213" s="9"/>
      <c r="DW213" s="89">
        <v>0.33744075829383896</v>
      </c>
      <c r="DX213" s="89">
        <f t="shared" ca="1" si="236"/>
        <v>0.25932443939824035</v>
      </c>
      <c r="DY213" s="72">
        <f t="shared" ca="1" si="237"/>
        <v>-0.70158512103778525</v>
      </c>
      <c r="DZ213" s="37"/>
      <c r="EA213" s="35">
        <f t="shared" si="247"/>
        <v>0.12828094168659665</v>
      </c>
      <c r="EB213" s="56"/>
      <c r="EC213" s="56"/>
      <c r="EE213" s="2" t="e" vm="215">
        <v>#VALUE!</v>
      </c>
      <c r="EG213" s="10" cm="1">
        <f t="array" aca="1" ref="EG213" ca="1">_FV(EE213,"Ações em circulação",TRUE)</f>
        <v>152359500</v>
      </c>
      <c r="EH213" s="18">
        <f>VLOOKUP(BR213,Fundamentus!A:U,5,FALSE)</f>
        <v>0.61099999999999999</v>
      </c>
      <c r="EI213" s="2">
        <f t="shared" ca="1" si="238"/>
        <v>1371484860.8837972</v>
      </c>
      <c r="EJ213" s="17">
        <v>-67888500.613747969</v>
      </c>
      <c r="EK213" s="17">
        <f t="shared" ca="1" si="239"/>
        <v>-67888500.613747969</v>
      </c>
      <c r="EM213" s="16">
        <f t="shared" ca="1" si="226"/>
        <v>0</v>
      </c>
      <c r="EN213" s="32" t="str">
        <f>IF(VLOOKUP(BR213,Fundamentus!A:U,3,FALSE)&lt;15,"Bom",IF(VLOOKUP(BR213,Fundamentus!A:U,3,FALSE)&gt;15,"Ruim","n/a"))</f>
        <v>Bom</v>
      </c>
      <c r="EO213" s="28" t="str">
        <f>IF(VLOOKUP(BR213,Fundamentus!A:U,4,FALSE)&lt;1,"Baixo",IF(VLOOKUP(BR213,Fundamentus!A:U,4,FALSE)&lt;1.5,"Moderado",IF(VLOOKUP(BR213,Fundamentus!A:U,4,FALSE)&gt;1.5,"Alto","n/a")))</f>
        <v>Baixo</v>
      </c>
      <c r="EP213" s="17" t="str">
        <f>IF(VLOOKUP(BR213,Fundamentus!A:U,8,FALSE)&lt;0,"Risco elevado",IF(VLOOKUP(BR213,Fundamentus!A:U,8,FALSE)&lt;1,"Saudável",IF(VLOOKUP(BR213,Fundamentus!A:U,8,FALSE)&lt;3,"Estável",IF(VLOOKUP(BR213,Fundamentus!A:U,8,FALSE)&gt;3,"Alerta","n/a"))))</f>
        <v>Risco elevado</v>
      </c>
      <c r="EQ213" s="28" t="str">
        <f t="shared" si="240"/>
        <v>Ruim</v>
      </c>
      <c r="ER213" s="17" t="str">
        <f>IF(VLOOKUP(BR213,Fundamentus!A:U,12,FALSE)&lt;2,"Subvalorizada",IF(VLOOKUP(BR213,Fundamentus!A:U,12,FALSE)&lt;6,"Muita barata",IF(VLOOKUP(BR213,Fundamentus!A:U,12,FALSE)&lt;6,"Barata",IF(VLOOKUP(BR213,Fundamentus!A:U,12,FALSE)&lt;8,"Atrativa",IF(VLOOKUP(BR213,Fundamentus!A:U,12,FALSE)&gt;8,"Supervalorizada","n/a")))))</f>
        <v>Muita barata</v>
      </c>
      <c r="ET213" s="17" t="str">
        <f>IF(VLOOKUP(BR213,Fundamentus!A:U,17,FALSE)&lt;0.1,"Fraco retorno",IF(VLOOKUP(BR213,Fundamentus!A:U,17,FALSE)&gt;0.1,"Bom retorno","n/a"))</f>
        <v>Fraco retorno</v>
      </c>
      <c r="EU213" s="17" t="str">
        <f>IF(VLOOKUP(BR213,Fundamentus!A:U,16,FALSE)&lt;0.1,"Ineficiente",IF(VLOOKUP(BR213,Fundamentus!A:U,16,FALSE)&gt;0.1,"Eficiente","n/a"))</f>
        <v>Ineficiente</v>
      </c>
      <c r="EV213" s="33" t="str">
        <f>IF(VLOOKUP(BR213,Fundamentus!A:U,16,FALSE)&lt;0.1,"Oper. Ineficiente",IF(VLOOKUP(BR213,Fundamentus!A:U,16,FALSE)&gt;0.1,"Oper.Eficiente","n/a"))</f>
        <v>Oper. Ineficiente</v>
      </c>
      <c r="EW213" s="34">
        <f>VLOOKUP(BR213,Fundamentus!A:U,14,FALSE)</f>
        <v>-4.9500000000000002E-2</v>
      </c>
      <c r="EX213" s="17" t="str">
        <f>IF(VLOOKUP(BR213,Fundamentus!A:U,21,FALSE)&lt;0,"Negativo",IF(VLOOKUP(BR213,Fundamentus!A:U,21,FALSE)&lt;0.05,"Fraco",IF(VLOOKUP(BR213,Fundamentus!A:U,21,FALSE)&lt;0.1,"Bom",IF(VLOOKUP(BR213,Fundamentus!A:U,21,FALSE)&gt;0.1,"Muito bom","n/a"))))</f>
        <v>Bom</v>
      </c>
      <c r="EZ213" s="29" t="str">
        <f>IF(VLOOKUP(BR213,Fundamentus!A:U,15,FALSE)&gt;1,"Bom",IF(VLOOKUP(BR213,Fundamentus!A:U,15,FALSE)&lt;1,"Ruim","n/a"))</f>
        <v>Ruim</v>
      </c>
      <c r="FA213" s="17" t="str">
        <f>IF(VLOOKUP(BR213,Fundamentus!A:U,20,FALSE)&lt;0.5,"Baixa",IF(VLOOKUP(BR213,Fundamentus!A:U,20,FALSE)&lt;1,"Moderada",IF(VLOOKUP(BR213,Fundamentus!A:U,20,FALSE)&lt;2,"Alerta",IF(VLOOKUP(BR213,Fundamentus!A:U,20,FALSE)&gt;2,"Alta","n/a"))))</f>
        <v>Moderada</v>
      </c>
    </row>
    <row r="214" spans="1:158" s="2" customFormat="1" ht="11.25"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5">
        <v>2.38</v>
      </c>
      <c r="BC214" s="52">
        <v>2.34</v>
      </c>
      <c r="BD214" s="52">
        <v>2.46</v>
      </c>
      <c r="BE214" s="52">
        <v>2.5499999999999998</v>
      </c>
      <c r="BF214" s="52">
        <v>2.78</v>
      </c>
      <c r="BG214" s="67">
        <v>2.79</v>
      </c>
      <c r="BH214" s="52">
        <v>2.76</v>
      </c>
      <c r="BI214" s="52">
        <v>2.4900000000000002</v>
      </c>
      <c r="BJ214" s="52">
        <v>2.29</v>
      </c>
      <c r="BK214" s="52">
        <v>2.23</v>
      </c>
      <c r="BL214" s="52">
        <v>2.2200000000000002</v>
      </c>
      <c r="BM214" s="52">
        <v>2.83</v>
      </c>
      <c r="BN214" s="52">
        <v>2.86</v>
      </c>
      <c r="BO214" s="52">
        <v>2.84</v>
      </c>
      <c r="BP214" s="52">
        <v>2.88</v>
      </c>
      <c r="BQ214" s="52" cm="1">
        <f t="array" aca="1" ref="BQ214" ca="1">_FV(EE214,"Preço")</f>
        <v>2.88</v>
      </c>
      <c r="BR214" s="69" t="s">
        <v>210</v>
      </c>
      <c r="BS214" s="36" cm="1">
        <f t="array" aca="1" ref="BS214" ca="1">_FV(EE214,"Média de volume",TRUE)</f>
        <v>1226050</v>
      </c>
      <c r="BT214" s="36">
        <v>1967500</v>
      </c>
      <c r="BU214" s="36" cm="1">
        <f t="array" aca="1" ref="BU214" ca="1">_FV(EE214,"Volume")</f>
        <v>1967500</v>
      </c>
      <c r="BV214" s="24" cm="1">
        <f t="array" aca="1" ref="BV214" ca="1">_FV(EE214,"Beta")</f>
        <v>2.0082</v>
      </c>
      <c r="BW214" s="71" cm="1">
        <f t="array" aca="1" ref="BW214" ca="1">_FV(EE214,"Variação (%)",TRUE)</f>
        <v>2.4910999999999999E-2</v>
      </c>
      <c r="BY214" s="17" cm="1">
        <f t="array" aca="1" ref="BY214" ca="1">_FV(EE214,"Baixo")</f>
        <v>2.68</v>
      </c>
      <c r="BZ214" s="17" cm="1">
        <f t="array" aca="1" ref="BZ214" ca="1">_FV(EE214,"Alto")</f>
        <v>2.88</v>
      </c>
      <c r="CA214" s="24"/>
      <c r="CB214" s="63">
        <f ca="1">SQRT(22.5*(BQ214/VLOOKUP(BR214,Fundamentus!A:U,3,FALSE))*(BQ214/VLOOKUP(BR214,Fundamentus!A:U,4,FALSE)))</f>
        <v>11.787274712414238</v>
      </c>
      <c r="CD214" s="62">
        <f t="shared" ca="1" si="241"/>
        <v>0</v>
      </c>
      <c r="CE214" s="8"/>
      <c r="CF214" s="61">
        <f t="shared" si="242"/>
        <v>1.35</v>
      </c>
      <c r="CG214" s="61">
        <f t="shared" si="243"/>
        <v>2.88</v>
      </c>
      <c r="CH214" s="61">
        <f t="shared" si="244"/>
        <v>2.0591176470588231</v>
      </c>
      <c r="CI214" s="14"/>
      <c r="CJ214" s="35">
        <f t="shared" si="227"/>
        <v>2.2788185090255633</v>
      </c>
      <c r="CK214" s="15">
        <f t="shared" si="245"/>
        <v>2.8850000000000051</v>
      </c>
      <c r="CL214" s="35">
        <f t="shared" si="228"/>
        <v>3.491181490974447</v>
      </c>
      <c r="CN214" s="14"/>
      <c r="CO214" s="17">
        <f t="shared" si="229"/>
        <v>0.33000000000000052</v>
      </c>
      <c r="CP214" s="17">
        <f t="shared" si="230"/>
        <v>0.8400000000000003</v>
      </c>
      <c r="CQ214" s="17">
        <f t="shared" si="231"/>
        <v>1.8600000000000003</v>
      </c>
      <c r="CR214" s="38">
        <f t="shared" si="246"/>
        <v>2.37</v>
      </c>
      <c r="CS214" s="17">
        <f t="shared" si="232"/>
        <v>3.39</v>
      </c>
      <c r="CT214" s="17">
        <f t="shared" si="233"/>
        <v>3.9</v>
      </c>
      <c r="CU214" s="17">
        <f t="shared" si="234"/>
        <v>4.92</v>
      </c>
      <c r="CV214" s="2" cm="1">
        <f t="array" aca="1" ref="CV214" ca="1">MAX(_xlfn._xlws.FILTER(CO214:CU214,CO214:CU214&lt;BQ214))</f>
        <v>2.37</v>
      </c>
      <c r="CW214" s="2" cm="1">
        <f t="array" aca="1" ref="CW214" ca="1">MIN(_xlfn._xlws.FILTER($CO214:$CU214,$CO214:$CU214&gt;BQ214))</f>
        <v>3.39</v>
      </c>
      <c r="CX214" s="16">
        <f t="shared" ca="1" si="248"/>
        <v>0.43037974683544311</v>
      </c>
      <c r="CY214" s="20">
        <f t="shared" ca="1" si="249"/>
        <v>-0.21518987341772156</v>
      </c>
      <c r="CZ214" s="20">
        <f t="shared" ca="1" si="250"/>
        <v>-0.14345991561181437</v>
      </c>
      <c r="DA214" s="20">
        <f t="shared" ca="1" si="251"/>
        <v>-8.6075949367088622E-2</v>
      </c>
      <c r="DB214" s="20">
        <f t="shared" ca="1" si="252"/>
        <v>-4.7819971870604792E-2</v>
      </c>
      <c r="DC214" s="20">
        <f t="shared" ca="1" si="253"/>
        <v>-2.5316455696202535E-2</v>
      </c>
      <c r="DD214" s="20">
        <f t="shared" ca="1" si="254"/>
        <v>-1.3041810510164942E-2</v>
      </c>
      <c r="DE214" s="20">
        <f t="shared" ca="1" si="255"/>
        <v>-6.6212268743914325E-3</v>
      </c>
      <c r="DF214" s="21">
        <f t="shared" ca="1" si="256"/>
        <v>6.6212268743914325E-3</v>
      </c>
      <c r="DG214" s="21">
        <f t="shared" ca="1" si="257"/>
        <v>1.3041810510164942E-2</v>
      </c>
      <c r="DH214" s="21">
        <f t="shared" ca="1" si="258"/>
        <v>2.5316455696202535E-2</v>
      </c>
      <c r="DI214" s="21">
        <f t="shared" ca="1" si="259"/>
        <v>4.7819971870604792E-2</v>
      </c>
      <c r="DJ214" s="21">
        <f t="shared" ca="1" si="260"/>
        <v>8.6075949367088622E-2</v>
      </c>
      <c r="DK214" s="21">
        <f t="shared" ca="1" si="261"/>
        <v>0.14345991561181437</v>
      </c>
      <c r="DL214" s="21">
        <f t="shared" ca="1" si="262"/>
        <v>0.21518987341772156</v>
      </c>
      <c r="DN214" s="16" cm="1">
        <f t="array" aca="1" ref="DN214" ca="1">MAX(_xlfn._xlws.FILTER(CY214:DL214,CY214:DL214&lt;BW214))</f>
        <v>1.3041810510164942E-2</v>
      </c>
      <c r="DO214" s="16" cm="1">
        <f t="array" aca="1" ref="DO214" ca="1">MIN(_xlfn._xlws.FILTER(CY214:DL214,CY214:DL214&gt;BW214))</f>
        <v>2.5316455696202535E-2</v>
      </c>
      <c r="DP214" s="2" cm="1">
        <f t="array" aca="1" ref="DP214" ca="1">_FV(EE214,"Fechamento anterior",TRUE)</f>
        <v>2.81</v>
      </c>
      <c r="DQ214" s="28">
        <f t="shared" ca="1" si="235"/>
        <v>0.96697064056938964</v>
      </c>
      <c r="DR214" s="15">
        <f t="shared" ca="1" si="263"/>
        <v>2.8466474875335637</v>
      </c>
      <c r="DS214" s="15">
        <f t="shared" ca="1" si="264"/>
        <v>2.8811392405063292</v>
      </c>
      <c r="DT214" s="9"/>
      <c r="DU214" s="9"/>
      <c r="DV214" s="9"/>
      <c r="DW214" s="89">
        <v>1.2159589563355604E-2</v>
      </c>
      <c r="DX214" s="89">
        <f t="shared" ca="1" si="236"/>
        <v>1.2274645186037592E-2</v>
      </c>
      <c r="DY214" s="72">
        <f t="shared" ca="1" si="237"/>
        <v>-8.2483547822743315E-3</v>
      </c>
      <c r="DZ214" s="37"/>
      <c r="EA214" s="35">
        <f t="shared" si="247"/>
        <v>0.30309074548722098</v>
      </c>
      <c r="EB214" s="56"/>
      <c r="EC214" s="56"/>
      <c r="EE214" s="2" t="e" vm="216">
        <v>#VALUE!</v>
      </c>
      <c r="EG214" s="10" cm="1">
        <f t="array" aca="1" ref="EG214" ca="1">_FV(EE214,"Ações em circulação",TRUE)</f>
        <v>133851100</v>
      </c>
      <c r="EH214" s="18">
        <f>VLOOKUP(BR214,Fundamentus!A:U,5,FALSE)</f>
        <v>0.26200000000000001</v>
      </c>
      <c r="EI214" s="2">
        <f t="shared" ca="1" si="238"/>
        <v>1471340335.8778625</v>
      </c>
      <c r="EJ214" s="17">
        <v>191127109.63053432</v>
      </c>
      <c r="EK214" s="17">
        <f t="shared" ca="1" si="239"/>
        <v>191127109.63053432</v>
      </c>
      <c r="EM214" s="16">
        <f t="shared" ca="1" si="226"/>
        <v>0</v>
      </c>
      <c r="EN214" s="32" t="str">
        <f>IF(VLOOKUP(BR214,Fundamentus!A:U,3,FALSE)&lt;15,"Bom",IF(VLOOKUP(BR214,Fundamentus!A:U,3,FALSE)&gt;15,"Ruim","n/a"))</f>
        <v>Bom</v>
      </c>
      <c r="EO214" s="28" t="str">
        <f>IF(VLOOKUP(BR214,Fundamentus!A:U,4,FALSE)&lt;1,"Baixo",IF(VLOOKUP(BR214,Fundamentus!A:U,4,FALSE)&lt;1.5,"Moderado",IF(VLOOKUP(BR214,Fundamentus!A:U,4,FALSE)&gt;1.5,"Alto","n/a")))</f>
        <v>Baixo</v>
      </c>
      <c r="EP214" s="17" t="str">
        <f>IF(VLOOKUP(BR214,Fundamentus!A:U,8,FALSE)&lt;0,"Risco elevado",IF(VLOOKUP(BR214,Fundamentus!A:U,8,FALSE)&lt;1,"Saudável",IF(VLOOKUP(BR214,Fundamentus!A:U,8,FALSE)&lt;3,"Estável",IF(VLOOKUP(BR214,Fundamentus!A:U,8,FALSE)&gt;3,"Alerta","n/a"))))</f>
        <v>Saudável</v>
      </c>
      <c r="EQ214" s="28" t="str">
        <f t="shared" si="240"/>
        <v>Ruim</v>
      </c>
      <c r="ER214" s="17" t="str">
        <f>IF(VLOOKUP(BR214,Fundamentus!A:U,12,FALSE)&lt;2,"Subvalorizada",IF(VLOOKUP(BR214,Fundamentus!A:U,12,FALSE)&lt;6,"Muita barata",IF(VLOOKUP(BR214,Fundamentus!A:U,12,FALSE)&lt;6,"Barata",IF(VLOOKUP(BR214,Fundamentus!A:U,12,FALSE)&lt;8,"Atrativa",IF(VLOOKUP(BR214,Fundamentus!A:U,12,FALSE)&gt;8,"Supervalorizada","n/a")))))</f>
        <v>Atrativa</v>
      </c>
      <c r="ET214" s="17" t="str">
        <f>IF(VLOOKUP(BR214,Fundamentus!A:U,17,FALSE)&lt;0.1,"Fraco retorno",IF(VLOOKUP(BR214,Fundamentus!A:U,17,FALSE)&gt;0.1,"Bom retorno","n/a"))</f>
        <v>Fraco retorno</v>
      </c>
      <c r="EU214" s="17" t="str">
        <f>IF(VLOOKUP(BR214,Fundamentus!A:U,16,FALSE)&lt;0.1,"Ineficiente",IF(VLOOKUP(BR214,Fundamentus!A:U,16,FALSE)&gt;0.1,"Eficiente","n/a"))</f>
        <v>Ineficiente</v>
      </c>
      <c r="EV214" s="33" t="str">
        <f>IF(VLOOKUP(BR214,Fundamentus!A:U,16,FALSE)&lt;0.1,"Oper. Ineficiente",IF(VLOOKUP(BR214,Fundamentus!A:U,16,FALSE)&gt;0.1,"Oper.Eficiente","n/a"))</f>
        <v>Oper. Ineficiente</v>
      </c>
      <c r="EW214" s="34">
        <f>VLOOKUP(BR214,Fundamentus!A:U,14,FALSE)</f>
        <v>0.12989999999999999</v>
      </c>
      <c r="EX214" s="17" t="str">
        <f>IF(VLOOKUP(BR214,Fundamentus!A:U,21,FALSE)&lt;0,"Negativo",IF(VLOOKUP(BR214,Fundamentus!A:U,21,FALSE)&lt;0.05,"Fraco",IF(VLOOKUP(BR214,Fundamentus!A:U,21,FALSE)&lt;0.1,"Bom",IF(VLOOKUP(BR214,Fundamentus!A:U,21,FALSE)&gt;0.1,"Muito bom","n/a"))))</f>
        <v>Bom</v>
      </c>
      <c r="EZ214" s="29" t="str">
        <f>IF(VLOOKUP(BR214,Fundamentus!A:U,15,FALSE)&gt;1,"Bom",IF(VLOOKUP(BR214,Fundamentus!A:U,15,FALSE)&lt;1,"Ruim","n/a"))</f>
        <v>Bom</v>
      </c>
      <c r="FA214" s="17" t="str">
        <f>IF(VLOOKUP(BR214,Fundamentus!A:U,20,FALSE)&lt;0.5,"Baixa",IF(VLOOKUP(BR214,Fundamentus!A:U,20,FALSE)&lt;1,"Moderada",IF(VLOOKUP(BR214,Fundamentus!A:U,20,FALSE)&lt;2,"Alerta",IF(VLOOKUP(BR214,Fundamentus!A:U,20,FALSE)&gt;2,"Alta","n/a"))))</f>
        <v>Alerta</v>
      </c>
    </row>
    <row r="215" spans="1:158" s="2" customFormat="1" ht="11.25"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5">
        <v>20.97</v>
      </c>
      <c r="BC215" s="52">
        <v>21.05</v>
      </c>
      <c r="BD215" s="52">
        <v>20.69</v>
      </c>
      <c r="BE215" s="52">
        <v>21.99</v>
      </c>
      <c r="BF215" s="52">
        <v>20.59</v>
      </c>
      <c r="BG215" s="67">
        <v>19.14</v>
      </c>
      <c r="BH215" s="52">
        <v>18.98</v>
      </c>
      <c r="BI215" s="52">
        <v>17.510000000000002</v>
      </c>
      <c r="BJ215" s="52">
        <v>16.170000000000002</v>
      </c>
      <c r="BK215" s="52">
        <v>16.059999999999999</v>
      </c>
      <c r="BL215" s="52">
        <v>16</v>
      </c>
      <c r="BM215" s="52">
        <v>16.079999999999998</v>
      </c>
      <c r="BN215" s="52">
        <v>15.3</v>
      </c>
      <c r="BO215" s="52">
        <v>15.2</v>
      </c>
      <c r="BP215" s="52">
        <v>14.87</v>
      </c>
      <c r="BQ215" s="52" cm="1">
        <f t="array" aca="1" ref="BQ215" ca="1">_FV(EE215,"Preço")</f>
        <v>14.87</v>
      </c>
      <c r="BR215" s="69" t="s">
        <v>211</v>
      </c>
      <c r="BS215" s="36" cm="1">
        <f t="array" aca="1" ref="BS215" ca="1">_FV(EE215,"Média de volume",TRUE)</f>
        <v>1530</v>
      </c>
      <c r="BT215" s="36">
        <v>3100</v>
      </c>
      <c r="BU215" s="36" cm="1">
        <f t="array" aca="1" ref="BU215" ca="1">_FV(EE215,"Volume")</f>
        <v>3100</v>
      </c>
      <c r="BV215" s="24" cm="1">
        <f t="array" aca="1" ref="BV215" ca="1">_FV(EE215,"Beta")</f>
        <v>0.81810000000000005</v>
      </c>
      <c r="BW215" s="71" cm="1">
        <f t="array" aca="1" ref="BW215" ca="1">_FV(EE215,"Variação (%)",TRUE)</f>
        <v>-2.4917999999999999E-2</v>
      </c>
      <c r="BY215" s="17" cm="1">
        <f t="array" aca="1" ref="BY215" ca="1">_FV(EE215,"Baixo")</f>
        <v>14.87</v>
      </c>
      <c r="BZ215" s="17" cm="1">
        <f t="array" aca="1" ref="BZ215" ca="1">_FV(EE215,"Alto")</f>
        <v>15.99</v>
      </c>
      <c r="CA215" s="24"/>
      <c r="CB215" s="63" t="e">
        <f ca="1">SQRT(22.5*(BQ215/VLOOKUP(BR215,Fundamentus!A:U,3,FALSE))*(BQ215/VLOOKUP(BR215,Fundamentus!A:U,4,FALSE)))</f>
        <v>#NUM!</v>
      </c>
      <c r="CD215" s="62">
        <f t="shared" ca="1" si="241"/>
        <v>0</v>
      </c>
      <c r="CE215" s="8"/>
      <c r="CF215" s="61">
        <f t="shared" si="242"/>
        <v>14.87</v>
      </c>
      <c r="CG215" s="61">
        <f t="shared" si="243"/>
        <v>32.47</v>
      </c>
      <c r="CH215" s="61">
        <f t="shared" si="244"/>
        <v>23.118750000000006</v>
      </c>
      <c r="CI215" s="14"/>
      <c r="CJ215" s="35">
        <f t="shared" si="227"/>
        <v>13.645102554469531</v>
      </c>
      <c r="CK215" s="15">
        <f t="shared" si="245"/>
        <v>14.429999999999836</v>
      </c>
      <c r="CL215" s="35">
        <f t="shared" si="228"/>
        <v>15.214897445530141</v>
      </c>
      <c r="CN215" s="14"/>
      <c r="CO215" s="17">
        <f t="shared" si="229"/>
        <v>-8.5966666666666693</v>
      </c>
      <c r="CP215" s="17">
        <f t="shared" si="230"/>
        <v>3.1366666666666632</v>
      </c>
      <c r="CQ215" s="17">
        <f t="shared" si="231"/>
        <v>9.0033333333333303</v>
      </c>
      <c r="CR215" s="38">
        <f t="shared" si="246"/>
        <v>20.736666666666665</v>
      </c>
      <c r="CS215" s="17">
        <f t="shared" si="232"/>
        <v>26.603333333333332</v>
      </c>
      <c r="CT215" s="17">
        <f t="shared" si="233"/>
        <v>38.336666666666666</v>
      </c>
      <c r="CU215" s="17">
        <f t="shared" si="234"/>
        <v>44.203333333333333</v>
      </c>
      <c r="CV215" s="2" cm="1">
        <f t="array" aca="1" ref="CV215" ca="1">MAX(_xlfn._xlws.FILTER(CO215:CU215,CO215:CU215&lt;BQ215))</f>
        <v>9.0033333333333303</v>
      </c>
      <c r="CW215" s="2" cm="1">
        <f t="array" aca="1" ref="CW215" ca="1">MIN(_xlfn._xlws.FILTER($CO215:$CU215,$CO215:$CU215&gt;BQ215))</f>
        <v>20.736666666666665</v>
      </c>
      <c r="CX215" s="16">
        <f t="shared" ca="1" si="248"/>
        <v>1.303221029248427</v>
      </c>
      <c r="CY215" s="20">
        <f t="shared" ca="1" si="249"/>
        <v>-0.65161051462421349</v>
      </c>
      <c r="CZ215" s="20">
        <f t="shared" ca="1" si="250"/>
        <v>-0.43440700974947566</v>
      </c>
      <c r="DA215" s="20">
        <f t="shared" ca="1" si="251"/>
        <v>-0.2606442058496854</v>
      </c>
      <c r="DB215" s="20">
        <f t="shared" ca="1" si="252"/>
        <v>-0.14480233658315855</v>
      </c>
      <c r="DC215" s="20">
        <f t="shared" ca="1" si="253"/>
        <v>-7.6660060544025119E-2</v>
      </c>
      <c r="DD215" s="20">
        <f t="shared" ca="1" si="254"/>
        <v>-3.9491546340861425E-2</v>
      </c>
      <c r="DE215" s="20">
        <f t="shared" ca="1" si="255"/>
        <v>-2.0049554296129646E-2</v>
      </c>
      <c r="DF215" s="21">
        <f t="shared" ca="1" si="256"/>
        <v>2.0049554296129646E-2</v>
      </c>
      <c r="DG215" s="21">
        <f t="shared" ca="1" si="257"/>
        <v>3.9491546340861425E-2</v>
      </c>
      <c r="DH215" s="21">
        <f t="shared" ca="1" si="258"/>
        <v>7.6660060544025119E-2</v>
      </c>
      <c r="DI215" s="21">
        <f t="shared" ca="1" si="259"/>
        <v>0.14480233658315855</v>
      </c>
      <c r="DJ215" s="21">
        <f t="shared" ca="1" si="260"/>
        <v>0.2606442058496854</v>
      </c>
      <c r="DK215" s="21">
        <f t="shared" ca="1" si="261"/>
        <v>0.43440700974947566</v>
      </c>
      <c r="DL215" s="21">
        <f t="shared" ca="1" si="262"/>
        <v>0.65161051462421349</v>
      </c>
      <c r="DN215" s="16" cm="1">
        <f t="array" aca="1" ref="DN215" ca="1">MAX(_xlfn._xlws.FILTER(CY215:DL215,CY215:DL215&lt;BW215))</f>
        <v>-3.9491546340861425E-2</v>
      </c>
      <c r="DO215" s="16" cm="1">
        <f t="array" aca="1" ref="DO215" ca="1">MIN(_xlfn._xlws.FILTER(CY215:DL215,CY215:DL215&gt;BW215))</f>
        <v>-2.0049554296129646E-2</v>
      </c>
      <c r="DP215" s="2" cm="1">
        <f t="array" aca="1" ref="DP215" ca="1">_FV(EE215,"Fechamento anterior",TRUE)</f>
        <v>15.25</v>
      </c>
      <c r="DQ215" s="28">
        <f t="shared" ca="1" si="235"/>
        <v>0.74958952356557285</v>
      </c>
      <c r="DR215" s="15">
        <f t="shared" ca="1" si="263"/>
        <v>14.647753918301863</v>
      </c>
      <c r="DS215" s="15">
        <f t="shared" ca="1" si="264"/>
        <v>14.944244296984023</v>
      </c>
      <c r="DT215" s="9"/>
      <c r="DU215" s="9"/>
      <c r="DV215" s="9"/>
      <c r="DW215" s="89">
        <v>3.7513915664286288E-2</v>
      </c>
      <c r="DX215" s="89">
        <f t="shared" ca="1" si="236"/>
        <v>1.9441992044731779E-2</v>
      </c>
      <c r="DY215" s="72">
        <f t="shared" ca="1" si="237"/>
        <v>0.56058279015404755</v>
      </c>
      <c r="DZ215" s="37"/>
      <c r="EA215" s="35">
        <f t="shared" si="247"/>
        <v>0.39244872276515264</v>
      </c>
      <c r="EB215" s="56"/>
      <c r="EC215" s="56"/>
      <c r="EE215" s="2" t="e" vm="217">
        <v>#VALUE!</v>
      </c>
      <c r="EG215" s="10" cm="1">
        <f t="array" aca="1" ref="EG215" ca="1">_FV(EE215,"Ações em circulação",TRUE)</f>
        <v>29018750</v>
      </c>
      <c r="EH215" s="18">
        <f>VLOOKUP(BR215,Fundamentus!A:U,5,FALSE)</f>
        <v>0.66100000000000003</v>
      </c>
      <c r="EI215" s="2">
        <f t="shared" ca="1" si="238"/>
        <v>652812121.78517389</v>
      </c>
      <c r="EJ215" s="17">
        <v>-107779281.30673221</v>
      </c>
      <c r="EK215" s="17">
        <f t="shared" ca="1" si="239"/>
        <v>-107779281.30673221</v>
      </c>
      <c r="EM215" s="16">
        <f t="shared" ca="1" si="226"/>
        <v>0</v>
      </c>
      <c r="EN215" s="32" t="str">
        <f>IF(VLOOKUP(BR215,Fundamentus!A:U,3,FALSE)&lt;15,"Bom",IF(VLOOKUP(BR215,Fundamentus!A:U,3,FALSE)&gt;15,"Ruim","n/a"))</f>
        <v>Bom</v>
      </c>
      <c r="EO215" s="28" t="str">
        <f>IF(VLOOKUP(BR215,Fundamentus!A:U,4,FALSE)&lt;1,"Baixo",IF(VLOOKUP(BR215,Fundamentus!A:U,4,FALSE)&lt;1.5,"Moderado",IF(VLOOKUP(BR215,Fundamentus!A:U,4,FALSE)&gt;1.5,"Alto","n/a")))</f>
        <v>Baixo</v>
      </c>
      <c r="EP215" s="17" t="str">
        <f>IF(VLOOKUP(BR215,Fundamentus!A:U,8,FALSE)&lt;0,"Risco elevado",IF(VLOOKUP(BR215,Fundamentus!A:U,8,FALSE)&lt;1,"Saudável",IF(VLOOKUP(BR215,Fundamentus!A:U,8,FALSE)&lt;3,"Estável",IF(VLOOKUP(BR215,Fundamentus!A:U,8,FALSE)&gt;3,"Alerta","n/a"))))</f>
        <v>Estável</v>
      </c>
      <c r="EQ215" s="28" t="str">
        <f t="shared" si="240"/>
        <v>Ruim</v>
      </c>
      <c r="ER215" s="17" t="str">
        <f>IF(VLOOKUP(BR215,Fundamentus!A:U,12,FALSE)&lt;2,"Subvalorizada",IF(VLOOKUP(BR215,Fundamentus!A:U,12,FALSE)&lt;6,"Muita barata",IF(VLOOKUP(BR215,Fundamentus!A:U,12,FALSE)&lt;6,"Barata",IF(VLOOKUP(BR215,Fundamentus!A:U,12,FALSE)&lt;8,"Atrativa",IF(VLOOKUP(BR215,Fundamentus!A:U,12,FALSE)&gt;8,"Supervalorizada","n/a")))))</f>
        <v>Subvalorizada</v>
      </c>
      <c r="ET215" s="17" t="str">
        <f>IF(VLOOKUP(BR215,Fundamentus!A:U,17,FALSE)&lt;0.1,"Fraco retorno",IF(VLOOKUP(BR215,Fundamentus!A:U,17,FALSE)&gt;0.1,"Bom retorno","n/a"))</f>
        <v>Fraco retorno</v>
      </c>
      <c r="EU215" s="17" t="str">
        <f>IF(VLOOKUP(BR215,Fundamentus!A:U,16,FALSE)&lt;0.1,"Ineficiente",IF(VLOOKUP(BR215,Fundamentus!A:U,16,FALSE)&gt;0.1,"Eficiente","n/a"))</f>
        <v>Ineficiente</v>
      </c>
      <c r="EV215" s="33" t="str">
        <f>IF(VLOOKUP(BR215,Fundamentus!A:U,16,FALSE)&lt;0.1,"Oper. Ineficiente",IF(VLOOKUP(BR215,Fundamentus!A:U,16,FALSE)&gt;0.1,"Oper.Eficiente","n/a"))</f>
        <v>Oper. Ineficiente</v>
      </c>
      <c r="EW215" s="34">
        <f>VLOOKUP(BR215,Fundamentus!A:U,14,FALSE)</f>
        <v>-0.1651</v>
      </c>
      <c r="EX215" s="17" t="str">
        <f>IF(VLOOKUP(BR215,Fundamentus!A:U,21,FALSE)&lt;0,"Negativo",IF(VLOOKUP(BR215,Fundamentus!A:U,21,FALSE)&lt;0.05,"Fraco",IF(VLOOKUP(BR215,Fundamentus!A:U,21,FALSE)&lt;0.1,"Bom",IF(VLOOKUP(BR215,Fundamentus!A:U,21,FALSE)&gt;0.1,"Muito bom","n/a"))))</f>
        <v>Negativo</v>
      </c>
      <c r="EZ215" s="29" t="str">
        <f>IF(VLOOKUP(BR215,Fundamentus!A:U,15,FALSE)&gt;1,"Bom",IF(VLOOKUP(BR215,Fundamentus!A:U,15,FALSE)&lt;1,"Ruim","n/a"))</f>
        <v>Bom</v>
      </c>
      <c r="FA215" s="17" t="str">
        <f>IF(VLOOKUP(BR215,Fundamentus!A:U,20,FALSE)&lt;0.5,"Baixa",IF(VLOOKUP(BR215,Fundamentus!A:U,20,FALSE)&lt;1,"Moderada",IF(VLOOKUP(BR215,Fundamentus!A:U,20,FALSE)&lt;2,"Alerta",IF(VLOOKUP(BR215,Fundamentus!A:U,20,FALSE)&gt;2,"Alta","n/a"))))</f>
        <v>Baixa</v>
      </c>
    </row>
    <row r="216" spans="1:158" s="2" customFormat="1" ht="11.25"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5">
        <v>22.61</v>
      </c>
      <c r="BC216" s="52">
        <v>24.7</v>
      </c>
      <c r="BD216" s="52">
        <v>24.7</v>
      </c>
      <c r="BE216" s="52">
        <v>25.55</v>
      </c>
      <c r="BF216" s="52">
        <v>25.45</v>
      </c>
      <c r="BG216" s="67">
        <v>25.51</v>
      </c>
      <c r="BH216" s="52">
        <v>25.5</v>
      </c>
      <c r="BI216" s="52">
        <v>25.4</v>
      </c>
      <c r="BJ216" s="52">
        <v>26</v>
      </c>
      <c r="BK216" s="52">
        <v>25.85</v>
      </c>
      <c r="BL216" s="52">
        <v>26.17</v>
      </c>
      <c r="BM216" s="52">
        <v>24.75</v>
      </c>
      <c r="BN216" s="52">
        <v>25.45</v>
      </c>
      <c r="BO216" s="52">
        <v>26.24</v>
      </c>
      <c r="BP216" s="52">
        <v>25.09</v>
      </c>
      <c r="BQ216" s="52" cm="1">
        <f t="array" aca="1" ref="BQ216" ca="1">_FV(EE216,"Preço")</f>
        <v>25.09</v>
      </c>
      <c r="BR216" s="69" t="s">
        <v>212</v>
      </c>
      <c r="BS216" s="36" cm="1">
        <f t="array" aca="1" ref="BS216" ca="1">_FV(EE216,"Média de volume",TRUE)</f>
        <v>14900</v>
      </c>
      <c r="BT216" s="36">
        <v>3500</v>
      </c>
      <c r="BU216" s="36" cm="1">
        <f t="array" aca="1" ref="BU216" ca="1">_FV(EE216,"Volume")</f>
        <v>3500</v>
      </c>
      <c r="BV216" s="24" cm="1">
        <f t="array" aca="1" ref="BV216" ca="1">_FV(EE216,"Beta")</f>
        <v>0.96730000000000005</v>
      </c>
      <c r="BW216" s="71" cm="1">
        <f t="array" aca="1" ref="BW216" ca="1">_FV(EE216,"Variação (%)",TRUE)</f>
        <v>3.5999999999999999E-3</v>
      </c>
      <c r="BY216" s="17" cm="1">
        <f t="array" aca="1" ref="BY216" ca="1">_FV(EE216,"Baixo")</f>
        <v>24.91</v>
      </c>
      <c r="BZ216" s="17" cm="1">
        <f t="array" aca="1" ref="BZ216" ca="1">_FV(EE216,"Alto")</f>
        <v>25.15</v>
      </c>
      <c r="CA216" s="24"/>
      <c r="CB216" s="63">
        <f ca="1">SQRT(22.5*(BQ216/VLOOKUP(BR216,Fundamentus!A:U,3,FALSE))*(BQ216/VLOOKUP(BR216,Fundamentus!A:U,4,FALSE)))</f>
        <v>11.956147132257307</v>
      </c>
      <c r="CD216" s="62">
        <f t="shared" ca="1" si="241"/>
        <v>0</v>
      </c>
      <c r="CE216" s="8"/>
      <c r="CF216" s="61">
        <f t="shared" si="242"/>
        <v>19.96</v>
      </c>
      <c r="CG216" s="61">
        <f t="shared" si="243"/>
        <v>41.69</v>
      </c>
      <c r="CH216" s="61">
        <f t="shared" si="244"/>
        <v>27.906544117647066</v>
      </c>
      <c r="CI216" s="14"/>
      <c r="CJ216" s="35">
        <f t="shared" si="227"/>
        <v>24.739671738701169</v>
      </c>
      <c r="CK216" s="15">
        <f t="shared" si="245"/>
        <v>25.835000000000036</v>
      </c>
      <c r="CL216" s="35">
        <f t="shared" si="228"/>
        <v>26.930328261298904</v>
      </c>
      <c r="CN216" s="14"/>
      <c r="CO216" s="17">
        <f t="shared" si="229"/>
        <v>-5.5933333333333337</v>
      </c>
      <c r="CP216" s="17">
        <f t="shared" si="230"/>
        <v>7.1833333333333336</v>
      </c>
      <c r="CQ216" s="17">
        <f t="shared" si="231"/>
        <v>16.136666666666663</v>
      </c>
      <c r="CR216" s="38">
        <f t="shared" si="246"/>
        <v>28.91333333333333</v>
      </c>
      <c r="CS216" s="17">
        <f t="shared" si="232"/>
        <v>37.86666666666666</v>
      </c>
      <c r="CT216" s="17">
        <f t="shared" si="233"/>
        <v>50.643333333333331</v>
      </c>
      <c r="CU216" s="17">
        <f t="shared" si="234"/>
        <v>59.596666666666657</v>
      </c>
      <c r="CV216" s="2" cm="1">
        <f t="array" aca="1" ref="CV216" ca="1">MAX(_xlfn._xlws.FILTER(CO216:CU216,CO216:CU216&lt;BQ216))</f>
        <v>16.136666666666663</v>
      </c>
      <c r="CW216" s="2" cm="1">
        <f t="array" aca="1" ref="CW216" ca="1">MIN(_xlfn._xlws.FILTER($CO216:$CU216,$CO216:$CU216&gt;BQ216))</f>
        <v>28.91333333333333</v>
      </c>
      <c r="CX216" s="16">
        <f t="shared" ca="1" si="248"/>
        <v>0.791778558149143</v>
      </c>
      <c r="CY216" s="20">
        <f t="shared" ca="1" si="249"/>
        <v>-0.3958892790745715</v>
      </c>
      <c r="CZ216" s="20">
        <f t="shared" ca="1" si="250"/>
        <v>-0.26392618604971435</v>
      </c>
      <c r="DA216" s="20">
        <f t="shared" ca="1" si="251"/>
        <v>-0.15835571162982859</v>
      </c>
      <c r="DB216" s="20">
        <f t="shared" ca="1" si="252"/>
        <v>-8.7975395349904784E-2</v>
      </c>
      <c r="DC216" s="20">
        <f t="shared" ca="1" si="253"/>
        <v>-4.6575209302890767E-2</v>
      </c>
      <c r="DD216" s="20">
        <f t="shared" ca="1" si="254"/>
        <v>-2.3993289640883122E-2</v>
      </c>
      <c r="DE216" s="20">
        <f t="shared" ca="1" si="255"/>
        <v>-1.2181208586909893E-2</v>
      </c>
      <c r="DF216" s="21">
        <f t="shared" ca="1" si="256"/>
        <v>1.2181208586909893E-2</v>
      </c>
      <c r="DG216" s="21">
        <f t="shared" ca="1" si="257"/>
        <v>2.3993289640883122E-2</v>
      </c>
      <c r="DH216" s="21">
        <f t="shared" ca="1" si="258"/>
        <v>4.6575209302890767E-2</v>
      </c>
      <c r="DI216" s="21">
        <f t="shared" ca="1" si="259"/>
        <v>8.7975395349904784E-2</v>
      </c>
      <c r="DJ216" s="21">
        <f t="shared" ca="1" si="260"/>
        <v>0.15835571162982859</v>
      </c>
      <c r="DK216" s="21">
        <f t="shared" ca="1" si="261"/>
        <v>0.26392618604971435</v>
      </c>
      <c r="DL216" s="21">
        <f t="shared" ca="1" si="262"/>
        <v>0.3958892790745715</v>
      </c>
      <c r="DN216" s="16" cm="1">
        <f t="array" aca="1" ref="DN216" ca="1">MAX(_xlfn._xlws.FILTER(CY216:DL216,CY216:DL216&lt;BW216))</f>
        <v>-1.2181208586909893E-2</v>
      </c>
      <c r="DO216" s="16" cm="1">
        <f t="array" aca="1" ref="DO216" ca="1">MIN(_xlfn._xlws.FILTER(CY216:DL216,CY216:DL216&gt;BW216))</f>
        <v>1.2181208586909893E-2</v>
      </c>
      <c r="DP216" s="2" cm="1">
        <f t="array" aca="1" ref="DP216" ca="1">_FV(EE216,"Fechamento anterior",TRUE)</f>
        <v>25</v>
      </c>
      <c r="DQ216" s="28">
        <f t="shared" ca="1" si="235"/>
        <v>0.64776858857291841</v>
      </c>
      <c r="DR216" s="15">
        <f t="shared" ca="1" si="263"/>
        <v>24.695469785327251</v>
      </c>
      <c r="DS216" s="15">
        <f t="shared" ca="1" si="264"/>
        <v>25.304530214672749</v>
      </c>
      <c r="DT216" s="9"/>
      <c r="DU216" s="9"/>
      <c r="DV216" s="9"/>
      <c r="DW216" s="89">
        <v>2.2559652928416475E-2</v>
      </c>
      <c r="DX216" s="89">
        <f t="shared" ca="1" si="236"/>
        <v>2.4362417173819786E-2</v>
      </c>
      <c r="DY216" s="72">
        <f t="shared" ca="1" si="237"/>
        <v>-0.68016139665436659</v>
      </c>
      <c r="DZ216" s="37"/>
      <c r="EA216" s="35">
        <f t="shared" si="247"/>
        <v>0.54766413064943387</v>
      </c>
      <c r="EB216" s="56"/>
      <c r="EC216" s="56"/>
      <c r="EE216" s="2" t="e" vm="218">
        <v>#VALUE!</v>
      </c>
      <c r="EG216" s="10" cm="1">
        <f t="array" aca="1" ref="EG216" ca="1">_FV(EE216,"Ações em circulação",TRUE)</f>
        <v>107306500</v>
      </c>
      <c r="EH216" s="18">
        <f>VLOOKUP(BR216,Fundamentus!A:U,5,FALSE)</f>
        <v>0.93899999999999995</v>
      </c>
      <c r="EI216" s="2">
        <f t="shared" ca="1" si="238"/>
        <v>2867220537.8061771</v>
      </c>
      <c r="EJ216" s="17">
        <v>71967235.498935044</v>
      </c>
      <c r="EK216" s="17">
        <f t="shared" ca="1" si="239"/>
        <v>71967235.498935044</v>
      </c>
      <c r="EM216" s="16">
        <f t="shared" ca="1" si="226"/>
        <v>0</v>
      </c>
      <c r="EN216" s="32" t="str">
        <f>IF(VLOOKUP(BR216,Fundamentus!A:U,3,FALSE)&lt;15,"Bom",IF(VLOOKUP(BR216,Fundamentus!A:U,3,FALSE)&gt;15,"Ruim","n/a"))</f>
        <v>Ruim</v>
      </c>
      <c r="EO216" s="28" t="str">
        <f>IF(VLOOKUP(BR216,Fundamentus!A:U,4,FALSE)&lt;1,"Baixo",IF(VLOOKUP(BR216,Fundamentus!A:U,4,FALSE)&lt;1.5,"Moderado",IF(VLOOKUP(BR216,Fundamentus!A:U,4,FALSE)&gt;1.5,"Alto","n/a")))</f>
        <v>Alto</v>
      </c>
      <c r="EP216" s="17" t="str">
        <f>IF(VLOOKUP(BR216,Fundamentus!A:U,8,FALSE)&lt;0,"Risco elevado",IF(VLOOKUP(BR216,Fundamentus!A:U,8,FALSE)&lt;1,"Saudável",IF(VLOOKUP(BR216,Fundamentus!A:U,8,FALSE)&lt;3,"Estável",IF(VLOOKUP(BR216,Fundamentus!A:U,8,FALSE)&gt;3,"Alerta","n/a"))))</f>
        <v>Alerta</v>
      </c>
      <c r="EQ216" s="28" t="str">
        <f t="shared" si="240"/>
        <v>Ruim</v>
      </c>
      <c r="ER216" s="17" t="str">
        <f>IF(VLOOKUP(BR216,Fundamentus!A:U,12,FALSE)&lt;2,"Subvalorizada",IF(VLOOKUP(BR216,Fundamentus!A:U,12,FALSE)&lt;6,"Muita barata",IF(VLOOKUP(BR216,Fundamentus!A:U,12,FALSE)&lt;6,"Barata",IF(VLOOKUP(BR216,Fundamentus!A:U,12,FALSE)&lt;8,"Atrativa",IF(VLOOKUP(BR216,Fundamentus!A:U,12,FALSE)&gt;8,"Supervalorizada","n/a")))))</f>
        <v>Atrativa</v>
      </c>
      <c r="ET216" s="17" t="str">
        <f>IF(VLOOKUP(BR216,Fundamentus!A:U,17,FALSE)&lt;0.1,"Fraco retorno",IF(VLOOKUP(BR216,Fundamentus!A:U,17,FALSE)&gt;0.1,"Bom retorno","n/a"))</f>
        <v>Fraco retorno</v>
      </c>
      <c r="EU216" s="17" t="str">
        <f>IF(VLOOKUP(BR216,Fundamentus!A:U,16,FALSE)&lt;0.1,"Ineficiente",IF(VLOOKUP(BR216,Fundamentus!A:U,16,FALSE)&gt;0.1,"Eficiente","n/a"))</f>
        <v>Ineficiente</v>
      </c>
      <c r="EV216" s="33" t="str">
        <f>IF(VLOOKUP(BR216,Fundamentus!A:U,16,FALSE)&lt;0.1,"Oper. Ineficiente",IF(VLOOKUP(BR216,Fundamentus!A:U,16,FALSE)&gt;0.1,"Oper.Eficiente","n/a"))</f>
        <v>Oper. Ineficiente</v>
      </c>
      <c r="EW216" s="34">
        <f>VLOOKUP(BR216,Fundamentus!A:U,14,FALSE)</f>
        <v>2.5100000000000001E-2</v>
      </c>
      <c r="EX216" s="17" t="str">
        <f>IF(VLOOKUP(BR216,Fundamentus!A:U,21,FALSE)&lt;0,"Negativo",IF(VLOOKUP(BR216,Fundamentus!A:U,21,FALSE)&lt;0.05,"Fraco",IF(VLOOKUP(BR216,Fundamentus!A:U,21,FALSE)&lt;0.1,"Bom",IF(VLOOKUP(BR216,Fundamentus!A:U,21,FALSE)&gt;0.1,"Muito bom","n/a"))))</f>
        <v>Muito bom</v>
      </c>
      <c r="EZ216" s="29" t="str">
        <f>IF(VLOOKUP(BR216,Fundamentus!A:U,15,FALSE)&gt;1,"Bom",IF(VLOOKUP(BR216,Fundamentus!A:U,15,FALSE)&lt;1,"Ruim","n/a"))</f>
        <v>Bom</v>
      </c>
      <c r="FA216" s="17" t="str">
        <f>IF(VLOOKUP(BR216,Fundamentus!A:U,20,FALSE)&lt;0.5,"Baixa",IF(VLOOKUP(BR216,Fundamentus!A:U,20,FALSE)&lt;1,"Moderada",IF(VLOOKUP(BR216,Fundamentus!A:U,20,FALSE)&lt;2,"Alerta",IF(VLOOKUP(BR216,Fundamentus!A:U,20,FALSE)&gt;2,"Alta","n/a"))))</f>
        <v>Alerta</v>
      </c>
    </row>
    <row r="217" spans="1:158" s="2" customFormat="1" ht="11.25"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5">
        <v>4.55</v>
      </c>
      <c r="BC217" s="52">
        <v>4.34</v>
      </c>
      <c r="BD217" s="52">
        <v>4.12</v>
      </c>
      <c r="BE217" s="52">
        <v>4.97</v>
      </c>
      <c r="BF217" s="52">
        <v>4.53</v>
      </c>
      <c r="BG217" s="67">
        <v>4.6399999999999997</v>
      </c>
      <c r="BH217" s="52">
        <v>4.4800000000000004</v>
      </c>
      <c r="BI217" s="52">
        <v>4.13</v>
      </c>
      <c r="BJ217" s="52">
        <v>3.97</v>
      </c>
      <c r="BK217" s="52">
        <v>3.91</v>
      </c>
      <c r="BL217" s="52">
        <v>3.84</v>
      </c>
      <c r="BM217" s="52">
        <v>4</v>
      </c>
      <c r="BN217" s="52">
        <v>3.89</v>
      </c>
      <c r="BO217" s="52">
        <v>4.1399999999999997</v>
      </c>
      <c r="BP217" s="52">
        <v>3.83</v>
      </c>
      <c r="BQ217" s="52" cm="1">
        <f t="array" aca="1" ref="BQ217" ca="1">_FV(EE217,"Preço")</f>
        <v>3.83</v>
      </c>
      <c r="BR217" s="69" t="s">
        <v>213</v>
      </c>
      <c r="BS217" s="36" cm="1">
        <f t="array" aca="1" ref="BS217" ca="1">_FV(EE217,"Média de volume",TRUE)</f>
        <v>13538790</v>
      </c>
      <c r="BT217" s="36">
        <v>12382300</v>
      </c>
      <c r="BU217" s="36" cm="1">
        <f t="array" aca="1" ref="BU217" ca="1">_FV(EE217,"Volume")</f>
        <v>12382300</v>
      </c>
      <c r="BV217" s="24" cm="1">
        <f t="array" aca="1" ref="BV217" ca="1">_FV(EE217,"Beta")</f>
        <v>1.2727999999999999</v>
      </c>
      <c r="BW217" s="71" cm="1">
        <f t="array" aca="1" ref="BW217" ca="1">_FV(EE217,"Variação (%)",TRUE)</f>
        <v>-5.195E-3</v>
      </c>
      <c r="BY217" s="17" cm="1">
        <f t="array" aca="1" ref="BY217" ca="1">_FV(EE217,"Baixo")</f>
        <v>3.8</v>
      </c>
      <c r="BZ217" s="17" cm="1">
        <f t="array" aca="1" ref="BZ217" ca="1">_FV(EE217,"Alto")</f>
        <v>3.91</v>
      </c>
      <c r="CA217" s="24"/>
      <c r="CB217" s="63">
        <f ca="1">SQRT(22.5*(BQ217/VLOOKUP(BR217,Fundamentus!A:U,3,FALSE))*(BQ217/VLOOKUP(BR217,Fundamentus!A:U,4,FALSE)))</f>
        <v>3.7687326629630218</v>
      </c>
      <c r="CD217" s="62">
        <f t="shared" ca="1" si="241"/>
        <v>0</v>
      </c>
      <c r="CE217" s="8"/>
      <c r="CF217" s="61">
        <f t="shared" si="242"/>
        <v>3.81</v>
      </c>
      <c r="CG217" s="61">
        <f t="shared" si="243"/>
        <v>9.15</v>
      </c>
      <c r="CH217" s="61">
        <f t="shared" si="244"/>
        <v>5.7952941176470594</v>
      </c>
      <c r="CI217" s="14"/>
      <c r="CJ217" s="35">
        <f t="shared" si="227"/>
        <v>3.6888697084736597</v>
      </c>
      <c r="CK217" s="15">
        <f t="shared" si="245"/>
        <v>3.9000000000000057</v>
      </c>
      <c r="CL217" s="35">
        <f t="shared" si="228"/>
        <v>4.1111302915263517</v>
      </c>
      <c r="CN217" s="14"/>
      <c r="CO217" s="17">
        <f t="shared" si="229"/>
        <v>-3.2966666666666673</v>
      </c>
      <c r="CP217" s="17">
        <f t="shared" si="230"/>
        <v>0.25666666666666682</v>
      </c>
      <c r="CQ217" s="17">
        <f t="shared" si="231"/>
        <v>2.043333333333333</v>
      </c>
      <c r="CR217" s="38">
        <f t="shared" si="246"/>
        <v>5.5966666666666667</v>
      </c>
      <c r="CS217" s="17">
        <f t="shared" si="232"/>
        <v>7.3833333333333329</v>
      </c>
      <c r="CT217" s="17">
        <f t="shared" si="233"/>
        <v>10.936666666666667</v>
      </c>
      <c r="CU217" s="17">
        <f t="shared" si="234"/>
        <v>12.723333333333333</v>
      </c>
      <c r="CV217" s="2" cm="1">
        <f t="array" aca="1" ref="CV217" ca="1">MAX(_xlfn._xlws.FILTER(CO217:CU217,CO217:CU217&lt;BQ217))</f>
        <v>2.043333333333333</v>
      </c>
      <c r="CW217" s="2" cm="1">
        <f t="array" aca="1" ref="CW217" ca="1">MIN(_xlfn._xlws.FILTER($CO217:$CU217,$CO217:$CU217&gt;BQ217))</f>
        <v>5.5966666666666667</v>
      </c>
      <c r="CX217" s="16">
        <f t="shared" ca="1" si="248"/>
        <v>1.7389885807504082</v>
      </c>
      <c r="CY217" s="20">
        <f t="shared" ca="1" si="249"/>
        <v>-0.86949429037520409</v>
      </c>
      <c r="CZ217" s="20">
        <f t="shared" ca="1" si="250"/>
        <v>-0.57966286025013603</v>
      </c>
      <c r="DA217" s="20">
        <f t="shared" ca="1" si="251"/>
        <v>-0.34779771615008165</v>
      </c>
      <c r="DB217" s="20">
        <f t="shared" ca="1" si="252"/>
        <v>-0.19322095341671203</v>
      </c>
      <c r="DC217" s="20">
        <f t="shared" ca="1" si="253"/>
        <v>-0.1022934459264946</v>
      </c>
      <c r="DD217" s="20">
        <f t="shared" ca="1" si="254"/>
        <v>-5.2696623659103277E-2</v>
      </c>
      <c r="DE217" s="20">
        <f t="shared" ca="1" si="255"/>
        <v>-2.6753670473083201E-2</v>
      </c>
      <c r="DF217" s="21">
        <f t="shared" ca="1" si="256"/>
        <v>2.6753670473083201E-2</v>
      </c>
      <c r="DG217" s="21">
        <f t="shared" ca="1" si="257"/>
        <v>5.2696623659103277E-2</v>
      </c>
      <c r="DH217" s="21">
        <f t="shared" ca="1" si="258"/>
        <v>0.1022934459264946</v>
      </c>
      <c r="DI217" s="21">
        <f t="shared" ca="1" si="259"/>
        <v>0.19322095341671203</v>
      </c>
      <c r="DJ217" s="21">
        <f t="shared" ca="1" si="260"/>
        <v>0.34779771615008165</v>
      </c>
      <c r="DK217" s="21">
        <f t="shared" ca="1" si="261"/>
        <v>0.57966286025013603</v>
      </c>
      <c r="DL217" s="21">
        <f t="shared" ca="1" si="262"/>
        <v>0.86949429037520409</v>
      </c>
      <c r="DN217" s="16" cm="1">
        <f t="array" aca="1" ref="DN217" ca="1">MAX(_xlfn._xlws.FILTER(CY217:DL217,CY217:DL217&lt;BW217))</f>
        <v>-2.6753670473083201E-2</v>
      </c>
      <c r="DO217" s="16" cm="1">
        <f t="array" aca="1" ref="DO217" ca="1">MIN(_xlfn._xlws.FILTER(CY217:DL217,CY217:DL217&gt;BW217))</f>
        <v>2.6753670473083201E-2</v>
      </c>
      <c r="DP217" s="2" cm="1">
        <f t="array" aca="1" ref="DP217" ca="1">_FV(EE217,"Fechamento anterior",TRUE)</f>
        <v>3.85</v>
      </c>
      <c r="DQ217" s="28">
        <f t="shared" ca="1" si="235"/>
        <v>0.40291415901171979</v>
      </c>
      <c r="DR217" s="15">
        <f t="shared" ca="1" si="263"/>
        <v>3.7469983686786299</v>
      </c>
      <c r="DS217" s="15">
        <f t="shared" ca="1" si="264"/>
        <v>3.9530016313213703</v>
      </c>
      <c r="DT217" s="9"/>
      <c r="DU217" s="9"/>
      <c r="DV217" s="9"/>
      <c r="DW217" s="89">
        <v>4.7179487179487174E-2</v>
      </c>
      <c r="DX217" s="89">
        <f t="shared" ca="1" si="236"/>
        <v>5.3507340946166403E-2</v>
      </c>
      <c r="DY217" s="72">
        <f t="shared" ca="1" si="237"/>
        <v>-0.33154882463310875</v>
      </c>
      <c r="DZ217" s="37"/>
      <c r="EA217" s="35">
        <f t="shared" si="247"/>
        <v>0.10556514576317307</v>
      </c>
      <c r="EB217" s="56"/>
      <c r="EC217" s="56"/>
      <c r="EE217" s="2" t="e" vm="219">
        <v>#VALUE!</v>
      </c>
      <c r="EG217" s="10" cm="1">
        <f t="array" aca="1" ref="EG217" ca="1">_FV(EE217,"Ações em circulação",TRUE)</f>
        <v>1081033000</v>
      </c>
      <c r="EH217" s="18">
        <f>VLOOKUP(BR217,Fundamentus!A:U,5,FALSE)</f>
        <v>0.97699999999999998</v>
      </c>
      <c r="EI217" s="2">
        <f t="shared" ca="1" si="238"/>
        <v>4237826397.1340842</v>
      </c>
      <c r="EJ217" s="17">
        <v>300885674.19651997</v>
      </c>
      <c r="EK217" s="17">
        <f t="shared" ca="1" si="239"/>
        <v>300885674.19651997</v>
      </c>
      <c r="EM217" s="16">
        <f t="shared" ca="1" si="226"/>
        <v>0</v>
      </c>
      <c r="EN217" s="32" t="str">
        <f>IF(VLOOKUP(BR217,Fundamentus!A:U,3,FALSE)&lt;15,"Bom",IF(VLOOKUP(BR217,Fundamentus!A:U,3,FALSE)&gt;15,"Ruim","n/a"))</f>
        <v>Bom</v>
      </c>
      <c r="EO217" s="28" t="str">
        <f>IF(VLOOKUP(BR217,Fundamentus!A:U,4,FALSE)&lt;1,"Baixo",IF(VLOOKUP(BR217,Fundamentus!A:U,4,FALSE)&lt;1.5,"Moderado",IF(VLOOKUP(BR217,Fundamentus!A:U,4,FALSE)&gt;1.5,"Alto","n/a")))</f>
        <v>Alto</v>
      </c>
      <c r="EP217" s="17" t="str">
        <f>IF(VLOOKUP(BR217,Fundamentus!A:U,8,FALSE)&lt;0,"Risco elevado",IF(VLOOKUP(BR217,Fundamentus!A:U,8,FALSE)&lt;1,"Saudável",IF(VLOOKUP(BR217,Fundamentus!A:U,8,FALSE)&lt;3,"Estável",IF(VLOOKUP(BR217,Fundamentus!A:U,8,FALSE)&gt;3,"Alerta","n/a"))))</f>
        <v>Estável</v>
      </c>
      <c r="EQ217" s="28" t="str">
        <f t="shared" si="240"/>
        <v>Ruim</v>
      </c>
      <c r="ER217" s="17" t="str">
        <f>IF(VLOOKUP(BR217,Fundamentus!A:U,12,FALSE)&lt;2,"Subvalorizada",IF(VLOOKUP(BR217,Fundamentus!A:U,12,FALSE)&lt;6,"Muita barata",IF(VLOOKUP(BR217,Fundamentus!A:U,12,FALSE)&lt;6,"Barata",IF(VLOOKUP(BR217,Fundamentus!A:U,12,FALSE)&lt;8,"Atrativa",IF(VLOOKUP(BR217,Fundamentus!A:U,12,FALSE)&gt;8,"Supervalorizada","n/a")))))</f>
        <v>Muita barata</v>
      </c>
      <c r="ET217" s="17" t="str">
        <f>IF(VLOOKUP(BR217,Fundamentus!A:U,17,FALSE)&lt;0.1,"Fraco retorno",IF(VLOOKUP(BR217,Fundamentus!A:U,17,FALSE)&gt;0.1,"Bom retorno","n/a"))</f>
        <v>Bom retorno</v>
      </c>
      <c r="EU217" s="17" t="str">
        <f>IF(VLOOKUP(BR217,Fundamentus!A:U,16,FALSE)&lt;0.1,"Ineficiente",IF(VLOOKUP(BR217,Fundamentus!A:U,16,FALSE)&gt;0.1,"Eficiente","n/a"))</f>
        <v>Eficiente</v>
      </c>
      <c r="EV217" s="33" t="str">
        <f>IF(VLOOKUP(BR217,Fundamentus!A:U,16,FALSE)&lt;0.1,"Oper. Ineficiente",IF(VLOOKUP(BR217,Fundamentus!A:U,16,FALSE)&gt;0.1,"Oper.Eficiente","n/a"))</f>
        <v>Oper.Eficiente</v>
      </c>
      <c r="EW217" s="34">
        <f>VLOOKUP(BR217,Fundamentus!A:U,14,FALSE)</f>
        <v>7.0999999999999994E-2</v>
      </c>
      <c r="EX217" s="17" t="str">
        <f>IF(VLOOKUP(BR217,Fundamentus!A:U,21,FALSE)&lt;0,"Negativo",IF(VLOOKUP(BR217,Fundamentus!A:U,21,FALSE)&lt;0.05,"Fraco",IF(VLOOKUP(BR217,Fundamentus!A:U,21,FALSE)&lt;0.1,"Bom",IF(VLOOKUP(BR217,Fundamentus!A:U,21,FALSE)&gt;0.1,"Muito bom","n/a"))))</f>
        <v>Muito bom</v>
      </c>
      <c r="EZ217" s="29" t="str">
        <f>IF(VLOOKUP(BR217,Fundamentus!A:U,15,FALSE)&gt;1,"Bom",IF(VLOOKUP(BR217,Fundamentus!A:U,15,FALSE)&lt;1,"Ruim","n/a"))</f>
        <v>Bom</v>
      </c>
      <c r="FA217" s="17" t="str">
        <f>IF(VLOOKUP(BR217,Fundamentus!A:U,20,FALSE)&lt;0.5,"Baixa",IF(VLOOKUP(BR217,Fundamentus!A:U,20,FALSE)&lt;1,"Moderada",IF(VLOOKUP(BR217,Fundamentus!A:U,20,FALSE)&lt;2,"Alerta",IF(VLOOKUP(BR217,Fundamentus!A:U,20,FALSE)&gt;2,"Alta","n/a"))))</f>
        <v>Alta</v>
      </c>
    </row>
    <row r="218" spans="1:158" s="2" customFormat="1" ht="11.25"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5">
        <v>5.0999999999999996</v>
      </c>
      <c r="BC218" s="52">
        <v>5.17</v>
      </c>
      <c r="BD218" s="52">
        <v>5.0599999999999996</v>
      </c>
      <c r="BE218" s="52">
        <v>5.35</v>
      </c>
      <c r="BF218" s="52">
        <v>5.24</v>
      </c>
      <c r="BG218" s="67">
        <v>5.23</v>
      </c>
      <c r="BH218" s="52">
        <v>5.26</v>
      </c>
      <c r="BI218" s="52">
        <v>5.25</v>
      </c>
      <c r="BJ218" s="52">
        <v>5.3</v>
      </c>
      <c r="BK218" s="52">
        <v>5.23</v>
      </c>
      <c r="BL218" s="52">
        <v>5.04</v>
      </c>
      <c r="BM218" s="52">
        <v>5.12</v>
      </c>
      <c r="BN218" s="52">
        <v>5.16</v>
      </c>
      <c r="BO218" s="52">
        <v>5.34</v>
      </c>
      <c r="BP218" s="52">
        <v>5.45</v>
      </c>
      <c r="BQ218" s="52" cm="1">
        <f t="array" aca="1" ref="BQ218" ca="1">_FV(EE218,"Preço")</f>
        <v>5.45</v>
      </c>
      <c r="BR218" s="69" t="s">
        <v>214</v>
      </c>
      <c r="BS218" s="36" cm="1">
        <f t="array" aca="1" ref="BS218" ca="1">_FV(EE218,"Média de volume",TRUE)</f>
        <v>2300390</v>
      </c>
      <c r="BT218" s="36">
        <v>4142700</v>
      </c>
      <c r="BU218" s="36" cm="1">
        <f t="array" aca="1" ref="BU218" ca="1">_FV(EE218,"Volume")</f>
        <v>4142700</v>
      </c>
      <c r="BV218" s="24" cm="1">
        <f t="array" aca="1" ref="BV218" ca="1">_FV(EE218,"Beta")</f>
        <v>1.5088999999999999</v>
      </c>
      <c r="BW218" s="71" cm="1">
        <f t="array" aca="1" ref="BW218" ca="1">_FV(EE218,"Variação (%)",TRUE)</f>
        <v>3.4155999999999999E-2</v>
      </c>
      <c r="BY218" s="17" cm="1">
        <f t="array" aca="1" ref="BY218" ca="1">_FV(EE218,"Baixo")</f>
        <v>5.32</v>
      </c>
      <c r="BZ218" s="17" cm="1">
        <f t="array" aca="1" ref="BZ218" ca="1">_FV(EE218,"Alto")</f>
        <v>5.49</v>
      </c>
      <c r="CA218" s="24"/>
      <c r="CB218" s="63">
        <f ca="1">SQRT(22.5*(BQ218/VLOOKUP(BR218,Fundamentus!A:U,3,FALSE))*(BQ218/VLOOKUP(BR218,Fundamentus!A:U,4,FALSE)))</f>
        <v>18.018675940982693</v>
      </c>
      <c r="CD218" s="62">
        <f t="shared" ca="1" si="241"/>
        <v>0</v>
      </c>
      <c r="CE218" s="8"/>
      <c r="CF218" s="61">
        <f t="shared" si="242"/>
        <v>3.56</v>
      </c>
      <c r="CG218" s="61">
        <f t="shared" si="243"/>
        <v>5.45</v>
      </c>
      <c r="CH218" s="61">
        <f t="shared" si="244"/>
        <v>4.372426470588235</v>
      </c>
      <c r="CI218" s="14"/>
      <c r="CJ218" s="35">
        <f t="shared" si="227"/>
        <v>5.3566677595658376</v>
      </c>
      <c r="CK218" s="15">
        <f t="shared" si="245"/>
        <v>5.5600000000000591</v>
      </c>
      <c r="CL218" s="35">
        <f t="shared" si="228"/>
        <v>5.7633322404342806</v>
      </c>
      <c r="CN218" s="14"/>
      <c r="CO218" s="17">
        <f t="shared" si="229"/>
        <v>2.3000000000000003</v>
      </c>
      <c r="CP218" s="17">
        <f t="shared" si="230"/>
        <v>2.93</v>
      </c>
      <c r="CQ218" s="17">
        <f t="shared" si="231"/>
        <v>4.1900000000000004</v>
      </c>
      <c r="CR218" s="38">
        <f t="shared" si="246"/>
        <v>4.82</v>
      </c>
      <c r="CS218" s="17">
        <f t="shared" si="232"/>
        <v>6.08</v>
      </c>
      <c r="CT218" s="17">
        <f t="shared" si="233"/>
        <v>6.7100000000000009</v>
      </c>
      <c r="CU218" s="17">
        <f t="shared" si="234"/>
        <v>7.9700000000000006</v>
      </c>
      <c r="CV218" s="2" cm="1">
        <f t="array" aca="1" ref="CV218" ca="1">MAX(_xlfn._xlws.FILTER(CO218:CU218,CO218:CU218&lt;BQ218))</f>
        <v>4.82</v>
      </c>
      <c r="CW218" s="2" cm="1">
        <f t="array" aca="1" ref="CW218" ca="1">MIN(_xlfn._xlws.FILTER($CO218:$CU218,$CO218:$CU218&gt;BQ218))</f>
        <v>6.08</v>
      </c>
      <c r="CX218" s="16">
        <f t="shared" ca="1" si="248"/>
        <v>0.2614107883817427</v>
      </c>
      <c r="CY218" s="20">
        <f t="shared" ca="1" si="249"/>
        <v>-0.13070539419087135</v>
      </c>
      <c r="CZ218" s="20">
        <f t="shared" ca="1" si="250"/>
        <v>-8.7136929460580895E-2</v>
      </c>
      <c r="DA218" s="20">
        <f t="shared" ca="1" si="251"/>
        <v>-5.2282157676348542E-2</v>
      </c>
      <c r="DB218" s="20">
        <f t="shared" ca="1" si="252"/>
        <v>-2.9045643153526965E-2</v>
      </c>
      <c r="DC218" s="20">
        <f t="shared" ca="1" si="253"/>
        <v>-1.5377105198926041E-2</v>
      </c>
      <c r="DD218" s="20">
        <f t="shared" ca="1" si="254"/>
        <v>-7.9215390418709911E-3</v>
      </c>
      <c r="DE218" s="20">
        <f t="shared" ca="1" si="255"/>
        <v>-4.0217044366421956E-3</v>
      </c>
      <c r="DF218" s="21">
        <f t="shared" ca="1" si="256"/>
        <v>4.0217044366421956E-3</v>
      </c>
      <c r="DG218" s="21">
        <f t="shared" ca="1" si="257"/>
        <v>7.9215390418709911E-3</v>
      </c>
      <c r="DH218" s="21">
        <f t="shared" ca="1" si="258"/>
        <v>1.5377105198926041E-2</v>
      </c>
      <c r="DI218" s="21">
        <f t="shared" ca="1" si="259"/>
        <v>2.9045643153526965E-2</v>
      </c>
      <c r="DJ218" s="21">
        <f t="shared" ca="1" si="260"/>
        <v>5.2282157676348542E-2</v>
      </c>
      <c r="DK218" s="21">
        <f t="shared" ca="1" si="261"/>
        <v>8.7136929460580895E-2</v>
      </c>
      <c r="DL218" s="21">
        <f t="shared" ca="1" si="262"/>
        <v>0.13070539419087135</v>
      </c>
      <c r="DN218" s="16" cm="1">
        <f t="array" aca="1" ref="DN218" ca="1">MAX(_xlfn._xlws.FILTER(CY218:DL218,CY218:DL218&lt;BW218))</f>
        <v>2.9045643153526965E-2</v>
      </c>
      <c r="DO218" s="16" cm="1">
        <f t="array" aca="1" ref="DO218" ca="1">MIN(_xlfn._xlws.FILTER(CY218:DL218,CY218:DL218&gt;BW218))</f>
        <v>5.2282157676348542E-2</v>
      </c>
      <c r="DP218" s="2" cm="1">
        <f t="array" aca="1" ref="DP218" ca="1">_FV(EE218,"Fechamento anterior",TRUE)</f>
        <v>5.27</v>
      </c>
      <c r="DQ218" s="28">
        <f t="shared" ca="1" si="235"/>
        <v>0.2199105448631134</v>
      </c>
      <c r="DR218" s="15">
        <f t="shared" ca="1" si="263"/>
        <v>5.4230705394190863</v>
      </c>
      <c r="DS218" s="15">
        <f t="shared" ca="1" si="264"/>
        <v>5.5455269709543566</v>
      </c>
      <c r="DT218" s="9"/>
      <c r="DU218" s="9"/>
      <c r="DV218" s="9"/>
      <c r="DW218" s="89">
        <v>7.7085020242914915E-3</v>
      </c>
      <c r="DX218" s="89">
        <f t="shared" ca="1" si="236"/>
        <v>2.3236514522821577E-2</v>
      </c>
      <c r="DY218" s="72">
        <f t="shared" ca="1" si="237"/>
        <v>-0.54098651431347522</v>
      </c>
      <c r="DZ218" s="37"/>
      <c r="EA218" s="35">
        <f t="shared" si="247"/>
        <v>0.10166612021711065</v>
      </c>
      <c r="EB218" s="56"/>
      <c r="EC218" s="56"/>
      <c r="EE218" s="2" t="e" vm="220">
        <v>#VALUE!</v>
      </c>
      <c r="EG218" s="10" cm="1">
        <f t="array" aca="1" ref="EG218" ca="1">_FV(EE218,"Ações em circulação",TRUE)</f>
        <v>681322800</v>
      </c>
      <c r="EH218" s="18">
        <f>VLOOKUP(BR218,Fundamentus!A:U,5,FALSE)</f>
        <v>2.0630000000000002</v>
      </c>
      <c r="EI218" s="2">
        <f t="shared" ca="1" si="238"/>
        <v>1799907542.4139602</v>
      </c>
      <c r="EJ218" s="17">
        <v>1109103027.6354823</v>
      </c>
      <c r="EK218" s="17">
        <f t="shared" ca="1" si="239"/>
        <v>1109103027.6354823</v>
      </c>
      <c r="EM218" s="16">
        <f t="shared" ca="1" si="226"/>
        <v>0</v>
      </c>
      <c r="EN218" s="32" t="str">
        <f>IF(VLOOKUP(BR218,Fundamentus!A:U,3,FALSE)&lt;15,"Bom",IF(VLOOKUP(BR218,Fundamentus!A:U,3,FALSE)&gt;15,"Ruim","n/a"))</f>
        <v>Bom</v>
      </c>
      <c r="EO218" s="28" t="str">
        <f>IF(VLOOKUP(BR218,Fundamentus!A:U,4,FALSE)&lt;1,"Baixo",IF(VLOOKUP(BR218,Fundamentus!A:U,4,FALSE)&lt;1.5,"Moderado",IF(VLOOKUP(BR218,Fundamentus!A:U,4,FALSE)&gt;1.5,"Alto","n/a")))</f>
        <v>Baixo</v>
      </c>
      <c r="EP218" s="17" t="str">
        <f>IF(VLOOKUP(BR218,Fundamentus!A:U,8,FALSE)&lt;0,"Risco elevado",IF(VLOOKUP(BR218,Fundamentus!A:U,8,FALSE)&lt;1,"Saudável",IF(VLOOKUP(BR218,Fundamentus!A:U,8,FALSE)&lt;3,"Estável",IF(VLOOKUP(BR218,Fundamentus!A:U,8,FALSE)&gt;3,"Alerta","n/a"))))</f>
        <v>Estável</v>
      </c>
      <c r="EQ218" s="28" t="str">
        <f t="shared" si="240"/>
        <v>Bom</v>
      </c>
      <c r="ER218" s="17" t="str">
        <f>IF(VLOOKUP(BR218,Fundamentus!A:U,12,FALSE)&lt;2,"Subvalorizada",IF(VLOOKUP(BR218,Fundamentus!A:U,12,FALSE)&lt;6,"Muita barata",IF(VLOOKUP(BR218,Fundamentus!A:U,12,FALSE)&lt;6,"Barata",IF(VLOOKUP(BR218,Fundamentus!A:U,12,FALSE)&lt;8,"Atrativa",IF(VLOOKUP(BR218,Fundamentus!A:U,12,FALSE)&gt;8,"Supervalorizada","n/a")))))</f>
        <v>Supervalorizada</v>
      </c>
      <c r="ET218" s="17" t="str">
        <f>IF(VLOOKUP(BR218,Fundamentus!A:U,17,FALSE)&lt;0.1,"Fraco retorno",IF(VLOOKUP(BR218,Fundamentus!A:U,17,FALSE)&gt;0.1,"Bom retorno","n/a"))</f>
        <v>Bom retorno</v>
      </c>
      <c r="EU218" s="17" t="str">
        <f>IF(VLOOKUP(BR218,Fundamentus!A:U,16,FALSE)&lt;0.1,"Ineficiente",IF(VLOOKUP(BR218,Fundamentus!A:U,16,FALSE)&gt;0.1,"Eficiente","n/a"))</f>
        <v>Ineficiente</v>
      </c>
      <c r="EV218" s="33" t="str">
        <f>IF(VLOOKUP(BR218,Fundamentus!A:U,16,FALSE)&lt;0.1,"Oper. Ineficiente",IF(VLOOKUP(BR218,Fundamentus!A:U,16,FALSE)&gt;0.1,"Oper.Eficiente","n/a"))</f>
        <v>Oper. Ineficiente</v>
      </c>
      <c r="EW218" s="34">
        <f>VLOOKUP(BR218,Fundamentus!A:U,14,FALSE)</f>
        <v>0.61619999999999997</v>
      </c>
      <c r="EX218" s="17" t="str">
        <f>IF(VLOOKUP(BR218,Fundamentus!A:U,21,FALSE)&lt;0,"Negativo",IF(VLOOKUP(BR218,Fundamentus!A:U,21,FALSE)&lt;0.05,"Fraco",IF(VLOOKUP(BR218,Fundamentus!A:U,21,FALSE)&lt;0.1,"Bom",IF(VLOOKUP(BR218,Fundamentus!A:U,21,FALSE)&gt;0.1,"Muito bom","n/a"))))</f>
        <v>Fraco</v>
      </c>
      <c r="EZ218" s="29" t="str">
        <f>IF(VLOOKUP(BR218,Fundamentus!A:U,15,FALSE)&gt;1,"Bom",IF(VLOOKUP(BR218,Fundamentus!A:U,15,FALSE)&lt;1,"Ruim","n/a"))</f>
        <v>Bom</v>
      </c>
      <c r="FA218" s="17" t="str">
        <f>IF(VLOOKUP(BR218,Fundamentus!A:U,20,FALSE)&lt;0.5,"Baixa",IF(VLOOKUP(BR218,Fundamentus!A:U,20,FALSE)&lt;1,"Moderada",IF(VLOOKUP(BR218,Fundamentus!A:U,20,FALSE)&lt;2,"Alerta",IF(VLOOKUP(BR218,Fundamentus!A:U,20,FALSE)&gt;2,"Alta","n/a"))))</f>
        <v>Moderada</v>
      </c>
    </row>
    <row r="219" spans="1:158" s="2" customFormat="1" ht="11.25"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5">
        <v>5.09</v>
      </c>
      <c r="BC219" s="52">
        <v>4.83</v>
      </c>
      <c r="BD219" s="52">
        <v>4.7</v>
      </c>
      <c r="BE219" s="52">
        <v>5.33</v>
      </c>
      <c r="BF219" s="52">
        <v>5.09</v>
      </c>
      <c r="BG219" s="67">
        <v>5.52</v>
      </c>
      <c r="BH219" s="52">
        <v>5.49</v>
      </c>
      <c r="BI219" s="52">
        <v>5.03</v>
      </c>
      <c r="BJ219" s="52">
        <v>4.82</v>
      </c>
      <c r="BK219" s="52">
        <v>4.4400000000000004</v>
      </c>
      <c r="BL219" s="52">
        <v>4.25</v>
      </c>
      <c r="BM219" s="52">
        <v>4.3899999999999997</v>
      </c>
      <c r="BN219" s="52">
        <v>4.3</v>
      </c>
      <c r="BO219" s="52">
        <v>4.87</v>
      </c>
      <c r="BP219" s="52">
        <v>4.2699999999999996</v>
      </c>
      <c r="BQ219" s="52" cm="1">
        <f t="array" aca="1" ref="BQ219" ca="1">_FV(EE219,"Preço")</f>
        <v>4.2699999999999996</v>
      </c>
      <c r="BR219" s="69" t="s">
        <v>215</v>
      </c>
      <c r="BS219" s="36" cm="1">
        <f t="array" aca="1" ref="BS219" ca="1">_FV(EE219,"Média de volume",TRUE)</f>
        <v>4731960</v>
      </c>
      <c r="BT219" s="36">
        <v>5085700</v>
      </c>
      <c r="BU219" s="36" cm="1">
        <f t="array" aca="1" ref="BU219" ca="1">_FV(EE219,"Volume")</f>
        <v>5085700</v>
      </c>
      <c r="BV219" s="24" cm="1">
        <f t="array" aca="1" ref="BV219" ca="1">_FV(EE219,"Beta")</f>
        <v>1.6484000000000001</v>
      </c>
      <c r="BW219" s="71" cm="1">
        <f t="array" aca="1" ref="BW219" ca="1">_FV(EE219,"Variação (%)",TRUE)</f>
        <v>-4.0448999999999999E-2</v>
      </c>
      <c r="BY219" s="17" cm="1">
        <f t="array" aca="1" ref="BY219" ca="1">_FV(EE219,"Baixo")</f>
        <v>4.22</v>
      </c>
      <c r="BZ219" s="17" cm="1">
        <f t="array" aca="1" ref="BZ219" ca="1">_FV(EE219,"Alto")</f>
        <v>4.5199999999999996</v>
      </c>
      <c r="CA219" s="24"/>
      <c r="CB219" s="63" t="e">
        <f ca="1">SQRT(22.5*(BQ219/VLOOKUP(BR219,Fundamentus!A:U,3,FALSE))*(BQ219/VLOOKUP(BR219,Fundamentus!A:U,4,FALSE)))</f>
        <v>#NUM!</v>
      </c>
      <c r="CD219" s="62">
        <f t="shared" ca="1" si="241"/>
        <v>0</v>
      </c>
      <c r="CE219" s="8"/>
      <c r="CF219" s="61">
        <f t="shared" si="242"/>
        <v>3.12</v>
      </c>
      <c r="CG219" s="61">
        <f t="shared" si="243"/>
        <v>6.93</v>
      </c>
      <c r="CH219" s="61">
        <f t="shared" si="244"/>
        <v>4.9856617647058821</v>
      </c>
      <c r="CI219" s="14"/>
      <c r="CJ219" s="35">
        <f t="shared" si="227"/>
        <v>4.0694548831277233</v>
      </c>
      <c r="CK219" s="15">
        <f t="shared" si="245"/>
        <v>4.5099999999999909</v>
      </c>
      <c r="CL219" s="35">
        <f t="shared" si="228"/>
        <v>4.9505451168722585</v>
      </c>
      <c r="CN219" s="14"/>
      <c r="CO219" s="17">
        <f t="shared" si="229"/>
        <v>-1.1933333333333325</v>
      </c>
      <c r="CP219" s="17">
        <f t="shared" si="230"/>
        <v>0.96333333333333382</v>
      </c>
      <c r="CQ219" s="17">
        <f t="shared" si="231"/>
        <v>2.6166666666666671</v>
      </c>
      <c r="CR219" s="38">
        <f t="shared" si="246"/>
        <v>4.7733333333333334</v>
      </c>
      <c r="CS219" s="17">
        <f t="shared" si="232"/>
        <v>6.4266666666666667</v>
      </c>
      <c r="CT219" s="17">
        <f t="shared" si="233"/>
        <v>8.5833333333333321</v>
      </c>
      <c r="CU219" s="17">
        <f t="shared" si="234"/>
        <v>10.236666666666666</v>
      </c>
      <c r="CV219" s="2" cm="1">
        <f t="array" aca="1" ref="CV219" ca="1">MAX(_xlfn._xlws.FILTER(CO219:CU219,CO219:CU219&lt;BQ219))</f>
        <v>2.6166666666666671</v>
      </c>
      <c r="CW219" s="2" cm="1">
        <f t="array" aca="1" ref="CW219" ca="1">MIN(_xlfn._xlws.FILTER($CO219:$CU219,$CO219:$CU219&gt;BQ219))</f>
        <v>4.7733333333333334</v>
      </c>
      <c r="CX219" s="16">
        <f t="shared" ca="1" si="248"/>
        <v>0.82420382165605055</v>
      </c>
      <c r="CY219" s="20">
        <f t="shared" ca="1" si="249"/>
        <v>-0.41210191082802528</v>
      </c>
      <c r="CZ219" s="20">
        <f t="shared" ca="1" si="250"/>
        <v>-0.27473460721868354</v>
      </c>
      <c r="DA219" s="20">
        <f t="shared" ca="1" si="251"/>
        <v>-0.16484076433121012</v>
      </c>
      <c r="DB219" s="20">
        <f t="shared" ca="1" si="252"/>
        <v>-9.157820240622784E-2</v>
      </c>
      <c r="DC219" s="20">
        <f t="shared" ca="1" si="253"/>
        <v>-4.8482577744473565E-2</v>
      </c>
      <c r="DD219" s="20">
        <f t="shared" ca="1" si="254"/>
        <v>-2.4975873383516683E-2</v>
      </c>
      <c r="DE219" s="20">
        <f t="shared" ca="1" si="255"/>
        <v>-1.268005879470847E-2</v>
      </c>
      <c r="DF219" s="21">
        <f t="shared" ca="1" si="256"/>
        <v>1.268005879470847E-2</v>
      </c>
      <c r="DG219" s="21">
        <f t="shared" ca="1" si="257"/>
        <v>2.4975873383516683E-2</v>
      </c>
      <c r="DH219" s="21">
        <f t="shared" ca="1" si="258"/>
        <v>4.8482577744473565E-2</v>
      </c>
      <c r="DI219" s="21">
        <f t="shared" ca="1" si="259"/>
        <v>9.157820240622784E-2</v>
      </c>
      <c r="DJ219" s="21">
        <f t="shared" ca="1" si="260"/>
        <v>0.16484076433121012</v>
      </c>
      <c r="DK219" s="21">
        <f t="shared" ca="1" si="261"/>
        <v>0.27473460721868354</v>
      </c>
      <c r="DL219" s="21">
        <f t="shared" ca="1" si="262"/>
        <v>0.41210191082802528</v>
      </c>
      <c r="DN219" s="16" cm="1">
        <f t="array" aca="1" ref="DN219" ca="1">MAX(_xlfn._xlws.FILTER(CY219:DL219,CY219:DL219&lt;BW219))</f>
        <v>-4.8482577744473565E-2</v>
      </c>
      <c r="DO219" s="16" cm="1">
        <f t="array" aca="1" ref="DO219" ca="1">MIN(_xlfn._xlws.FILTER(CY219:DL219,CY219:DL219&gt;BW219))</f>
        <v>-2.4975873383516683E-2</v>
      </c>
      <c r="DP219" s="2" cm="1">
        <f t="array" aca="1" ref="DP219" ca="1">_FV(EE219,"Fechamento anterior",TRUE)</f>
        <v>4.45</v>
      </c>
      <c r="DQ219" s="28">
        <f t="shared" ca="1" si="235"/>
        <v>0.34173823003316228</v>
      </c>
      <c r="DR219" s="15">
        <f t="shared" ca="1" si="263"/>
        <v>4.2342525290370929</v>
      </c>
      <c r="DS219" s="15">
        <f t="shared" ca="1" si="264"/>
        <v>4.3388573634433509</v>
      </c>
      <c r="DT219" s="9"/>
      <c r="DU219" s="9"/>
      <c r="DV219" s="9"/>
      <c r="DW219" s="89">
        <v>1.9957501062473425E-2</v>
      </c>
      <c r="DX219" s="89">
        <f t="shared" ca="1" si="236"/>
        <v>2.3506704360956882E-2</v>
      </c>
      <c r="DY219" s="72">
        <f t="shared" ca="1" si="237"/>
        <v>-0.54477961690715404</v>
      </c>
      <c r="DZ219" s="37"/>
      <c r="EA219" s="35">
        <f t="shared" si="247"/>
        <v>0.22027255843613391</v>
      </c>
      <c r="EB219" s="56"/>
      <c r="EC219" s="56"/>
      <c r="EE219" s="2" t="e" vm="221">
        <v>#VALUE!</v>
      </c>
      <c r="EG219" s="10" cm="1">
        <f t="array" aca="1" ref="EG219" ca="1">_FV(EE219,"Ações em circulação",TRUE)</f>
        <v>873040500</v>
      </c>
      <c r="EH219" s="18">
        <f>VLOOKUP(BR219,Fundamentus!A:U,5,FALSE)</f>
        <v>8.6999999999999994E-2</v>
      </c>
      <c r="EI219" s="2">
        <f t="shared" ca="1" si="238"/>
        <v>42849229137.93103</v>
      </c>
      <c r="EJ219" s="17">
        <v>17139691.655172411</v>
      </c>
      <c r="EK219" s="17">
        <f t="shared" ca="1" si="239"/>
        <v>17139691.655172411</v>
      </c>
      <c r="EM219" s="16">
        <f t="shared" ca="1" si="226"/>
        <v>0</v>
      </c>
      <c r="EN219" s="32" t="str">
        <f>IF(VLOOKUP(BR219,Fundamentus!A:U,3,FALSE)&lt;15,"Bom",IF(VLOOKUP(BR219,Fundamentus!A:U,3,FALSE)&gt;15,"Ruim","n/a"))</f>
        <v>Bom</v>
      </c>
      <c r="EO219" s="28" t="str">
        <f>IF(VLOOKUP(BR219,Fundamentus!A:U,4,FALSE)&lt;1,"Baixo",IF(VLOOKUP(BR219,Fundamentus!A:U,4,FALSE)&lt;1.5,"Moderado",IF(VLOOKUP(BR219,Fundamentus!A:U,4,FALSE)&gt;1.5,"Alto","n/a")))</f>
        <v>Moderado</v>
      </c>
      <c r="EP219" s="17" t="str">
        <f>IF(VLOOKUP(BR219,Fundamentus!A:U,8,FALSE)&lt;0,"Risco elevado",IF(VLOOKUP(BR219,Fundamentus!A:U,8,FALSE)&lt;1,"Saudável",IF(VLOOKUP(BR219,Fundamentus!A:U,8,FALSE)&lt;3,"Estável",IF(VLOOKUP(BR219,Fundamentus!A:U,8,FALSE)&gt;3,"Alerta","n/a"))))</f>
        <v>Saudável</v>
      </c>
      <c r="EQ219" s="28" t="str">
        <f t="shared" si="240"/>
        <v>Ruim</v>
      </c>
      <c r="ER219" s="17" t="str">
        <f>IF(VLOOKUP(BR219,Fundamentus!A:U,12,FALSE)&lt;2,"Subvalorizada",IF(VLOOKUP(BR219,Fundamentus!A:U,12,FALSE)&lt;6,"Muita barata",IF(VLOOKUP(BR219,Fundamentus!A:U,12,FALSE)&lt;6,"Barata",IF(VLOOKUP(BR219,Fundamentus!A:U,12,FALSE)&lt;8,"Atrativa",IF(VLOOKUP(BR219,Fundamentus!A:U,12,FALSE)&gt;8,"Supervalorizada","n/a")))))</f>
        <v>Muita barata</v>
      </c>
      <c r="ET219" s="17" t="str">
        <f>IF(VLOOKUP(BR219,Fundamentus!A:U,17,FALSE)&lt;0.1,"Fraco retorno",IF(VLOOKUP(BR219,Fundamentus!A:U,17,FALSE)&gt;0.1,"Bom retorno","n/a"))</f>
        <v>Fraco retorno</v>
      </c>
      <c r="EU219" s="17" t="str">
        <f>IF(VLOOKUP(BR219,Fundamentus!A:U,16,FALSE)&lt;0.1,"Ineficiente",IF(VLOOKUP(BR219,Fundamentus!A:U,16,FALSE)&gt;0.1,"Eficiente","n/a"))</f>
        <v>Eficiente</v>
      </c>
      <c r="EV219" s="33" t="str">
        <f>IF(VLOOKUP(BR219,Fundamentus!A:U,16,FALSE)&lt;0.1,"Oper. Ineficiente",IF(VLOOKUP(BR219,Fundamentus!A:U,16,FALSE)&gt;0.1,"Oper.Eficiente","n/a"))</f>
        <v>Oper.Eficiente</v>
      </c>
      <c r="EW219" s="34">
        <f>VLOOKUP(BR219,Fundamentus!A:U,14,FALSE)</f>
        <v>4.0000000000000002E-4</v>
      </c>
      <c r="EX219" s="17" t="str">
        <f>IF(VLOOKUP(BR219,Fundamentus!A:U,21,FALSE)&lt;0,"Negativo",IF(VLOOKUP(BR219,Fundamentus!A:U,21,FALSE)&lt;0.05,"Fraco",IF(VLOOKUP(BR219,Fundamentus!A:U,21,FALSE)&lt;0.1,"Bom",IF(VLOOKUP(BR219,Fundamentus!A:U,21,FALSE)&gt;0.1,"Muito bom","n/a"))))</f>
        <v>Muito bom</v>
      </c>
      <c r="EZ219" s="29" t="str">
        <f>IF(VLOOKUP(BR219,Fundamentus!A:U,15,FALSE)&gt;1,"Bom",IF(VLOOKUP(BR219,Fundamentus!A:U,15,FALSE)&lt;1,"Ruim","n/a"))</f>
        <v>Bom</v>
      </c>
      <c r="FA219" s="17" t="str">
        <f>IF(VLOOKUP(BR219,Fundamentus!A:U,20,FALSE)&lt;0.5,"Baixa",IF(VLOOKUP(BR219,Fundamentus!A:U,20,FALSE)&lt;1,"Moderada",IF(VLOOKUP(BR219,Fundamentus!A:U,20,FALSE)&lt;2,"Alerta",IF(VLOOKUP(BR219,Fundamentus!A:U,20,FALSE)&gt;2,"Alta","n/a"))))</f>
        <v>Alta</v>
      </c>
    </row>
    <row r="220" spans="1:158"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5">
        <v>8.11</v>
      </c>
      <c r="BC220" s="52">
        <v>8.06</v>
      </c>
      <c r="BD220" s="52">
        <v>8.11</v>
      </c>
      <c r="BE220" s="52">
        <v>8.5399999999999991</v>
      </c>
      <c r="BF220" s="52">
        <v>8.1</v>
      </c>
      <c r="BG220" s="67">
        <v>8.01</v>
      </c>
      <c r="BH220" s="52">
        <v>8.02</v>
      </c>
      <c r="BI220" s="52">
        <v>8.48</v>
      </c>
      <c r="BJ220" s="52">
        <v>8.83</v>
      </c>
      <c r="BK220" s="52">
        <v>7.95</v>
      </c>
      <c r="BL220" s="52">
        <v>7.69</v>
      </c>
      <c r="BM220" s="52">
        <v>7.77</v>
      </c>
      <c r="BN220" s="52">
        <v>7.67</v>
      </c>
      <c r="BO220" s="52">
        <v>8.99</v>
      </c>
      <c r="BP220" s="52">
        <v>8.16</v>
      </c>
      <c r="BQ220" s="52" cm="1">
        <f t="array" aca="1" ref="BQ220" ca="1">_FV(EE220,"Preço")</f>
        <v>8.16</v>
      </c>
      <c r="BR220" s="69" t="s">
        <v>216</v>
      </c>
      <c r="BS220" s="36" cm="1">
        <f t="array" aca="1" ref="BS220" ca="1">_FV(EE220,"Média de volume",TRUE)</f>
        <v>1141280</v>
      </c>
      <c r="BT220" s="36">
        <v>579700</v>
      </c>
      <c r="BU220" s="36" cm="1">
        <f t="array" aca="1" ref="BU220" ca="1">_FV(EE220,"Volume")</f>
        <v>579700</v>
      </c>
      <c r="BV220" s="24" cm="1">
        <f t="array" aca="1" ref="BV220" ca="1">_FV(EE220,"Beta")</f>
        <v>2.2061000000000002</v>
      </c>
      <c r="BW220" s="71" cm="1">
        <f t="array" aca="1" ref="BW220" ca="1">_FV(EE220,"Variação (%)",TRUE)</f>
        <v>2.457E-3</v>
      </c>
      <c r="BY220" s="17" cm="1">
        <f t="array" aca="1" ref="BY220" ca="1">_FV(EE220,"Baixo")</f>
        <v>8.08</v>
      </c>
      <c r="BZ220" s="17" cm="1">
        <f t="array" aca="1" ref="BZ220" ca="1">_FV(EE220,"Alto")</f>
        <v>8.33</v>
      </c>
      <c r="CA220" s="24"/>
      <c r="CB220" s="63">
        <f ca="1">SQRT(22.5*(BQ220/VLOOKUP(BR220,Fundamentus!A:U,3,FALSE))*(BQ220/VLOOKUP(BR220,Fundamentus!A:U,4,FALSE)))</f>
        <v>12.819178769770875</v>
      </c>
      <c r="CD220" s="62">
        <f t="shared" ca="1" si="241"/>
        <v>0</v>
      </c>
      <c r="CE220" s="8"/>
      <c r="CF220" s="61">
        <f t="shared" si="242"/>
        <v>5.71</v>
      </c>
      <c r="CG220" s="61">
        <f t="shared" si="243"/>
        <v>8.99</v>
      </c>
      <c r="CH220" s="61">
        <f t="shared" si="244"/>
        <v>7.5338235294117624</v>
      </c>
      <c r="CI220" s="14"/>
      <c r="CJ220" s="35">
        <f t="shared" si="227"/>
        <v>7.7742008234590756</v>
      </c>
      <c r="CK220" s="15">
        <f t="shared" si="245"/>
        <v>8.7700000000002092</v>
      </c>
      <c r="CL220" s="35">
        <f t="shared" si="228"/>
        <v>9.7657991765413428</v>
      </c>
      <c r="CN220" s="14"/>
      <c r="CO220" s="17">
        <f t="shared" si="229"/>
        <v>2.9699999999999998</v>
      </c>
      <c r="CP220" s="17">
        <f t="shared" si="230"/>
        <v>4.34</v>
      </c>
      <c r="CQ220" s="17">
        <f t="shared" si="231"/>
        <v>6.25</v>
      </c>
      <c r="CR220" s="38">
        <f t="shared" si="246"/>
        <v>7.62</v>
      </c>
      <c r="CS220" s="17">
        <f t="shared" si="232"/>
        <v>9.5300000000000011</v>
      </c>
      <c r="CT220" s="17">
        <f t="shared" si="233"/>
        <v>10.9</v>
      </c>
      <c r="CU220" s="17">
        <f t="shared" si="234"/>
        <v>12.81</v>
      </c>
      <c r="CV220" s="2" cm="1">
        <f t="array" aca="1" ref="CV220" ca="1">MAX(_xlfn._xlws.FILTER(CO220:CU220,CO220:CU220&lt;BQ220))</f>
        <v>7.62</v>
      </c>
      <c r="CW220" s="2" cm="1">
        <f t="array" aca="1" ref="CW220" ca="1">MIN(_xlfn._xlws.FILTER($CO220:$CU220,$CO220:$CU220&gt;BQ220))</f>
        <v>9.5300000000000011</v>
      </c>
      <c r="CX220" s="16">
        <f t="shared" ca="1" si="248"/>
        <v>0.2506561679790027</v>
      </c>
      <c r="CY220" s="20">
        <f t="shared" ca="1" si="249"/>
        <v>-0.12532808398950135</v>
      </c>
      <c r="CZ220" s="20">
        <f t="shared" ca="1" si="250"/>
        <v>-8.3552055993000904E-2</v>
      </c>
      <c r="DA220" s="20">
        <f t="shared" ca="1" si="251"/>
        <v>-5.0131233595800538E-2</v>
      </c>
      <c r="DB220" s="20">
        <f t="shared" ca="1" si="252"/>
        <v>-2.78506853310003E-2</v>
      </c>
      <c r="DC220" s="20">
        <f t="shared" ca="1" si="253"/>
        <v>-1.4744480469353101E-2</v>
      </c>
      <c r="DD220" s="20">
        <f t="shared" ca="1" si="254"/>
        <v>-7.5956414539091726E-3</v>
      </c>
      <c r="DE220" s="20">
        <f t="shared" ca="1" si="255"/>
        <v>-3.8562487381385031E-3</v>
      </c>
      <c r="DF220" s="21">
        <f t="shared" ca="1" si="256"/>
        <v>3.8562487381385031E-3</v>
      </c>
      <c r="DG220" s="21">
        <f t="shared" ca="1" si="257"/>
        <v>7.5956414539091726E-3</v>
      </c>
      <c r="DH220" s="21">
        <f t="shared" ca="1" si="258"/>
        <v>1.4744480469353101E-2</v>
      </c>
      <c r="DI220" s="21">
        <f t="shared" ca="1" si="259"/>
        <v>2.78506853310003E-2</v>
      </c>
      <c r="DJ220" s="21">
        <f t="shared" ca="1" si="260"/>
        <v>5.0131233595800538E-2</v>
      </c>
      <c r="DK220" s="21">
        <f t="shared" ca="1" si="261"/>
        <v>8.3552055993000904E-2</v>
      </c>
      <c r="DL220" s="21">
        <f t="shared" ca="1" si="262"/>
        <v>0.12532808398950135</v>
      </c>
      <c r="DN220" s="16" cm="1">
        <f t="array" aca="1" ref="DN220" ca="1">MAX(_xlfn._xlws.FILTER(CY220:DL220,CY220:DL220&lt;BW220))</f>
        <v>-3.8562487381385031E-3</v>
      </c>
      <c r="DO220" s="16" cm="1">
        <f t="array" aca="1" ref="DO220" ca="1">MIN(_xlfn._xlws.FILTER(CY220:DL220,CY220:DL220&gt;BW220))</f>
        <v>3.8562487381385031E-3</v>
      </c>
      <c r="DP220" s="2" cm="1">
        <f t="array" aca="1" ref="DP220" ca="1">_FV(EE220,"Fechamento anterior",TRUE)</f>
        <v>8.14</v>
      </c>
      <c r="DQ220" s="28">
        <f t="shared" ca="1" si="235"/>
        <v>0.8185741667416947</v>
      </c>
      <c r="DR220" s="15">
        <f t="shared" ca="1" si="263"/>
        <v>8.1086101352715527</v>
      </c>
      <c r="DS220" s="15">
        <f t="shared" ca="1" si="264"/>
        <v>8.1713898647284484</v>
      </c>
      <c r="DT220" s="9"/>
      <c r="DU220" s="9"/>
      <c r="DV220" s="9"/>
      <c r="DW220" s="89">
        <v>1.447895888339859E-2</v>
      </c>
      <c r="DX220" s="89">
        <f t="shared" ca="1" si="236"/>
        <v>7.7124974762770061E-3</v>
      </c>
      <c r="DY220" s="72">
        <f t="shared" ca="1" si="237"/>
        <v>-0.61257331234096646</v>
      </c>
      <c r="DZ220" s="37"/>
      <c r="EA220" s="35">
        <f t="shared" si="247"/>
        <v>0.49789958827056691</v>
      </c>
      <c r="EB220" s="56"/>
      <c r="EC220" s="56"/>
      <c r="EE220" s="2" t="e" vm="222">
        <v>#VALUE!</v>
      </c>
      <c r="EG220" s="10" cm="1">
        <f t="array" aca="1" ref="EG220" ca="1">_FV(EE220,"Ações em circulação",TRUE)</f>
        <v>499200000</v>
      </c>
      <c r="EH220" s="18">
        <f>VLOOKUP(BR220,Fundamentus!A:U,5,FALSE)</f>
        <v>0.40699999999999997</v>
      </c>
      <c r="EI220" s="2">
        <f t="shared" ca="1" si="238"/>
        <v>10008530712.530714</v>
      </c>
      <c r="EJ220" s="17">
        <v>331282366.58476663</v>
      </c>
      <c r="EK220" s="17">
        <f t="shared" ca="1" si="239"/>
        <v>331282366.58476663</v>
      </c>
      <c r="EM220" s="16">
        <f t="shared" ca="1" si="226"/>
        <v>0</v>
      </c>
      <c r="EN220" s="32" t="str">
        <f>IF(VLOOKUP(BR220,Fundamentus!A:U,3,FALSE)&lt;15,"Bom",IF(VLOOKUP(BR220,Fundamentus!A:U,3,FALSE)&gt;15,"Ruim","n/a"))</f>
        <v>Bom</v>
      </c>
      <c r="EO220" s="28" t="str">
        <f>IF(VLOOKUP(BR220,Fundamentus!A:U,4,FALSE)&lt;1,"Baixo",IF(VLOOKUP(BR220,Fundamentus!A:U,4,FALSE)&lt;1.5,"Moderado",IF(VLOOKUP(BR220,Fundamentus!A:U,4,FALSE)&gt;1.5,"Alto","n/a")))</f>
        <v>Baixo</v>
      </c>
      <c r="EP220" s="17" t="str">
        <f>IF(VLOOKUP(BR220,Fundamentus!A:U,8,FALSE)&lt;0,"Risco elevado",IF(VLOOKUP(BR220,Fundamentus!A:U,8,FALSE)&lt;1,"Saudável",IF(VLOOKUP(BR220,Fundamentus!A:U,8,FALSE)&lt;3,"Estável",IF(VLOOKUP(BR220,Fundamentus!A:U,8,FALSE)&gt;3,"Alerta","n/a"))))</f>
        <v>Estável</v>
      </c>
      <c r="EQ220" s="28" t="str">
        <f t="shared" si="240"/>
        <v>Ruim</v>
      </c>
      <c r="ER220" s="17" t="str">
        <f>IF(VLOOKUP(BR220,Fundamentus!A:U,12,FALSE)&lt;2,"Subvalorizada",IF(VLOOKUP(BR220,Fundamentus!A:U,12,FALSE)&lt;6,"Muita barata",IF(VLOOKUP(BR220,Fundamentus!A:U,12,FALSE)&lt;6,"Barata",IF(VLOOKUP(BR220,Fundamentus!A:U,12,FALSE)&lt;8,"Atrativa",IF(VLOOKUP(BR220,Fundamentus!A:U,12,FALSE)&gt;8,"Supervalorizada","n/a")))))</f>
        <v>Muita barata</v>
      </c>
      <c r="ET220" s="17" t="str">
        <f>IF(VLOOKUP(BR220,Fundamentus!A:U,17,FALSE)&lt;0.1,"Fraco retorno",IF(VLOOKUP(BR220,Fundamentus!A:U,17,FALSE)&gt;0.1,"Bom retorno","n/a"))</f>
        <v>Fraco retorno</v>
      </c>
      <c r="EU220" s="17" t="str">
        <f>IF(VLOOKUP(BR220,Fundamentus!A:U,16,FALSE)&lt;0.1,"Ineficiente",IF(VLOOKUP(BR220,Fundamentus!A:U,16,FALSE)&gt;0.1,"Eficiente","n/a"))</f>
        <v>Ineficiente</v>
      </c>
      <c r="EV220" s="33" t="str">
        <f>IF(VLOOKUP(BR220,Fundamentus!A:U,16,FALSE)&lt;0.1,"Oper. Ineficiente",IF(VLOOKUP(BR220,Fundamentus!A:U,16,FALSE)&gt;0.1,"Oper.Eficiente","n/a"))</f>
        <v>Oper. Ineficiente</v>
      </c>
      <c r="EW220" s="34">
        <f>VLOOKUP(BR220,Fundamentus!A:U,14,FALSE)</f>
        <v>3.3099999999999997E-2</v>
      </c>
      <c r="EX220" s="17" t="str">
        <f>IF(VLOOKUP(BR220,Fundamentus!A:U,21,FALSE)&lt;0,"Negativo",IF(VLOOKUP(BR220,Fundamentus!A:U,21,FALSE)&lt;0.05,"Fraco",IF(VLOOKUP(BR220,Fundamentus!A:U,21,FALSE)&lt;0.1,"Bom",IF(VLOOKUP(BR220,Fundamentus!A:U,21,FALSE)&gt;0.1,"Muito bom","n/a"))))</f>
        <v>Muito bom</v>
      </c>
      <c r="EZ220" s="29" t="str">
        <f>IF(VLOOKUP(BR220,Fundamentus!A:U,15,FALSE)&gt;1,"Bom",IF(VLOOKUP(BR220,Fundamentus!A:U,15,FALSE)&lt;1,"Ruim","n/a"))</f>
        <v>Bom</v>
      </c>
      <c r="FA220" s="17" t="str">
        <f>IF(VLOOKUP(BR220,Fundamentus!A:U,20,FALSE)&lt;0.5,"Baixa",IF(VLOOKUP(BR220,Fundamentus!A:U,20,FALSE)&lt;1,"Moderada",IF(VLOOKUP(BR220,Fundamentus!A:U,20,FALSE)&lt;2,"Alerta",IF(VLOOKUP(BR220,Fundamentus!A:U,20,FALSE)&gt;2,"Alta","n/a"))))</f>
        <v>Baixa</v>
      </c>
    </row>
    <row r="221" spans="1:158" s="2" customFormat="1" ht="11.25"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5">
        <v>1.64</v>
      </c>
      <c r="BC221" s="52">
        <v>1.64</v>
      </c>
      <c r="BD221" s="52">
        <v>1.64</v>
      </c>
      <c r="BE221" s="52">
        <v>1.64</v>
      </c>
      <c r="BF221" s="52">
        <v>1.64</v>
      </c>
      <c r="BG221" s="67">
        <v>1.64</v>
      </c>
      <c r="BH221" s="52">
        <v>1.64</v>
      </c>
      <c r="BI221" s="52">
        <v>1.64</v>
      </c>
      <c r="BJ221" s="52">
        <v>1.64</v>
      </c>
      <c r="BK221" s="52">
        <v>1.64</v>
      </c>
      <c r="BL221" s="52">
        <v>1.64</v>
      </c>
      <c r="BM221" s="52">
        <v>1.64</v>
      </c>
      <c r="BN221" s="52">
        <v>1.64</v>
      </c>
      <c r="BO221" s="52">
        <v>1.64</v>
      </c>
      <c r="BP221" s="52">
        <v>1.64</v>
      </c>
      <c r="BQ221" s="52" cm="1">
        <f t="array" aca="1" ref="BQ221" ca="1">_FV(EE221,"Preço")</f>
        <v>1.64</v>
      </c>
      <c r="BR221" s="69" t="s">
        <v>217</v>
      </c>
      <c r="BS221" s="36" t="e" cm="1" vm="3">
        <f t="array" ref="BS221">_FV(EE221,"Média de volume",TRUE)</f>
        <v>#VALUE!</v>
      </c>
      <c r="BT221" s="36">
        <v>19800</v>
      </c>
      <c r="BU221" s="36" cm="1">
        <f t="array" aca="1" ref="BU221" ca="1">_FV(EE221,"Volume")</f>
        <v>19800</v>
      </c>
      <c r="BV221" s="24" cm="1">
        <f t="array" aca="1" ref="BV221" ca="1">_FV(EE221,"Beta")</f>
        <v>2.1299000000000001</v>
      </c>
      <c r="BW221" s="71" cm="1">
        <f t="array" aca="1" ref="BW221" ca="1">_FV(EE221,"Variação (%)",TRUE)</f>
        <v>-6.2856999999999996E-2</v>
      </c>
      <c r="BY221" s="17" cm="1">
        <f t="array" aca="1" ref="BY221" ca="1">_FV(EE221,"Baixo")</f>
        <v>1.64</v>
      </c>
      <c r="BZ221" s="17" cm="1">
        <f t="array" aca="1" ref="BZ221" ca="1">_FV(EE221,"Alto")</f>
        <v>1.64</v>
      </c>
      <c r="CA221" s="24"/>
      <c r="CB221" s="63" t="e">
        <f ca="1">SQRT(22.5*(BQ221/VLOOKUP(BR221,Fundamentus!A:U,3,FALSE))*(BQ221/VLOOKUP(BR221,Fundamentus!A:U,4,FALSE)))</f>
        <v>#N/A</v>
      </c>
      <c r="CD221" s="62">
        <f t="shared" ca="1" si="241"/>
        <v>0</v>
      </c>
      <c r="CE221" s="8"/>
      <c r="CF221" s="61">
        <f t="shared" si="242"/>
        <v>0.36</v>
      </c>
      <c r="CG221" s="61">
        <f t="shared" si="243"/>
        <v>2.34</v>
      </c>
      <c r="CH221" s="61">
        <f t="shared" si="244"/>
        <v>1.5213235294117651</v>
      </c>
      <c r="CI221" s="14"/>
      <c r="CJ221" s="35">
        <f t="shared" si="227"/>
        <v>1.64</v>
      </c>
      <c r="CK221" s="15">
        <f t="shared" si="245"/>
        <v>1.64</v>
      </c>
      <c r="CL221" s="35">
        <f t="shared" si="228"/>
        <v>1.64</v>
      </c>
      <c r="CN221" s="14"/>
      <c r="CO221" s="17">
        <f t="shared" si="229"/>
        <v>-1.4266666666666667</v>
      </c>
      <c r="CP221" s="17">
        <f t="shared" si="230"/>
        <v>-0.53333333333333344</v>
      </c>
      <c r="CQ221" s="17">
        <f t="shared" si="231"/>
        <v>0.55333333333333323</v>
      </c>
      <c r="CR221" s="38">
        <f t="shared" si="246"/>
        <v>1.4466666666666665</v>
      </c>
      <c r="CS221" s="17">
        <f t="shared" si="232"/>
        <v>2.5333333333333332</v>
      </c>
      <c r="CT221" s="17">
        <f t="shared" si="233"/>
        <v>3.4266666666666667</v>
      </c>
      <c r="CU221" s="17">
        <f t="shared" si="234"/>
        <v>4.5133333333333328</v>
      </c>
      <c r="CV221" s="2" cm="1">
        <f t="array" aca="1" ref="CV221" ca="1">MAX(_xlfn._xlws.FILTER(CO221:CU221,CO221:CU221&lt;BQ221))</f>
        <v>1.4466666666666665</v>
      </c>
      <c r="CW221" s="2" cm="1">
        <f t="array" aca="1" ref="CW221" ca="1">MIN(_xlfn._xlws.FILTER($CO221:$CU221,$CO221:$CU221&gt;BQ221))</f>
        <v>2.5333333333333332</v>
      </c>
      <c r="CX221" s="16">
        <f t="shared" ca="1" si="248"/>
        <v>0.75115207373271886</v>
      </c>
      <c r="CY221" s="20">
        <f t="shared" ca="1" si="249"/>
        <v>-0.37557603686635943</v>
      </c>
      <c r="CZ221" s="20">
        <f t="shared" ca="1" si="250"/>
        <v>-0.25038402457757297</v>
      </c>
      <c r="DA221" s="20">
        <f t="shared" ca="1" si="251"/>
        <v>-0.15023041474654378</v>
      </c>
      <c r="DB221" s="20">
        <f t="shared" ca="1" si="252"/>
        <v>-8.3461341525857657E-2</v>
      </c>
      <c r="DC221" s="20">
        <f t="shared" ca="1" si="253"/>
        <v>-4.4185416101924641E-2</v>
      </c>
      <c r="DD221" s="20">
        <f t="shared" ca="1" si="254"/>
        <v>-2.2762184052506632E-2</v>
      </c>
      <c r="DE221" s="20">
        <f t="shared" ca="1" si="255"/>
        <v>-1.1556185749734136E-2</v>
      </c>
      <c r="DF221" s="21">
        <f t="shared" ca="1" si="256"/>
        <v>1.1556185749734136E-2</v>
      </c>
      <c r="DG221" s="21">
        <f t="shared" ca="1" si="257"/>
        <v>2.2762184052506632E-2</v>
      </c>
      <c r="DH221" s="21">
        <f t="shared" ca="1" si="258"/>
        <v>4.4185416101924641E-2</v>
      </c>
      <c r="DI221" s="21">
        <f t="shared" ca="1" si="259"/>
        <v>8.3461341525857657E-2</v>
      </c>
      <c r="DJ221" s="21">
        <f t="shared" ca="1" si="260"/>
        <v>0.15023041474654378</v>
      </c>
      <c r="DK221" s="21">
        <f t="shared" ca="1" si="261"/>
        <v>0.25038402457757297</v>
      </c>
      <c r="DL221" s="21">
        <f t="shared" ca="1" si="262"/>
        <v>0.37557603686635943</v>
      </c>
      <c r="DN221" s="16" cm="1">
        <f t="array" aca="1" ref="DN221" ca="1">MAX(_xlfn._xlws.FILTER(CY221:DL221,CY221:DL221&lt;BW221))</f>
        <v>-8.3461341525857657E-2</v>
      </c>
      <c r="DO221" s="16" cm="1">
        <f t="array" aca="1" ref="DO221" ca="1">MIN(_xlfn._xlws.FILTER(CY221:DL221,CY221:DL221&gt;BW221))</f>
        <v>-4.4185416101924641E-2</v>
      </c>
      <c r="DP221" s="2" cm="1">
        <f t="array" aca="1" ref="DP221" ca="1">_FV(EE221,"Fechamento anterior",TRUE)</f>
        <v>1.75</v>
      </c>
      <c r="DQ221" s="28">
        <f t="shared" ca="1" si="235"/>
        <v>0.52460122699386424</v>
      </c>
      <c r="DR221" s="15">
        <f t="shared" ca="1" si="263"/>
        <v>1.6039426523297491</v>
      </c>
      <c r="DS221" s="15">
        <f t="shared" ca="1" si="264"/>
        <v>1.6726755218216318</v>
      </c>
      <c r="DT221" s="9"/>
      <c r="DU221" s="9"/>
      <c r="DV221" s="9"/>
      <c r="DW221" s="89">
        <v>3.9275925423933017E-2</v>
      </c>
      <c r="DX221" s="89">
        <f t="shared" ca="1" si="236"/>
        <v>3.9275925423933017E-2</v>
      </c>
      <c r="DY221" s="72" t="e">
        <f t="shared" ca="1" si="237"/>
        <v>#DIV/0!</v>
      </c>
      <c r="DZ221" s="37"/>
      <c r="EA221" s="35">
        <f t="shared" si="247"/>
        <v>0</v>
      </c>
      <c r="EB221" s="56"/>
      <c r="EC221" s="56"/>
      <c r="EE221" s="2" t="e" vm="223">
        <v>#VALUE!</v>
      </c>
      <c r="EG221" s="10" cm="1">
        <f t="array" aca="1" ref="EG221" ca="1">_FV(EE221,"Ações em circulação",TRUE)</f>
        <v>10000000</v>
      </c>
      <c r="EH221" s="18" t="e">
        <f>VLOOKUP(BR221,Fundamentus!A:U,5,FALSE)</f>
        <v>#N/A</v>
      </c>
      <c r="EI221" s="2" t="e">
        <f t="shared" ca="1" si="238"/>
        <v>#N/A</v>
      </c>
      <c r="EJ221" s="17" t="e">
        <v>#N/A</v>
      </c>
      <c r="EK221" s="17" t="e">
        <f t="shared" ca="1" si="239"/>
        <v>#N/A</v>
      </c>
      <c r="EM221" s="16" t="e">
        <f t="shared" ca="1" si="226"/>
        <v>#N/A</v>
      </c>
      <c r="EN221" s="32" t="e">
        <f>IF(VLOOKUP(BR221,Fundamentus!A:U,3,FALSE)&lt;15,"Bom",IF(VLOOKUP(BR221,Fundamentus!A:U,3,FALSE)&gt;15,"Ruim","n/a"))</f>
        <v>#N/A</v>
      </c>
      <c r="EO221" s="28" t="e">
        <f>IF(VLOOKUP(BR221,Fundamentus!A:U,4,FALSE)&lt;1,"Baixo",IF(VLOOKUP(BR221,Fundamentus!A:U,4,FALSE)&lt;1.5,"Moderado",IF(VLOOKUP(BR221,Fundamentus!A:U,4,FALSE)&gt;1.5,"Alto","n/a")))</f>
        <v>#N/A</v>
      </c>
      <c r="EP221" s="17" t="e">
        <f>IF(VLOOKUP(BR221,Fundamentus!A:U,8,FALSE)&lt;0,"Risco elevado",IF(VLOOKUP(BR221,Fundamentus!A:U,8,FALSE)&lt;1,"Saudável",IF(VLOOKUP(BR221,Fundamentus!A:U,8,FALSE)&lt;3,"Estável",IF(VLOOKUP(BR221,Fundamentus!A:U,8,FALSE)&gt;3,"Alerta","n/a"))))</f>
        <v>#N/A</v>
      </c>
      <c r="EQ221" s="28" t="e">
        <f t="shared" si="240"/>
        <v>#N/A</v>
      </c>
      <c r="ER221" s="17" t="e">
        <f>IF(VLOOKUP(BR221,Fundamentus!A:U,12,FALSE)&lt;2,"Subvalorizada",IF(VLOOKUP(BR221,Fundamentus!A:U,12,FALSE)&lt;6,"Muita barata",IF(VLOOKUP(BR221,Fundamentus!A:U,12,FALSE)&lt;6,"Barata",IF(VLOOKUP(BR221,Fundamentus!A:U,12,FALSE)&lt;8,"Atrativa",IF(VLOOKUP(BR221,Fundamentus!A:U,12,FALSE)&gt;8,"Supervalorizada","n/a")))))</f>
        <v>#N/A</v>
      </c>
      <c r="ET221" s="17" t="e">
        <f>IF(VLOOKUP(BR221,Fundamentus!A:U,17,FALSE)&lt;0.1,"Fraco retorno",IF(VLOOKUP(BR221,Fundamentus!A:U,17,FALSE)&gt;0.1,"Bom retorno","n/a"))</f>
        <v>#N/A</v>
      </c>
      <c r="EU221" s="17" t="e">
        <f>IF(VLOOKUP(BR221,Fundamentus!A:U,16,FALSE)&lt;0.1,"Ineficiente",IF(VLOOKUP(BR221,Fundamentus!A:U,16,FALSE)&gt;0.1,"Eficiente","n/a"))</f>
        <v>#N/A</v>
      </c>
      <c r="EV221" s="33" t="e">
        <f>IF(VLOOKUP(BR221,Fundamentus!A:U,16,FALSE)&lt;0.1,"Oper. Ineficiente",IF(VLOOKUP(BR221,Fundamentus!A:U,16,FALSE)&gt;0.1,"Oper.Eficiente","n/a"))</f>
        <v>#N/A</v>
      </c>
      <c r="EW221" s="34" t="e">
        <f>VLOOKUP(BR221,Fundamentus!A:U,14,FALSE)</f>
        <v>#N/A</v>
      </c>
      <c r="EX221" s="17" t="e">
        <f>IF(VLOOKUP(BR221,Fundamentus!A:U,21,FALSE)&lt;0,"Negativo",IF(VLOOKUP(BR221,Fundamentus!A:U,21,FALSE)&lt;0.05,"Fraco",IF(VLOOKUP(BR221,Fundamentus!A:U,21,FALSE)&lt;0.1,"Bom",IF(VLOOKUP(BR221,Fundamentus!A:U,21,FALSE)&gt;0.1,"Muito bom","n/a"))))</f>
        <v>#N/A</v>
      </c>
      <c r="EZ221" s="29" t="e">
        <f>IF(VLOOKUP(BR221,Fundamentus!A:U,15,FALSE)&gt;1,"Bom",IF(VLOOKUP(BR221,Fundamentus!A:U,15,FALSE)&lt;1,"Ruim","n/a"))</f>
        <v>#N/A</v>
      </c>
      <c r="FA221" s="17" t="e">
        <f>IF(VLOOKUP(BR221,Fundamentus!A:U,20,FALSE)&lt;0.5,"Baixa",IF(VLOOKUP(BR221,Fundamentus!A:U,20,FALSE)&lt;1,"Moderada",IF(VLOOKUP(BR221,Fundamentus!A:U,20,FALSE)&lt;2,"Alerta",IF(VLOOKUP(BR221,Fundamentus!A:U,20,FALSE)&gt;2,"Alta","n/a"))))</f>
        <v>#N/A</v>
      </c>
    </row>
    <row r="222" spans="1:158" s="2" customFormat="1" ht="11.25"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5">
        <v>3.03</v>
      </c>
      <c r="BC222" s="52">
        <v>3.11</v>
      </c>
      <c r="BD222" s="52">
        <v>2.9</v>
      </c>
      <c r="BE222" s="52">
        <v>2.97</v>
      </c>
      <c r="BF222" s="52">
        <v>2.91</v>
      </c>
      <c r="BG222" s="67">
        <v>2.79</v>
      </c>
      <c r="BH222" s="52">
        <v>2.82</v>
      </c>
      <c r="BI222" s="52">
        <v>2.79</v>
      </c>
      <c r="BJ222" s="52">
        <v>2.91</v>
      </c>
      <c r="BK222" s="52">
        <v>2.65</v>
      </c>
      <c r="BL222" s="52">
        <v>2.59</v>
      </c>
      <c r="BM222" s="52">
        <v>2.66</v>
      </c>
      <c r="BN222" s="52">
        <v>2.77</v>
      </c>
      <c r="BO222" s="52">
        <v>3.07</v>
      </c>
      <c r="BP222" s="52">
        <v>2.83</v>
      </c>
      <c r="BQ222" s="52" cm="1">
        <f t="array" aca="1" ref="BQ222" ca="1">_FV(EE222,"Preço")</f>
        <v>2.83</v>
      </c>
      <c r="BR222" s="69" t="s">
        <v>218</v>
      </c>
      <c r="BS222" s="36" cm="1">
        <f t="array" aca="1" ref="BS222" ca="1">_FV(EE222,"Média de volume",TRUE)</f>
        <v>40342790</v>
      </c>
      <c r="BT222" s="36">
        <v>17273100</v>
      </c>
      <c r="BU222" s="36" cm="1">
        <f t="array" aca="1" ref="BU222" ca="1">_FV(EE222,"Volume")</f>
        <v>17273100</v>
      </c>
      <c r="BV222" s="24" cm="1">
        <f t="array" aca="1" ref="BV222" ca="1">_FV(EE222,"Beta")</f>
        <v>1.8645</v>
      </c>
      <c r="BW222" s="71" cm="1">
        <f t="array" aca="1" ref="BW222" ca="1">_FV(EE222,"Variação (%)",TRUE)</f>
        <v>-1.3937E-2</v>
      </c>
      <c r="BY222" s="17" cm="1">
        <f t="array" aca="1" ref="BY222" ca="1">_FV(EE222,"Baixo")</f>
        <v>2.82</v>
      </c>
      <c r="BZ222" s="17" cm="1">
        <f t="array" aca="1" ref="BZ222" ca="1">_FV(EE222,"Alto")</f>
        <v>2.9</v>
      </c>
      <c r="CA222" s="24"/>
      <c r="CB222" s="63">
        <f ca="1">SQRT(22.5*(BQ222/VLOOKUP(BR222,Fundamentus!A:U,3,FALSE))*(BQ222/VLOOKUP(BR222,Fundamentus!A:U,4,FALSE)))</f>
        <v>9.4543664326520123</v>
      </c>
      <c r="CD222" s="62">
        <f t="shared" ca="1" si="241"/>
        <v>0</v>
      </c>
      <c r="CE222" s="8"/>
      <c r="CF222" s="61">
        <f t="shared" si="242"/>
        <v>1.06</v>
      </c>
      <c r="CG222" s="61">
        <f t="shared" si="243"/>
        <v>3.11</v>
      </c>
      <c r="CH222" s="61">
        <f t="shared" si="244"/>
        <v>1.8874264705882353</v>
      </c>
      <c r="CI222" s="14"/>
      <c r="CJ222" s="35">
        <f t="shared" si="227"/>
        <v>2.6926785136746134</v>
      </c>
      <c r="CK222" s="15">
        <f t="shared" si="245"/>
        <v>3.0349999999999682</v>
      </c>
      <c r="CL222" s="35">
        <f t="shared" si="228"/>
        <v>3.3773214863253229</v>
      </c>
      <c r="CN222" s="14"/>
      <c r="CO222" s="17">
        <f t="shared" si="229"/>
        <v>-0.49333333333333274</v>
      </c>
      <c r="CP222" s="17">
        <f t="shared" si="230"/>
        <v>0.28333333333333366</v>
      </c>
      <c r="CQ222" s="17">
        <f t="shared" si="231"/>
        <v>1.5566666666666671</v>
      </c>
      <c r="CR222" s="38">
        <f t="shared" si="246"/>
        <v>2.3333333333333335</v>
      </c>
      <c r="CS222" s="17">
        <f t="shared" si="232"/>
        <v>3.6066666666666669</v>
      </c>
      <c r="CT222" s="17">
        <f t="shared" si="233"/>
        <v>4.3833333333333329</v>
      </c>
      <c r="CU222" s="17">
        <f t="shared" si="234"/>
        <v>5.6566666666666663</v>
      </c>
      <c r="CV222" s="2" cm="1">
        <f t="array" aca="1" ref="CV222" ca="1">MAX(_xlfn._xlws.FILTER(CO222:CU222,CO222:CU222&lt;BQ222))</f>
        <v>2.3333333333333335</v>
      </c>
      <c r="CW222" s="2" cm="1">
        <f t="array" aca="1" ref="CW222" ca="1">MIN(_xlfn._xlws.FILTER($CO222:$CU222,$CO222:$CU222&gt;BQ222))</f>
        <v>3.6066666666666669</v>
      </c>
      <c r="CX222" s="16">
        <f t="shared" ca="1" si="248"/>
        <v>0.54571428571428582</v>
      </c>
      <c r="CY222" s="20">
        <f t="shared" ca="1" si="249"/>
        <v>-0.27285714285714291</v>
      </c>
      <c r="CZ222" s="20">
        <f t="shared" ca="1" si="250"/>
        <v>-0.18190476190476193</v>
      </c>
      <c r="DA222" s="20">
        <f t="shared" ca="1" si="251"/>
        <v>-0.10914285714285717</v>
      </c>
      <c r="DB222" s="20">
        <f t="shared" ca="1" si="252"/>
        <v>-6.0634920634920646E-2</v>
      </c>
      <c r="DC222" s="20">
        <f t="shared" ca="1" si="253"/>
        <v>-3.2100840336134459E-2</v>
      </c>
      <c r="DD222" s="20">
        <f t="shared" ca="1" si="254"/>
        <v>-1.6536796536796541E-2</v>
      </c>
      <c r="DE222" s="20">
        <f t="shared" ca="1" si="255"/>
        <v>-8.3956043956043974E-3</v>
      </c>
      <c r="DF222" s="21">
        <f t="shared" ca="1" si="256"/>
        <v>8.3956043956043974E-3</v>
      </c>
      <c r="DG222" s="21">
        <f t="shared" ca="1" si="257"/>
        <v>1.6536796536796541E-2</v>
      </c>
      <c r="DH222" s="21">
        <f t="shared" ca="1" si="258"/>
        <v>3.2100840336134459E-2</v>
      </c>
      <c r="DI222" s="21">
        <f t="shared" ca="1" si="259"/>
        <v>6.0634920634920646E-2</v>
      </c>
      <c r="DJ222" s="21">
        <f t="shared" ca="1" si="260"/>
        <v>0.10914285714285717</v>
      </c>
      <c r="DK222" s="21">
        <f t="shared" ca="1" si="261"/>
        <v>0.18190476190476193</v>
      </c>
      <c r="DL222" s="21">
        <f t="shared" ca="1" si="262"/>
        <v>0.27285714285714291</v>
      </c>
      <c r="DN222" s="16" cm="1">
        <f t="array" aca="1" ref="DN222" ca="1">MAX(_xlfn._xlws.FILTER(CY222:DL222,CY222:DL222&lt;BW222))</f>
        <v>-1.6536796536796541E-2</v>
      </c>
      <c r="DO222" s="16" cm="1">
        <f t="array" aca="1" ref="DO222" ca="1">MIN(_xlfn._xlws.FILTER(CY222:DL222,CY222:DL222&gt;BW222))</f>
        <v>-8.3956043956043974E-3</v>
      </c>
      <c r="DP222" s="2" cm="1">
        <f t="array" aca="1" ref="DP222" ca="1">_FV(EE222,"Fechamento anterior",TRUE)</f>
        <v>2.87</v>
      </c>
      <c r="DQ222" s="28">
        <f t="shared" ca="1" si="235"/>
        <v>0.31930388839228685</v>
      </c>
      <c r="DR222" s="15">
        <f t="shared" ca="1" si="263"/>
        <v>2.8225393939393939</v>
      </c>
      <c r="DS222" s="15">
        <f t="shared" ca="1" si="264"/>
        <v>2.8459046153846157</v>
      </c>
      <c r="DT222" s="9"/>
      <c r="DU222" s="9"/>
      <c r="DV222" s="9"/>
      <c r="DW222" s="89">
        <v>2.9321489184992597E-2</v>
      </c>
      <c r="DX222" s="89">
        <f t="shared" ca="1" si="236"/>
        <v>8.1411921411921433E-3</v>
      </c>
      <c r="DY222" s="72">
        <f t="shared" ca="1" si="237"/>
        <v>-0.59885227246626482</v>
      </c>
      <c r="DZ222" s="37"/>
      <c r="EA222" s="35">
        <f t="shared" si="247"/>
        <v>0.17116074316267732</v>
      </c>
      <c r="EB222" s="56"/>
      <c r="EC222" s="56"/>
      <c r="EE222" s="2" t="e" vm="224">
        <v>#VALUE!</v>
      </c>
      <c r="EG222" s="10" cm="1">
        <f t="array" aca="1" ref="EG222" ca="1">_FV(EE222,"Ações em circulação",TRUE)</f>
        <v>1876606000</v>
      </c>
      <c r="EH222" s="18">
        <f>VLOOKUP(BR222,Fundamentus!A:U,5,FALSE)</f>
        <v>0.76200000000000001</v>
      </c>
      <c r="EI222" s="2">
        <f t="shared" ca="1" si="238"/>
        <v>6969547217.8477688</v>
      </c>
      <c r="EJ222" s="17">
        <v>1168096113.7112861</v>
      </c>
      <c r="EK222" s="17">
        <f t="shared" ca="1" si="239"/>
        <v>1168096113.7112861</v>
      </c>
      <c r="EM222" s="16">
        <f t="shared" ca="1" si="226"/>
        <v>0</v>
      </c>
      <c r="EN222" s="32" t="str">
        <f>IF(VLOOKUP(BR222,Fundamentus!A:U,3,FALSE)&lt;15,"Bom",IF(VLOOKUP(BR222,Fundamentus!A:U,3,FALSE)&gt;15,"Ruim","n/a"))</f>
        <v>Bom</v>
      </c>
      <c r="EO222" s="28" t="str">
        <f>IF(VLOOKUP(BR222,Fundamentus!A:U,4,FALSE)&lt;1,"Baixo",IF(VLOOKUP(BR222,Fundamentus!A:U,4,FALSE)&lt;1.5,"Moderado",IF(VLOOKUP(BR222,Fundamentus!A:U,4,FALSE)&gt;1.5,"Alto","n/a")))</f>
        <v>Baixo</v>
      </c>
      <c r="EP222" s="17" t="str">
        <f>IF(VLOOKUP(BR222,Fundamentus!A:U,8,FALSE)&lt;0,"Risco elevado",IF(VLOOKUP(BR222,Fundamentus!A:U,8,FALSE)&lt;1,"Saudável",IF(VLOOKUP(BR222,Fundamentus!A:U,8,FALSE)&lt;3,"Estável",IF(VLOOKUP(BR222,Fundamentus!A:U,8,FALSE)&gt;3,"Alerta","n/a"))))</f>
        <v>Alerta</v>
      </c>
      <c r="EQ222" s="28" t="str">
        <f t="shared" si="240"/>
        <v>Ruim</v>
      </c>
      <c r="ER222" s="17" t="str">
        <f>IF(VLOOKUP(BR222,Fundamentus!A:U,12,FALSE)&lt;2,"Subvalorizada",IF(VLOOKUP(BR222,Fundamentus!A:U,12,FALSE)&lt;6,"Muita barata",IF(VLOOKUP(BR222,Fundamentus!A:U,12,FALSE)&lt;6,"Barata",IF(VLOOKUP(BR222,Fundamentus!A:U,12,FALSE)&lt;8,"Atrativa",IF(VLOOKUP(BR222,Fundamentus!A:U,12,FALSE)&gt;8,"Supervalorizada","n/a")))))</f>
        <v>Muita barata</v>
      </c>
      <c r="ET222" s="17" t="str">
        <f>IF(VLOOKUP(BR222,Fundamentus!A:U,17,FALSE)&lt;0.1,"Fraco retorno",IF(VLOOKUP(BR222,Fundamentus!A:U,17,FALSE)&gt;0.1,"Bom retorno","n/a"))</f>
        <v>Fraco retorno</v>
      </c>
      <c r="EU222" s="17" t="str">
        <f>IF(VLOOKUP(BR222,Fundamentus!A:U,16,FALSE)&lt;0.1,"Ineficiente",IF(VLOOKUP(BR222,Fundamentus!A:U,16,FALSE)&gt;0.1,"Eficiente","n/a"))</f>
        <v>Ineficiente</v>
      </c>
      <c r="EV222" s="33" t="str">
        <f>IF(VLOOKUP(BR222,Fundamentus!A:U,16,FALSE)&lt;0.1,"Oper. Ineficiente",IF(VLOOKUP(BR222,Fundamentus!A:U,16,FALSE)&gt;0.1,"Oper.Eficiente","n/a"))</f>
        <v>Oper. Ineficiente</v>
      </c>
      <c r="EW222" s="34">
        <f>VLOOKUP(BR222,Fundamentus!A:U,14,FALSE)</f>
        <v>0.1676</v>
      </c>
      <c r="EX222" s="17" t="str">
        <f>IF(VLOOKUP(BR222,Fundamentus!A:U,21,FALSE)&lt;0,"Negativo",IF(VLOOKUP(BR222,Fundamentus!A:U,21,FALSE)&lt;0.05,"Fraco",IF(VLOOKUP(BR222,Fundamentus!A:U,21,FALSE)&lt;0.1,"Bom",IF(VLOOKUP(BR222,Fundamentus!A:U,21,FALSE)&gt;0.1,"Muito bom","n/a"))))</f>
        <v>Bom</v>
      </c>
      <c r="EZ222" s="29" t="str">
        <f>IF(VLOOKUP(BR222,Fundamentus!A:U,15,FALSE)&gt;1,"Bom",IF(VLOOKUP(BR222,Fundamentus!A:U,15,FALSE)&lt;1,"Ruim","n/a"))</f>
        <v>Bom</v>
      </c>
      <c r="FA222" s="17" t="str">
        <f>IF(VLOOKUP(BR222,Fundamentus!A:U,20,FALSE)&lt;0.5,"Baixa",IF(VLOOKUP(BR222,Fundamentus!A:U,20,FALSE)&lt;1,"Moderada",IF(VLOOKUP(BR222,Fundamentus!A:U,20,FALSE)&lt;2,"Alerta",IF(VLOOKUP(BR222,Fundamentus!A:U,20,FALSE)&gt;2,"Alta","n/a"))))</f>
        <v>Moderada</v>
      </c>
    </row>
    <row r="223" spans="1:158" s="2" customFormat="1" ht="11.25"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5">
        <v>7.06</v>
      </c>
      <c r="BC223" s="52">
        <v>7.92</v>
      </c>
      <c r="BD223" s="52">
        <v>8.31</v>
      </c>
      <c r="BE223" s="52">
        <v>8.3699999999999992</v>
      </c>
      <c r="BF223" s="52">
        <v>8.86</v>
      </c>
      <c r="BG223" s="67">
        <v>8.9</v>
      </c>
      <c r="BH223" s="52">
        <v>8.99</v>
      </c>
      <c r="BI223" s="52">
        <v>9.2200000000000006</v>
      </c>
      <c r="BJ223" s="52">
        <v>8.5299999999999994</v>
      </c>
      <c r="BK223" s="52">
        <v>8.56</v>
      </c>
      <c r="BL223" s="52">
        <v>8.5500000000000007</v>
      </c>
      <c r="BM223" s="52">
        <v>8.02</v>
      </c>
      <c r="BN223" s="52">
        <v>7.01</v>
      </c>
      <c r="BO223" s="52">
        <v>7.65</v>
      </c>
      <c r="BP223" s="52">
        <v>7.3</v>
      </c>
      <c r="BQ223" s="52" cm="1">
        <f t="array" aca="1" ref="BQ223" ca="1">_FV(EE223,"Preço")</f>
        <v>7.3</v>
      </c>
      <c r="BR223" s="70" t="s">
        <v>219</v>
      </c>
      <c r="BS223" s="36" cm="1">
        <f t="array" aca="1" ref="BS223" ca="1">_FV(EE223,"Média de volume",TRUE)</f>
        <v>17980</v>
      </c>
      <c r="BT223" s="36">
        <v>2500</v>
      </c>
      <c r="BU223" s="36" cm="1">
        <f t="array" aca="1" ref="BU223" ca="1">_FV(EE223,"Volume")</f>
        <v>2500</v>
      </c>
      <c r="BV223" s="24" cm="1">
        <f t="array" aca="1" ref="BV223" ca="1">_FV(EE223,"Beta")</f>
        <v>1.3706</v>
      </c>
      <c r="BW223" s="71" cm="1">
        <f t="array" aca="1" ref="BW223" ca="1">_FV(EE223,"Variação (%)",TRUE)</f>
        <v>-3.3113000000000004E-2</v>
      </c>
      <c r="BY223" s="17" cm="1">
        <f t="array" aca="1" ref="BY223" ca="1">_FV(EE223,"Baixo")</f>
        <v>7.3</v>
      </c>
      <c r="BZ223" s="17" cm="1">
        <f t="array" aca="1" ref="BZ223" ca="1">_FV(EE223,"Alto")</f>
        <v>7.56</v>
      </c>
      <c r="CA223" s="24"/>
      <c r="CB223" s="63" t="e">
        <f ca="1">SQRT(22.5*(BQ223/VLOOKUP(BR223,Fundamentus!A:U,3,FALSE))*(BQ223/VLOOKUP(BR223,Fundamentus!A:U,4,FALSE)))</f>
        <v>#NUM!</v>
      </c>
      <c r="CD223" s="62">
        <f t="shared" ca="1" si="241"/>
        <v>0</v>
      </c>
      <c r="CE223" s="8"/>
      <c r="CF223" s="61">
        <f t="shared" si="242"/>
        <v>1.56</v>
      </c>
      <c r="CG223" s="61">
        <f t="shared" si="243"/>
        <v>15.38</v>
      </c>
      <c r="CH223" s="61">
        <f t="shared" si="244"/>
        <v>8.8739705882352897</v>
      </c>
      <c r="CI223" s="14"/>
      <c r="CJ223" s="35">
        <f t="shared" si="227"/>
        <v>5.9452889245630018</v>
      </c>
      <c r="CK223" s="15">
        <f t="shared" si="245"/>
        <v>7.1150000000000091</v>
      </c>
      <c r="CL223" s="35">
        <f t="shared" si="228"/>
        <v>8.2847110754370163</v>
      </c>
      <c r="CN223" s="14"/>
      <c r="CO223" s="17">
        <f t="shared" si="229"/>
        <v>-13.040000000000001</v>
      </c>
      <c r="CP223" s="17">
        <f t="shared" si="230"/>
        <v>-5.74</v>
      </c>
      <c r="CQ223" s="17">
        <f t="shared" si="231"/>
        <v>0.77999999999999936</v>
      </c>
      <c r="CR223" s="38">
        <f t="shared" si="246"/>
        <v>8.08</v>
      </c>
      <c r="CS223" s="17">
        <f t="shared" si="232"/>
        <v>14.6</v>
      </c>
      <c r="CT223" s="17">
        <f t="shared" si="233"/>
        <v>21.9</v>
      </c>
      <c r="CU223" s="17">
        <f t="shared" si="234"/>
        <v>28.42</v>
      </c>
      <c r="CV223" s="2" cm="1">
        <f t="array" aca="1" ref="CV223" ca="1">MAX(_xlfn._xlws.FILTER(CO223:CU223,CO223:CU223&lt;BQ223))</f>
        <v>0.77999999999999936</v>
      </c>
      <c r="CW223" s="2" cm="1">
        <f t="array" aca="1" ref="CW223" ca="1">MIN(_xlfn._xlws.FILTER($CO223:$CU223,$CO223:$CU223&gt;BQ223))</f>
        <v>8.08</v>
      </c>
      <c r="CX223" s="16">
        <f t="shared" ca="1" si="248"/>
        <v>9.3589743589743684</v>
      </c>
      <c r="CY223" s="20">
        <f t="shared" ca="1" si="249"/>
        <v>-4.6794871794871842</v>
      </c>
      <c r="CZ223" s="20">
        <f t="shared" ca="1" si="250"/>
        <v>-3.1196581196581228</v>
      </c>
      <c r="DA223" s="20">
        <f t="shared" ca="1" si="251"/>
        <v>-1.8717948717948736</v>
      </c>
      <c r="DB223" s="20">
        <f t="shared" ca="1" si="252"/>
        <v>-1.039886039886041</v>
      </c>
      <c r="DC223" s="20">
        <f t="shared" ca="1" si="253"/>
        <v>-0.55052790346908054</v>
      </c>
      <c r="DD223" s="20">
        <f t="shared" ca="1" si="254"/>
        <v>-0.28360528360528386</v>
      </c>
      <c r="DE223" s="20">
        <f t="shared" ca="1" si="255"/>
        <v>-0.14398422090729798</v>
      </c>
      <c r="DF223" s="21">
        <f t="shared" ca="1" si="256"/>
        <v>0.14398422090729798</v>
      </c>
      <c r="DG223" s="21">
        <f t="shared" ca="1" si="257"/>
        <v>0.28360528360528386</v>
      </c>
      <c r="DH223" s="21">
        <f t="shared" ca="1" si="258"/>
        <v>0.55052790346908054</v>
      </c>
      <c r="DI223" s="21">
        <f t="shared" ca="1" si="259"/>
        <v>1.039886039886041</v>
      </c>
      <c r="DJ223" s="21">
        <f t="shared" ca="1" si="260"/>
        <v>1.8717948717948736</v>
      </c>
      <c r="DK223" s="21">
        <f t="shared" ca="1" si="261"/>
        <v>3.1196581196581228</v>
      </c>
      <c r="DL223" s="21">
        <f t="shared" ca="1" si="262"/>
        <v>4.6794871794871842</v>
      </c>
      <c r="DN223" s="16" cm="1">
        <f t="array" aca="1" ref="DN223" ca="1">MAX(_xlfn._xlws.FILTER(CY223:DL223,CY223:DL223&lt;BW223))</f>
        <v>-0.14398422090729798</v>
      </c>
      <c r="DO223" s="16" cm="1">
        <f t="array" aca="1" ref="DO223" ca="1">MIN(_xlfn._xlws.FILTER(CY223:DL223,CY223:DL223&gt;BW223))</f>
        <v>0.14398422090729798</v>
      </c>
      <c r="DP223" s="2" cm="1">
        <f t="array" aca="1" ref="DP223" ca="1">_FV(EE223,"Fechamento anterior",TRUE)</f>
        <v>7.55</v>
      </c>
      <c r="DQ223" s="28">
        <f t="shared" ca="1" si="235"/>
        <v>0.38501315431370764</v>
      </c>
      <c r="DR223" s="15">
        <f t="shared" ca="1" si="263"/>
        <v>6.4629191321499002</v>
      </c>
      <c r="DS223" s="15">
        <f t="shared" ca="1" si="264"/>
        <v>8.6370808678501003</v>
      </c>
      <c r="DT223" s="9"/>
      <c r="DU223" s="9"/>
      <c r="DV223" s="9"/>
      <c r="DW223" s="89">
        <v>0.2181174089068825</v>
      </c>
      <c r="DX223" s="89">
        <f t="shared" ca="1" si="236"/>
        <v>0.28796844181459597</v>
      </c>
      <c r="DY223" s="72">
        <f t="shared" ca="1" si="237"/>
        <v>0.15815871447645669</v>
      </c>
      <c r="DZ223" s="37"/>
      <c r="EA223" s="35">
        <f t="shared" si="247"/>
        <v>0.58485553771850385</v>
      </c>
      <c r="EB223" s="56"/>
      <c r="EC223" s="56"/>
      <c r="EE223" s="2" t="e" vm="225">
        <v>#VALUE!</v>
      </c>
      <c r="EG223" s="10" cm="1">
        <f t="array" aca="1" ref="EG223" ca="1">_FV(EE223,"Ações em circulação",TRUE)</f>
        <v>330121700</v>
      </c>
      <c r="EH223" s="18">
        <f>VLOOKUP(BR223,Fundamentus!A:U,5,FALSE)</f>
        <v>1.5960000000000001</v>
      </c>
      <c r="EI223" s="2">
        <f t="shared" ca="1" si="238"/>
        <v>1509955144.1102755</v>
      </c>
      <c r="EJ223" s="17">
        <v>12795812877.733707</v>
      </c>
      <c r="EK223" s="17">
        <f t="shared" ca="1" si="239"/>
        <v>12795812877.733707</v>
      </c>
      <c r="EM223" s="16">
        <f t="shared" ca="1" si="226"/>
        <v>0</v>
      </c>
      <c r="EN223" s="32" t="str">
        <f>IF(VLOOKUP(BR223,Fundamentus!A:U,3,FALSE)&lt;15,"Bom",IF(VLOOKUP(BR223,Fundamentus!A:U,3,FALSE)&gt;15,"Ruim","n/a"))</f>
        <v>Bom</v>
      </c>
      <c r="EO223" s="28" t="str">
        <f>IF(VLOOKUP(BR223,Fundamentus!A:U,4,FALSE)&lt;1,"Baixo",IF(VLOOKUP(BR223,Fundamentus!A:U,4,FALSE)&lt;1.5,"Moderado",IF(VLOOKUP(BR223,Fundamentus!A:U,4,FALSE)&gt;1.5,"Alto","n/a")))</f>
        <v>Baixo</v>
      </c>
      <c r="EP223" s="17" t="str">
        <f>IF(VLOOKUP(BR223,Fundamentus!A:U,8,FALSE)&lt;0,"Risco elevado",IF(VLOOKUP(BR223,Fundamentus!A:U,8,FALSE)&lt;1,"Saudável",IF(VLOOKUP(BR223,Fundamentus!A:U,8,FALSE)&lt;3,"Estável",IF(VLOOKUP(BR223,Fundamentus!A:U,8,FALSE)&gt;3,"Alerta","n/a"))))</f>
        <v>Risco elevado</v>
      </c>
      <c r="EQ223" s="28" t="str">
        <f t="shared" si="240"/>
        <v>Bom</v>
      </c>
      <c r="ER223" s="17" t="str">
        <f>IF(VLOOKUP(BR223,Fundamentus!A:U,12,FALSE)&lt;2,"Subvalorizada",IF(VLOOKUP(BR223,Fundamentus!A:U,12,FALSE)&lt;6,"Muita barata",IF(VLOOKUP(BR223,Fundamentus!A:U,12,FALSE)&lt;6,"Barata",IF(VLOOKUP(BR223,Fundamentus!A:U,12,FALSE)&lt;8,"Atrativa",IF(VLOOKUP(BR223,Fundamentus!A:U,12,FALSE)&gt;8,"Supervalorizada","n/a")))))</f>
        <v>Subvalorizada</v>
      </c>
      <c r="ET223" s="17" t="str">
        <f>IF(VLOOKUP(BR223,Fundamentus!A:U,17,FALSE)&lt;0.1,"Fraco retorno",IF(VLOOKUP(BR223,Fundamentus!A:U,17,FALSE)&gt;0.1,"Bom retorno","n/a"))</f>
        <v>Fraco retorno</v>
      </c>
      <c r="EU223" s="17" t="str">
        <f>IF(VLOOKUP(BR223,Fundamentus!A:U,16,FALSE)&lt;0.1,"Ineficiente",IF(VLOOKUP(BR223,Fundamentus!A:U,16,FALSE)&gt;0.1,"Eficiente","n/a"))</f>
        <v>Ineficiente</v>
      </c>
      <c r="EV223" s="33" t="str">
        <f>IF(VLOOKUP(BR223,Fundamentus!A:U,16,FALSE)&lt;0.1,"Oper. Ineficiente",IF(VLOOKUP(BR223,Fundamentus!A:U,16,FALSE)&gt;0.1,"Oper.Eficiente","n/a"))</f>
        <v>Oper. Ineficiente</v>
      </c>
      <c r="EW223" s="34">
        <f>VLOOKUP(BR223,Fundamentus!A:U,14,FALSE)</f>
        <v>8.4742999999999995</v>
      </c>
      <c r="EX223" s="17" t="str">
        <f>IF(VLOOKUP(BR223,Fundamentus!A:U,21,FALSE)&lt;0,"Negativo",IF(VLOOKUP(BR223,Fundamentus!A:U,21,FALSE)&lt;0.05,"Fraco",IF(VLOOKUP(BR223,Fundamentus!A:U,21,FALSE)&lt;0.1,"Bom",IF(VLOOKUP(BR223,Fundamentus!A:U,21,FALSE)&gt;0.1,"Muito bom","n/a"))))</f>
        <v>Negativo</v>
      </c>
      <c r="EZ223" s="29" t="str">
        <f>IF(VLOOKUP(BR223,Fundamentus!A:U,15,FALSE)&gt;1,"Bom",IF(VLOOKUP(BR223,Fundamentus!A:U,15,FALSE)&lt;1,"Ruim","n/a"))</f>
        <v>Ruim</v>
      </c>
      <c r="FA223" s="17" t="str">
        <f>IF(VLOOKUP(BR223,Fundamentus!A:U,20,FALSE)&lt;0.5,"Baixa",IF(VLOOKUP(BR223,Fundamentus!A:U,20,FALSE)&lt;1,"Moderada",IF(VLOOKUP(BR223,Fundamentus!A:U,20,FALSE)&lt;2,"Alerta",IF(VLOOKUP(BR223,Fundamentus!A:U,20,FALSE)&gt;2,"Alta","n/a"))))</f>
        <v>Baixa</v>
      </c>
    </row>
    <row r="224" spans="1:158" s="2" customFormat="1" ht="11.25"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5">
        <v>5.2</v>
      </c>
      <c r="BC224" s="52">
        <v>5</v>
      </c>
      <c r="BD224" s="52">
        <v>4.8</v>
      </c>
      <c r="BE224" s="52">
        <v>4.62</v>
      </c>
      <c r="BF224" s="52">
        <v>4.5599999999999996</v>
      </c>
      <c r="BG224" s="67">
        <v>4.49</v>
      </c>
      <c r="BH224" s="52">
        <v>4.3499999999999996</v>
      </c>
      <c r="BI224" s="52">
        <v>4.8099999999999996</v>
      </c>
      <c r="BJ224" s="52">
        <v>4.95</v>
      </c>
      <c r="BK224" s="52">
        <v>4.96</v>
      </c>
      <c r="BL224" s="52">
        <v>4.97</v>
      </c>
      <c r="BM224" s="52">
        <v>4.96</v>
      </c>
      <c r="BN224" s="52">
        <v>4.75</v>
      </c>
      <c r="BO224" s="52">
        <v>4.83</v>
      </c>
      <c r="BP224" s="52">
        <v>4.6500000000000004</v>
      </c>
      <c r="BQ224" s="52" cm="1">
        <f t="array" aca="1" ref="BQ224" ca="1">_FV(EE224,"Preço")</f>
        <v>4.6500000000000004</v>
      </c>
      <c r="BR224" s="69" t="s">
        <v>220</v>
      </c>
      <c r="BS224" s="36" cm="1">
        <f t="array" aca="1" ref="BS224" ca="1">_FV(EE224,"Média de volume",TRUE)</f>
        <v>194780</v>
      </c>
      <c r="BT224" s="36">
        <v>255600</v>
      </c>
      <c r="BU224" s="36" cm="1">
        <f t="array" aca="1" ref="BU224" ca="1">_FV(EE224,"Volume")</f>
        <v>255600</v>
      </c>
      <c r="BV224" s="24" cm="1">
        <f t="array" aca="1" ref="BV224" ca="1">_FV(EE224,"Beta")</f>
        <v>0.99539999999999995</v>
      </c>
      <c r="BW224" s="71" cm="1">
        <f t="array" aca="1" ref="BW224" ca="1">_FV(EE224,"Variação (%)",TRUE)</f>
        <v>7.6388999999999999E-2</v>
      </c>
      <c r="BY224" s="17" cm="1">
        <f t="array" aca="1" ref="BY224" ca="1">_FV(EE224,"Baixo")</f>
        <v>4.3099999999999996</v>
      </c>
      <c r="BZ224" s="17" cm="1">
        <f t="array" aca="1" ref="BZ224" ca="1">_FV(EE224,"Alto")</f>
        <v>4.6500000000000004</v>
      </c>
      <c r="CA224" s="24"/>
      <c r="CB224" s="63">
        <f ca="1">SQRT(22.5*(BQ224/VLOOKUP(BR224,Fundamentus!A:U,3,FALSE))*(BQ224/VLOOKUP(BR224,Fundamentus!A:U,4,FALSE)))</f>
        <v>6.513999375802217</v>
      </c>
      <c r="CD224" s="62">
        <f t="shared" ca="1" si="241"/>
        <v>0</v>
      </c>
      <c r="CE224" s="8"/>
      <c r="CF224" s="61">
        <f t="shared" si="242"/>
        <v>4.3499999999999996</v>
      </c>
      <c r="CG224" s="61">
        <f t="shared" si="243"/>
        <v>6.46</v>
      </c>
      <c r="CH224" s="61">
        <f t="shared" si="244"/>
        <v>5.3792647058823526</v>
      </c>
      <c r="CI224" s="14"/>
      <c r="CJ224" s="35">
        <f t="shared" si="227"/>
        <v>4.4076416057808734</v>
      </c>
      <c r="CK224" s="15">
        <f t="shared" si="245"/>
        <v>4.5850000000000364</v>
      </c>
      <c r="CL224" s="35">
        <f t="shared" si="228"/>
        <v>4.7623583942191994</v>
      </c>
      <c r="CN224" s="14"/>
      <c r="CO224" s="17">
        <f t="shared" si="229"/>
        <v>1.7366666666666664</v>
      </c>
      <c r="CP224" s="17">
        <f t="shared" si="230"/>
        <v>3.043333333333333</v>
      </c>
      <c r="CQ224" s="17">
        <f t="shared" si="231"/>
        <v>3.8466666666666667</v>
      </c>
      <c r="CR224" s="38">
        <f t="shared" si="246"/>
        <v>5.1533333333333333</v>
      </c>
      <c r="CS224" s="17">
        <f t="shared" si="232"/>
        <v>5.956666666666667</v>
      </c>
      <c r="CT224" s="17">
        <f t="shared" si="233"/>
        <v>7.2633333333333336</v>
      </c>
      <c r="CU224" s="17">
        <f t="shared" si="234"/>
        <v>8.0666666666666664</v>
      </c>
      <c r="CV224" s="2" cm="1">
        <f t="array" aca="1" ref="CV224" ca="1">MAX(_xlfn._xlws.FILTER(CO224:CU224,CO224:CU224&lt;BQ224))</f>
        <v>3.8466666666666667</v>
      </c>
      <c r="CW224" s="2" cm="1">
        <f t="array" aca="1" ref="CW224" ca="1">MIN(_xlfn._xlws.FILTER($CO224:$CU224,$CO224:$CU224&gt;BQ224))</f>
        <v>5.1533333333333333</v>
      </c>
      <c r="CX224" s="16">
        <f t="shared" ca="1" si="248"/>
        <v>0.33968804159445409</v>
      </c>
      <c r="CY224" s="20">
        <f t="shared" ca="1" si="249"/>
        <v>-0.16984402079722705</v>
      </c>
      <c r="CZ224" s="20">
        <f t="shared" ca="1" si="250"/>
        <v>-0.11322934719815136</v>
      </c>
      <c r="DA224" s="20">
        <f t="shared" ca="1" si="251"/>
        <v>-6.7937608318890813E-2</v>
      </c>
      <c r="DB224" s="20">
        <f t="shared" ca="1" si="252"/>
        <v>-3.7743115732717124E-2</v>
      </c>
      <c r="DC224" s="20">
        <f t="shared" ca="1" si="253"/>
        <v>-1.9981649505556122E-2</v>
      </c>
      <c r="DD224" s="20">
        <f t="shared" ca="1" si="254"/>
        <v>-1.0293577018013761E-2</v>
      </c>
      <c r="DE224" s="20">
        <f t="shared" ca="1" si="255"/>
        <v>-5.2259698706839091E-3</v>
      </c>
      <c r="DF224" s="21">
        <f t="shared" ca="1" si="256"/>
        <v>5.2259698706839091E-3</v>
      </c>
      <c r="DG224" s="21">
        <f t="shared" ca="1" si="257"/>
        <v>1.0293577018013761E-2</v>
      </c>
      <c r="DH224" s="21">
        <f t="shared" ca="1" si="258"/>
        <v>1.9981649505556122E-2</v>
      </c>
      <c r="DI224" s="21">
        <f t="shared" ca="1" si="259"/>
        <v>3.7743115732717124E-2</v>
      </c>
      <c r="DJ224" s="21">
        <f t="shared" ca="1" si="260"/>
        <v>6.7937608318890813E-2</v>
      </c>
      <c r="DK224" s="21">
        <f t="shared" ca="1" si="261"/>
        <v>0.11322934719815136</v>
      </c>
      <c r="DL224" s="21">
        <f t="shared" ca="1" si="262"/>
        <v>0.16984402079722705</v>
      </c>
      <c r="DN224" s="16" cm="1">
        <f t="array" aca="1" ref="DN224" ca="1">MAX(_xlfn._xlws.FILTER(CY224:DL224,CY224:DL224&lt;BW224))</f>
        <v>6.7937608318890813E-2</v>
      </c>
      <c r="DO224" s="16" cm="1">
        <f t="array" aca="1" ref="DO224" ca="1">MIN(_xlfn._xlws.FILTER(CY224:DL224,CY224:DL224&gt;BW224))</f>
        <v>0.11322934719815136</v>
      </c>
      <c r="DP224" s="2" cm="1">
        <f t="array" aca="1" ref="DP224" ca="1">_FV(EE224,"Fechamento anterior",TRUE)</f>
        <v>4.32</v>
      </c>
      <c r="DQ224" s="28">
        <f t="shared" ca="1" si="235"/>
        <v>0.18659651360544366</v>
      </c>
      <c r="DR224" s="15">
        <f t="shared" ca="1" si="263"/>
        <v>4.6134904679376083</v>
      </c>
      <c r="DS224" s="15">
        <f t="shared" ca="1" si="264"/>
        <v>4.8091507798960142</v>
      </c>
      <c r="DT224" s="9"/>
      <c r="DU224" s="9"/>
      <c r="DV224" s="9"/>
      <c r="DW224" s="89">
        <v>1.6433239962651735E-2</v>
      </c>
      <c r="DX224" s="89">
        <f t="shared" ca="1" si="236"/>
        <v>4.5291738879260551E-2</v>
      </c>
      <c r="DY224" s="72">
        <f t="shared" ca="1" si="237"/>
        <v>0.36648956079092049</v>
      </c>
      <c r="DZ224" s="37"/>
      <c r="EA224" s="35">
        <f t="shared" si="247"/>
        <v>8.8679197109581401E-2</v>
      </c>
      <c r="EB224" s="56"/>
      <c r="EC224" s="56"/>
      <c r="EE224" s="2" t="e" vm="226">
        <v>#VALUE!</v>
      </c>
      <c r="EG224" s="10" cm="1">
        <f t="array" aca="1" ref="EG224" ca="1">_FV(EE224,"Ações em circulação",TRUE)</f>
        <v>150314000</v>
      </c>
      <c r="EH224" s="18">
        <f>VLOOKUP(BR224,Fundamentus!A:U,5,FALSE)</f>
        <v>0.90400000000000003</v>
      </c>
      <c r="EI224" s="2">
        <f t="shared" ca="1" si="238"/>
        <v>773185951.32743359</v>
      </c>
      <c r="EJ224" s="17">
        <v>69896009.999999985</v>
      </c>
      <c r="EK224" s="17">
        <f t="shared" ca="1" si="239"/>
        <v>69896009.999999985</v>
      </c>
      <c r="EM224" s="16">
        <f t="shared" ca="1" si="226"/>
        <v>0</v>
      </c>
      <c r="EN224" s="32" t="str">
        <f>IF(VLOOKUP(BR224,Fundamentus!A:U,3,FALSE)&lt;15,"Bom",IF(VLOOKUP(BR224,Fundamentus!A:U,3,FALSE)&gt;15,"Ruim","n/a"))</f>
        <v>Bom</v>
      </c>
      <c r="EO224" s="28" t="str">
        <f>IF(VLOOKUP(BR224,Fundamentus!A:U,4,FALSE)&lt;1,"Baixo",IF(VLOOKUP(BR224,Fundamentus!A:U,4,FALSE)&lt;1.5,"Moderado",IF(VLOOKUP(BR224,Fundamentus!A:U,4,FALSE)&gt;1.5,"Alto","n/a")))</f>
        <v>Moderado</v>
      </c>
      <c r="EP224" s="17" t="str">
        <f>IF(VLOOKUP(BR224,Fundamentus!A:U,8,FALSE)&lt;0,"Risco elevado",IF(VLOOKUP(BR224,Fundamentus!A:U,8,FALSE)&lt;1,"Saudável",IF(VLOOKUP(BR224,Fundamentus!A:U,8,FALSE)&lt;3,"Estável",IF(VLOOKUP(BR224,Fundamentus!A:U,8,FALSE)&gt;3,"Alerta","n/a"))))</f>
        <v>Estável</v>
      </c>
      <c r="EQ224" s="28" t="str">
        <f t="shared" si="240"/>
        <v>Ruim</v>
      </c>
      <c r="ER224" s="17" t="str">
        <f>IF(VLOOKUP(BR224,Fundamentus!A:U,12,FALSE)&lt;2,"Subvalorizada",IF(VLOOKUP(BR224,Fundamentus!A:U,12,FALSE)&lt;6,"Muita barata",IF(VLOOKUP(BR224,Fundamentus!A:U,12,FALSE)&lt;6,"Barata",IF(VLOOKUP(BR224,Fundamentus!A:U,12,FALSE)&lt;8,"Atrativa",IF(VLOOKUP(BR224,Fundamentus!A:U,12,FALSE)&gt;8,"Supervalorizada","n/a")))))</f>
        <v>Supervalorizada</v>
      </c>
      <c r="ET224" s="17" t="str">
        <f>IF(VLOOKUP(BR224,Fundamentus!A:U,17,FALSE)&lt;0.1,"Fraco retorno",IF(VLOOKUP(BR224,Fundamentus!A:U,17,FALSE)&gt;0.1,"Bom retorno","n/a"))</f>
        <v>Bom retorno</v>
      </c>
      <c r="EU224" s="17" t="str">
        <f>IF(VLOOKUP(BR224,Fundamentus!A:U,16,FALSE)&lt;0.1,"Ineficiente",IF(VLOOKUP(BR224,Fundamentus!A:U,16,FALSE)&gt;0.1,"Eficiente","n/a"))</f>
        <v>Ineficiente</v>
      </c>
      <c r="EV224" s="33" t="str">
        <f>IF(VLOOKUP(BR224,Fundamentus!A:U,16,FALSE)&lt;0.1,"Oper. Ineficiente",IF(VLOOKUP(BR224,Fundamentus!A:U,16,FALSE)&gt;0.1,"Oper.Eficiente","n/a"))</f>
        <v>Oper. Ineficiente</v>
      </c>
      <c r="EW224" s="34">
        <f>VLOOKUP(BR224,Fundamentus!A:U,14,FALSE)</f>
        <v>9.0399999999999994E-2</v>
      </c>
      <c r="EX224" s="17" t="str">
        <f>IF(VLOOKUP(BR224,Fundamentus!A:U,21,FALSE)&lt;0,"Negativo",IF(VLOOKUP(BR224,Fundamentus!A:U,21,FALSE)&lt;0.05,"Fraco",IF(VLOOKUP(BR224,Fundamentus!A:U,21,FALSE)&lt;0.1,"Bom",IF(VLOOKUP(BR224,Fundamentus!A:U,21,FALSE)&gt;0.1,"Muito bom","n/a"))))</f>
        <v>Bom</v>
      </c>
      <c r="EZ224" s="29" t="str">
        <f>IF(VLOOKUP(BR224,Fundamentus!A:U,15,FALSE)&gt;1,"Bom",IF(VLOOKUP(BR224,Fundamentus!A:U,15,FALSE)&lt;1,"Ruim","n/a"))</f>
        <v>Bom</v>
      </c>
      <c r="FA224" s="17" t="str">
        <f>IF(VLOOKUP(BR224,Fundamentus!A:U,20,FALSE)&lt;0.5,"Baixa",IF(VLOOKUP(BR224,Fundamentus!A:U,20,FALSE)&lt;1,"Moderada",IF(VLOOKUP(BR224,Fundamentus!A:U,20,FALSE)&lt;2,"Alerta",IF(VLOOKUP(BR224,Fundamentus!A:U,20,FALSE)&gt;2,"Alta","n/a"))))</f>
        <v>Baixa</v>
      </c>
    </row>
    <row r="225" spans="1:157" s="2" customFormat="1" ht="11.25"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5">
        <v>4.08</v>
      </c>
      <c r="BC225" s="52">
        <v>4.17</v>
      </c>
      <c r="BD225" s="52">
        <v>5</v>
      </c>
      <c r="BE225" s="52">
        <v>5.15</v>
      </c>
      <c r="BF225" s="52">
        <v>4.7699999999999996</v>
      </c>
      <c r="BG225" s="67">
        <v>5.26</v>
      </c>
      <c r="BH225" s="52">
        <v>4.79</v>
      </c>
      <c r="BI225" s="52">
        <v>4.6500000000000004</v>
      </c>
      <c r="BJ225" s="52">
        <v>4.6399999999999997</v>
      </c>
      <c r="BK225" s="52">
        <v>4.24</v>
      </c>
      <c r="BL225" s="52">
        <v>3.95</v>
      </c>
      <c r="BM225" s="52">
        <v>3.9</v>
      </c>
      <c r="BN225" s="52">
        <v>4.0599999999999996</v>
      </c>
      <c r="BO225" s="52">
        <v>3.79</v>
      </c>
      <c r="BP225" s="52">
        <v>3.77</v>
      </c>
      <c r="BQ225" s="52" cm="1">
        <f t="array" aca="1" ref="BQ225" ca="1">_FV(EE225,"Preço")</f>
        <v>3.77</v>
      </c>
      <c r="BR225" s="69" t="s">
        <v>221</v>
      </c>
      <c r="BS225" s="36" cm="1">
        <f t="array" aca="1" ref="BS225" ca="1">_FV(EE225,"Média de volume",TRUE)</f>
        <v>229850</v>
      </c>
      <c r="BT225" s="36">
        <v>84400</v>
      </c>
      <c r="BU225" s="36" cm="1">
        <f t="array" aca="1" ref="BU225" ca="1">_FV(EE225,"Volume")</f>
        <v>84400</v>
      </c>
      <c r="BV225" s="24" cm="1">
        <f t="array" aca="1" ref="BV225" ca="1">_FV(EE225,"Beta")</f>
        <v>1.7684</v>
      </c>
      <c r="BW225" s="71" cm="1">
        <f t="array" aca="1" ref="BW225" ca="1">_FV(EE225,"Variação (%)",TRUE)</f>
        <v>1.8918999999999998E-2</v>
      </c>
      <c r="BY225" s="17" cm="1">
        <f t="array" aca="1" ref="BY225" ca="1">_FV(EE225,"Baixo")</f>
        <v>3.65</v>
      </c>
      <c r="BZ225" s="17" cm="1">
        <f t="array" aca="1" ref="BZ225" ca="1">_FV(EE225,"Alto")</f>
        <v>3.77</v>
      </c>
      <c r="CA225" s="24"/>
      <c r="CB225" s="63" t="e">
        <f ca="1">SQRT(22.5*(BQ225/VLOOKUP(BR225,Fundamentus!A:U,3,FALSE))*(BQ225/VLOOKUP(BR225,Fundamentus!A:U,4,FALSE)))</f>
        <v>#NUM!</v>
      </c>
      <c r="CD225" s="62">
        <f t="shared" ca="1" si="241"/>
        <v>0</v>
      </c>
      <c r="CE225" s="8"/>
      <c r="CF225" s="61">
        <f t="shared" si="242"/>
        <v>3.36</v>
      </c>
      <c r="CG225" s="61">
        <f t="shared" si="243"/>
        <v>6.05</v>
      </c>
      <c r="CH225" s="61">
        <f t="shared" si="244"/>
        <v>4.297794117647058</v>
      </c>
      <c r="CI225" s="14"/>
      <c r="CJ225" s="35">
        <f t="shared" si="227"/>
        <v>3.4089542517857576</v>
      </c>
      <c r="CK225" s="15">
        <f t="shared" si="245"/>
        <v>3.714999999999975</v>
      </c>
      <c r="CL225" s="35">
        <f t="shared" si="228"/>
        <v>4.0210457482141919</v>
      </c>
      <c r="CN225" s="14"/>
      <c r="CO225" s="17">
        <f t="shared" si="229"/>
        <v>4.66666666666673E-2</v>
      </c>
      <c r="CP225" s="17">
        <f t="shared" si="230"/>
        <v>1.7033333333333336</v>
      </c>
      <c r="CQ225" s="17">
        <f t="shared" si="231"/>
        <v>2.7366666666666672</v>
      </c>
      <c r="CR225" s="38">
        <f t="shared" si="246"/>
        <v>4.3933333333333335</v>
      </c>
      <c r="CS225" s="17">
        <f t="shared" si="232"/>
        <v>5.4266666666666676</v>
      </c>
      <c r="CT225" s="17">
        <f t="shared" si="233"/>
        <v>7.0833333333333339</v>
      </c>
      <c r="CU225" s="17">
        <f t="shared" si="234"/>
        <v>8.1166666666666671</v>
      </c>
      <c r="CV225" s="2" cm="1">
        <f t="array" aca="1" ref="CV225" ca="1">MAX(_xlfn._xlws.FILTER(CO225:CU225,CO225:CU225&lt;BQ225))</f>
        <v>2.7366666666666672</v>
      </c>
      <c r="CW225" s="2" cm="1">
        <f t="array" aca="1" ref="CW225" ca="1">MIN(_xlfn._xlws.FILTER($CO225:$CU225,$CO225:$CU225&gt;BQ225))</f>
        <v>4.3933333333333335</v>
      </c>
      <c r="CX225" s="16">
        <f t="shared" ca="1" si="248"/>
        <v>0.60535931790499364</v>
      </c>
      <c r="CY225" s="20">
        <f t="shared" ca="1" si="249"/>
        <v>-0.30267965895249682</v>
      </c>
      <c r="CZ225" s="20">
        <f t="shared" ca="1" si="250"/>
        <v>-0.20178643930166454</v>
      </c>
      <c r="DA225" s="20">
        <f t="shared" ca="1" si="251"/>
        <v>-0.12107186358099872</v>
      </c>
      <c r="DB225" s="20">
        <f t="shared" ca="1" si="252"/>
        <v>-6.7262146433888184E-2</v>
      </c>
      <c r="DC225" s="20">
        <f t="shared" ca="1" si="253"/>
        <v>-3.5609371641470211E-2</v>
      </c>
      <c r="DD225" s="20">
        <f t="shared" ca="1" si="254"/>
        <v>-1.8344221754696778E-2</v>
      </c>
      <c r="DE225" s="20">
        <f t="shared" ca="1" si="255"/>
        <v>-9.3132202754614406E-3</v>
      </c>
      <c r="DF225" s="21">
        <f t="shared" ca="1" si="256"/>
        <v>9.3132202754614406E-3</v>
      </c>
      <c r="DG225" s="21">
        <f t="shared" ca="1" si="257"/>
        <v>1.8344221754696778E-2</v>
      </c>
      <c r="DH225" s="21">
        <f t="shared" ca="1" si="258"/>
        <v>3.5609371641470211E-2</v>
      </c>
      <c r="DI225" s="21">
        <f t="shared" ca="1" si="259"/>
        <v>6.7262146433888184E-2</v>
      </c>
      <c r="DJ225" s="21">
        <f t="shared" ca="1" si="260"/>
        <v>0.12107186358099872</v>
      </c>
      <c r="DK225" s="21">
        <f t="shared" ca="1" si="261"/>
        <v>0.20178643930166454</v>
      </c>
      <c r="DL225" s="21">
        <f t="shared" ca="1" si="262"/>
        <v>0.30267965895249682</v>
      </c>
      <c r="DN225" s="16" cm="1">
        <f t="array" aca="1" ref="DN225" ca="1">MAX(_xlfn._xlws.FILTER(CY225:DL225,CY225:DL225&lt;BW225))</f>
        <v>1.8344221754696778E-2</v>
      </c>
      <c r="DO225" s="16" cm="1">
        <f t="array" aca="1" ref="DO225" ca="1">MIN(_xlfn._xlws.FILTER(CY225:DL225,CY225:DL225&gt;BW225))</f>
        <v>3.5609371641470211E-2</v>
      </c>
      <c r="DP225" s="2" cm="1">
        <f t="array" aca="1" ref="DP225" ca="1">_FV(EE225,"Fechamento anterior",TRUE)</f>
        <v>3.7</v>
      </c>
      <c r="DQ225" s="28">
        <f t="shared" ca="1" si="235"/>
        <v>3.3286543585838581E-2</v>
      </c>
      <c r="DR225" s="15">
        <f t="shared" ca="1" si="263"/>
        <v>3.7678736204923782</v>
      </c>
      <c r="DS225" s="15">
        <f t="shared" ca="1" si="264"/>
        <v>3.8317546750734399</v>
      </c>
      <c r="DT225" s="9"/>
      <c r="DU225" s="9"/>
      <c r="DV225" s="9"/>
      <c r="DW225" s="89">
        <v>1.7112299465240653E-2</v>
      </c>
      <c r="DX225" s="89">
        <f t="shared" ca="1" si="236"/>
        <v>1.7265149886773433E-2</v>
      </c>
      <c r="DY225" s="72">
        <f t="shared" ca="1" si="237"/>
        <v>0.17971169448015878</v>
      </c>
      <c r="DZ225" s="37"/>
      <c r="EA225" s="35">
        <f t="shared" si="247"/>
        <v>0.1530228741071086</v>
      </c>
      <c r="EB225" s="56"/>
      <c r="EC225" s="56"/>
      <c r="EE225" s="2" t="e" vm="227">
        <v>#VALUE!</v>
      </c>
      <c r="EG225" s="10" cm="1">
        <f t="array" aca="1" ref="EG225" ca="1">_FV(EE225,"Ações em circulação",TRUE)</f>
        <v>140986900</v>
      </c>
      <c r="EH225" s="18">
        <f>VLOOKUP(BR225,Fundamentus!A:U,5,FALSE)</f>
        <v>0.22500000000000001</v>
      </c>
      <c r="EI225" s="2">
        <f t="shared" ca="1" si="238"/>
        <v>2362313835.5555553</v>
      </c>
      <c r="EJ225" s="17">
        <v>-108902667.81911111</v>
      </c>
      <c r="EK225" s="17">
        <f t="shared" ca="1" si="239"/>
        <v>-108902667.81911111</v>
      </c>
      <c r="EM225" s="16">
        <f t="shared" ca="1" si="226"/>
        <v>0</v>
      </c>
      <c r="EN225" s="32" t="str">
        <f>IF(VLOOKUP(BR225,Fundamentus!A:U,3,FALSE)&lt;15,"Bom",IF(VLOOKUP(BR225,Fundamentus!A:U,3,FALSE)&gt;15,"Ruim","n/a"))</f>
        <v>Bom</v>
      </c>
      <c r="EO225" s="28" t="str">
        <f>IF(VLOOKUP(BR225,Fundamentus!A:U,4,FALSE)&lt;1,"Baixo",IF(VLOOKUP(BR225,Fundamentus!A:U,4,FALSE)&lt;1.5,"Moderado",IF(VLOOKUP(BR225,Fundamentus!A:U,4,FALSE)&gt;1.5,"Alto","n/a")))</f>
        <v>Alto</v>
      </c>
      <c r="EP225" s="17" t="str">
        <f>IF(VLOOKUP(BR225,Fundamentus!A:U,8,FALSE)&lt;0,"Risco elevado",IF(VLOOKUP(BR225,Fundamentus!A:U,8,FALSE)&lt;1,"Saudável",IF(VLOOKUP(BR225,Fundamentus!A:U,8,FALSE)&lt;3,"Estável",IF(VLOOKUP(BR225,Fundamentus!A:U,8,FALSE)&gt;3,"Alerta","n/a"))))</f>
        <v>Risco elevado</v>
      </c>
      <c r="EQ225" s="28" t="str">
        <f t="shared" si="240"/>
        <v>Ruim</v>
      </c>
      <c r="ER225" s="17" t="str">
        <f>IF(VLOOKUP(BR225,Fundamentus!A:U,12,FALSE)&lt;2,"Subvalorizada",IF(VLOOKUP(BR225,Fundamentus!A:U,12,FALSE)&lt;6,"Muita barata",IF(VLOOKUP(BR225,Fundamentus!A:U,12,FALSE)&lt;6,"Barata",IF(VLOOKUP(BR225,Fundamentus!A:U,12,FALSE)&lt;8,"Atrativa",IF(VLOOKUP(BR225,Fundamentus!A:U,12,FALSE)&gt;8,"Supervalorizada","n/a")))))</f>
        <v>Muita barata</v>
      </c>
      <c r="ET225" s="17" t="str">
        <f>IF(VLOOKUP(BR225,Fundamentus!A:U,17,FALSE)&lt;0.1,"Fraco retorno",IF(VLOOKUP(BR225,Fundamentus!A:U,17,FALSE)&gt;0.1,"Bom retorno","n/a"))</f>
        <v>Fraco retorno</v>
      </c>
      <c r="EU225" s="17" t="str">
        <f>IF(VLOOKUP(BR225,Fundamentus!A:U,16,FALSE)&lt;0.1,"Ineficiente",IF(VLOOKUP(BR225,Fundamentus!A:U,16,FALSE)&gt;0.1,"Eficiente","n/a"))</f>
        <v>Ineficiente</v>
      </c>
      <c r="EV225" s="33" t="str">
        <f>IF(VLOOKUP(BR225,Fundamentus!A:U,16,FALSE)&lt;0.1,"Oper. Ineficiente",IF(VLOOKUP(BR225,Fundamentus!A:U,16,FALSE)&gt;0.1,"Oper.Eficiente","n/a"))</f>
        <v>Oper. Ineficiente</v>
      </c>
      <c r="EW225" s="34">
        <f>VLOOKUP(BR225,Fundamentus!A:U,14,FALSE)</f>
        <v>-4.6100000000000002E-2</v>
      </c>
      <c r="EX225" s="17" t="str">
        <f>IF(VLOOKUP(BR225,Fundamentus!A:U,21,FALSE)&lt;0,"Negativo",IF(VLOOKUP(BR225,Fundamentus!A:U,21,FALSE)&lt;0.05,"Fraco",IF(VLOOKUP(BR225,Fundamentus!A:U,21,FALSE)&lt;0.1,"Bom",IF(VLOOKUP(BR225,Fundamentus!A:U,21,FALSE)&gt;0.1,"Muito bom","n/a"))))</f>
        <v>Muito bom</v>
      </c>
      <c r="EZ225" s="29" t="str">
        <f>IF(VLOOKUP(BR225,Fundamentus!A:U,15,FALSE)&gt;1,"Bom",IF(VLOOKUP(BR225,Fundamentus!A:U,15,FALSE)&lt;1,"Ruim","n/a"))</f>
        <v>Ruim</v>
      </c>
      <c r="FA225" s="17" t="str">
        <f>IF(VLOOKUP(BR225,Fundamentus!A:U,20,FALSE)&lt;0.5,"Baixa",IF(VLOOKUP(BR225,Fundamentus!A:U,20,FALSE)&lt;1,"Moderada",IF(VLOOKUP(BR225,Fundamentus!A:U,20,FALSE)&lt;2,"Alerta",IF(VLOOKUP(BR225,Fundamentus!A:U,20,FALSE)&gt;2,"Alta","n/a"))))</f>
        <v>Alta</v>
      </c>
    </row>
    <row r="226" spans="1:157" s="2" customFormat="1" ht="11.25"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5">
        <v>1.1599999999999999</v>
      </c>
      <c r="BC226" s="52">
        <v>1.37</v>
      </c>
      <c r="BD226" s="52">
        <v>1.36</v>
      </c>
      <c r="BE226" s="52">
        <v>1.37</v>
      </c>
      <c r="BF226" s="52">
        <v>1.19</v>
      </c>
      <c r="BG226" s="67">
        <v>1.2</v>
      </c>
      <c r="BH226" s="52">
        <v>1.17</v>
      </c>
      <c r="BI226" s="52">
        <v>1.25</v>
      </c>
      <c r="BJ226" s="52">
        <v>1.18</v>
      </c>
      <c r="BK226" s="52">
        <v>1.19</v>
      </c>
      <c r="BL226" s="52">
        <v>1.1399999999999999</v>
      </c>
      <c r="BM226" s="52">
        <v>1.1000000000000001</v>
      </c>
      <c r="BN226" s="52">
        <v>1.08</v>
      </c>
      <c r="BO226" s="52">
        <v>1.05</v>
      </c>
      <c r="BP226" s="52">
        <v>0.93</v>
      </c>
      <c r="BQ226" s="52" cm="1">
        <f t="array" aca="1" ref="BQ226" ca="1">_FV(EE226,"Preço")</f>
        <v>0.93</v>
      </c>
      <c r="BR226" s="69" t="s">
        <v>222</v>
      </c>
      <c r="BS226" s="36" cm="1">
        <f t="array" aca="1" ref="BS226" ca="1">_FV(EE226,"Média de volume",TRUE)</f>
        <v>758820</v>
      </c>
      <c r="BT226" s="36">
        <v>1121400</v>
      </c>
      <c r="BU226" s="36" cm="1">
        <f t="array" aca="1" ref="BU226" ca="1">_FV(EE226,"Volume")</f>
        <v>1121400</v>
      </c>
      <c r="BV226" s="24" cm="1">
        <f t="array" aca="1" ref="BV226" ca="1">_FV(EE226,"Beta")</f>
        <v>0.95269999999999999</v>
      </c>
      <c r="BW226" s="71" cm="1">
        <f t="array" aca="1" ref="BW226" ca="1">_FV(EE226,"Variação (%)",TRUE)</f>
        <v>-5.1020000000000003E-2</v>
      </c>
      <c r="BY226" s="17" cm="1">
        <f t="array" aca="1" ref="BY226" ca="1">_FV(EE226,"Baixo")</f>
        <v>0.93</v>
      </c>
      <c r="BZ226" s="17" cm="1">
        <f t="array" aca="1" ref="BZ226" ca="1">_FV(EE226,"Alto")</f>
        <v>1</v>
      </c>
      <c r="CA226" s="24"/>
      <c r="CB226" s="63" t="e">
        <f ca="1">SQRT(22.5*(BQ226/VLOOKUP(BR226,Fundamentus!A:U,3,FALSE))*(BQ226/VLOOKUP(BR226,Fundamentus!A:U,4,FALSE)))</f>
        <v>#NUM!</v>
      </c>
      <c r="CD226" s="62">
        <f t="shared" ca="1" si="241"/>
        <v>0</v>
      </c>
      <c r="CE226" s="8"/>
      <c r="CF226" s="61">
        <f t="shared" si="242"/>
        <v>0.93</v>
      </c>
      <c r="CG226" s="61">
        <f t="shared" si="243"/>
        <v>5.42</v>
      </c>
      <c r="CH226" s="61">
        <f t="shared" si="244"/>
        <v>1.8656617647058829</v>
      </c>
      <c r="CI226" s="14"/>
      <c r="CJ226" s="35">
        <f t="shared" si="227"/>
        <v>0.80751153914434126</v>
      </c>
      <c r="CK226" s="15">
        <f t="shared" si="245"/>
        <v>0.90499999999997272</v>
      </c>
      <c r="CL226" s="35">
        <f t="shared" si="228"/>
        <v>1.0024884608556042</v>
      </c>
      <c r="CN226" s="14"/>
      <c r="CO226" s="17">
        <f t="shared" si="229"/>
        <v>-5.0566666666666675</v>
      </c>
      <c r="CP226" s="17">
        <f t="shared" si="230"/>
        <v>-2.0633333333333339</v>
      </c>
      <c r="CQ226" s="17">
        <f t="shared" si="231"/>
        <v>-0.56666666666666732</v>
      </c>
      <c r="CR226" s="38">
        <f t="shared" si="246"/>
        <v>2.4266666666666663</v>
      </c>
      <c r="CS226" s="17">
        <f t="shared" si="232"/>
        <v>3.9233333333333325</v>
      </c>
      <c r="CT226" s="17">
        <f t="shared" si="233"/>
        <v>6.9166666666666661</v>
      </c>
      <c r="CU226" s="17">
        <f t="shared" si="234"/>
        <v>8.4133333333333322</v>
      </c>
      <c r="CV226" s="2" cm="1">
        <f t="array" aca="1" ref="CV226" ca="1">MAX(_xlfn._xlws.FILTER(CO226:CU226,CO226:CU226&lt;BQ226))</f>
        <v>-0.56666666666666732</v>
      </c>
      <c r="CW226" s="2" cm="1">
        <f t="array" aca="1" ref="CW226" ca="1">MIN(_xlfn._xlws.FILTER($CO226:$CU226,$CO226:$CU226&gt;BQ226))</f>
        <v>2.4266666666666663</v>
      </c>
      <c r="CX226" s="16">
        <f t="shared" ca="1" si="248"/>
        <v>-5.2823529411764651</v>
      </c>
      <c r="CY226" s="20">
        <f t="shared" ca="1" si="249"/>
        <v>2.6411764705882326</v>
      </c>
      <c r="CZ226" s="20">
        <f t="shared" ca="1" si="250"/>
        <v>1.7607843137254884</v>
      </c>
      <c r="DA226" s="20">
        <f t="shared" ca="1" si="251"/>
        <v>1.0564705882352929</v>
      </c>
      <c r="DB226" s="20">
        <f t="shared" ca="1" si="252"/>
        <v>0.58692810457516276</v>
      </c>
      <c r="DC226" s="20">
        <f t="shared" ca="1" si="253"/>
        <v>0.31072664359861557</v>
      </c>
      <c r="DD226" s="20">
        <f t="shared" ca="1" si="254"/>
        <v>0.16007130124777166</v>
      </c>
      <c r="DE226" s="20">
        <f t="shared" ca="1" si="255"/>
        <v>8.1266968325791777E-2</v>
      </c>
      <c r="DF226" s="21">
        <f t="shared" ca="1" si="256"/>
        <v>-8.1266968325791777E-2</v>
      </c>
      <c r="DG226" s="21">
        <f t="shared" ca="1" si="257"/>
        <v>-0.16007130124777166</v>
      </c>
      <c r="DH226" s="21">
        <f t="shared" ca="1" si="258"/>
        <v>-0.31072664359861557</v>
      </c>
      <c r="DI226" s="21">
        <f t="shared" ca="1" si="259"/>
        <v>-0.58692810457516276</v>
      </c>
      <c r="DJ226" s="21">
        <f t="shared" ca="1" si="260"/>
        <v>-1.0564705882352929</v>
      </c>
      <c r="DK226" s="21">
        <f t="shared" ca="1" si="261"/>
        <v>-1.7607843137254884</v>
      </c>
      <c r="DL226" s="21">
        <f t="shared" ca="1" si="262"/>
        <v>-2.6411764705882326</v>
      </c>
      <c r="DN226" s="16" cm="1">
        <f t="array" aca="1" ref="DN226" ca="1">MAX(_xlfn._xlws.FILTER(CY226:DL226,CY226:DL226&lt;BW226))</f>
        <v>-8.1266968325791777E-2</v>
      </c>
      <c r="DO226" s="16" cm="1">
        <f t="array" aca="1" ref="DO226" ca="1">MIN(_xlfn._xlws.FILTER(CY226:DL226,CY226:DL226&gt;BW226))</f>
        <v>8.1266968325791777E-2</v>
      </c>
      <c r="DP226" s="2" cm="1">
        <f t="array" aca="1" ref="DP226" ca="1">_FV(EE226,"Fechamento anterior",TRUE)</f>
        <v>0.98</v>
      </c>
      <c r="DQ226" s="28">
        <f t="shared" ca="1" si="235"/>
        <v>0.18609381391754951</v>
      </c>
      <c r="DR226" s="15">
        <f t="shared" ca="1" si="263"/>
        <v>0.90035837104072403</v>
      </c>
      <c r="DS226" s="15">
        <f t="shared" ca="1" si="264"/>
        <v>1.0596416289592758</v>
      </c>
      <c r="DT226" s="9"/>
      <c r="DU226" s="9"/>
      <c r="DV226" s="9"/>
      <c r="DW226" s="89">
        <v>0.2204287515762923</v>
      </c>
      <c r="DX226" s="89">
        <f t="shared" ca="1" si="236"/>
        <v>0.16253393665158355</v>
      </c>
      <c r="DY226" s="72">
        <f t="shared" ca="1" si="237"/>
        <v>0.25644060620722375</v>
      </c>
      <c r="DZ226" s="37"/>
      <c r="EA226" s="35">
        <f t="shared" si="247"/>
        <v>4.8744230427815713E-2</v>
      </c>
      <c r="EB226" s="56"/>
      <c r="EC226" s="56"/>
      <c r="EE226" s="2" t="e" vm="228">
        <v>#VALUE!</v>
      </c>
      <c r="EG226" s="10" cm="1">
        <f t="array" aca="1" ref="EG226" ca="1">_FV(EE226,"Ações em circulação",TRUE)</f>
        <v>322820600</v>
      </c>
      <c r="EH226" s="18">
        <f>VLOOKUP(BR226,Fundamentus!A:U,5,FALSE)</f>
        <v>3.1E-2</v>
      </c>
      <c r="EI226" s="2">
        <f t="shared" ca="1" si="238"/>
        <v>9684618000</v>
      </c>
      <c r="EJ226" s="17">
        <v>-1254158031</v>
      </c>
      <c r="EK226" s="17">
        <f t="shared" ca="1" si="239"/>
        <v>-1254158031</v>
      </c>
      <c r="EM226" s="16">
        <f t="shared" ca="1" si="226"/>
        <v>0</v>
      </c>
      <c r="EN226" s="32" t="str">
        <f>IF(VLOOKUP(BR226,Fundamentus!A:U,3,FALSE)&lt;15,"Bom",IF(VLOOKUP(BR226,Fundamentus!A:U,3,FALSE)&gt;15,"Ruim","n/a"))</f>
        <v>Bom</v>
      </c>
      <c r="EO226" s="28" t="str">
        <f>IF(VLOOKUP(BR226,Fundamentus!A:U,4,FALSE)&lt;1,"Baixo",IF(VLOOKUP(BR226,Fundamentus!A:U,4,FALSE)&lt;1.5,"Moderado",IF(VLOOKUP(BR226,Fundamentus!A:U,4,FALSE)&gt;1.5,"Alto","n/a")))</f>
        <v>Baixo</v>
      </c>
      <c r="EP226" s="17" t="str">
        <f>IF(VLOOKUP(BR226,Fundamentus!A:U,8,FALSE)&lt;0,"Risco elevado",IF(VLOOKUP(BR226,Fundamentus!A:U,8,FALSE)&lt;1,"Saudável",IF(VLOOKUP(BR226,Fundamentus!A:U,8,FALSE)&lt;3,"Estável",IF(VLOOKUP(BR226,Fundamentus!A:U,8,FALSE)&gt;3,"Alerta","n/a"))))</f>
        <v>Saudável</v>
      </c>
      <c r="EQ226" s="28" t="str">
        <f t="shared" si="240"/>
        <v>Ruim</v>
      </c>
      <c r="ER226" s="17" t="str">
        <f>IF(VLOOKUP(BR226,Fundamentus!A:U,12,FALSE)&lt;2,"Subvalorizada",IF(VLOOKUP(BR226,Fundamentus!A:U,12,FALSE)&lt;6,"Muita barata",IF(VLOOKUP(BR226,Fundamentus!A:U,12,FALSE)&lt;6,"Barata",IF(VLOOKUP(BR226,Fundamentus!A:U,12,FALSE)&lt;8,"Atrativa",IF(VLOOKUP(BR226,Fundamentus!A:U,12,FALSE)&gt;8,"Supervalorizada","n/a")))))</f>
        <v>Supervalorizada</v>
      </c>
      <c r="ET226" s="17" t="str">
        <f>IF(VLOOKUP(BR226,Fundamentus!A:U,17,FALSE)&lt;0.1,"Fraco retorno",IF(VLOOKUP(BR226,Fundamentus!A:U,17,FALSE)&gt;0.1,"Bom retorno","n/a"))</f>
        <v>Fraco retorno</v>
      </c>
      <c r="EU226" s="17" t="str">
        <f>IF(VLOOKUP(BR226,Fundamentus!A:U,16,FALSE)&lt;0.1,"Ineficiente",IF(VLOOKUP(BR226,Fundamentus!A:U,16,FALSE)&gt;0.1,"Eficiente","n/a"))</f>
        <v>Ineficiente</v>
      </c>
      <c r="EV226" s="33" t="str">
        <f>IF(VLOOKUP(BR226,Fundamentus!A:U,16,FALSE)&lt;0.1,"Oper. Ineficiente",IF(VLOOKUP(BR226,Fundamentus!A:U,16,FALSE)&gt;0.1,"Oper.Eficiente","n/a"))</f>
        <v>Oper. Ineficiente</v>
      </c>
      <c r="EW226" s="34">
        <f>VLOOKUP(BR226,Fundamentus!A:U,14,FALSE)</f>
        <v>-0.1295</v>
      </c>
      <c r="EX226" s="17" t="str">
        <f>IF(VLOOKUP(BR226,Fundamentus!A:U,21,FALSE)&lt;0,"Negativo",IF(VLOOKUP(BR226,Fundamentus!A:U,21,FALSE)&lt;0.05,"Fraco",IF(VLOOKUP(BR226,Fundamentus!A:U,21,FALSE)&lt;0.1,"Bom",IF(VLOOKUP(BR226,Fundamentus!A:U,21,FALSE)&gt;0.1,"Muito bom","n/a"))))</f>
        <v>Muito bom</v>
      </c>
      <c r="EZ226" s="29" t="str">
        <f>IF(VLOOKUP(BR226,Fundamentus!A:U,15,FALSE)&gt;1,"Bom",IF(VLOOKUP(BR226,Fundamentus!A:U,15,FALSE)&lt;1,"Ruim","n/a"))</f>
        <v>Bom</v>
      </c>
      <c r="FA226" s="17" t="str">
        <f>IF(VLOOKUP(BR226,Fundamentus!A:U,20,FALSE)&lt;0.5,"Baixa",IF(VLOOKUP(BR226,Fundamentus!A:U,20,FALSE)&lt;1,"Moderada",IF(VLOOKUP(BR226,Fundamentus!A:U,20,FALSE)&lt;2,"Alerta",IF(VLOOKUP(BR226,Fundamentus!A:U,20,FALSE)&gt;2,"Alta","n/a"))))</f>
        <v>Alta</v>
      </c>
    </row>
    <row r="227" spans="1:157" s="2" customFormat="1" ht="11.25"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5">
        <v>3.77</v>
      </c>
      <c r="BC227" s="52">
        <v>3.83</v>
      </c>
      <c r="BD227" s="52">
        <v>3.43</v>
      </c>
      <c r="BE227" s="52">
        <v>3.49</v>
      </c>
      <c r="BF227" s="52">
        <v>3.52</v>
      </c>
      <c r="BG227" s="67">
        <v>3.53</v>
      </c>
      <c r="BH227" s="52">
        <v>3.42</v>
      </c>
      <c r="BI227" s="52">
        <v>3.41</v>
      </c>
      <c r="BJ227" s="52">
        <v>3.38</v>
      </c>
      <c r="BK227" s="52">
        <v>3.06</v>
      </c>
      <c r="BL227" s="52">
        <v>3.01</v>
      </c>
      <c r="BM227" s="52">
        <v>3.31</v>
      </c>
      <c r="BN227" s="52">
        <v>3.34</v>
      </c>
      <c r="BO227" s="52">
        <v>3.61</v>
      </c>
      <c r="BP227" s="52">
        <v>3.7</v>
      </c>
      <c r="BQ227" s="52" cm="1">
        <f t="array" aca="1" ref="BQ227" ca="1">_FV(EE227,"Preço")</f>
        <v>3.7</v>
      </c>
      <c r="BR227" s="69" t="s">
        <v>223</v>
      </c>
      <c r="BS227" s="36" cm="1">
        <f t="array" aca="1" ref="BS227" ca="1">_FV(EE227,"Média de volume",TRUE)</f>
        <v>281660</v>
      </c>
      <c r="BT227" s="36">
        <v>87800</v>
      </c>
      <c r="BU227" s="36" cm="1">
        <f t="array" aca="1" ref="BU227" ca="1">_FV(EE227,"Volume")</f>
        <v>87800</v>
      </c>
      <c r="BV227" s="24" cm="1">
        <f t="array" aca="1" ref="BV227" ca="1">_FV(EE227,"Beta")</f>
        <v>1.4412</v>
      </c>
      <c r="BW227" s="71" cm="1">
        <f t="array" aca="1" ref="BW227" ca="1">_FV(EE227,"Variação (%)",TRUE)</f>
        <v>1.9283999999999999E-2</v>
      </c>
      <c r="BY227" s="17" cm="1">
        <f t="array" aca="1" ref="BY227" ca="1">_FV(EE227,"Baixo")</f>
        <v>3.61</v>
      </c>
      <c r="BZ227" s="17" cm="1">
        <f t="array" aca="1" ref="BZ227" ca="1">_FV(EE227,"Alto")</f>
        <v>3.7</v>
      </c>
      <c r="CA227" s="24"/>
      <c r="CB227" s="63">
        <f ca="1">SQRT(22.5*(BQ227/VLOOKUP(BR227,Fundamentus!A:U,3,FALSE))*(BQ227/VLOOKUP(BR227,Fundamentus!A:U,4,FALSE)))</f>
        <v>15.215476011590995</v>
      </c>
      <c r="CD227" s="62">
        <f t="shared" ca="1" si="241"/>
        <v>0</v>
      </c>
      <c r="CE227" s="8"/>
      <c r="CF227" s="61">
        <f t="shared" si="242"/>
        <v>2.69</v>
      </c>
      <c r="CG227" s="61">
        <f t="shared" si="243"/>
        <v>6</v>
      </c>
      <c r="CH227" s="61">
        <f t="shared" si="244"/>
        <v>4.0446323529411758</v>
      </c>
      <c r="CI227" s="14"/>
      <c r="CJ227" s="35">
        <f t="shared" si="227"/>
        <v>3.4175927845190599</v>
      </c>
      <c r="CK227" s="15">
        <f t="shared" si="245"/>
        <v>3.8500000000000227</v>
      </c>
      <c r="CL227" s="35">
        <f t="shared" si="228"/>
        <v>4.282407215480986</v>
      </c>
      <c r="CN227" s="14"/>
      <c r="CO227" s="17">
        <f t="shared" si="229"/>
        <v>-1.0500000000000003</v>
      </c>
      <c r="CP227" s="17">
        <f t="shared" si="230"/>
        <v>0.81999999999999984</v>
      </c>
      <c r="CQ227" s="17">
        <f t="shared" si="231"/>
        <v>2.2599999999999998</v>
      </c>
      <c r="CR227" s="38">
        <f t="shared" si="246"/>
        <v>4.13</v>
      </c>
      <c r="CS227" s="17">
        <f t="shared" si="232"/>
        <v>5.57</v>
      </c>
      <c r="CT227" s="17">
        <f t="shared" si="233"/>
        <v>7.4399999999999995</v>
      </c>
      <c r="CU227" s="17">
        <f t="shared" si="234"/>
        <v>8.879999999999999</v>
      </c>
      <c r="CV227" s="2" cm="1">
        <f t="array" aca="1" ref="CV227" ca="1">MAX(_xlfn._xlws.FILTER(CO227:CU227,CO227:CU227&lt;BQ227))</f>
        <v>2.2599999999999998</v>
      </c>
      <c r="CW227" s="2" cm="1">
        <f t="array" aca="1" ref="CW227" ca="1">MIN(_xlfn._xlws.FILTER($CO227:$CU227,$CO227:$CU227&gt;BQ227))</f>
        <v>4.13</v>
      </c>
      <c r="CX227" s="16">
        <f t="shared" ca="1" si="248"/>
        <v>0.82743362831858414</v>
      </c>
      <c r="CY227" s="20">
        <f t="shared" ca="1" si="249"/>
        <v>-0.41371681415929207</v>
      </c>
      <c r="CZ227" s="20">
        <f t="shared" ca="1" si="250"/>
        <v>-0.27581120943952803</v>
      </c>
      <c r="DA227" s="20">
        <f t="shared" ca="1" si="251"/>
        <v>-0.16548672566371683</v>
      </c>
      <c r="DB227" s="20">
        <f t="shared" ca="1" si="252"/>
        <v>-9.1937069813176009E-2</v>
      </c>
      <c r="DC227" s="20">
        <f t="shared" ca="1" si="253"/>
        <v>-4.8672566371681422E-2</v>
      </c>
      <c r="DD227" s="20">
        <f t="shared" ca="1" si="254"/>
        <v>-2.5073746312684369E-2</v>
      </c>
      <c r="DE227" s="20">
        <f t="shared" ca="1" si="255"/>
        <v>-1.2729748127978217E-2</v>
      </c>
      <c r="DF227" s="21">
        <f t="shared" ca="1" si="256"/>
        <v>1.2729748127978217E-2</v>
      </c>
      <c r="DG227" s="21">
        <f t="shared" ca="1" si="257"/>
        <v>2.5073746312684369E-2</v>
      </c>
      <c r="DH227" s="21">
        <f t="shared" ca="1" si="258"/>
        <v>4.8672566371681422E-2</v>
      </c>
      <c r="DI227" s="21">
        <f t="shared" ca="1" si="259"/>
        <v>9.1937069813176009E-2</v>
      </c>
      <c r="DJ227" s="21">
        <f t="shared" ca="1" si="260"/>
        <v>0.16548672566371683</v>
      </c>
      <c r="DK227" s="21">
        <f t="shared" ca="1" si="261"/>
        <v>0.27581120943952803</v>
      </c>
      <c r="DL227" s="21">
        <f t="shared" ca="1" si="262"/>
        <v>0.41371681415929207</v>
      </c>
      <c r="DN227" s="16" cm="1">
        <f t="array" aca="1" ref="DN227" ca="1">MAX(_xlfn._xlws.FILTER(CY227:DL227,CY227:DL227&lt;BW227))</f>
        <v>1.2729748127978217E-2</v>
      </c>
      <c r="DO227" s="16" cm="1">
        <f t="array" aca="1" ref="DO227" ca="1">MIN(_xlfn._xlws.FILTER(CY227:DL227,CY227:DL227&gt;BW227))</f>
        <v>2.5073746312684369E-2</v>
      </c>
      <c r="DP227" s="2" cm="1">
        <f t="array" aca="1" ref="DP227" ca="1">_FV(EE227,"Fechamento anterior",TRUE)</f>
        <v>3.63</v>
      </c>
      <c r="DQ227" s="28">
        <f t="shared" ca="1" si="235"/>
        <v>0.53094615945552004</v>
      </c>
      <c r="DR227" s="15">
        <f t="shared" ca="1" si="263"/>
        <v>3.676208985704561</v>
      </c>
      <c r="DS227" s="15">
        <f t="shared" ca="1" si="264"/>
        <v>3.7210176991150443</v>
      </c>
      <c r="DT227" s="9"/>
      <c r="DU227" s="9"/>
      <c r="DV227" s="9"/>
      <c r="DW227" s="89">
        <v>1.2884085611358344E-2</v>
      </c>
      <c r="DX227" s="89">
        <f t="shared" ca="1" si="236"/>
        <v>1.2343998184706152E-2</v>
      </c>
      <c r="DY227" s="72">
        <f t="shared" ca="1" si="237"/>
        <v>-0.3468952289179052</v>
      </c>
      <c r="DZ227" s="37"/>
      <c r="EA227" s="35">
        <f t="shared" si="247"/>
        <v>0.2162036077404815</v>
      </c>
      <c r="EB227" s="56"/>
      <c r="EC227" s="56"/>
      <c r="EE227" s="2" t="e" vm="229">
        <v>#VALUE!</v>
      </c>
      <c r="EG227" s="10" cm="1">
        <f t="array" aca="1" ref="EG227" ca="1">_FV(EE227,"Ações em circulação",TRUE)</f>
        <v>103189000</v>
      </c>
      <c r="EH227" s="18">
        <f>VLOOKUP(BR227,Fundamentus!A:U,5,FALSE)</f>
        <v>1.8420000000000001</v>
      </c>
      <c r="EI227" s="2">
        <f t="shared" ca="1" si="238"/>
        <v>207274321.38979369</v>
      </c>
      <c r="EJ227" s="17">
        <v>147061131.02605864</v>
      </c>
      <c r="EK227" s="17">
        <f t="shared" ca="1" si="239"/>
        <v>147061131.02605864</v>
      </c>
      <c r="EM227" s="16">
        <f t="shared" ca="1" si="226"/>
        <v>0</v>
      </c>
      <c r="EN227" s="32" t="str">
        <f>IF(VLOOKUP(BR227,Fundamentus!A:U,3,FALSE)&lt;15,"Bom",IF(VLOOKUP(BR227,Fundamentus!A:U,3,FALSE)&gt;15,"Ruim","n/a"))</f>
        <v>Bom</v>
      </c>
      <c r="EO227" s="28" t="str">
        <f>IF(VLOOKUP(BR227,Fundamentus!A:U,4,FALSE)&lt;1,"Baixo",IF(VLOOKUP(BR227,Fundamentus!A:U,4,FALSE)&lt;1.5,"Moderado",IF(VLOOKUP(BR227,Fundamentus!A:U,4,FALSE)&gt;1.5,"Alto","n/a")))</f>
        <v>Baixo</v>
      </c>
      <c r="EP227" s="17" t="str">
        <f>IF(VLOOKUP(BR227,Fundamentus!A:U,8,FALSE)&lt;0,"Risco elevado",IF(VLOOKUP(BR227,Fundamentus!A:U,8,FALSE)&lt;1,"Saudável",IF(VLOOKUP(BR227,Fundamentus!A:U,8,FALSE)&lt;3,"Estável",IF(VLOOKUP(BR227,Fundamentus!A:U,8,FALSE)&gt;3,"Alerta","n/a"))))</f>
        <v>Estável</v>
      </c>
      <c r="EQ227" s="28" t="str">
        <f t="shared" si="240"/>
        <v>Bom</v>
      </c>
      <c r="ER227" s="17" t="str">
        <f>IF(VLOOKUP(BR227,Fundamentus!A:U,12,FALSE)&lt;2,"Subvalorizada",IF(VLOOKUP(BR227,Fundamentus!A:U,12,FALSE)&lt;6,"Muita barata",IF(VLOOKUP(BR227,Fundamentus!A:U,12,FALSE)&lt;6,"Barata",IF(VLOOKUP(BR227,Fundamentus!A:U,12,FALSE)&lt;8,"Atrativa",IF(VLOOKUP(BR227,Fundamentus!A:U,12,FALSE)&gt;8,"Supervalorizada","n/a")))))</f>
        <v>Muita barata</v>
      </c>
      <c r="ET227" s="17" t="str">
        <f>IF(VLOOKUP(BR227,Fundamentus!A:U,17,FALSE)&lt;0.1,"Fraco retorno",IF(VLOOKUP(BR227,Fundamentus!A:U,17,FALSE)&gt;0.1,"Bom retorno","n/a"))</f>
        <v>Fraco retorno</v>
      </c>
      <c r="EU227" s="17" t="str">
        <f>IF(VLOOKUP(BR227,Fundamentus!A:U,16,FALSE)&lt;0.1,"Ineficiente",IF(VLOOKUP(BR227,Fundamentus!A:U,16,FALSE)&gt;0.1,"Eficiente","n/a"))</f>
        <v>Ineficiente</v>
      </c>
      <c r="EV227" s="33" t="str">
        <f>IF(VLOOKUP(BR227,Fundamentus!A:U,16,FALSE)&lt;0.1,"Oper. Ineficiente",IF(VLOOKUP(BR227,Fundamentus!A:U,16,FALSE)&gt;0.1,"Oper.Eficiente","n/a"))</f>
        <v>Oper. Ineficiente</v>
      </c>
      <c r="EW227" s="34">
        <f>VLOOKUP(BR227,Fundamentus!A:U,14,FALSE)</f>
        <v>0.70950000000000002</v>
      </c>
      <c r="EX227" s="17" t="str">
        <f>IF(VLOOKUP(BR227,Fundamentus!A:U,21,FALSE)&lt;0,"Negativo",IF(VLOOKUP(BR227,Fundamentus!A:U,21,FALSE)&lt;0.05,"Fraco",IF(VLOOKUP(BR227,Fundamentus!A:U,21,FALSE)&lt;0.1,"Bom",IF(VLOOKUP(BR227,Fundamentus!A:U,21,FALSE)&gt;0.1,"Muito bom","n/a"))))</f>
        <v>Muito bom</v>
      </c>
      <c r="EZ227" s="29" t="str">
        <f>IF(VLOOKUP(BR227,Fundamentus!A:U,15,FALSE)&gt;1,"Bom",IF(VLOOKUP(BR227,Fundamentus!A:U,15,FALSE)&lt;1,"Ruim","n/a"))</f>
        <v>Bom</v>
      </c>
      <c r="FA227" s="17" t="str">
        <f>IF(VLOOKUP(BR227,Fundamentus!A:U,20,FALSE)&lt;0.5,"Baixa",IF(VLOOKUP(BR227,Fundamentus!A:U,20,FALSE)&lt;1,"Moderada",IF(VLOOKUP(BR227,Fundamentus!A:U,20,FALSE)&lt;2,"Alerta",IF(VLOOKUP(BR227,Fundamentus!A:U,20,FALSE)&gt;2,"Alta","n/a"))))</f>
        <v>Moderada</v>
      </c>
    </row>
    <row r="228" spans="1:157" s="2" customFormat="1" ht="11.25"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5">
        <v>2.94</v>
      </c>
      <c r="BC228" s="52">
        <v>2.83</v>
      </c>
      <c r="BD228" s="52">
        <v>2.59</v>
      </c>
      <c r="BE228" s="52">
        <v>2.69</v>
      </c>
      <c r="BF228" s="52">
        <v>2.71</v>
      </c>
      <c r="BG228" s="67">
        <v>2.52</v>
      </c>
      <c r="BH228" s="52">
        <v>2.48</v>
      </c>
      <c r="BI228" s="52">
        <v>2.4700000000000002</v>
      </c>
      <c r="BJ228" s="52">
        <v>2.39</v>
      </c>
      <c r="BK228" s="52">
        <v>2.3199999999999998</v>
      </c>
      <c r="BL228" s="52">
        <v>2.31</v>
      </c>
      <c r="BM228" s="52">
        <v>2.29</v>
      </c>
      <c r="BN228" s="52">
        <v>2.23</v>
      </c>
      <c r="BO228" s="52">
        <v>2.2200000000000002</v>
      </c>
      <c r="BP228" s="52">
        <v>2.1</v>
      </c>
      <c r="BQ228" s="52" cm="1">
        <f t="array" aca="1" ref="BQ228" ca="1">_FV(EE228,"Preço")</f>
        <v>2.1</v>
      </c>
      <c r="BR228" s="69" t="s">
        <v>224</v>
      </c>
      <c r="BS228" s="36" cm="1">
        <f t="array" aca="1" ref="BS228" ca="1">_FV(EE228,"Média de volume",TRUE)</f>
        <v>2140</v>
      </c>
      <c r="BT228" s="36">
        <v>3000</v>
      </c>
      <c r="BU228" s="36" cm="1">
        <f t="array" aca="1" ref="BU228" ca="1">_FV(EE228,"Volume")</f>
        <v>3000</v>
      </c>
      <c r="BV228" s="24" cm="1">
        <f t="array" aca="1" ref="BV228" ca="1">_FV(EE228,"Beta")</f>
        <v>0.66539999999999999</v>
      </c>
      <c r="BW228" s="71" cm="1">
        <f t="array" aca="1" ref="BW228" ca="1">_FV(EE228,"Variação (%)",TRUE)</f>
        <v>-4.7390000000000002E-3</v>
      </c>
      <c r="BY228" s="17" cm="1">
        <f t="array" aca="1" ref="BY228" ca="1">_FV(EE228,"Baixo")</f>
        <v>2.1</v>
      </c>
      <c r="BZ228" s="17" cm="1">
        <f t="array" aca="1" ref="BZ228" ca="1">_FV(EE228,"Alto")</f>
        <v>2.14</v>
      </c>
      <c r="CA228" s="24"/>
      <c r="CB228" s="63" t="e">
        <f ca="1">SQRT(22.5*(BQ228/VLOOKUP(BR228,Fundamentus!A:U,3,FALSE))*(BQ228/VLOOKUP(BR228,Fundamentus!A:U,4,FALSE)))</f>
        <v>#NUM!</v>
      </c>
      <c r="CD228" s="62">
        <f t="shared" ca="1" si="241"/>
        <v>0</v>
      </c>
      <c r="CE228" s="8"/>
      <c r="CF228" s="61">
        <f t="shared" si="242"/>
        <v>2.1</v>
      </c>
      <c r="CG228" s="61">
        <f t="shared" si="243"/>
        <v>3.62</v>
      </c>
      <c r="CH228" s="61">
        <f t="shared" si="244"/>
        <v>2.778676470588235</v>
      </c>
      <c r="CI228" s="14"/>
      <c r="CJ228" s="35">
        <f t="shared" si="227"/>
        <v>1.9824409302377968</v>
      </c>
      <c r="CK228" s="15">
        <f t="shared" si="245"/>
        <v>2.0649999999999977</v>
      </c>
      <c r="CL228" s="35">
        <f t="shared" si="228"/>
        <v>2.1475590697621989</v>
      </c>
      <c r="CN228" s="14"/>
      <c r="CO228" s="17">
        <f t="shared" si="229"/>
        <v>7.3333333333333695E-2</v>
      </c>
      <c r="CP228" s="17">
        <f t="shared" si="230"/>
        <v>1.0866666666666669</v>
      </c>
      <c r="CQ228" s="17">
        <f t="shared" si="231"/>
        <v>1.5933333333333337</v>
      </c>
      <c r="CR228" s="38">
        <f t="shared" si="246"/>
        <v>2.6066666666666669</v>
      </c>
      <c r="CS228" s="17">
        <f t="shared" si="232"/>
        <v>3.1133333333333337</v>
      </c>
      <c r="CT228" s="17">
        <f t="shared" si="233"/>
        <v>4.1266666666666669</v>
      </c>
      <c r="CU228" s="17">
        <f t="shared" si="234"/>
        <v>4.6333333333333337</v>
      </c>
      <c r="CV228" s="2" cm="1">
        <f t="array" aca="1" ref="CV228" ca="1">MAX(_xlfn._xlws.FILTER(CO228:CU228,CO228:CU228&lt;BQ228))</f>
        <v>1.5933333333333337</v>
      </c>
      <c r="CW228" s="2" cm="1">
        <f t="array" aca="1" ref="CW228" ca="1">MIN(_xlfn._xlws.FILTER($CO228:$CU228,$CO228:$CU228&gt;BQ228))</f>
        <v>2.6066666666666669</v>
      </c>
      <c r="CX228" s="16">
        <f t="shared" ca="1" si="248"/>
        <v>0.63598326359832602</v>
      </c>
      <c r="CY228" s="20">
        <f t="shared" ca="1" si="249"/>
        <v>-0.31799163179916301</v>
      </c>
      <c r="CZ228" s="20">
        <f t="shared" ca="1" si="250"/>
        <v>-0.21199442119944201</v>
      </c>
      <c r="DA228" s="20">
        <f t="shared" ca="1" si="251"/>
        <v>-0.12719665271966521</v>
      </c>
      <c r="DB228" s="20">
        <f t="shared" ca="1" si="252"/>
        <v>-7.0664807066480664E-2</v>
      </c>
      <c r="DC228" s="20">
        <f t="shared" ca="1" si="253"/>
        <v>-3.7410780211666238E-2</v>
      </c>
      <c r="DD228" s="20">
        <f t="shared" ca="1" si="254"/>
        <v>-1.9272220109040183E-2</v>
      </c>
      <c r="DE228" s="20">
        <f t="shared" ca="1" si="255"/>
        <v>-9.7843579015127087E-3</v>
      </c>
      <c r="DF228" s="21">
        <f t="shared" ca="1" si="256"/>
        <v>9.7843579015127087E-3</v>
      </c>
      <c r="DG228" s="21">
        <f t="shared" ca="1" si="257"/>
        <v>1.9272220109040183E-2</v>
      </c>
      <c r="DH228" s="21">
        <f t="shared" ca="1" si="258"/>
        <v>3.7410780211666238E-2</v>
      </c>
      <c r="DI228" s="21">
        <f t="shared" ca="1" si="259"/>
        <v>7.0664807066480664E-2</v>
      </c>
      <c r="DJ228" s="21">
        <f t="shared" ca="1" si="260"/>
        <v>0.12719665271966521</v>
      </c>
      <c r="DK228" s="21">
        <f t="shared" ca="1" si="261"/>
        <v>0.21199442119944201</v>
      </c>
      <c r="DL228" s="21">
        <f t="shared" ca="1" si="262"/>
        <v>0.31799163179916301</v>
      </c>
      <c r="DN228" s="16" cm="1">
        <f t="array" aca="1" ref="DN228" ca="1">MAX(_xlfn._xlws.FILTER(CY228:DL228,CY228:DL228&lt;BW228))</f>
        <v>-9.7843579015127087E-3</v>
      </c>
      <c r="DO228" s="16" cm="1">
        <f t="array" aca="1" ref="DO228" ca="1">MIN(_xlfn._xlws.FILTER(CY228:DL228,CY228:DL228&gt;BW228))</f>
        <v>9.7843579015127087E-3</v>
      </c>
      <c r="DP228" s="2" cm="1">
        <f t="array" aca="1" ref="DP228" ca="1">_FV(EE228,"Fechamento anterior",TRUE)</f>
        <v>2.11</v>
      </c>
      <c r="DQ228" s="28">
        <f t="shared" ca="1" si="235"/>
        <v>0.25781055125966884</v>
      </c>
      <c r="DR228" s="15">
        <f t="shared" ca="1" si="263"/>
        <v>2.0893550048278082</v>
      </c>
      <c r="DS228" s="15">
        <f t="shared" ca="1" si="264"/>
        <v>2.1306449951721915</v>
      </c>
      <c r="DT228" s="9"/>
      <c r="DU228" s="9"/>
      <c r="DV228" s="9"/>
      <c r="DW228" s="89">
        <v>8.6776437374046899E-3</v>
      </c>
      <c r="DX228" s="89">
        <f t="shared" ca="1" si="236"/>
        <v>1.9568715803025417E-2</v>
      </c>
      <c r="DY228" s="72">
        <f t="shared" ca="1" si="237"/>
        <v>0.42393888522260031</v>
      </c>
      <c r="DZ228" s="37"/>
      <c r="EA228" s="35">
        <f t="shared" si="247"/>
        <v>4.1279534881100519E-2</v>
      </c>
      <c r="EB228" s="56"/>
      <c r="EC228" s="56"/>
      <c r="EE228" s="2" t="e" vm="230">
        <v>#VALUE!</v>
      </c>
      <c r="EG228" s="10" cm="1">
        <f t="array" aca="1" ref="EG228" ca="1">_FV(EE228,"Ações em circulação",TRUE)</f>
        <v>43769810</v>
      </c>
      <c r="EH228" s="18">
        <f>VLOOKUP(BR228,Fundamentus!A:U,5,FALSE)</f>
        <v>0.20799999999999999</v>
      </c>
      <c r="EI228" s="2">
        <f t="shared" ca="1" si="238"/>
        <v>441906735.57692307</v>
      </c>
      <c r="EJ228" s="17">
        <v>-122275593.73413461</v>
      </c>
      <c r="EK228" s="17">
        <f t="shared" ca="1" si="239"/>
        <v>-122275593.73413461</v>
      </c>
      <c r="EM228" s="16">
        <f t="shared" ca="1" si="226"/>
        <v>0</v>
      </c>
      <c r="EN228" s="32" t="str">
        <f>IF(VLOOKUP(BR228,Fundamentus!A:U,3,FALSE)&lt;15,"Bom",IF(VLOOKUP(BR228,Fundamentus!A:U,3,FALSE)&gt;15,"Ruim","n/a"))</f>
        <v>Bom</v>
      </c>
      <c r="EO228" s="28" t="str">
        <f>IF(VLOOKUP(BR228,Fundamentus!A:U,4,FALSE)&lt;1,"Baixo",IF(VLOOKUP(BR228,Fundamentus!A:U,4,FALSE)&lt;1.5,"Moderado",IF(VLOOKUP(BR228,Fundamentus!A:U,4,FALSE)&gt;1.5,"Alto","n/a")))</f>
        <v>Baixo</v>
      </c>
      <c r="EP228" s="17" t="str">
        <f>IF(VLOOKUP(BR228,Fundamentus!A:U,8,FALSE)&lt;0,"Risco elevado",IF(VLOOKUP(BR228,Fundamentus!A:U,8,FALSE)&lt;1,"Saudável",IF(VLOOKUP(BR228,Fundamentus!A:U,8,FALSE)&lt;3,"Estável",IF(VLOOKUP(BR228,Fundamentus!A:U,8,FALSE)&gt;3,"Alerta","n/a"))))</f>
        <v>Saudável</v>
      </c>
      <c r="EQ228" s="28" t="str">
        <f t="shared" si="240"/>
        <v>Ruim</v>
      </c>
      <c r="ER228" s="17" t="str">
        <f>IF(VLOOKUP(BR228,Fundamentus!A:U,12,FALSE)&lt;2,"Subvalorizada",IF(VLOOKUP(BR228,Fundamentus!A:U,12,FALSE)&lt;6,"Muita barata",IF(VLOOKUP(BR228,Fundamentus!A:U,12,FALSE)&lt;6,"Barata",IF(VLOOKUP(BR228,Fundamentus!A:U,12,FALSE)&lt;8,"Atrativa",IF(VLOOKUP(BR228,Fundamentus!A:U,12,FALSE)&gt;8,"Supervalorizada","n/a")))))</f>
        <v>Subvalorizada</v>
      </c>
      <c r="ET228" s="17" t="str">
        <f>IF(VLOOKUP(BR228,Fundamentus!A:U,17,FALSE)&lt;0.1,"Fraco retorno",IF(VLOOKUP(BR228,Fundamentus!A:U,17,FALSE)&gt;0.1,"Bom retorno","n/a"))</f>
        <v>Fraco retorno</v>
      </c>
      <c r="EU228" s="17" t="str">
        <f>IF(VLOOKUP(BR228,Fundamentus!A:U,16,FALSE)&lt;0.1,"Ineficiente",IF(VLOOKUP(BR228,Fundamentus!A:U,16,FALSE)&gt;0.1,"Eficiente","n/a"))</f>
        <v>Ineficiente</v>
      </c>
      <c r="EV228" s="33" t="str">
        <f>IF(VLOOKUP(BR228,Fundamentus!A:U,16,FALSE)&lt;0.1,"Oper. Ineficiente",IF(VLOOKUP(BR228,Fundamentus!A:U,16,FALSE)&gt;0.1,"Oper.Eficiente","n/a"))</f>
        <v>Oper. Ineficiente</v>
      </c>
      <c r="EW228" s="34">
        <f>VLOOKUP(BR228,Fundamentus!A:U,14,FALSE)</f>
        <v>-0.2767</v>
      </c>
      <c r="EX228" s="17" t="str">
        <f>IF(VLOOKUP(BR228,Fundamentus!A:U,21,FALSE)&lt;0,"Negativo",IF(VLOOKUP(BR228,Fundamentus!A:U,21,FALSE)&lt;0.05,"Fraco",IF(VLOOKUP(BR228,Fundamentus!A:U,21,FALSE)&lt;0.1,"Bom",IF(VLOOKUP(BR228,Fundamentus!A:U,21,FALSE)&gt;0.1,"Muito bom","n/a"))))</f>
        <v>Fraco</v>
      </c>
      <c r="EZ228" s="29" t="str">
        <f>IF(VLOOKUP(BR228,Fundamentus!A:U,15,FALSE)&gt;1,"Bom",IF(VLOOKUP(BR228,Fundamentus!A:U,15,FALSE)&lt;1,"Ruim","n/a"))</f>
        <v>Bom</v>
      </c>
      <c r="FA228" s="17" t="str">
        <f>IF(VLOOKUP(BR228,Fundamentus!A:U,20,FALSE)&lt;0.5,"Baixa",IF(VLOOKUP(BR228,Fundamentus!A:U,20,FALSE)&lt;1,"Moderada",IF(VLOOKUP(BR228,Fundamentus!A:U,20,FALSE)&lt;2,"Alerta",IF(VLOOKUP(BR228,Fundamentus!A:U,20,FALSE)&gt;2,"Alta","n/a"))))</f>
        <v>Alta</v>
      </c>
    </row>
    <row r="229" spans="1:157" s="2" customFormat="1" ht="11.25"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5">
        <v>3.11</v>
      </c>
      <c r="BC229" s="52">
        <v>3.37</v>
      </c>
      <c r="BD229" s="52">
        <v>3.09</v>
      </c>
      <c r="BE229" s="52">
        <v>3.01</v>
      </c>
      <c r="BF229" s="52">
        <v>3.06</v>
      </c>
      <c r="BG229" s="67">
        <v>3.05</v>
      </c>
      <c r="BH229" s="52">
        <v>3.05</v>
      </c>
      <c r="BI229" s="52">
        <v>3.05</v>
      </c>
      <c r="BJ229" s="52">
        <v>3.22</v>
      </c>
      <c r="BK229" s="52">
        <v>3.21</v>
      </c>
      <c r="BL229" s="52">
        <v>3.62</v>
      </c>
      <c r="BM229" s="52">
        <v>3.5</v>
      </c>
      <c r="BN229" s="52">
        <v>3.49</v>
      </c>
      <c r="BO229" s="52">
        <v>3.1</v>
      </c>
      <c r="BP229" s="52">
        <v>2.85</v>
      </c>
      <c r="BQ229" s="52" cm="1">
        <f t="array" aca="1" ref="BQ229" ca="1">_FV(EE229,"Preço")</f>
        <v>2.85</v>
      </c>
      <c r="BR229" s="69" t="s">
        <v>225</v>
      </c>
      <c r="BS229" s="36" cm="1">
        <f t="array" aca="1" ref="BS229" ca="1">_FV(EE229,"Média de volume",TRUE)</f>
        <v>13009160</v>
      </c>
      <c r="BT229" s="36">
        <v>20299200</v>
      </c>
      <c r="BU229" s="36" cm="1">
        <f t="array" aca="1" ref="BU229" ca="1">_FV(EE229,"Volume")</f>
        <v>20299200</v>
      </c>
      <c r="BV229" s="24" cm="1">
        <f t="array" aca="1" ref="BV229" ca="1">_FV(EE229,"Beta")</f>
        <v>1.954</v>
      </c>
      <c r="BW229" s="71" cm="1">
        <f t="array" aca="1" ref="BW229" ca="1">_FV(EE229,"Variação (%)",TRUE)</f>
        <v>6.7416000000000004E-2</v>
      </c>
      <c r="BY229" s="17" cm="1">
        <f t="array" aca="1" ref="BY229" ca="1">_FV(EE229,"Baixo")</f>
        <v>2.61</v>
      </c>
      <c r="BZ229" s="17" cm="1">
        <f t="array" aca="1" ref="BZ229" ca="1">_FV(EE229,"Alto")</f>
        <v>2.87</v>
      </c>
      <c r="CA229" s="24"/>
      <c r="CB229" s="63" t="e">
        <f ca="1">SQRT(22.5*(BQ229/VLOOKUP(BR229,Fundamentus!A:U,3,FALSE))*(BQ229/VLOOKUP(BR229,Fundamentus!A:U,4,FALSE)))</f>
        <v>#NUM!</v>
      </c>
      <c r="CD229" s="62">
        <f t="shared" ca="1" si="241"/>
        <v>0</v>
      </c>
      <c r="CE229" s="8"/>
      <c r="CF229" s="61">
        <f t="shared" si="242"/>
        <v>2.37</v>
      </c>
      <c r="CG229" s="61">
        <f t="shared" si="243"/>
        <v>4.4000000000000004</v>
      </c>
      <c r="CH229" s="61">
        <f t="shared" si="244"/>
        <v>3.0074264705882365</v>
      </c>
      <c r="CI229" s="14"/>
      <c r="CJ229" s="35">
        <f t="shared" si="227"/>
        <v>2.258776278837662</v>
      </c>
      <c r="CK229" s="15">
        <f t="shared" si="245"/>
        <v>2.6499999999998636</v>
      </c>
      <c r="CL229" s="35">
        <f t="shared" si="228"/>
        <v>3.0412237211620652</v>
      </c>
      <c r="CN229" s="14"/>
      <c r="CO229" s="17">
        <f t="shared" si="229"/>
        <v>-1.6666666666666607E-2</v>
      </c>
      <c r="CP229" s="17">
        <f t="shared" si="230"/>
        <v>1.1766666666666667</v>
      </c>
      <c r="CQ229" s="17">
        <f t="shared" si="231"/>
        <v>2.0133333333333336</v>
      </c>
      <c r="CR229" s="38">
        <f t="shared" si="246"/>
        <v>3.206666666666667</v>
      </c>
      <c r="CS229" s="17">
        <f t="shared" si="232"/>
        <v>4.0433333333333339</v>
      </c>
      <c r="CT229" s="17">
        <f t="shared" si="233"/>
        <v>5.2366666666666672</v>
      </c>
      <c r="CU229" s="17">
        <f t="shared" si="234"/>
        <v>6.0733333333333341</v>
      </c>
      <c r="CV229" s="2" cm="1">
        <f t="array" aca="1" ref="CV229" ca="1">MAX(_xlfn._xlws.FILTER(CO229:CU229,CO229:CU229&lt;BQ229))</f>
        <v>2.0133333333333336</v>
      </c>
      <c r="CW229" s="2" cm="1">
        <f t="array" aca="1" ref="CW229" ca="1">MIN(_xlfn._xlws.FILTER($CO229:$CU229,$CO229:$CU229&gt;BQ229))</f>
        <v>3.206666666666667</v>
      </c>
      <c r="CX229" s="16">
        <f t="shared" ca="1" si="248"/>
        <v>0.5927152317880795</v>
      </c>
      <c r="CY229" s="20">
        <f t="shared" ca="1" si="249"/>
        <v>-0.29635761589403975</v>
      </c>
      <c r="CZ229" s="20">
        <f t="shared" ca="1" si="250"/>
        <v>-0.19757174392935983</v>
      </c>
      <c r="DA229" s="20">
        <f t="shared" ca="1" si="251"/>
        <v>-0.11854304635761589</v>
      </c>
      <c r="DB229" s="20">
        <f t="shared" ca="1" si="252"/>
        <v>-6.5857247976453273E-2</v>
      </c>
      <c r="DC229" s="20">
        <f t="shared" ca="1" si="253"/>
        <v>-3.4865601869887027E-2</v>
      </c>
      <c r="DD229" s="20">
        <f t="shared" ca="1" si="254"/>
        <v>-1.7961067629941804E-2</v>
      </c>
      <c r="DE229" s="20">
        <f t="shared" ca="1" si="255"/>
        <v>-9.1186958736627615E-3</v>
      </c>
      <c r="DF229" s="21">
        <f t="shared" ca="1" si="256"/>
        <v>9.1186958736627615E-3</v>
      </c>
      <c r="DG229" s="21">
        <f t="shared" ca="1" si="257"/>
        <v>1.7961067629941804E-2</v>
      </c>
      <c r="DH229" s="21">
        <f t="shared" ca="1" si="258"/>
        <v>3.4865601869887027E-2</v>
      </c>
      <c r="DI229" s="21">
        <f t="shared" ca="1" si="259"/>
        <v>6.5857247976453273E-2</v>
      </c>
      <c r="DJ229" s="21">
        <f t="shared" ca="1" si="260"/>
        <v>0.11854304635761589</v>
      </c>
      <c r="DK229" s="21">
        <f t="shared" ca="1" si="261"/>
        <v>0.19757174392935983</v>
      </c>
      <c r="DL229" s="21">
        <f t="shared" ca="1" si="262"/>
        <v>0.29635761589403975</v>
      </c>
      <c r="DN229" s="16" cm="1">
        <f t="array" aca="1" ref="DN229" ca="1">MAX(_xlfn._xlws.FILTER(CY229:DL229,CY229:DL229&lt;BW229))</f>
        <v>6.5857247976453273E-2</v>
      </c>
      <c r="DO229" s="16" cm="1">
        <f t="array" aca="1" ref="DO229" ca="1">MIN(_xlfn._xlws.FILTER(CY229:DL229,CY229:DL229&gt;BW229))</f>
        <v>0.11854304635761589</v>
      </c>
      <c r="DP229" s="2" cm="1">
        <f t="array" aca="1" ref="DP229" ca="1">_FV(EE229,"Fechamento anterior",TRUE)</f>
        <v>2.67</v>
      </c>
      <c r="DQ229" s="28">
        <f t="shared" ca="1" si="235"/>
        <v>2.9580691733099428E-2</v>
      </c>
      <c r="DR229" s="15">
        <f t="shared" ca="1" si="263"/>
        <v>2.8458388520971303</v>
      </c>
      <c r="DS229" s="15">
        <f t="shared" ca="1" si="264"/>
        <v>2.9865099337748342</v>
      </c>
      <c r="DT229" s="9"/>
      <c r="DU229" s="9"/>
      <c r="DV229" s="9"/>
      <c r="DW229" s="89">
        <v>1.4521905509493196E-2</v>
      </c>
      <c r="DX229" s="89">
        <f t="shared" ca="1" si="236"/>
        <v>5.2685798381162621E-2</v>
      </c>
      <c r="DY229" s="72">
        <f t="shared" ca="1" si="237"/>
        <v>0.51121644517362075</v>
      </c>
      <c r="DZ229" s="37"/>
      <c r="EA229" s="35">
        <f t="shared" si="247"/>
        <v>0.19561186058110078</v>
      </c>
      <c r="EB229" s="56"/>
      <c r="EC229" s="56"/>
      <c r="EE229" s="2" t="e" vm="231">
        <v>#VALUE!</v>
      </c>
      <c r="EG229" s="10" cm="1">
        <f t="array" aca="1" ref="EG229" ca="1">_FV(EE229,"Ações em circulação",TRUE)</f>
        <v>490392000</v>
      </c>
      <c r="EH229" s="18">
        <f>VLOOKUP(BR229,Fundamentus!A:U,5,FALSE)</f>
        <v>8.8999999999999996E-2</v>
      </c>
      <c r="EI229" s="2">
        <f t="shared" ca="1" si="238"/>
        <v>15703564044.943821</v>
      </c>
      <c r="EJ229" s="17">
        <v>-1582919255.7303371</v>
      </c>
      <c r="EK229" s="17">
        <f t="shared" ca="1" si="239"/>
        <v>-1582919255.7303371</v>
      </c>
      <c r="EM229" s="16">
        <f t="shared" ca="1" si="226"/>
        <v>0</v>
      </c>
      <c r="EN229" s="32" t="str">
        <f>IF(VLOOKUP(BR229,Fundamentus!A:U,3,FALSE)&lt;15,"Bom",IF(VLOOKUP(BR229,Fundamentus!A:U,3,FALSE)&gt;15,"Ruim","n/a"))</f>
        <v>Bom</v>
      </c>
      <c r="EO229" s="28" t="str">
        <f>IF(VLOOKUP(BR229,Fundamentus!A:U,4,FALSE)&lt;1,"Baixo",IF(VLOOKUP(BR229,Fundamentus!A:U,4,FALSE)&lt;1.5,"Moderado",IF(VLOOKUP(BR229,Fundamentus!A:U,4,FALSE)&gt;1.5,"Alto","n/a")))</f>
        <v>Baixo</v>
      </c>
      <c r="EP229" s="17" t="str">
        <f>IF(VLOOKUP(BR229,Fundamentus!A:U,8,FALSE)&lt;0,"Risco elevado",IF(VLOOKUP(BR229,Fundamentus!A:U,8,FALSE)&lt;1,"Saudável",IF(VLOOKUP(BR229,Fundamentus!A:U,8,FALSE)&lt;3,"Estável",IF(VLOOKUP(BR229,Fundamentus!A:U,8,FALSE)&gt;3,"Alerta","n/a"))))</f>
        <v>Risco elevado</v>
      </c>
      <c r="EQ229" s="28" t="str">
        <f t="shared" si="240"/>
        <v>Ruim</v>
      </c>
      <c r="ER229" s="17" t="str">
        <f>IF(VLOOKUP(BR229,Fundamentus!A:U,12,FALSE)&lt;2,"Subvalorizada",IF(VLOOKUP(BR229,Fundamentus!A:U,12,FALSE)&lt;6,"Muita barata",IF(VLOOKUP(BR229,Fundamentus!A:U,12,FALSE)&lt;6,"Barata",IF(VLOOKUP(BR229,Fundamentus!A:U,12,FALSE)&lt;8,"Atrativa",IF(VLOOKUP(BR229,Fundamentus!A:U,12,FALSE)&gt;8,"Supervalorizada","n/a")))))</f>
        <v>Subvalorizada</v>
      </c>
      <c r="ET229" s="17" t="str">
        <f>IF(VLOOKUP(BR229,Fundamentus!A:U,17,FALSE)&lt;0.1,"Fraco retorno",IF(VLOOKUP(BR229,Fundamentus!A:U,17,FALSE)&gt;0.1,"Bom retorno","n/a"))</f>
        <v>Fraco retorno</v>
      </c>
      <c r="EU229" s="17" t="str">
        <f>IF(VLOOKUP(BR229,Fundamentus!A:U,16,FALSE)&lt;0.1,"Ineficiente",IF(VLOOKUP(BR229,Fundamentus!A:U,16,FALSE)&gt;0.1,"Eficiente","n/a"))</f>
        <v>Eficiente</v>
      </c>
      <c r="EV229" s="33" t="str">
        <f>IF(VLOOKUP(BR229,Fundamentus!A:U,16,FALSE)&lt;0.1,"Oper. Ineficiente",IF(VLOOKUP(BR229,Fundamentus!A:U,16,FALSE)&gt;0.1,"Oper.Eficiente","n/a"))</f>
        <v>Oper.Eficiente</v>
      </c>
      <c r="EW229" s="34">
        <f>VLOOKUP(BR229,Fundamentus!A:U,14,FALSE)</f>
        <v>-0.1008</v>
      </c>
      <c r="EX229" s="17" t="str">
        <f>IF(VLOOKUP(BR229,Fundamentus!A:U,21,FALSE)&lt;0,"Negativo",IF(VLOOKUP(BR229,Fundamentus!A:U,21,FALSE)&lt;0.05,"Fraco",IF(VLOOKUP(BR229,Fundamentus!A:U,21,FALSE)&lt;0.1,"Bom",IF(VLOOKUP(BR229,Fundamentus!A:U,21,FALSE)&gt;0.1,"Muito bom","n/a"))))</f>
        <v>Negativo</v>
      </c>
      <c r="EZ229" s="29" t="str">
        <f>IF(VLOOKUP(BR229,Fundamentus!A:U,15,FALSE)&gt;1,"Bom",IF(VLOOKUP(BR229,Fundamentus!A:U,15,FALSE)&lt;1,"Ruim","n/a"))</f>
        <v>Ruim</v>
      </c>
      <c r="FA229" s="17" t="str">
        <f>IF(VLOOKUP(BR229,Fundamentus!A:U,20,FALSE)&lt;0.5,"Baixa",IF(VLOOKUP(BR229,Fundamentus!A:U,20,FALSE)&lt;1,"Moderada",IF(VLOOKUP(BR229,Fundamentus!A:U,20,FALSE)&lt;2,"Alerta",IF(VLOOKUP(BR229,Fundamentus!A:U,20,FALSE)&gt;2,"Alta","n/a"))))</f>
        <v>Alerta</v>
      </c>
    </row>
    <row r="230" spans="1:157" s="2" customFormat="1" ht="11.25"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5">
        <v>7.45</v>
      </c>
      <c r="BC230" s="52">
        <v>8.35</v>
      </c>
      <c r="BD230" s="52">
        <v>7.28</v>
      </c>
      <c r="BE230" s="52">
        <v>8.02</v>
      </c>
      <c r="BF230" s="52">
        <v>7.44</v>
      </c>
      <c r="BG230" s="67">
        <v>7.06</v>
      </c>
      <c r="BH230" s="52">
        <v>6.99</v>
      </c>
      <c r="BI230" s="52">
        <v>7.06</v>
      </c>
      <c r="BJ230" s="52">
        <v>6.95</v>
      </c>
      <c r="BK230" s="52">
        <v>7.33</v>
      </c>
      <c r="BL230" s="52">
        <v>6.76</v>
      </c>
      <c r="BM230" s="52">
        <v>5.9</v>
      </c>
      <c r="BN230" s="52">
        <v>5.48</v>
      </c>
      <c r="BO230" s="52">
        <v>5.42</v>
      </c>
      <c r="BP230" s="52">
        <v>5.42</v>
      </c>
      <c r="BQ230" s="52" cm="1">
        <f t="array" aca="1" ref="BQ230" ca="1">_FV(EE230,"Preço")</f>
        <v>5.42</v>
      </c>
      <c r="BR230" s="69" t="s">
        <v>226</v>
      </c>
      <c r="BS230" s="36" cm="1">
        <f t="array" aca="1" ref="BS230" ca="1">_FV(EE230,"Média de volume",TRUE)</f>
        <v>2722580</v>
      </c>
      <c r="BT230" s="36">
        <v>2507200</v>
      </c>
      <c r="BU230" s="36" cm="1">
        <f t="array" aca="1" ref="BU230" ca="1">_FV(EE230,"Volume")</f>
        <v>2507200</v>
      </c>
      <c r="BV230" s="24" cm="1">
        <f t="array" aca="1" ref="BV230" ca="1">_FV(EE230,"Beta")</f>
        <v>1.9188000000000001</v>
      </c>
      <c r="BW230" s="71" cm="1">
        <f t="array" aca="1" ref="BW230" ca="1">_FV(EE230,"Variação (%)",TRUE)</f>
        <v>-3.2143000000000005E-2</v>
      </c>
      <c r="BY230" s="17" cm="1">
        <f t="array" aca="1" ref="BY230" ca="1">_FV(EE230,"Baixo")</f>
        <v>5.38</v>
      </c>
      <c r="BZ230" s="17" cm="1">
        <f t="array" aca="1" ref="BZ230" ca="1">_FV(EE230,"Alto")</f>
        <v>5.75</v>
      </c>
      <c r="CA230" s="24"/>
      <c r="CB230" s="63" t="e">
        <f ca="1">SQRT(22.5*(BQ230/VLOOKUP(BR230,Fundamentus!A:U,3,FALSE))*(BQ230/VLOOKUP(BR230,Fundamentus!A:U,4,FALSE)))</f>
        <v>#NUM!</v>
      </c>
      <c r="CD230" s="62">
        <f t="shared" ca="1" si="241"/>
        <v>0</v>
      </c>
      <c r="CE230" s="8"/>
      <c r="CF230" s="61">
        <f t="shared" si="242"/>
        <v>2.61</v>
      </c>
      <c r="CG230" s="61">
        <f t="shared" si="243"/>
        <v>8.35</v>
      </c>
      <c r="CH230" s="61">
        <f t="shared" si="244"/>
        <v>4.8849999999999989</v>
      </c>
      <c r="CI230" s="14"/>
      <c r="CJ230" s="35">
        <f t="shared" si="227"/>
        <v>3.6820333782089296</v>
      </c>
      <c r="CK230" s="15">
        <f t="shared" si="245"/>
        <v>5.17999999999995</v>
      </c>
      <c r="CL230" s="35">
        <f t="shared" si="228"/>
        <v>6.6779666217909703</v>
      </c>
      <c r="CN230" s="14"/>
      <c r="CO230" s="17">
        <f t="shared" si="229"/>
        <v>-3.1699999999999995</v>
      </c>
      <c r="CP230" s="17">
        <f t="shared" si="230"/>
        <v>-0.28000000000000025</v>
      </c>
      <c r="CQ230" s="17">
        <f t="shared" si="231"/>
        <v>2.5700000000000003</v>
      </c>
      <c r="CR230" s="38">
        <f t="shared" si="246"/>
        <v>5.46</v>
      </c>
      <c r="CS230" s="17">
        <f t="shared" si="232"/>
        <v>8.31</v>
      </c>
      <c r="CT230" s="17">
        <f t="shared" si="233"/>
        <v>11.2</v>
      </c>
      <c r="CU230" s="17">
        <f t="shared" si="234"/>
        <v>14.05</v>
      </c>
      <c r="CV230" s="2" cm="1">
        <f t="array" aca="1" ref="CV230" ca="1">MAX(_xlfn._xlws.FILTER(CO230:CU230,CO230:CU230&lt;BQ230))</f>
        <v>2.5700000000000003</v>
      </c>
      <c r="CW230" s="2" cm="1">
        <f t="array" aca="1" ref="CW230" ca="1">MIN(_xlfn._xlws.FILTER($CO230:$CU230,$CO230:$CU230&gt;BQ230))</f>
        <v>5.46</v>
      </c>
      <c r="CX230" s="16">
        <f t="shared" ca="1" si="248"/>
        <v>1.1245136186770424</v>
      </c>
      <c r="CY230" s="20">
        <f t="shared" ca="1" si="249"/>
        <v>-0.56225680933852118</v>
      </c>
      <c r="CZ230" s="20">
        <f t="shared" ca="1" si="250"/>
        <v>-0.37483787289234743</v>
      </c>
      <c r="DA230" s="20">
        <f t="shared" ca="1" si="251"/>
        <v>-0.22490272373540848</v>
      </c>
      <c r="DB230" s="20">
        <f t="shared" ca="1" si="252"/>
        <v>-0.12494595763078248</v>
      </c>
      <c r="DC230" s="20">
        <f t="shared" ca="1" si="253"/>
        <v>-6.6147859922178961E-2</v>
      </c>
      <c r="DD230" s="20">
        <f t="shared" ca="1" si="254"/>
        <v>-3.4076170262940679E-2</v>
      </c>
      <c r="DE230" s="20">
        <f t="shared" ca="1" si="255"/>
        <v>-1.7300209518108345E-2</v>
      </c>
      <c r="DF230" s="21">
        <f t="shared" ca="1" si="256"/>
        <v>1.7300209518108345E-2</v>
      </c>
      <c r="DG230" s="21">
        <f t="shared" ca="1" si="257"/>
        <v>3.4076170262940679E-2</v>
      </c>
      <c r="DH230" s="21">
        <f t="shared" ca="1" si="258"/>
        <v>6.6147859922178961E-2</v>
      </c>
      <c r="DI230" s="21">
        <f t="shared" ca="1" si="259"/>
        <v>0.12494595763078248</v>
      </c>
      <c r="DJ230" s="21">
        <f t="shared" ca="1" si="260"/>
        <v>0.22490272373540848</v>
      </c>
      <c r="DK230" s="21">
        <f t="shared" ca="1" si="261"/>
        <v>0.37483787289234743</v>
      </c>
      <c r="DL230" s="21">
        <f t="shared" ca="1" si="262"/>
        <v>0.56225680933852118</v>
      </c>
      <c r="DN230" s="16" cm="1">
        <f t="array" aca="1" ref="DN230" ca="1">MAX(_xlfn._xlws.FILTER(CY230:DL230,CY230:DL230&lt;BW230))</f>
        <v>-3.4076170262940679E-2</v>
      </c>
      <c r="DO230" s="16" cm="1">
        <f t="array" aca="1" ref="DO230" ca="1">MIN(_xlfn._xlws.FILTER(CY230:DL230,CY230:DL230&gt;BW230))</f>
        <v>-1.7300209518108345E-2</v>
      </c>
      <c r="DP230" s="2" cm="1">
        <f t="array" aca="1" ref="DP230" ca="1">_FV(EE230,"Fechamento anterior",TRUE)</f>
        <v>5.6</v>
      </c>
      <c r="DQ230" s="28">
        <f t="shared" ca="1" si="235"/>
        <v>0.11524306413741785</v>
      </c>
      <c r="DR230" s="15">
        <f t="shared" ca="1" si="263"/>
        <v>5.4091734465275323</v>
      </c>
      <c r="DS230" s="15">
        <f t="shared" ca="1" si="264"/>
        <v>5.5031188266985929</v>
      </c>
      <c r="DT230" s="9"/>
      <c r="DU230" s="9"/>
      <c r="DV230" s="9"/>
      <c r="DW230" s="89">
        <v>5.8798097708603517E-2</v>
      </c>
      <c r="DX230" s="89">
        <f t="shared" ca="1" si="236"/>
        <v>1.6775960744832334E-2</v>
      </c>
      <c r="DY230" s="72">
        <f t="shared" ca="1" si="237"/>
        <v>0.16021718809268107</v>
      </c>
      <c r="DZ230" s="37"/>
      <c r="EA230" s="35">
        <f t="shared" si="247"/>
        <v>0.74898331089551029</v>
      </c>
      <c r="EB230" s="56"/>
      <c r="EC230" s="56"/>
      <c r="EE230" s="2" t="e" vm="232">
        <v>#VALUE!</v>
      </c>
      <c r="EG230" s="10" cm="1">
        <f t="array" aca="1" ref="EG230" ca="1">_FV(EE230,"Ações em circulação",TRUE)</f>
        <v>112784600</v>
      </c>
      <c r="EH230" s="18">
        <f>VLOOKUP(BR230,Fundamentus!A:U,5,FALSE)</f>
        <v>1.7569999999999999</v>
      </c>
      <c r="EI230" s="2">
        <f t="shared" ca="1" si="238"/>
        <v>347918344.90608996</v>
      </c>
      <c r="EJ230" s="17">
        <v>-18544047.783494595</v>
      </c>
      <c r="EK230" s="17">
        <f t="shared" ca="1" si="239"/>
        <v>-18544047.783494595</v>
      </c>
      <c r="EM230" s="16">
        <f t="shared" ca="1" si="226"/>
        <v>0</v>
      </c>
      <c r="EN230" s="32" t="str">
        <f>IF(VLOOKUP(BR230,Fundamentus!A:U,3,FALSE)&lt;15,"Bom",IF(VLOOKUP(BR230,Fundamentus!A:U,3,FALSE)&gt;15,"Ruim","n/a"))</f>
        <v>Bom</v>
      </c>
      <c r="EO230" s="28" t="str">
        <f>IF(VLOOKUP(BR230,Fundamentus!A:U,4,FALSE)&lt;1,"Baixo",IF(VLOOKUP(BR230,Fundamentus!A:U,4,FALSE)&lt;1.5,"Moderado",IF(VLOOKUP(BR230,Fundamentus!A:U,4,FALSE)&gt;1.5,"Alto","n/a")))</f>
        <v>Alto</v>
      </c>
      <c r="EP230" s="17" t="str">
        <f>IF(VLOOKUP(BR230,Fundamentus!A:U,8,FALSE)&lt;0,"Risco elevado",IF(VLOOKUP(BR230,Fundamentus!A:U,8,FALSE)&lt;1,"Saudável",IF(VLOOKUP(BR230,Fundamentus!A:U,8,FALSE)&lt;3,"Estável",IF(VLOOKUP(BR230,Fundamentus!A:U,8,FALSE)&gt;3,"Alerta","n/a"))))</f>
        <v>Alerta</v>
      </c>
      <c r="EQ230" s="28" t="str">
        <f t="shared" si="240"/>
        <v>Bom</v>
      </c>
      <c r="ER230" s="17" t="str">
        <f>IF(VLOOKUP(BR230,Fundamentus!A:U,12,FALSE)&lt;2,"Subvalorizada",IF(VLOOKUP(BR230,Fundamentus!A:U,12,FALSE)&lt;6,"Muita barata",IF(VLOOKUP(BR230,Fundamentus!A:U,12,FALSE)&lt;6,"Barata",IF(VLOOKUP(BR230,Fundamentus!A:U,12,FALSE)&lt;8,"Atrativa",IF(VLOOKUP(BR230,Fundamentus!A:U,12,FALSE)&gt;8,"Supervalorizada","n/a")))))</f>
        <v>Subvalorizada</v>
      </c>
      <c r="ET230" s="17" t="str">
        <f>IF(VLOOKUP(BR230,Fundamentus!A:U,17,FALSE)&lt;0.1,"Fraco retorno",IF(VLOOKUP(BR230,Fundamentus!A:U,17,FALSE)&gt;0.1,"Bom retorno","n/a"))</f>
        <v>Fraco retorno</v>
      </c>
      <c r="EU230" s="17" t="str">
        <f>IF(VLOOKUP(BR230,Fundamentus!A:U,16,FALSE)&lt;0.1,"Ineficiente",IF(VLOOKUP(BR230,Fundamentus!A:U,16,FALSE)&gt;0.1,"Eficiente","n/a"))</f>
        <v>Ineficiente</v>
      </c>
      <c r="EV230" s="33" t="str">
        <f>IF(VLOOKUP(BR230,Fundamentus!A:U,16,FALSE)&lt;0.1,"Oper. Ineficiente",IF(VLOOKUP(BR230,Fundamentus!A:U,16,FALSE)&gt;0.1,"Oper.Eficiente","n/a"))</f>
        <v>Oper. Ineficiente</v>
      </c>
      <c r="EW230" s="34">
        <f>VLOOKUP(BR230,Fundamentus!A:U,14,FALSE)</f>
        <v>-5.33E-2</v>
      </c>
      <c r="EX230" s="17" t="str">
        <f>IF(VLOOKUP(BR230,Fundamentus!A:U,21,FALSE)&lt;0,"Negativo",IF(VLOOKUP(BR230,Fundamentus!A:U,21,FALSE)&lt;0.05,"Fraco",IF(VLOOKUP(BR230,Fundamentus!A:U,21,FALSE)&lt;0.1,"Bom",IF(VLOOKUP(BR230,Fundamentus!A:U,21,FALSE)&gt;0.1,"Muito bom","n/a"))))</f>
        <v>Muito bom</v>
      </c>
      <c r="EZ230" s="29" t="str">
        <f>IF(VLOOKUP(BR230,Fundamentus!A:U,15,FALSE)&gt;1,"Bom",IF(VLOOKUP(BR230,Fundamentus!A:U,15,FALSE)&lt;1,"Ruim","n/a"))</f>
        <v>Bom</v>
      </c>
      <c r="FA230" s="17" t="str">
        <f>IF(VLOOKUP(BR230,Fundamentus!A:U,20,FALSE)&lt;0.5,"Baixa",IF(VLOOKUP(BR230,Fundamentus!A:U,20,FALSE)&lt;1,"Moderada",IF(VLOOKUP(BR230,Fundamentus!A:U,20,FALSE)&lt;2,"Alerta",IF(VLOOKUP(BR230,Fundamentus!A:U,20,FALSE)&gt;2,"Alta","n/a"))))</f>
        <v>Baixa</v>
      </c>
    </row>
    <row r="231" spans="1:157" s="2" customFormat="1" ht="11.25"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5">
        <v>3.78</v>
      </c>
      <c r="BC231" s="52">
        <v>3.91</v>
      </c>
      <c r="BD231" s="52">
        <v>4.03</v>
      </c>
      <c r="BE231" s="52">
        <v>5.18</v>
      </c>
      <c r="BF231" s="52">
        <v>4.54</v>
      </c>
      <c r="BG231" s="67">
        <v>3.93</v>
      </c>
      <c r="BH231" s="52">
        <v>4.1100000000000003</v>
      </c>
      <c r="BI231" s="52">
        <v>3.83</v>
      </c>
      <c r="BJ231" s="52">
        <v>3.95</v>
      </c>
      <c r="BK231" s="52">
        <v>4.17</v>
      </c>
      <c r="BL231" s="52">
        <v>4.0599999999999996</v>
      </c>
      <c r="BM231" s="52">
        <v>4.0599999999999996</v>
      </c>
      <c r="BN231" s="52">
        <v>4.08</v>
      </c>
      <c r="BO231" s="52">
        <v>4.1500000000000004</v>
      </c>
      <c r="BP231" s="52">
        <v>4.0599999999999996</v>
      </c>
      <c r="BQ231" s="52" cm="1">
        <f t="array" aca="1" ref="BQ231" ca="1">_FV(EE231,"Preço")</f>
        <v>4.0599999999999996</v>
      </c>
      <c r="BR231" s="69" t="s">
        <v>227</v>
      </c>
      <c r="BS231" s="36" cm="1">
        <f t="array" aca="1" ref="BS231" ca="1">_FV(EE231,"Média de volume",TRUE)</f>
        <v>9400</v>
      </c>
      <c r="BT231" s="36">
        <v>2100</v>
      </c>
      <c r="BU231" s="36" cm="1">
        <f t="array" aca="1" ref="BU231" ca="1">_FV(EE231,"Volume")</f>
        <v>2100</v>
      </c>
      <c r="BV231" s="24" cm="1">
        <f t="array" aca="1" ref="BV231" ca="1">_FV(EE231,"Beta")</f>
        <v>0.4899</v>
      </c>
      <c r="BW231" s="71" cm="1">
        <f t="array" aca="1" ref="BW231" ca="1">_FV(EE231,"Variação (%)",TRUE)</f>
        <v>-9.7560000000000008E-3</v>
      </c>
      <c r="BY231" s="17" cm="1">
        <f t="array" aca="1" ref="BY231" ca="1">_FV(EE231,"Baixo")</f>
        <v>3.98</v>
      </c>
      <c r="BZ231" s="17" cm="1">
        <f t="array" aca="1" ref="BZ231" ca="1">_FV(EE231,"Alto")</f>
        <v>4.0599999999999996</v>
      </c>
      <c r="CA231" s="24"/>
      <c r="CB231" s="63">
        <f ca="1">SQRT(22.5*(BQ231/VLOOKUP(BR231,Fundamentus!A:U,3,FALSE))*(BQ231/VLOOKUP(BR231,Fundamentus!A:U,4,FALSE)))</f>
        <v>89.792151298332342</v>
      </c>
      <c r="CD231" s="62">
        <f t="shared" ca="1" si="241"/>
        <v>0</v>
      </c>
      <c r="CE231" s="8"/>
      <c r="CF231" s="61">
        <f t="shared" si="242"/>
        <v>3.2</v>
      </c>
      <c r="CG231" s="61">
        <f t="shared" si="243"/>
        <v>7.31</v>
      </c>
      <c r="CH231" s="61">
        <f t="shared" si="244"/>
        <v>4.3897794117647067</v>
      </c>
      <c r="CI231" s="14"/>
      <c r="CJ231" s="35">
        <f t="shared" si="227"/>
        <v>4.0115334284356132</v>
      </c>
      <c r="CK231" s="15">
        <f t="shared" si="245"/>
        <v>4.1049999999999969</v>
      </c>
      <c r="CL231" s="35">
        <f t="shared" si="228"/>
        <v>4.1984665715643805</v>
      </c>
      <c r="CN231" s="14"/>
      <c r="CO231" s="17">
        <f t="shared" si="229"/>
        <v>-1.7066666666666661</v>
      </c>
      <c r="CP231" s="17">
        <f t="shared" si="230"/>
        <v>0.74666666666666703</v>
      </c>
      <c r="CQ231" s="17">
        <f t="shared" si="231"/>
        <v>2.4033333333333333</v>
      </c>
      <c r="CR231" s="38">
        <f t="shared" si="246"/>
        <v>4.8566666666666665</v>
      </c>
      <c r="CS231" s="17">
        <f t="shared" si="232"/>
        <v>6.5133333333333328</v>
      </c>
      <c r="CT231" s="17">
        <f t="shared" si="233"/>
        <v>8.966666666666665</v>
      </c>
      <c r="CU231" s="17">
        <f t="shared" si="234"/>
        <v>10.623333333333331</v>
      </c>
      <c r="CV231" s="2" cm="1">
        <f t="array" aca="1" ref="CV231" ca="1">MAX(_xlfn._xlws.FILTER(CO231:CU231,CO231:CU231&lt;BQ231))</f>
        <v>2.4033333333333333</v>
      </c>
      <c r="CW231" s="2" cm="1">
        <f t="array" aca="1" ref="CW231" ca="1">MIN(_xlfn._xlws.FILTER($CO231:$CU231,$CO231:$CU231&gt;BQ231))</f>
        <v>4.8566666666666665</v>
      </c>
      <c r="CX231" s="16">
        <f t="shared" ca="1" si="248"/>
        <v>1.0208044382801664</v>
      </c>
      <c r="CY231" s="20">
        <f t="shared" ca="1" si="249"/>
        <v>-0.51040221914008321</v>
      </c>
      <c r="CZ231" s="20">
        <f t="shared" ca="1" si="250"/>
        <v>-0.34026814609338879</v>
      </c>
      <c r="DA231" s="20">
        <f t="shared" ca="1" si="251"/>
        <v>-0.2041608876560333</v>
      </c>
      <c r="DB231" s="20">
        <f t="shared" ca="1" si="252"/>
        <v>-0.11342271536446294</v>
      </c>
      <c r="DC231" s="20">
        <f t="shared" ca="1" si="253"/>
        <v>-6.0047319898833322E-2</v>
      </c>
      <c r="DD231" s="20">
        <f t="shared" ca="1" si="254"/>
        <v>-3.0933467826671709E-2</v>
      </c>
      <c r="DE231" s="20">
        <f t="shared" ca="1" si="255"/>
        <v>-1.5704683665848714E-2</v>
      </c>
      <c r="DF231" s="21">
        <f t="shared" ca="1" si="256"/>
        <v>1.5704683665848714E-2</v>
      </c>
      <c r="DG231" s="21">
        <f t="shared" ca="1" si="257"/>
        <v>3.0933467826671709E-2</v>
      </c>
      <c r="DH231" s="21">
        <f t="shared" ca="1" si="258"/>
        <v>6.0047319898833322E-2</v>
      </c>
      <c r="DI231" s="21">
        <f t="shared" ca="1" si="259"/>
        <v>0.11342271536446294</v>
      </c>
      <c r="DJ231" s="21">
        <f t="shared" ca="1" si="260"/>
        <v>0.2041608876560333</v>
      </c>
      <c r="DK231" s="21">
        <f t="shared" ca="1" si="261"/>
        <v>0.34026814609338879</v>
      </c>
      <c r="DL231" s="21">
        <f t="shared" ca="1" si="262"/>
        <v>0.51040221914008321</v>
      </c>
      <c r="DN231" s="16" cm="1">
        <f t="array" aca="1" ref="DN231" ca="1">MAX(_xlfn._xlws.FILTER(CY231:DL231,CY231:DL231&lt;BW231))</f>
        <v>-1.5704683665848714E-2</v>
      </c>
      <c r="DO231" s="16" cm="1">
        <f t="array" aca="1" ref="DO231" ca="1">MIN(_xlfn._xlws.FILTER(CY231:DL231,CY231:DL231&gt;BW231))</f>
        <v>1.5704683665848714E-2</v>
      </c>
      <c r="DP231" s="2" cm="1">
        <f t="array" aca="1" ref="DP231" ca="1">_FV(EE231,"Fechamento anterior",TRUE)</f>
        <v>4.0999999999999996</v>
      </c>
      <c r="DQ231" s="28">
        <f t="shared" ca="1" si="235"/>
        <v>0.18938891834570501</v>
      </c>
      <c r="DR231" s="15">
        <f t="shared" ca="1" si="263"/>
        <v>4.0356107969700199</v>
      </c>
      <c r="DS231" s="15">
        <f t="shared" ca="1" si="264"/>
        <v>4.1643892030299794</v>
      </c>
      <c r="DT231" s="9"/>
      <c r="DU231" s="9"/>
      <c r="DV231" s="9"/>
      <c r="DW231" s="89">
        <v>3.0269595086915776E-2</v>
      </c>
      <c r="DX231" s="89">
        <f t="shared" ca="1" si="236"/>
        <v>3.1409367331697427E-2</v>
      </c>
      <c r="DY231" s="72">
        <f t="shared" ca="1" si="237"/>
        <v>-0.48145555407474638</v>
      </c>
      <c r="DZ231" s="37"/>
      <c r="EA231" s="35">
        <f t="shared" si="247"/>
        <v>4.673328578219188E-2</v>
      </c>
      <c r="EB231" s="56"/>
      <c r="EC231" s="56"/>
      <c r="EE231" s="2" t="e" vm="233">
        <v>#VALUE!</v>
      </c>
      <c r="EG231" s="10" cm="1">
        <f t="array" aca="1" ref="EG231" ca="1">_FV(EE231,"Ações em circulação",TRUE)</f>
        <v>53857280</v>
      </c>
      <c r="EH231" s="18">
        <f>VLOOKUP(BR231,Fundamentus!A:U,5,FALSE)</f>
        <v>4.8000000000000001E-2</v>
      </c>
      <c r="EI231" s="2">
        <f t="shared" ca="1" si="238"/>
        <v>4555428266.666666</v>
      </c>
      <c r="EJ231" s="17">
        <v>-953451136.21333325</v>
      </c>
      <c r="EK231" s="17">
        <f t="shared" ca="1" si="239"/>
        <v>-953451136.21333325</v>
      </c>
      <c r="EM231" s="16">
        <f t="shared" ca="1" si="226"/>
        <v>0</v>
      </c>
      <c r="EN231" s="32" t="str">
        <f>IF(VLOOKUP(BR231,Fundamentus!A:U,3,FALSE)&lt;15,"Bom",IF(VLOOKUP(BR231,Fundamentus!A:U,3,FALSE)&gt;15,"Ruim","n/a"))</f>
        <v>Bom</v>
      </c>
      <c r="EO231" s="28" t="str">
        <f>IF(VLOOKUP(BR231,Fundamentus!A:U,4,FALSE)&lt;1,"Baixo",IF(VLOOKUP(BR231,Fundamentus!A:U,4,FALSE)&lt;1.5,"Moderado",IF(VLOOKUP(BR231,Fundamentus!A:U,4,FALSE)&gt;1.5,"Alto","n/a")))</f>
        <v>Baixo</v>
      </c>
      <c r="EP231" s="17" t="str">
        <f>IF(VLOOKUP(BR231,Fundamentus!A:U,8,FALSE)&lt;0,"Risco elevado",IF(VLOOKUP(BR231,Fundamentus!A:U,8,FALSE)&lt;1,"Saudável",IF(VLOOKUP(BR231,Fundamentus!A:U,8,FALSE)&lt;3,"Estável",IF(VLOOKUP(BR231,Fundamentus!A:U,8,FALSE)&gt;3,"Alerta","n/a"))))</f>
        <v>Risco elevado</v>
      </c>
      <c r="EQ231" s="28" t="str">
        <f t="shared" si="240"/>
        <v>Ruim</v>
      </c>
      <c r="ER231" s="17" t="str">
        <f>IF(VLOOKUP(BR231,Fundamentus!A:U,12,FALSE)&lt;2,"Subvalorizada",IF(VLOOKUP(BR231,Fundamentus!A:U,12,FALSE)&lt;6,"Muita barata",IF(VLOOKUP(BR231,Fundamentus!A:U,12,FALSE)&lt;6,"Barata",IF(VLOOKUP(BR231,Fundamentus!A:U,12,FALSE)&lt;8,"Atrativa",IF(VLOOKUP(BR231,Fundamentus!A:U,12,FALSE)&gt;8,"Supervalorizada","n/a")))))</f>
        <v>Subvalorizada</v>
      </c>
      <c r="ET231" s="17" t="str">
        <f>IF(VLOOKUP(BR231,Fundamentus!A:U,17,FALSE)&lt;0.1,"Fraco retorno",IF(VLOOKUP(BR231,Fundamentus!A:U,17,FALSE)&gt;0.1,"Bom retorno","n/a"))</f>
        <v>Bom retorno</v>
      </c>
      <c r="EU231" s="17" t="str">
        <f>IF(VLOOKUP(BR231,Fundamentus!A:U,16,FALSE)&lt;0.1,"Ineficiente",IF(VLOOKUP(BR231,Fundamentus!A:U,16,FALSE)&gt;0.1,"Eficiente","n/a"))</f>
        <v>Ineficiente</v>
      </c>
      <c r="EV231" s="33" t="str">
        <f>IF(VLOOKUP(BR231,Fundamentus!A:U,16,FALSE)&lt;0.1,"Oper. Ineficiente",IF(VLOOKUP(BR231,Fundamentus!A:U,16,FALSE)&gt;0.1,"Oper.Eficiente","n/a"))</f>
        <v>Oper. Ineficiente</v>
      </c>
      <c r="EW231" s="34">
        <f>VLOOKUP(BR231,Fundamentus!A:U,14,FALSE)</f>
        <v>-0.20930000000000001</v>
      </c>
      <c r="EX231" s="17" t="str">
        <f>IF(VLOOKUP(BR231,Fundamentus!A:U,21,FALSE)&lt;0,"Negativo",IF(VLOOKUP(BR231,Fundamentus!A:U,21,FALSE)&lt;0.05,"Fraco",IF(VLOOKUP(BR231,Fundamentus!A:U,21,FALSE)&lt;0.1,"Bom",IF(VLOOKUP(BR231,Fundamentus!A:U,21,FALSE)&gt;0.1,"Muito bom","n/a"))))</f>
        <v>Muito bom</v>
      </c>
      <c r="EZ231" s="29" t="str">
        <f>IF(VLOOKUP(BR231,Fundamentus!A:U,15,FALSE)&gt;1,"Bom",IF(VLOOKUP(BR231,Fundamentus!A:U,15,FALSE)&lt;1,"Ruim","n/a"))</f>
        <v>Ruim</v>
      </c>
      <c r="FA231" s="17" t="str">
        <f>IF(VLOOKUP(BR231,Fundamentus!A:U,20,FALSE)&lt;0.5,"Baixa",IF(VLOOKUP(BR231,Fundamentus!A:U,20,FALSE)&lt;1,"Moderada",IF(VLOOKUP(BR231,Fundamentus!A:U,20,FALSE)&lt;2,"Alerta",IF(VLOOKUP(BR231,Fundamentus!A:U,20,FALSE)&gt;2,"Alta","n/a"))))</f>
        <v>Baixa</v>
      </c>
    </row>
    <row r="232" spans="1:157" s="2" customFormat="1" ht="11.25"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5">
        <v>1.24</v>
      </c>
      <c r="BC232" s="52">
        <v>1.29</v>
      </c>
      <c r="BD232" s="52">
        <v>1.23</v>
      </c>
      <c r="BE232" s="52">
        <v>1.22</v>
      </c>
      <c r="BF232" s="52">
        <v>1.23</v>
      </c>
      <c r="BG232" s="67">
        <v>1.24</v>
      </c>
      <c r="BH232" s="52">
        <v>23.79</v>
      </c>
      <c r="BI232" s="52">
        <v>20.46</v>
      </c>
      <c r="BJ232" s="52">
        <v>19.05</v>
      </c>
      <c r="BK232" s="52">
        <v>19.989999999999998</v>
      </c>
      <c r="BL232" s="52">
        <v>17.84</v>
      </c>
      <c r="BM232" s="52">
        <v>16.25</v>
      </c>
      <c r="BN232" s="52">
        <v>15.15</v>
      </c>
      <c r="BO232" s="52">
        <v>15.77</v>
      </c>
      <c r="BP232" s="52">
        <v>13.8</v>
      </c>
      <c r="BQ232" s="52" cm="1">
        <f t="array" aca="1" ref="BQ232" ca="1">_FV(EE232,"Preço")</f>
        <v>13.8</v>
      </c>
      <c r="BR232" s="69" t="s">
        <v>228</v>
      </c>
      <c r="BS232" s="36" cm="1">
        <f t="array" aca="1" ref="BS232" ca="1">_FV(EE232,"Média de volume",TRUE)</f>
        <v>327010</v>
      </c>
      <c r="BT232" s="36">
        <v>266400</v>
      </c>
      <c r="BU232" s="36" cm="1">
        <f t="array" aca="1" ref="BU232" ca="1">_FV(EE232,"Volume")</f>
        <v>266400</v>
      </c>
      <c r="BV232" s="24" cm="1">
        <f t="array" aca="1" ref="BV232" ca="1">_FV(EE232,"Beta")</f>
        <v>1.93</v>
      </c>
      <c r="BW232" s="71" cm="1">
        <f t="array" aca="1" ref="BW232" ca="1">_FV(EE232,"Variação (%)",TRUE)</f>
        <v>-4.2332000000000002E-2</v>
      </c>
      <c r="BY232" s="17" cm="1">
        <f t="array" aca="1" ref="BY232" ca="1">_FV(EE232,"Baixo")</f>
        <v>13.8</v>
      </c>
      <c r="BZ232" s="17" cm="1">
        <f t="array" aca="1" ref="BZ232" ca="1">_FV(EE232,"Alto")</f>
        <v>14.69</v>
      </c>
      <c r="CA232" s="24"/>
      <c r="CB232" s="63" t="e">
        <f ca="1">SQRT(22.5*(BQ232/VLOOKUP(BR232,Fundamentus!A:U,3,FALSE))*(BQ232/VLOOKUP(BR232,Fundamentus!A:U,4,FALSE)))</f>
        <v>#NUM!</v>
      </c>
      <c r="CD232" s="62">
        <f t="shared" ca="1" si="241"/>
        <v>0</v>
      </c>
      <c r="CE232" s="8"/>
      <c r="CF232" s="61">
        <f t="shared" si="242"/>
        <v>1.1000000000000001</v>
      </c>
      <c r="CG232" s="61">
        <f t="shared" si="243"/>
        <v>23.79</v>
      </c>
      <c r="CH232" s="61">
        <f t="shared" si="244"/>
        <v>4.2850000000000001</v>
      </c>
      <c r="CI232" s="14"/>
      <c r="CJ232" s="35">
        <f t="shared" si="227"/>
        <v>10.079356381357458</v>
      </c>
      <c r="CK232" s="15">
        <f t="shared" si="245"/>
        <v>13.5600000000004</v>
      </c>
      <c r="CL232" s="35">
        <f t="shared" si="228"/>
        <v>17.04064361864334</v>
      </c>
      <c r="CN232" s="14"/>
      <c r="CO232" s="17">
        <f t="shared" si="229"/>
        <v>-20.686666666666664</v>
      </c>
      <c r="CP232" s="17">
        <f t="shared" si="230"/>
        <v>-9.7933333333333312</v>
      </c>
      <c r="CQ232" s="17">
        <f t="shared" si="231"/>
        <v>2.0033333333333339</v>
      </c>
      <c r="CR232" s="38">
        <f t="shared" si="246"/>
        <v>12.896666666666667</v>
      </c>
      <c r="CS232" s="17">
        <f t="shared" si="232"/>
        <v>24.693333333333332</v>
      </c>
      <c r="CT232" s="17">
        <f t="shared" si="233"/>
        <v>35.586666666666666</v>
      </c>
      <c r="CU232" s="17">
        <f t="shared" si="234"/>
        <v>47.383333333333333</v>
      </c>
      <c r="CV232" s="2" cm="1">
        <f t="array" aca="1" ref="CV232" ca="1">MAX(_xlfn._xlws.FILTER(CO232:CU232,CO232:CU232&lt;BQ232))</f>
        <v>12.896666666666667</v>
      </c>
      <c r="CW232" s="2" cm="1">
        <f t="array" aca="1" ref="CW232" ca="1">MIN(_xlfn._xlws.FILTER($CO232:$CU232,$CO232:$CU232&gt;BQ232))</f>
        <v>24.693333333333332</v>
      </c>
      <c r="CX232" s="16">
        <f t="shared" ca="1" si="248"/>
        <v>0.91470664254329281</v>
      </c>
      <c r="CY232" s="20">
        <f t="shared" ca="1" si="249"/>
        <v>-0.45735332127164641</v>
      </c>
      <c r="CZ232" s="20">
        <f t="shared" ca="1" si="250"/>
        <v>-0.30490221418109759</v>
      </c>
      <c r="DA232" s="20">
        <f t="shared" ca="1" si="251"/>
        <v>-0.18294132850865857</v>
      </c>
      <c r="DB232" s="20">
        <f t="shared" ca="1" si="252"/>
        <v>-0.1016340713936992</v>
      </c>
      <c r="DC232" s="20">
        <f t="shared" ca="1" si="253"/>
        <v>-5.3806273090781932E-2</v>
      </c>
      <c r="DD232" s="20">
        <f t="shared" ca="1" si="254"/>
        <v>-2.7718383107372509E-2</v>
      </c>
      <c r="DE232" s="20">
        <f t="shared" ca="1" si="255"/>
        <v>-1.4072409885281427E-2</v>
      </c>
      <c r="DF232" s="21">
        <f t="shared" ca="1" si="256"/>
        <v>1.4072409885281427E-2</v>
      </c>
      <c r="DG232" s="21">
        <f t="shared" ca="1" si="257"/>
        <v>2.7718383107372509E-2</v>
      </c>
      <c r="DH232" s="21">
        <f t="shared" ca="1" si="258"/>
        <v>5.3806273090781932E-2</v>
      </c>
      <c r="DI232" s="21">
        <f t="shared" ca="1" si="259"/>
        <v>0.1016340713936992</v>
      </c>
      <c r="DJ232" s="21">
        <f t="shared" ca="1" si="260"/>
        <v>0.18294132850865857</v>
      </c>
      <c r="DK232" s="21">
        <f t="shared" ca="1" si="261"/>
        <v>0.30490221418109759</v>
      </c>
      <c r="DL232" s="21">
        <f t="shared" ca="1" si="262"/>
        <v>0.45735332127164641</v>
      </c>
      <c r="DN232" s="16" cm="1">
        <f t="array" aca="1" ref="DN232" ca="1">MAX(_xlfn._xlws.FILTER(CY232:DL232,CY232:DL232&lt;BW232))</f>
        <v>-5.3806273090781932E-2</v>
      </c>
      <c r="DO232" s="16" cm="1">
        <f t="array" aca="1" ref="DO232" ca="1">MIN(_xlfn._xlws.FILTER(CY232:DL232,CY232:DL232&gt;BW232))</f>
        <v>-2.7718383107372509E-2</v>
      </c>
      <c r="DP232" s="2" cm="1">
        <f t="array" aca="1" ref="DP232" ca="1">_FV(EE232,"Fechamento anterior",TRUE)</f>
        <v>14.41</v>
      </c>
      <c r="DQ232" s="28">
        <f t="shared" ca="1" si="235"/>
        <v>0.43984235638221297</v>
      </c>
      <c r="DR232" s="15">
        <f t="shared" ca="1" si="263"/>
        <v>13.634651604761832</v>
      </c>
      <c r="DS232" s="15">
        <f t="shared" ca="1" si="264"/>
        <v>14.010578099422762</v>
      </c>
      <c r="DT232" s="9"/>
      <c r="DU232" s="9"/>
      <c r="DV232" s="9"/>
      <c r="DW232" s="89">
        <v>4.8043877331224331E-2</v>
      </c>
      <c r="DX232" s="89">
        <f t="shared" ca="1" si="236"/>
        <v>2.6087889983409423E-2</v>
      </c>
      <c r="DY232" s="72">
        <f t="shared" ca="1" si="237"/>
        <v>6.8952764573229547E-2</v>
      </c>
      <c r="DZ232" s="37"/>
      <c r="EA232" s="35">
        <f t="shared" si="247"/>
        <v>1.7403218093214707</v>
      </c>
      <c r="EB232" s="56"/>
      <c r="EC232" s="56"/>
      <c r="EE232" s="2" t="e" vm="234">
        <v>#VALUE!</v>
      </c>
      <c r="EG232" s="10" cm="1">
        <f t="array" aca="1" ref="EG232" ca="1">_FV(EE232,"Ações em circulação",TRUE)</f>
        <v>11160570</v>
      </c>
      <c r="EH232" s="18">
        <f>VLOOKUP(BR232,Fundamentus!A:U,5,FALSE)</f>
        <v>0.115</v>
      </c>
      <c r="EI232" s="2">
        <f t="shared" ca="1" si="238"/>
        <v>1339268400</v>
      </c>
      <c r="EJ232" s="17">
        <v>-53570736</v>
      </c>
      <c r="EK232" s="17">
        <f t="shared" ca="1" si="239"/>
        <v>-53570736</v>
      </c>
      <c r="EM232" s="16">
        <f t="shared" ca="1" si="226"/>
        <v>0</v>
      </c>
      <c r="EN232" s="32" t="str">
        <f>IF(VLOOKUP(BR232,Fundamentus!A:U,3,FALSE)&lt;15,"Bom",IF(VLOOKUP(BR232,Fundamentus!A:U,3,FALSE)&gt;15,"Ruim","n/a"))</f>
        <v>Bom</v>
      </c>
      <c r="EO232" s="28" t="str">
        <f>IF(VLOOKUP(BR232,Fundamentus!A:U,4,FALSE)&lt;1,"Baixo",IF(VLOOKUP(BR232,Fundamentus!A:U,4,FALSE)&lt;1.5,"Moderado",IF(VLOOKUP(BR232,Fundamentus!A:U,4,FALSE)&gt;1.5,"Alto","n/a")))</f>
        <v>Baixo</v>
      </c>
      <c r="EP232" s="17" t="str">
        <f>IF(VLOOKUP(BR232,Fundamentus!A:U,8,FALSE)&lt;0,"Risco elevado",IF(VLOOKUP(BR232,Fundamentus!A:U,8,FALSE)&lt;1,"Saudável",IF(VLOOKUP(BR232,Fundamentus!A:U,8,FALSE)&lt;3,"Estável",IF(VLOOKUP(BR232,Fundamentus!A:U,8,FALSE)&gt;3,"Alerta","n/a"))))</f>
        <v>Saudável</v>
      </c>
      <c r="EQ232" s="28" t="str">
        <f t="shared" si="240"/>
        <v>Ruim</v>
      </c>
      <c r="ER232" s="17" t="str">
        <f>IF(VLOOKUP(BR232,Fundamentus!A:U,12,FALSE)&lt;2,"Subvalorizada",IF(VLOOKUP(BR232,Fundamentus!A:U,12,FALSE)&lt;6,"Muita barata",IF(VLOOKUP(BR232,Fundamentus!A:U,12,FALSE)&lt;6,"Barata",IF(VLOOKUP(BR232,Fundamentus!A:U,12,FALSE)&lt;8,"Atrativa",IF(VLOOKUP(BR232,Fundamentus!A:U,12,FALSE)&gt;8,"Supervalorizada","n/a")))))</f>
        <v>Subvalorizada</v>
      </c>
      <c r="ET232" s="17" t="str">
        <f>IF(VLOOKUP(BR232,Fundamentus!A:U,17,FALSE)&lt;0.1,"Fraco retorno",IF(VLOOKUP(BR232,Fundamentus!A:U,17,FALSE)&gt;0.1,"Bom retorno","n/a"))</f>
        <v>Fraco retorno</v>
      </c>
      <c r="EU232" s="17" t="str">
        <f>IF(VLOOKUP(BR232,Fundamentus!A:U,16,FALSE)&lt;0.1,"Ineficiente",IF(VLOOKUP(BR232,Fundamentus!A:U,16,FALSE)&gt;0.1,"Eficiente","n/a"))</f>
        <v>Ineficiente</v>
      </c>
      <c r="EV232" s="33" t="str">
        <f>IF(VLOOKUP(BR232,Fundamentus!A:U,16,FALSE)&lt;0.1,"Oper. Ineficiente",IF(VLOOKUP(BR232,Fundamentus!A:U,16,FALSE)&gt;0.1,"Oper.Eficiente","n/a"))</f>
        <v>Oper. Ineficiente</v>
      </c>
      <c r="EW232" s="34">
        <f>VLOOKUP(BR232,Fundamentus!A:U,14,FALSE)</f>
        <v>-0.04</v>
      </c>
      <c r="EX232" s="17" t="str">
        <f>IF(VLOOKUP(BR232,Fundamentus!A:U,21,FALSE)&lt;0,"Negativo",IF(VLOOKUP(BR232,Fundamentus!A:U,21,FALSE)&lt;0.05,"Fraco",IF(VLOOKUP(BR232,Fundamentus!A:U,21,FALSE)&lt;0.1,"Bom",IF(VLOOKUP(BR232,Fundamentus!A:U,21,FALSE)&gt;0.1,"Muito bom","n/a"))))</f>
        <v>Fraco</v>
      </c>
      <c r="EZ232" s="29" t="str">
        <f>IF(VLOOKUP(BR232,Fundamentus!A:U,15,FALSE)&gt;1,"Bom",IF(VLOOKUP(BR232,Fundamentus!A:U,15,FALSE)&lt;1,"Ruim","n/a"))</f>
        <v>Bom</v>
      </c>
      <c r="FA232" s="17" t="str">
        <f>IF(VLOOKUP(BR232,Fundamentus!A:U,20,FALSE)&lt;0.5,"Baixa",IF(VLOOKUP(BR232,Fundamentus!A:U,20,FALSE)&lt;1,"Moderada",IF(VLOOKUP(BR232,Fundamentus!A:U,20,FALSE)&lt;2,"Alerta",IF(VLOOKUP(BR232,Fundamentus!A:U,20,FALSE)&gt;2,"Alta","n/a"))))</f>
        <v>Moderada</v>
      </c>
    </row>
    <row r="233" spans="1:157" s="2" customFormat="1" ht="11.25"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5">
        <v>22.8</v>
      </c>
      <c r="BC233" s="52">
        <v>24.69</v>
      </c>
      <c r="BD233" s="52">
        <v>24.45</v>
      </c>
      <c r="BE233" s="52">
        <v>25.4</v>
      </c>
      <c r="BF233" s="52">
        <v>25.99</v>
      </c>
      <c r="BG233" s="67">
        <v>27.8</v>
      </c>
      <c r="BH233" s="52">
        <v>27.47</v>
      </c>
      <c r="BI233" s="52">
        <v>26.85</v>
      </c>
      <c r="BJ233" s="52">
        <v>27.7</v>
      </c>
      <c r="BK233" s="52">
        <v>27.01</v>
      </c>
      <c r="BL233" s="52">
        <v>26.42</v>
      </c>
      <c r="BM233" s="52">
        <v>26.26</v>
      </c>
      <c r="BN233" s="52">
        <v>25.88</v>
      </c>
      <c r="BO233" s="52">
        <v>23.11</v>
      </c>
      <c r="BP233" s="52">
        <v>22.82</v>
      </c>
      <c r="BQ233" s="52" cm="1">
        <f t="array" aca="1" ref="BQ233" ca="1">_FV(EE233,"Preço")</f>
        <v>22.82</v>
      </c>
      <c r="BR233" s="69" t="s">
        <v>229</v>
      </c>
      <c r="BS233" s="36" cm="1">
        <f t="array" aca="1" ref="BS233" ca="1">_FV(EE233,"Média de volume",TRUE)</f>
        <v>4142220</v>
      </c>
      <c r="BT233" s="36">
        <v>1293100</v>
      </c>
      <c r="BU233" s="36" cm="1">
        <f t="array" aca="1" ref="BU233" ca="1">_FV(EE233,"Volume")</f>
        <v>1293100</v>
      </c>
      <c r="BV233" s="24" cm="1">
        <f t="array" aca="1" ref="BV233" ca="1">_FV(EE233,"Beta")</f>
        <v>1.0905</v>
      </c>
      <c r="BW233" s="71" cm="1">
        <f t="array" aca="1" ref="BW233" ca="1">_FV(EE233,"Variação (%)",TRUE)</f>
        <v>-7.8259999999999996E-3</v>
      </c>
      <c r="BY233" s="17" cm="1">
        <f t="array" aca="1" ref="BY233" ca="1">_FV(EE233,"Baixo")</f>
        <v>22.56</v>
      </c>
      <c r="BZ233" s="17" cm="1">
        <f t="array" aca="1" ref="BZ233" ca="1">_FV(EE233,"Alto")</f>
        <v>23.1</v>
      </c>
      <c r="CA233" s="24"/>
      <c r="CB233" s="63">
        <f ca="1">SQRT(22.5*(BQ233/VLOOKUP(BR233,Fundamentus!A:U,3,FALSE))*(BQ233/VLOOKUP(BR233,Fundamentus!A:U,4,FALSE)))</f>
        <v>19.876252461833694</v>
      </c>
      <c r="CD233" s="62">
        <f t="shared" ca="1" si="241"/>
        <v>0</v>
      </c>
      <c r="CE233" s="8"/>
      <c r="CF233" s="61">
        <f t="shared" si="242"/>
        <v>17.82</v>
      </c>
      <c r="CG233" s="61">
        <f t="shared" si="243"/>
        <v>31.2</v>
      </c>
      <c r="CH233" s="61">
        <f t="shared" si="244"/>
        <v>24.461397058823522</v>
      </c>
      <c r="CI233" s="14"/>
      <c r="CJ233" s="35">
        <f t="shared" si="227"/>
        <v>18.519986972509002</v>
      </c>
      <c r="CK233" s="15">
        <f t="shared" si="245"/>
        <v>21.2450000000008</v>
      </c>
      <c r="CL233" s="35">
        <f t="shared" si="228"/>
        <v>23.970013027492598</v>
      </c>
      <c r="CN233" s="14"/>
      <c r="CO233" s="17">
        <f t="shared" si="229"/>
        <v>3.3133333333333397</v>
      </c>
      <c r="CP233" s="17">
        <f t="shared" si="230"/>
        <v>10.56666666666667</v>
      </c>
      <c r="CQ233" s="17">
        <f t="shared" si="231"/>
        <v>16.693333333333339</v>
      </c>
      <c r="CR233" s="38">
        <f t="shared" si="246"/>
        <v>23.946666666666669</v>
      </c>
      <c r="CS233" s="17">
        <f t="shared" si="232"/>
        <v>30.073333333333338</v>
      </c>
      <c r="CT233" s="17">
        <f t="shared" si="233"/>
        <v>37.326666666666668</v>
      </c>
      <c r="CU233" s="17">
        <f t="shared" si="234"/>
        <v>43.453333333333333</v>
      </c>
      <c r="CV233" s="2" cm="1">
        <f t="array" aca="1" ref="CV233" ca="1">MAX(_xlfn._xlws.FILTER(CO233:CU233,CO233:CU233&lt;BQ233))</f>
        <v>16.693333333333339</v>
      </c>
      <c r="CW233" s="2" cm="1">
        <f t="array" aca="1" ref="CW233" ca="1">MIN(_xlfn._xlws.FILTER($CO233:$CU233,$CO233:$CU233&gt;BQ233))</f>
        <v>23.946666666666669</v>
      </c>
      <c r="CX233" s="16">
        <f t="shared" ca="1" si="248"/>
        <v>0.43450479233226802</v>
      </c>
      <c r="CY233" s="20">
        <f t="shared" ca="1" si="249"/>
        <v>-0.21725239616613401</v>
      </c>
      <c r="CZ233" s="20">
        <f t="shared" ca="1" si="250"/>
        <v>-0.14483493077742268</v>
      </c>
      <c r="DA233" s="20">
        <f t="shared" ca="1" si="251"/>
        <v>-8.6900958466453598E-2</v>
      </c>
      <c r="DB233" s="20">
        <f t="shared" ca="1" si="252"/>
        <v>-4.8278310259140894E-2</v>
      </c>
      <c r="DC233" s="20">
        <f t="shared" ca="1" si="253"/>
        <v>-2.5559105431309882E-2</v>
      </c>
      <c r="DD233" s="20">
        <f t="shared" ca="1" si="254"/>
        <v>-1.3166811888856607E-2</v>
      </c>
      <c r="DE233" s="20">
        <f t="shared" ca="1" si="255"/>
        <v>-6.6846891128041234E-3</v>
      </c>
      <c r="DF233" s="21">
        <f t="shared" ca="1" si="256"/>
        <v>6.6846891128041234E-3</v>
      </c>
      <c r="DG233" s="21">
        <f t="shared" ca="1" si="257"/>
        <v>1.3166811888856607E-2</v>
      </c>
      <c r="DH233" s="21">
        <f t="shared" ca="1" si="258"/>
        <v>2.5559105431309882E-2</v>
      </c>
      <c r="DI233" s="21">
        <f t="shared" ca="1" si="259"/>
        <v>4.8278310259140894E-2</v>
      </c>
      <c r="DJ233" s="21">
        <f t="shared" ca="1" si="260"/>
        <v>8.6900958466453598E-2</v>
      </c>
      <c r="DK233" s="21">
        <f t="shared" ca="1" si="261"/>
        <v>0.14483493077742268</v>
      </c>
      <c r="DL233" s="21">
        <f t="shared" ca="1" si="262"/>
        <v>0.21725239616613401</v>
      </c>
      <c r="DN233" s="16" cm="1">
        <f t="array" aca="1" ref="DN233" ca="1">MAX(_xlfn._xlws.FILTER(CY233:DL233,CY233:DL233&lt;BW233))</f>
        <v>-1.3166811888856607E-2</v>
      </c>
      <c r="DO233" s="16" cm="1">
        <f t="array" aca="1" ref="DO233" ca="1">MIN(_xlfn._xlws.FILTER(CY233:DL233,CY233:DL233&gt;BW233))</f>
        <v>-6.6846891128041234E-3</v>
      </c>
      <c r="DP233" s="2" cm="1">
        <f t="array" aca="1" ref="DP233" ca="1">_FV(EE233,"Fechamento anterior",TRUE)</f>
        <v>23</v>
      </c>
      <c r="DQ233" s="28">
        <f t="shared" ca="1" si="235"/>
        <v>0.8239160406010283</v>
      </c>
      <c r="DR233" s="15">
        <f t="shared" ca="1" si="263"/>
        <v>22.697163326556296</v>
      </c>
      <c r="DS233" s="15">
        <f t="shared" ca="1" si="264"/>
        <v>22.846252150405505</v>
      </c>
      <c r="DT233" s="9"/>
      <c r="DU233" s="9"/>
      <c r="DV233" s="9"/>
      <c r="DW233" s="89">
        <v>2.2159778505427691E-2</v>
      </c>
      <c r="DX233" s="89">
        <f t="shared" ca="1" si="236"/>
        <v>6.4821227760524834E-3</v>
      </c>
      <c r="DY233" s="72">
        <f t="shared" ca="1" si="237"/>
        <v>0.57797888821430254</v>
      </c>
      <c r="DZ233" s="37"/>
      <c r="EA233" s="35">
        <f t="shared" si="247"/>
        <v>1.3625065137458985</v>
      </c>
      <c r="EB233" s="56"/>
      <c r="EC233" s="56"/>
      <c r="EE233" s="2" t="e" vm="235">
        <v>#VALUE!</v>
      </c>
      <c r="EG233" s="10" cm="1">
        <f t="array" aca="1" ref="EG233" ca="1">_FV(EE233,"Ações em circulação",TRUE)</f>
        <v>633420800</v>
      </c>
      <c r="EH233" s="18">
        <f>VLOOKUP(BR233,Fundamentus!A:U,5,FALSE)</f>
        <v>2.5049999999999999</v>
      </c>
      <c r="EI233" s="2">
        <f t="shared" ca="1" si="238"/>
        <v>5770324413.572855</v>
      </c>
      <c r="EJ233" s="17">
        <v>690130799.86331344</v>
      </c>
      <c r="EK233" s="17">
        <f t="shared" ca="1" si="239"/>
        <v>690130799.86331344</v>
      </c>
      <c r="EM233" s="16">
        <f t="shared" ca="1" si="226"/>
        <v>0</v>
      </c>
      <c r="EN233" s="32" t="str">
        <f>IF(VLOOKUP(BR233,Fundamentus!A:U,3,FALSE)&lt;15,"Bom",IF(VLOOKUP(BR233,Fundamentus!A:U,3,FALSE)&gt;15,"Ruim","n/a"))</f>
        <v>Ruim</v>
      </c>
      <c r="EO233" s="28" t="str">
        <f>IF(VLOOKUP(BR233,Fundamentus!A:U,4,FALSE)&lt;1,"Baixo",IF(VLOOKUP(BR233,Fundamentus!A:U,4,FALSE)&lt;1.5,"Moderado",IF(VLOOKUP(BR233,Fundamentus!A:U,4,FALSE)&gt;1.5,"Alto","n/a")))</f>
        <v>Moderado</v>
      </c>
      <c r="EP233" s="17" t="str">
        <f>IF(VLOOKUP(BR233,Fundamentus!A:U,8,FALSE)&lt;0,"Risco elevado",IF(VLOOKUP(BR233,Fundamentus!A:U,8,FALSE)&lt;1,"Saudável",IF(VLOOKUP(BR233,Fundamentus!A:U,8,FALSE)&lt;3,"Estável",IF(VLOOKUP(BR233,Fundamentus!A:U,8,FALSE)&gt;3,"Alerta","n/a"))))</f>
        <v>Alerta</v>
      </c>
      <c r="EQ233" s="28" t="str">
        <f t="shared" si="240"/>
        <v>Bom</v>
      </c>
      <c r="ER233" s="17" t="str">
        <f>IF(VLOOKUP(BR233,Fundamentus!A:U,12,FALSE)&lt;2,"Subvalorizada",IF(VLOOKUP(BR233,Fundamentus!A:U,12,FALSE)&lt;6,"Muita barata",IF(VLOOKUP(BR233,Fundamentus!A:U,12,FALSE)&lt;6,"Barata",IF(VLOOKUP(BR233,Fundamentus!A:U,12,FALSE)&lt;8,"Atrativa",IF(VLOOKUP(BR233,Fundamentus!A:U,12,FALSE)&gt;8,"Supervalorizada","n/a")))))</f>
        <v>Supervalorizada</v>
      </c>
      <c r="ET233" s="17" t="str">
        <f>IF(VLOOKUP(BR233,Fundamentus!A:U,17,FALSE)&lt;0.1,"Fraco retorno",IF(VLOOKUP(BR233,Fundamentus!A:U,17,FALSE)&gt;0.1,"Bom retorno","n/a"))</f>
        <v>Fraco retorno</v>
      </c>
      <c r="EU233" s="17" t="str">
        <f>IF(VLOOKUP(BR233,Fundamentus!A:U,16,FALSE)&lt;0.1,"Ineficiente",IF(VLOOKUP(BR233,Fundamentus!A:U,16,FALSE)&gt;0.1,"Eficiente","n/a"))</f>
        <v>Ineficiente</v>
      </c>
      <c r="EV233" s="33" t="str">
        <f>IF(VLOOKUP(BR233,Fundamentus!A:U,16,FALSE)&lt;0.1,"Oper. Ineficiente",IF(VLOOKUP(BR233,Fundamentus!A:U,16,FALSE)&gt;0.1,"Oper.Eficiente","n/a"))</f>
        <v>Oper. Ineficiente</v>
      </c>
      <c r="EW233" s="34">
        <f>VLOOKUP(BR233,Fundamentus!A:U,14,FALSE)</f>
        <v>0.1196</v>
      </c>
      <c r="EX233" s="17" t="str">
        <f>IF(VLOOKUP(BR233,Fundamentus!A:U,21,FALSE)&lt;0,"Negativo",IF(VLOOKUP(BR233,Fundamentus!A:U,21,FALSE)&lt;0.05,"Fraco",IF(VLOOKUP(BR233,Fundamentus!A:U,21,FALSE)&lt;0.1,"Bom",IF(VLOOKUP(BR233,Fundamentus!A:U,21,FALSE)&gt;0.1,"Muito bom","n/a"))))</f>
        <v>Muito bom</v>
      </c>
      <c r="EZ233" s="29" t="str">
        <f>IF(VLOOKUP(BR233,Fundamentus!A:U,15,FALSE)&gt;1,"Bom",IF(VLOOKUP(BR233,Fundamentus!A:U,15,FALSE)&lt;1,"Ruim","n/a"))</f>
        <v>Bom</v>
      </c>
      <c r="FA233" s="17" t="str">
        <f>IF(VLOOKUP(BR233,Fundamentus!A:U,20,FALSE)&lt;0.5,"Baixa",IF(VLOOKUP(BR233,Fundamentus!A:U,20,FALSE)&lt;1,"Moderada",IF(VLOOKUP(BR233,Fundamentus!A:U,20,FALSE)&lt;2,"Alerta",IF(VLOOKUP(BR233,Fundamentus!A:U,20,FALSE)&gt;2,"Alta","n/a"))))</f>
        <v>Moderada</v>
      </c>
    </row>
    <row r="234" spans="1:157" s="2" customFormat="1" ht="11.25"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5">
        <v>1.21</v>
      </c>
      <c r="BC234" s="52">
        <v>1.08</v>
      </c>
      <c r="BD234" s="52">
        <v>1.18</v>
      </c>
      <c r="BE234" s="52">
        <v>1.19</v>
      </c>
      <c r="BF234" s="52">
        <v>1.25</v>
      </c>
      <c r="BG234" s="67">
        <v>1.2</v>
      </c>
      <c r="BH234" s="52">
        <v>1.1499999999999999</v>
      </c>
      <c r="BI234" s="52">
        <v>1.17</v>
      </c>
      <c r="BJ234" s="52">
        <v>1.1299999999999999</v>
      </c>
      <c r="BK234" s="52">
        <v>1.0900000000000001</v>
      </c>
      <c r="BL234" s="52">
        <v>1.02</v>
      </c>
      <c r="BM234" s="52">
        <v>1.03</v>
      </c>
      <c r="BN234" s="52">
        <v>1.01</v>
      </c>
      <c r="BO234" s="52">
        <v>1</v>
      </c>
      <c r="BP234" s="52">
        <v>0.99</v>
      </c>
      <c r="BQ234" s="52" cm="1">
        <f t="array" aca="1" ref="BQ234" ca="1">_FV(EE234,"Preço")</f>
        <v>0.99</v>
      </c>
      <c r="BR234" s="69" t="s">
        <v>230</v>
      </c>
      <c r="BS234" s="36" cm="1">
        <f t="array" aca="1" ref="BS234" ca="1">_FV(EE234,"Média de volume",TRUE)</f>
        <v>933230</v>
      </c>
      <c r="BT234" s="36">
        <v>534700</v>
      </c>
      <c r="BU234" s="36" cm="1">
        <f t="array" aca="1" ref="BU234" ca="1">_FV(EE234,"Volume")</f>
        <v>534700</v>
      </c>
      <c r="BV234" s="24" cm="1">
        <f t="array" aca="1" ref="BV234" ca="1">_FV(EE234,"Beta")</f>
        <v>1.7886</v>
      </c>
      <c r="BW234" s="71" cm="1">
        <f t="array" aca="1" ref="BW234" ca="1">_FV(EE234,"Variação (%)",TRUE)</f>
        <v>1.0204E-2</v>
      </c>
      <c r="BY234" s="17" cm="1">
        <f t="array" aca="1" ref="BY234" ca="1">_FV(EE234,"Baixo")</f>
        <v>0.98</v>
      </c>
      <c r="BZ234" s="17" cm="1">
        <f t="array" aca="1" ref="BZ234" ca="1">_FV(EE234,"Alto")</f>
        <v>1</v>
      </c>
      <c r="CA234" s="24"/>
      <c r="CB234" s="63" t="e">
        <f ca="1">SQRT(22.5*(BQ234/VLOOKUP(BR234,Fundamentus!A:U,3,FALSE))*(BQ234/VLOOKUP(BR234,Fundamentus!A:U,4,FALSE)))</f>
        <v>#NUM!</v>
      </c>
      <c r="CD234" s="62">
        <f t="shared" ca="1" si="241"/>
        <v>0</v>
      </c>
      <c r="CE234" s="8"/>
      <c r="CF234" s="61">
        <f t="shared" si="242"/>
        <v>0.99</v>
      </c>
      <c r="CG234" s="61">
        <f t="shared" si="243"/>
        <v>2.75</v>
      </c>
      <c r="CH234" s="61">
        <f t="shared" si="244"/>
        <v>1.4361764705882354</v>
      </c>
      <c r="CI234" s="14"/>
      <c r="CJ234" s="35">
        <f t="shared" si="227"/>
        <v>0.91175444679662665</v>
      </c>
      <c r="CK234" s="15">
        <f t="shared" si="245"/>
        <v>0.97499999999999432</v>
      </c>
      <c r="CL234" s="35">
        <f t="shared" si="228"/>
        <v>1.0382455532033619</v>
      </c>
      <c r="CN234" s="14"/>
      <c r="CO234" s="17">
        <f t="shared" si="229"/>
        <v>-1.3566666666666662</v>
      </c>
      <c r="CP234" s="17">
        <f t="shared" si="230"/>
        <v>-0.18333333333333313</v>
      </c>
      <c r="CQ234" s="17">
        <f t="shared" si="231"/>
        <v>0.40333333333333377</v>
      </c>
      <c r="CR234" s="38">
        <f t="shared" si="246"/>
        <v>1.5766666666666669</v>
      </c>
      <c r="CS234" s="17">
        <f t="shared" si="232"/>
        <v>2.163333333333334</v>
      </c>
      <c r="CT234" s="17">
        <f t="shared" si="233"/>
        <v>3.3366666666666669</v>
      </c>
      <c r="CU234" s="17">
        <f t="shared" si="234"/>
        <v>3.9233333333333338</v>
      </c>
      <c r="CV234" s="2" cm="1">
        <f t="array" aca="1" ref="CV234" ca="1">MAX(_xlfn._xlws.FILTER(CO234:CU234,CO234:CU234&lt;BQ234))</f>
        <v>0.40333333333333377</v>
      </c>
      <c r="CW234" s="2" cm="1">
        <f t="array" aca="1" ref="CW234" ca="1">MIN(_xlfn._xlws.FILTER($CO234:$CU234,$CO234:$CU234&gt;BQ234))</f>
        <v>1.5766666666666669</v>
      </c>
      <c r="CX234" s="16">
        <f t="shared" ca="1" si="248"/>
        <v>2.9090909090909056</v>
      </c>
      <c r="CY234" s="20">
        <f t="shared" ca="1" si="249"/>
        <v>-1.4545454545454528</v>
      </c>
      <c r="CZ234" s="20">
        <f t="shared" ca="1" si="250"/>
        <v>-0.9696969696969685</v>
      </c>
      <c r="DA234" s="20">
        <f t="shared" ca="1" si="251"/>
        <v>-0.58181818181818112</v>
      </c>
      <c r="DB234" s="20">
        <f t="shared" ca="1" si="252"/>
        <v>-0.32323232323232287</v>
      </c>
      <c r="DC234" s="20">
        <f t="shared" ca="1" si="253"/>
        <v>-0.17112299465240621</v>
      </c>
      <c r="DD234" s="20">
        <f t="shared" ca="1" si="254"/>
        <v>-8.8154269972451682E-2</v>
      </c>
      <c r="DE234" s="20">
        <f t="shared" ca="1" si="255"/>
        <v>-4.47552447552447E-2</v>
      </c>
      <c r="DF234" s="21">
        <f t="shared" ca="1" si="256"/>
        <v>4.47552447552447E-2</v>
      </c>
      <c r="DG234" s="21">
        <f t="shared" ca="1" si="257"/>
        <v>8.8154269972451682E-2</v>
      </c>
      <c r="DH234" s="21">
        <f t="shared" ca="1" si="258"/>
        <v>0.17112299465240621</v>
      </c>
      <c r="DI234" s="21">
        <f t="shared" ca="1" si="259"/>
        <v>0.32323232323232287</v>
      </c>
      <c r="DJ234" s="21">
        <f t="shared" ca="1" si="260"/>
        <v>0.58181818181818112</v>
      </c>
      <c r="DK234" s="21">
        <f t="shared" ca="1" si="261"/>
        <v>0.9696969696969685</v>
      </c>
      <c r="DL234" s="21">
        <f t="shared" ca="1" si="262"/>
        <v>1.4545454545454528</v>
      </c>
      <c r="DN234" s="16" cm="1">
        <f t="array" aca="1" ref="DN234" ca="1">MAX(_xlfn._xlws.FILTER(CY234:DL234,CY234:DL234&lt;BW234))</f>
        <v>-4.47552447552447E-2</v>
      </c>
      <c r="DO234" s="16" cm="1">
        <f t="array" aca="1" ref="DO234" ca="1">MIN(_xlfn._xlws.FILTER(CY234:DL234,CY234:DL234&gt;BW234))</f>
        <v>4.47552447552447E-2</v>
      </c>
      <c r="DP234" s="2" cm="1">
        <f t="array" aca="1" ref="DP234" ca="1">_FV(EE234,"Fechamento anterior",TRUE)</f>
        <v>0.98</v>
      </c>
      <c r="DQ234" s="28">
        <f t="shared" ca="1" si="235"/>
        <v>0.61399872448979687</v>
      </c>
      <c r="DR234" s="15">
        <f t="shared" ca="1" si="263"/>
        <v>0.93613986013986017</v>
      </c>
      <c r="DS234" s="15">
        <f t="shared" ca="1" si="264"/>
        <v>1.0238601398601397</v>
      </c>
      <c r="DT234" s="9"/>
      <c r="DU234" s="9"/>
      <c r="DV234" s="9"/>
      <c r="DW234" s="89">
        <v>8.6153846153846192E-2</v>
      </c>
      <c r="DX234" s="89">
        <f t="shared" ca="1" si="236"/>
        <v>8.9510489510489399E-2</v>
      </c>
      <c r="DY234" s="72">
        <f t="shared" ca="1" si="237"/>
        <v>0.2371708245127179</v>
      </c>
      <c r="DZ234" s="37"/>
      <c r="EA234" s="35">
        <f t="shared" si="247"/>
        <v>3.1622776601683819E-2</v>
      </c>
      <c r="EB234" s="56"/>
      <c r="EC234" s="56"/>
      <c r="EE234" s="2" t="e" vm="236">
        <v>#VALUE!</v>
      </c>
      <c r="EG234" s="10" cm="1">
        <f t="array" aca="1" ref="EG234" ca="1">_FV(EE234,"Ações em circulação",TRUE)</f>
        <v>205018000</v>
      </c>
      <c r="EH234" s="18">
        <f>VLOOKUP(BR234,Fundamentus!A:U,5,FALSE)</f>
        <v>0.79900000000000004</v>
      </c>
      <c r="EI234" s="2">
        <f t="shared" ca="1" si="238"/>
        <v>254027309.13642052</v>
      </c>
      <c r="EJ234" s="17">
        <v>-20017351.959949937</v>
      </c>
      <c r="EK234" s="17">
        <f t="shared" ca="1" si="239"/>
        <v>-20017351.959949937</v>
      </c>
      <c r="EM234" s="16">
        <f t="shared" ca="1" si="226"/>
        <v>0</v>
      </c>
      <c r="EN234" s="32" t="str">
        <f>IF(VLOOKUP(BR234,Fundamentus!A:U,3,FALSE)&lt;15,"Bom",IF(VLOOKUP(BR234,Fundamentus!A:U,3,FALSE)&gt;15,"Ruim","n/a"))</f>
        <v>Bom</v>
      </c>
      <c r="EO234" s="28" t="str">
        <f>IF(VLOOKUP(BR234,Fundamentus!A:U,4,FALSE)&lt;1,"Baixo",IF(VLOOKUP(BR234,Fundamentus!A:U,4,FALSE)&lt;1.5,"Moderado",IF(VLOOKUP(BR234,Fundamentus!A:U,4,FALSE)&gt;1.5,"Alto","n/a")))</f>
        <v>Baixo</v>
      </c>
      <c r="EP234" s="17" t="str">
        <f>IF(VLOOKUP(BR234,Fundamentus!A:U,8,FALSE)&lt;0,"Risco elevado",IF(VLOOKUP(BR234,Fundamentus!A:U,8,FALSE)&lt;1,"Saudável",IF(VLOOKUP(BR234,Fundamentus!A:U,8,FALSE)&lt;3,"Estável",IF(VLOOKUP(BR234,Fundamentus!A:U,8,FALSE)&gt;3,"Alerta","n/a"))))</f>
        <v>Estável</v>
      </c>
      <c r="EQ234" s="28" t="str">
        <f t="shared" si="240"/>
        <v>Ruim</v>
      </c>
      <c r="ER234" s="17" t="str">
        <f>IF(VLOOKUP(BR234,Fundamentus!A:U,12,FALSE)&lt;2,"Subvalorizada",IF(VLOOKUP(BR234,Fundamentus!A:U,12,FALSE)&lt;6,"Muita barata",IF(VLOOKUP(BR234,Fundamentus!A:U,12,FALSE)&lt;6,"Barata",IF(VLOOKUP(BR234,Fundamentus!A:U,12,FALSE)&lt;8,"Atrativa",IF(VLOOKUP(BR234,Fundamentus!A:U,12,FALSE)&gt;8,"Supervalorizada","n/a")))))</f>
        <v>Muita barata</v>
      </c>
      <c r="ET234" s="17" t="str">
        <f>IF(VLOOKUP(BR234,Fundamentus!A:U,17,FALSE)&lt;0.1,"Fraco retorno",IF(VLOOKUP(BR234,Fundamentus!A:U,17,FALSE)&gt;0.1,"Bom retorno","n/a"))</f>
        <v>Fraco retorno</v>
      </c>
      <c r="EU234" s="17" t="str">
        <f>IF(VLOOKUP(BR234,Fundamentus!A:U,16,FALSE)&lt;0.1,"Ineficiente",IF(VLOOKUP(BR234,Fundamentus!A:U,16,FALSE)&gt;0.1,"Eficiente","n/a"))</f>
        <v>Ineficiente</v>
      </c>
      <c r="EV234" s="33" t="str">
        <f>IF(VLOOKUP(BR234,Fundamentus!A:U,16,FALSE)&lt;0.1,"Oper. Ineficiente",IF(VLOOKUP(BR234,Fundamentus!A:U,16,FALSE)&gt;0.1,"Oper.Eficiente","n/a"))</f>
        <v>Oper. Ineficiente</v>
      </c>
      <c r="EW234" s="34">
        <f>VLOOKUP(BR234,Fundamentus!A:U,14,FALSE)</f>
        <v>-7.8799999999999995E-2</v>
      </c>
      <c r="EX234" s="17" t="str">
        <f>IF(VLOOKUP(BR234,Fundamentus!A:U,21,FALSE)&lt;0,"Negativo",IF(VLOOKUP(BR234,Fundamentus!A:U,21,FALSE)&lt;0.05,"Fraco",IF(VLOOKUP(BR234,Fundamentus!A:U,21,FALSE)&lt;0.1,"Bom",IF(VLOOKUP(BR234,Fundamentus!A:U,21,FALSE)&gt;0.1,"Muito bom","n/a"))))</f>
        <v>Muito bom</v>
      </c>
      <c r="EZ234" s="29" t="str">
        <f>IF(VLOOKUP(BR234,Fundamentus!A:U,15,FALSE)&gt;1,"Bom",IF(VLOOKUP(BR234,Fundamentus!A:U,15,FALSE)&lt;1,"Ruim","n/a"))</f>
        <v>Bom</v>
      </c>
      <c r="FA234" s="17" t="str">
        <f>IF(VLOOKUP(BR234,Fundamentus!A:U,20,FALSE)&lt;0.5,"Baixa",IF(VLOOKUP(BR234,Fundamentus!A:U,20,FALSE)&lt;1,"Moderada",IF(VLOOKUP(BR234,Fundamentus!A:U,20,FALSE)&lt;2,"Alerta",IF(VLOOKUP(BR234,Fundamentus!A:U,20,FALSE)&gt;2,"Alta","n/a"))))</f>
        <v>Baixa</v>
      </c>
    </row>
    <row r="235" spans="1:157" s="2" customFormat="1" ht="11.25"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5">
        <v>1.82</v>
      </c>
      <c r="BC235" s="52">
        <v>1.7</v>
      </c>
      <c r="BD235" s="52">
        <v>2.14</v>
      </c>
      <c r="BE235" s="52">
        <v>1.94</v>
      </c>
      <c r="BF235" s="52">
        <v>1.98</v>
      </c>
      <c r="BG235" s="67">
        <v>1.83</v>
      </c>
      <c r="BH235" s="52">
        <v>1.72</v>
      </c>
      <c r="BI235" s="52">
        <v>1.63</v>
      </c>
      <c r="BJ235" s="52">
        <v>1.71</v>
      </c>
      <c r="BK235" s="52">
        <v>1.54</v>
      </c>
      <c r="BL235" s="52">
        <v>1.52</v>
      </c>
      <c r="BM235" s="52">
        <v>1.48</v>
      </c>
      <c r="BN235" s="52">
        <v>1.4</v>
      </c>
      <c r="BO235" s="52">
        <v>1.24</v>
      </c>
      <c r="BP235" s="52">
        <v>1.04</v>
      </c>
      <c r="BQ235" s="52" cm="1">
        <f t="array" aca="1" ref="BQ235" ca="1">_FV(EE235,"Preço")</f>
        <v>1.04</v>
      </c>
      <c r="BR235" s="69" t="s">
        <v>231</v>
      </c>
      <c r="BS235" s="36" cm="1">
        <f t="array" aca="1" ref="BS235" ca="1">_FV(EE235,"Média de volume",TRUE)</f>
        <v>30797760</v>
      </c>
      <c r="BT235" s="36">
        <v>36509100</v>
      </c>
      <c r="BU235" s="36" cm="1">
        <f t="array" aca="1" ref="BU235" ca="1">_FV(EE235,"Volume")</f>
        <v>36509100</v>
      </c>
      <c r="BV235" s="24" cm="1">
        <f t="array" aca="1" ref="BV235" ca="1">_FV(EE235,"Beta")</f>
        <v>1.1338999999999999</v>
      </c>
      <c r="BW235" s="71" cm="1">
        <f t="array" aca="1" ref="BW235" ca="1">_FV(EE235,"Variação (%)",TRUE)</f>
        <v>-9.5239999999999995E-3</v>
      </c>
      <c r="BY235" s="17" cm="1">
        <f t="array" aca="1" ref="BY235" ca="1">_FV(EE235,"Baixo")</f>
        <v>1.02</v>
      </c>
      <c r="BZ235" s="17" cm="1">
        <f t="array" aca="1" ref="BZ235" ca="1">_FV(EE235,"Alto")</f>
        <v>1.08</v>
      </c>
      <c r="CA235" s="24"/>
      <c r="CB235" s="63" t="e">
        <f ca="1">SQRT(22.5*(BQ235/VLOOKUP(BR235,Fundamentus!A:U,3,FALSE))*(BQ235/VLOOKUP(BR235,Fundamentus!A:U,4,FALSE)))</f>
        <v>#NUM!</v>
      </c>
      <c r="CD235" s="62">
        <f t="shared" ca="1" si="241"/>
        <v>0</v>
      </c>
      <c r="CE235" s="8"/>
      <c r="CF235" s="61">
        <f t="shared" si="242"/>
        <v>1.04</v>
      </c>
      <c r="CG235" s="61">
        <f t="shared" si="243"/>
        <v>3.3</v>
      </c>
      <c r="CH235" s="61">
        <f t="shared" si="244"/>
        <v>2.3355147058823524</v>
      </c>
      <c r="CI235" s="14"/>
      <c r="CJ235" s="35">
        <f t="shared" si="227"/>
        <v>0.70178909284818536</v>
      </c>
      <c r="CK235" s="15">
        <f t="shared" si="245"/>
        <v>0.91999999999995907</v>
      </c>
      <c r="CL235" s="35">
        <f t="shared" si="228"/>
        <v>1.1382109071517328</v>
      </c>
      <c r="CN235" s="14"/>
      <c r="CO235" s="17">
        <f t="shared" si="229"/>
        <v>-1.9733333333333332</v>
      </c>
      <c r="CP235" s="17">
        <f t="shared" si="230"/>
        <v>-0.46666666666666656</v>
      </c>
      <c r="CQ235" s="17">
        <f t="shared" si="231"/>
        <v>0.28666666666666663</v>
      </c>
      <c r="CR235" s="38">
        <f t="shared" si="246"/>
        <v>1.7933333333333332</v>
      </c>
      <c r="CS235" s="17">
        <f t="shared" si="232"/>
        <v>2.5466666666666664</v>
      </c>
      <c r="CT235" s="17">
        <f t="shared" si="233"/>
        <v>4.0533333333333328</v>
      </c>
      <c r="CU235" s="17">
        <f t="shared" si="234"/>
        <v>4.8066666666666666</v>
      </c>
      <c r="CV235" s="2" cm="1">
        <f t="array" aca="1" ref="CV235" ca="1">MAX(_xlfn._xlws.FILTER(CO235:CU235,CO235:CU235&lt;BQ235))</f>
        <v>0.28666666666666663</v>
      </c>
      <c r="CW235" s="2" cm="1">
        <f t="array" aca="1" ref="CW235" ca="1">MIN(_xlfn._xlws.FILTER($CO235:$CU235,$CO235:$CU235&gt;BQ235))</f>
        <v>1.7933333333333332</v>
      </c>
      <c r="CX235" s="16">
        <f t="shared" ca="1" si="248"/>
        <v>5.2558139534883725</v>
      </c>
      <c r="CY235" s="20">
        <f t="shared" ca="1" si="249"/>
        <v>-2.6279069767441863</v>
      </c>
      <c r="CZ235" s="20">
        <f t="shared" ca="1" si="250"/>
        <v>-1.7519379844961243</v>
      </c>
      <c r="DA235" s="20">
        <f t="shared" ca="1" si="251"/>
        <v>-1.0511627906976746</v>
      </c>
      <c r="DB235" s="20">
        <f t="shared" ca="1" si="252"/>
        <v>-0.58397932816537468</v>
      </c>
      <c r="DC235" s="20">
        <f t="shared" ca="1" si="253"/>
        <v>-0.30916552667578662</v>
      </c>
      <c r="DD235" s="20">
        <f t="shared" ca="1" si="254"/>
        <v>-0.15926708949964766</v>
      </c>
      <c r="DE235" s="20">
        <f t="shared" ca="1" si="255"/>
        <v>-8.0858676207513427E-2</v>
      </c>
      <c r="DF235" s="21">
        <f t="shared" ca="1" si="256"/>
        <v>8.0858676207513427E-2</v>
      </c>
      <c r="DG235" s="21">
        <f t="shared" ca="1" si="257"/>
        <v>0.15926708949964766</v>
      </c>
      <c r="DH235" s="21">
        <f t="shared" ca="1" si="258"/>
        <v>0.30916552667578662</v>
      </c>
      <c r="DI235" s="21">
        <f t="shared" ca="1" si="259"/>
        <v>0.58397932816537468</v>
      </c>
      <c r="DJ235" s="21">
        <f t="shared" ca="1" si="260"/>
        <v>1.0511627906976746</v>
      </c>
      <c r="DK235" s="21">
        <f t="shared" ca="1" si="261"/>
        <v>1.7519379844961243</v>
      </c>
      <c r="DL235" s="21">
        <f t="shared" ca="1" si="262"/>
        <v>2.6279069767441863</v>
      </c>
      <c r="DN235" s="16" cm="1">
        <f t="array" aca="1" ref="DN235" ca="1">MAX(_xlfn._xlws.FILTER(CY235:DL235,CY235:DL235&lt;BW235))</f>
        <v>-8.0858676207513427E-2</v>
      </c>
      <c r="DO235" s="16" cm="1">
        <f t="array" aca="1" ref="DO235" ca="1">MIN(_xlfn._xlws.FILTER(CY235:DL235,CY235:DL235&gt;BW235))</f>
        <v>8.0858676207513427E-2</v>
      </c>
      <c r="DP235" s="2" cm="1">
        <f t="array" aca="1" ref="DP235" ca="1">_FV(EE235,"Fechamento anterior",TRUE)</f>
        <v>1.05</v>
      </c>
      <c r="DQ235" s="28">
        <f t="shared" ca="1" si="235"/>
        <v>0.44110830172777044</v>
      </c>
      <c r="DR235" s="15">
        <f t="shared" ca="1" si="263"/>
        <v>0.96509838998211095</v>
      </c>
      <c r="DS235" s="15">
        <f t="shared" ca="1" si="264"/>
        <v>1.1349016100178893</v>
      </c>
      <c r="DT235" s="9"/>
      <c r="DU235" s="9"/>
      <c r="DV235" s="9"/>
      <c r="DW235" s="89">
        <v>3.7026427387873144E-2</v>
      </c>
      <c r="DX235" s="89">
        <f t="shared" ca="1" si="236"/>
        <v>0.16171735241502685</v>
      </c>
      <c r="DY235" s="72">
        <f t="shared" ca="1" si="237"/>
        <v>0.54992668133026246</v>
      </c>
      <c r="DZ235" s="37"/>
      <c r="EA235" s="35">
        <f t="shared" si="247"/>
        <v>0.10910545357588686</v>
      </c>
      <c r="EB235" s="56"/>
      <c r="EC235" s="56"/>
      <c r="EE235" s="2" t="e" vm="237">
        <v>#VALUE!</v>
      </c>
      <c r="EG235" s="10" cm="1">
        <f t="array" aca="1" ref="EG235" ca="1">_FV(EE235,"Ações em circulação",TRUE)</f>
        <v>1358937000</v>
      </c>
      <c r="EH235" s="18">
        <f>VLOOKUP(BR235,Fundamentus!A:U,5,FALSE)</f>
        <v>6.2E-2</v>
      </c>
      <c r="EI235" s="2">
        <f t="shared" ca="1" si="238"/>
        <v>22795072258.064518</v>
      </c>
      <c r="EJ235" s="17">
        <v>-373839185.03225815</v>
      </c>
      <c r="EK235" s="17">
        <f t="shared" ca="1" si="239"/>
        <v>-373839185.03225815</v>
      </c>
      <c r="EM235" s="16">
        <f t="shared" ca="1" si="226"/>
        <v>0</v>
      </c>
      <c r="EN235" s="32" t="str">
        <f>IF(VLOOKUP(BR235,Fundamentus!A:U,3,FALSE)&lt;15,"Bom",IF(VLOOKUP(BR235,Fundamentus!A:U,3,FALSE)&gt;15,"Ruim","n/a"))</f>
        <v>Bom</v>
      </c>
      <c r="EO235" s="28" t="str">
        <f>IF(VLOOKUP(BR235,Fundamentus!A:U,4,FALSE)&lt;1,"Baixo",IF(VLOOKUP(BR235,Fundamentus!A:U,4,FALSE)&lt;1.5,"Moderado",IF(VLOOKUP(BR235,Fundamentus!A:U,4,FALSE)&gt;1.5,"Alto","n/a")))</f>
        <v>Baixo</v>
      </c>
      <c r="EP235" s="17" t="str">
        <f>IF(VLOOKUP(BR235,Fundamentus!A:U,8,FALSE)&lt;0,"Risco elevado",IF(VLOOKUP(BR235,Fundamentus!A:U,8,FALSE)&lt;1,"Saudável",IF(VLOOKUP(BR235,Fundamentus!A:U,8,FALSE)&lt;3,"Estável",IF(VLOOKUP(BR235,Fundamentus!A:U,8,FALSE)&gt;3,"Alerta","n/a"))))</f>
        <v>Estável</v>
      </c>
      <c r="EQ235" s="28" t="str">
        <f t="shared" si="240"/>
        <v>Ruim</v>
      </c>
      <c r="ER235" s="17" t="str">
        <f>IF(VLOOKUP(BR235,Fundamentus!A:U,12,FALSE)&lt;2,"Subvalorizada",IF(VLOOKUP(BR235,Fundamentus!A:U,12,FALSE)&lt;6,"Muita barata",IF(VLOOKUP(BR235,Fundamentus!A:U,12,FALSE)&lt;6,"Barata",IF(VLOOKUP(BR235,Fundamentus!A:U,12,FALSE)&lt;8,"Atrativa",IF(VLOOKUP(BR235,Fundamentus!A:U,12,FALSE)&gt;8,"Supervalorizada","n/a")))))</f>
        <v>Muita barata</v>
      </c>
      <c r="ET235" s="17" t="str">
        <f>IF(VLOOKUP(BR235,Fundamentus!A:U,17,FALSE)&lt;0.1,"Fraco retorno",IF(VLOOKUP(BR235,Fundamentus!A:U,17,FALSE)&gt;0.1,"Bom retorno","n/a"))</f>
        <v>Fraco retorno</v>
      </c>
      <c r="EU235" s="17" t="str">
        <f>IF(VLOOKUP(BR235,Fundamentus!A:U,16,FALSE)&lt;0.1,"Ineficiente",IF(VLOOKUP(BR235,Fundamentus!A:U,16,FALSE)&gt;0.1,"Eficiente","n/a"))</f>
        <v>Ineficiente</v>
      </c>
      <c r="EV235" s="33" t="str">
        <f>IF(VLOOKUP(BR235,Fundamentus!A:U,16,FALSE)&lt;0.1,"Oper. Ineficiente",IF(VLOOKUP(BR235,Fundamentus!A:U,16,FALSE)&gt;0.1,"Oper.Eficiente","n/a"))</f>
        <v>Oper. Ineficiente</v>
      </c>
      <c r="EW235" s="34">
        <f>VLOOKUP(BR235,Fundamentus!A:U,14,FALSE)</f>
        <v>-1.6400000000000001E-2</v>
      </c>
      <c r="EX235" s="17" t="str">
        <f>IF(VLOOKUP(BR235,Fundamentus!A:U,21,FALSE)&lt;0,"Negativo",IF(VLOOKUP(BR235,Fundamentus!A:U,21,FALSE)&lt;0.05,"Fraco",IF(VLOOKUP(BR235,Fundamentus!A:U,21,FALSE)&lt;0.1,"Bom",IF(VLOOKUP(BR235,Fundamentus!A:U,21,FALSE)&gt;0.1,"Muito bom","n/a"))))</f>
        <v>Muito bom</v>
      </c>
      <c r="EZ235" s="29" t="str">
        <f>IF(VLOOKUP(BR235,Fundamentus!A:U,15,FALSE)&gt;1,"Bom",IF(VLOOKUP(BR235,Fundamentus!A:U,15,FALSE)&lt;1,"Ruim","n/a"))</f>
        <v>Bom</v>
      </c>
      <c r="FA235" s="17" t="str">
        <f>IF(VLOOKUP(BR235,Fundamentus!A:U,20,FALSE)&lt;0.5,"Baixa",IF(VLOOKUP(BR235,Fundamentus!A:U,20,FALSE)&lt;1,"Moderada",IF(VLOOKUP(BR235,Fundamentus!A:U,20,FALSE)&lt;2,"Alerta",IF(VLOOKUP(BR235,Fundamentus!A:U,20,FALSE)&gt;2,"Alta","n/a"))))</f>
        <v>Alta</v>
      </c>
    </row>
    <row r="236" spans="1:157" s="2" customFormat="1" ht="11.25"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5">
        <v>29.41</v>
      </c>
      <c r="BC236" s="52">
        <v>29.4</v>
      </c>
      <c r="BD236" s="52">
        <v>24.42</v>
      </c>
      <c r="BE236" s="52">
        <v>23.42</v>
      </c>
      <c r="BF236" s="52">
        <v>21.71</v>
      </c>
      <c r="BG236" s="67">
        <v>21.59</v>
      </c>
      <c r="BH236" s="52">
        <v>21.35</v>
      </c>
      <c r="BI236" s="52">
        <v>21.73</v>
      </c>
      <c r="BJ236" s="52">
        <v>22.43</v>
      </c>
      <c r="BK236" s="52">
        <v>21.2</v>
      </c>
      <c r="BL236" s="52">
        <v>20.260000000000002</v>
      </c>
      <c r="BM236" s="52">
        <v>20.239999999999998</v>
      </c>
      <c r="BN236" s="52">
        <v>18.350000000000001</v>
      </c>
      <c r="BO236" s="52">
        <v>18.93</v>
      </c>
      <c r="BP236" s="52">
        <v>20.65</v>
      </c>
      <c r="BQ236" s="52" cm="1">
        <f t="array" aca="1" ref="BQ236" ca="1">_FV(EE236,"Preço")</f>
        <v>20.65</v>
      </c>
      <c r="BR236" s="69" t="s">
        <v>232</v>
      </c>
      <c r="BS236" s="36" cm="1">
        <f t="array" aca="1" ref="BS236" ca="1">_FV(EE236,"Média de volume",TRUE)</f>
        <v>43760750</v>
      </c>
      <c r="BT236" s="36">
        <v>131325700</v>
      </c>
      <c r="BU236" s="36" cm="1">
        <f t="array" aca="1" ref="BU236" ca="1">_FV(EE236,"Volume")</f>
        <v>131325700</v>
      </c>
      <c r="BV236" s="24" cm="1">
        <f t="array" aca="1" ref="BV236" ca="1">_FV(EE236,"Beta")</f>
        <v>0.998</v>
      </c>
      <c r="BW236" s="71" cm="1">
        <f t="array" aca="1" ref="BW236" ca="1">_FV(EE236,"Variação (%)",TRUE)</f>
        <v>4.0301999999999998E-2</v>
      </c>
      <c r="BY236" s="17" cm="1">
        <f t="array" aca="1" ref="BY236" ca="1">_FV(EE236,"Baixo")</f>
        <v>19.02</v>
      </c>
      <c r="BZ236" s="17" cm="1">
        <f t="array" aca="1" ref="BZ236" ca="1">_FV(EE236,"Alto")</f>
        <v>20.8</v>
      </c>
      <c r="CA236" s="24"/>
      <c r="CB236" s="63">
        <f ca="1">SQRT(22.5*(BQ236/VLOOKUP(BR236,Fundamentus!A:U,3,FALSE))*(BQ236/VLOOKUP(BR236,Fundamentus!A:U,4,FALSE)))</f>
        <v>64.632317015726088</v>
      </c>
      <c r="CD236" s="62">
        <f t="shared" ca="1" si="241"/>
        <v>0</v>
      </c>
      <c r="CE236" s="8"/>
      <c r="CF236" s="61">
        <f t="shared" si="242"/>
        <v>18.350000000000001</v>
      </c>
      <c r="CG236" s="61">
        <f t="shared" si="243"/>
        <v>29.41</v>
      </c>
      <c r="CH236" s="61">
        <f t="shared" si="244"/>
        <v>25.880514705882362</v>
      </c>
      <c r="CI236" s="14"/>
      <c r="CJ236" s="35">
        <f t="shared" si="227"/>
        <v>17.950589082400626</v>
      </c>
      <c r="CK236" s="15">
        <f t="shared" si="245"/>
        <v>19.995000000000118</v>
      </c>
      <c r="CL236" s="35">
        <f t="shared" si="228"/>
        <v>22.039410917599611</v>
      </c>
      <c r="CN236" s="14"/>
      <c r="CO236" s="17">
        <f t="shared" si="229"/>
        <v>5.1366666666666632</v>
      </c>
      <c r="CP236" s="17">
        <f t="shared" si="230"/>
        <v>11.743333333333332</v>
      </c>
      <c r="CQ236" s="17">
        <f t="shared" si="231"/>
        <v>16.196666666666662</v>
      </c>
      <c r="CR236" s="38">
        <f t="shared" si="246"/>
        <v>22.803333333333331</v>
      </c>
      <c r="CS236" s="17">
        <f t="shared" si="232"/>
        <v>27.256666666666661</v>
      </c>
      <c r="CT236" s="17">
        <f t="shared" si="233"/>
        <v>33.86333333333333</v>
      </c>
      <c r="CU236" s="17">
        <f t="shared" si="234"/>
        <v>38.316666666666663</v>
      </c>
      <c r="CV236" s="2" cm="1">
        <f t="array" aca="1" ref="CV236" ca="1">MAX(_xlfn._xlws.FILTER(CO236:CU236,CO236:CU236&lt;BQ236))</f>
        <v>16.196666666666662</v>
      </c>
      <c r="CW236" s="2" cm="1">
        <f t="array" aca="1" ref="CW236" ca="1">MIN(_xlfn._xlws.FILTER($CO236:$CU236,$CO236:$CU236&gt;BQ236))</f>
        <v>22.803333333333331</v>
      </c>
      <c r="CX236" s="16">
        <f t="shared" ca="1" si="248"/>
        <v>0.4079028606709203</v>
      </c>
      <c r="CY236" s="20">
        <f t="shared" ca="1" si="249"/>
        <v>-0.20395143033546015</v>
      </c>
      <c r="CZ236" s="20">
        <f t="shared" ca="1" si="250"/>
        <v>-0.13596762022364009</v>
      </c>
      <c r="DA236" s="20">
        <f t="shared" ca="1" si="251"/>
        <v>-8.1580572134184057E-2</v>
      </c>
      <c r="DB236" s="20">
        <f t="shared" ca="1" si="252"/>
        <v>-4.5322540074546697E-2</v>
      </c>
      <c r="DC236" s="20">
        <f t="shared" ca="1" si="253"/>
        <v>-2.3994285921818841E-2</v>
      </c>
      <c r="DD236" s="20">
        <f t="shared" ca="1" si="254"/>
        <v>-1.2360692747603645E-2</v>
      </c>
      <c r="DE236" s="20">
        <f t="shared" ca="1" si="255"/>
        <v>-6.2754286257064662E-3</v>
      </c>
      <c r="DF236" s="21">
        <f t="shared" ca="1" si="256"/>
        <v>6.2754286257064662E-3</v>
      </c>
      <c r="DG236" s="21">
        <f t="shared" ca="1" si="257"/>
        <v>1.2360692747603645E-2</v>
      </c>
      <c r="DH236" s="21">
        <f t="shared" ca="1" si="258"/>
        <v>2.3994285921818841E-2</v>
      </c>
      <c r="DI236" s="21">
        <f t="shared" ca="1" si="259"/>
        <v>4.5322540074546697E-2</v>
      </c>
      <c r="DJ236" s="21">
        <f t="shared" ca="1" si="260"/>
        <v>8.1580572134184057E-2</v>
      </c>
      <c r="DK236" s="21">
        <f t="shared" ca="1" si="261"/>
        <v>0.13596762022364009</v>
      </c>
      <c r="DL236" s="21">
        <f t="shared" ca="1" si="262"/>
        <v>0.20395143033546015</v>
      </c>
      <c r="DN236" s="16" cm="1">
        <f t="array" aca="1" ref="DN236" ca="1">MAX(_xlfn._xlws.FILTER(CY236:DL236,CY236:DL236&lt;BW236))</f>
        <v>2.3994285921818841E-2</v>
      </c>
      <c r="DO236" s="16" cm="1">
        <f t="array" aca="1" ref="DO236" ca="1">MIN(_xlfn._xlws.FILTER(CY236:DL236,CY236:DL236&gt;BW236))</f>
        <v>4.5322540074546697E-2</v>
      </c>
      <c r="DP236" s="2" cm="1">
        <f t="array" aca="1" ref="DP236" ca="1">_FV(EE236,"Fechamento anterior",TRUE)</f>
        <v>19.850000000000001</v>
      </c>
      <c r="DQ236" s="28">
        <f t="shared" ca="1" si="235"/>
        <v>0.76461865860755662</v>
      </c>
      <c r="DR236" s="15">
        <f t="shared" ca="1" si="263"/>
        <v>20.326286575548107</v>
      </c>
      <c r="DS236" s="15">
        <f t="shared" ca="1" si="264"/>
        <v>20.749652420479755</v>
      </c>
      <c r="DT236" s="9"/>
      <c r="DU236" s="9"/>
      <c r="DV236" s="9"/>
      <c r="DW236" s="89">
        <v>1.4679274214157937E-2</v>
      </c>
      <c r="DX236" s="89">
        <f t="shared" ca="1" si="236"/>
        <v>2.1328254152727856E-2</v>
      </c>
      <c r="DY236" s="72">
        <f t="shared" ca="1" si="237"/>
        <v>0.32038568878754015</v>
      </c>
      <c r="DZ236" s="37"/>
      <c r="EA236" s="35">
        <f t="shared" si="247"/>
        <v>1.0222054587997458</v>
      </c>
      <c r="EB236" s="56"/>
      <c r="EC236" s="56"/>
      <c r="EE236" s="2" t="e" vm="238">
        <v>#VALUE!</v>
      </c>
      <c r="EG236" s="10" cm="1">
        <f t="array" aca="1" ref="EG236" ca="1">_FV(EE236,"Ações em circulação",TRUE)</f>
        <v>5730834000</v>
      </c>
      <c r="EH236" s="18">
        <f>VLOOKUP(BR236,Fundamentus!A:U,5,FALSE)</f>
        <v>0</v>
      </c>
      <c r="EI236" s="2" t="e">
        <f t="shared" ca="1" si="238"/>
        <v>#DIV/0!</v>
      </c>
      <c r="EJ236" s="17" t="e">
        <v>#DIV/0!</v>
      </c>
      <c r="EK236" s="17" t="e">
        <f t="shared" ca="1" si="239"/>
        <v>#DIV/0!</v>
      </c>
      <c r="EM236" s="16" t="e">
        <f t="shared" ca="1" si="226"/>
        <v>#DIV/0!</v>
      </c>
      <c r="EN236" s="32" t="str">
        <f>IF(VLOOKUP(BR236,Fundamentus!A:U,3,FALSE)&lt;15,"Bom",IF(VLOOKUP(BR236,Fundamentus!A:U,3,FALSE)&gt;15,"Ruim","n/a"))</f>
        <v>Bom</v>
      </c>
      <c r="EO236" s="28" t="str">
        <f>IF(VLOOKUP(BR236,Fundamentus!A:U,4,FALSE)&lt;1,"Baixo",IF(VLOOKUP(BR236,Fundamentus!A:U,4,FALSE)&lt;1.5,"Moderado",IF(VLOOKUP(BR236,Fundamentus!A:U,4,FALSE)&gt;1.5,"Alto","n/a")))</f>
        <v>Baixo</v>
      </c>
      <c r="EP236" s="17" t="str">
        <f>IF(VLOOKUP(BR236,Fundamentus!A:U,8,FALSE)&lt;0,"Risco elevado",IF(VLOOKUP(BR236,Fundamentus!A:U,8,FALSE)&lt;1,"Saudável",IF(VLOOKUP(BR236,Fundamentus!A:U,8,FALSE)&lt;3,"Estável",IF(VLOOKUP(BR236,Fundamentus!A:U,8,FALSE)&gt;3,"Alerta","n/a"))))</f>
        <v>Saudável</v>
      </c>
      <c r="EQ236" s="28" t="str">
        <f t="shared" si="240"/>
        <v>Ruim</v>
      </c>
      <c r="ER236" s="17" t="str">
        <f>IF(VLOOKUP(BR236,Fundamentus!A:U,12,FALSE)&lt;2,"Subvalorizada",IF(VLOOKUP(BR236,Fundamentus!A:U,12,FALSE)&lt;6,"Muita barata",IF(VLOOKUP(BR236,Fundamentus!A:U,12,FALSE)&lt;6,"Barata",IF(VLOOKUP(BR236,Fundamentus!A:U,12,FALSE)&lt;8,"Atrativa",IF(VLOOKUP(BR236,Fundamentus!A:U,12,FALSE)&gt;8,"Supervalorizada","n/a")))))</f>
        <v>Subvalorizada</v>
      </c>
      <c r="ET236" s="17" t="str">
        <f>IF(VLOOKUP(BR236,Fundamentus!A:U,17,FALSE)&lt;0.1,"Fraco retorno",IF(VLOOKUP(BR236,Fundamentus!A:U,17,FALSE)&gt;0.1,"Bom retorno","n/a"))</f>
        <v>Bom retorno</v>
      </c>
      <c r="EU236" s="17" t="str">
        <f>IF(VLOOKUP(BR236,Fundamentus!A:U,16,FALSE)&lt;0.1,"Ineficiente",IF(VLOOKUP(BR236,Fundamentus!A:U,16,FALSE)&gt;0.1,"Eficiente","n/a"))</f>
        <v>Ineficiente</v>
      </c>
      <c r="EV236" s="33" t="str">
        <f>IF(VLOOKUP(BR236,Fundamentus!A:U,16,FALSE)&lt;0.1,"Oper. Ineficiente",IF(VLOOKUP(BR236,Fundamentus!A:U,16,FALSE)&gt;0.1,"Oper.Eficiente","n/a"))</f>
        <v>Oper. Ineficiente</v>
      </c>
      <c r="EW236" s="34">
        <f>VLOOKUP(BR236,Fundamentus!A:U,14,FALSE)</f>
        <v>0</v>
      </c>
      <c r="EX236" s="17" t="str">
        <f>IF(VLOOKUP(BR236,Fundamentus!A:U,21,FALSE)&lt;0,"Negativo",IF(VLOOKUP(BR236,Fundamentus!A:U,21,FALSE)&lt;0.05,"Fraco",IF(VLOOKUP(BR236,Fundamentus!A:U,21,FALSE)&lt;0.1,"Bom",IF(VLOOKUP(BR236,Fundamentus!A:U,21,FALSE)&gt;0.1,"Muito bom","n/a"))))</f>
        <v>Muito bom</v>
      </c>
      <c r="EZ236" s="29" t="str">
        <f>IF(VLOOKUP(BR236,Fundamentus!A:U,15,FALSE)&gt;1,"Bom",IF(VLOOKUP(BR236,Fundamentus!A:U,15,FALSE)&lt;1,"Ruim","n/a"))</f>
        <v>Ruim</v>
      </c>
      <c r="FA236" s="17" t="str">
        <f>IF(VLOOKUP(BR236,Fundamentus!A:U,20,FALSE)&lt;0.5,"Baixa",IF(VLOOKUP(BR236,Fundamentus!A:U,20,FALSE)&lt;1,"Moderada",IF(VLOOKUP(BR236,Fundamentus!A:U,20,FALSE)&lt;2,"Alerta",IF(VLOOKUP(BR236,Fundamentus!A:U,20,FALSE)&gt;2,"Alta","n/a"))))</f>
        <v>Baixa</v>
      </c>
    </row>
    <row r="237" spans="1:157" s="2" customFormat="1" ht="11.25"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5">
        <v>4.7</v>
      </c>
      <c r="BC237" s="52">
        <v>4.49</v>
      </c>
      <c r="BD237" s="52">
        <v>4.5999999999999996</v>
      </c>
      <c r="BE237" s="52">
        <v>4.75</v>
      </c>
      <c r="BF237" s="52">
        <v>4.7699999999999996</v>
      </c>
      <c r="BG237" s="67">
        <v>4.91</v>
      </c>
      <c r="BH237" s="52">
        <v>5.05</v>
      </c>
      <c r="BI237" s="52">
        <v>4.9000000000000004</v>
      </c>
      <c r="BJ237" s="52">
        <v>4.96</v>
      </c>
      <c r="BK237" s="52">
        <v>4.9000000000000004</v>
      </c>
      <c r="BL237" s="52">
        <v>4.92</v>
      </c>
      <c r="BM237" s="52">
        <v>4.54</v>
      </c>
      <c r="BN237" s="52">
        <v>4.21</v>
      </c>
      <c r="BO237" s="52">
        <v>4.45</v>
      </c>
      <c r="BP237" s="52">
        <v>4.3899999999999997</v>
      </c>
      <c r="BQ237" s="52" cm="1">
        <f t="array" aca="1" ref="BQ237" ca="1">_FV(EE237,"Preço")</f>
        <v>4.3899999999999997</v>
      </c>
      <c r="BR237" s="69" t="s">
        <v>233</v>
      </c>
      <c r="BS237" s="36" cm="1">
        <f t="array" aca="1" ref="BS237" ca="1">_FV(EE237,"Média de volume",TRUE)</f>
        <v>15050</v>
      </c>
      <c r="BT237" s="36">
        <v>1500</v>
      </c>
      <c r="BU237" s="36" cm="1">
        <f t="array" aca="1" ref="BU237" ca="1">_FV(EE237,"Volume")</f>
        <v>1500</v>
      </c>
      <c r="BV237" s="24" cm="1">
        <f t="array" aca="1" ref="BV237" ca="1">_FV(EE237,"Beta")</f>
        <v>0.46700000000000003</v>
      </c>
      <c r="BW237" s="71" cm="1">
        <f t="array" aca="1" ref="BW237" ca="1">_FV(EE237,"Variação (%)",TRUE)</f>
        <v>-1.3483E-2</v>
      </c>
      <c r="BY237" s="17" cm="1">
        <f t="array" aca="1" ref="BY237" ca="1">_FV(EE237,"Baixo")</f>
        <v>4.3600000000000003</v>
      </c>
      <c r="BZ237" s="17" cm="1">
        <f t="array" aca="1" ref="BZ237" ca="1">_FV(EE237,"Alto")</f>
        <v>4.45</v>
      </c>
      <c r="CA237" s="24"/>
      <c r="CB237" s="63">
        <f ca="1">SQRT(22.5*(BQ237/VLOOKUP(BR237,Fundamentus!A:U,3,FALSE))*(BQ237/VLOOKUP(BR237,Fundamentus!A:U,4,FALSE)))</f>
        <v>5.2760087284724042</v>
      </c>
      <c r="CD237" s="62">
        <f t="shared" ca="1" si="241"/>
        <v>0</v>
      </c>
      <c r="CE237" s="8"/>
      <c r="CF237" s="61">
        <f t="shared" si="242"/>
        <v>4.21</v>
      </c>
      <c r="CG237" s="61">
        <f t="shared" si="243"/>
        <v>7.48</v>
      </c>
      <c r="CH237" s="61">
        <f t="shared" si="244"/>
        <v>5.4556617647058818</v>
      </c>
      <c r="CI237" s="14"/>
      <c r="CJ237" s="35">
        <f t="shared" si="227"/>
        <v>3.8005590022784825</v>
      </c>
      <c r="CK237" s="15">
        <f t="shared" si="245"/>
        <v>4.3449999999999989</v>
      </c>
      <c r="CL237" s="35">
        <f t="shared" si="228"/>
        <v>4.8894409977215147</v>
      </c>
      <c r="CN237" s="14"/>
      <c r="CO237" s="17">
        <f t="shared" si="229"/>
        <v>-3.0000000000000249E-2</v>
      </c>
      <c r="CP237" s="17">
        <f t="shared" si="230"/>
        <v>2.09</v>
      </c>
      <c r="CQ237" s="17">
        <f t="shared" si="231"/>
        <v>3.24</v>
      </c>
      <c r="CR237" s="38">
        <f t="shared" si="246"/>
        <v>5.36</v>
      </c>
      <c r="CS237" s="17">
        <f t="shared" si="232"/>
        <v>6.5100000000000007</v>
      </c>
      <c r="CT237" s="17">
        <f t="shared" si="233"/>
        <v>8.6300000000000008</v>
      </c>
      <c r="CU237" s="17">
        <f t="shared" si="234"/>
        <v>9.7800000000000011</v>
      </c>
      <c r="CV237" s="2" cm="1">
        <f t="array" aca="1" ref="CV237" ca="1">MAX(_xlfn._xlws.FILTER(CO237:CU237,CO237:CU237&lt;BQ237))</f>
        <v>3.24</v>
      </c>
      <c r="CW237" s="2" cm="1">
        <f t="array" aca="1" ref="CW237" ca="1">MIN(_xlfn._xlws.FILTER($CO237:$CU237,$CO237:$CU237&gt;BQ237))</f>
        <v>5.36</v>
      </c>
      <c r="CX237" s="16">
        <f t="shared" ca="1" si="248"/>
        <v>0.65432098765432101</v>
      </c>
      <c r="CY237" s="20">
        <f t="shared" ca="1" si="249"/>
        <v>-0.3271604938271605</v>
      </c>
      <c r="CZ237" s="20">
        <f t="shared" ca="1" si="250"/>
        <v>-0.21810699588477367</v>
      </c>
      <c r="DA237" s="20">
        <f t="shared" ca="1" si="251"/>
        <v>-0.1308641975308642</v>
      </c>
      <c r="DB237" s="20">
        <f t="shared" ca="1" si="252"/>
        <v>-7.2702331961591218E-2</v>
      </c>
      <c r="DC237" s="20">
        <f t="shared" ca="1" si="253"/>
        <v>-3.8489469862018885E-2</v>
      </c>
      <c r="DD237" s="20">
        <f t="shared" ca="1" si="254"/>
        <v>-1.9827908716797606E-2</v>
      </c>
      <c r="DE237" s="20">
        <f t="shared" ca="1" si="255"/>
        <v>-1.00664767331434E-2</v>
      </c>
      <c r="DF237" s="21">
        <f t="shared" ca="1" si="256"/>
        <v>1.00664767331434E-2</v>
      </c>
      <c r="DG237" s="21">
        <f t="shared" ca="1" si="257"/>
        <v>1.9827908716797606E-2</v>
      </c>
      <c r="DH237" s="21">
        <f t="shared" ca="1" si="258"/>
        <v>3.8489469862018885E-2</v>
      </c>
      <c r="DI237" s="21">
        <f t="shared" ca="1" si="259"/>
        <v>7.2702331961591218E-2</v>
      </c>
      <c r="DJ237" s="21">
        <f t="shared" ca="1" si="260"/>
        <v>0.1308641975308642</v>
      </c>
      <c r="DK237" s="21">
        <f t="shared" ca="1" si="261"/>
        <v>0.21810699588477367</v>
      </c>
      <c r="DL237" s="21">
        <f t="shared" ca="1" si="262"/>
        <v>0.3271604938271605</v>
      </c>
      <c r="DN237" s="16" cm="1">
        <f t="array" aca="1" ref="DN237" ca="1">MAX(_xlfn._xlws.FILTER(CY237:DL237,CY237:DL237&lt;BW237))</f>
        <v>-1.9827908716797606E-2</v>
      </c>
      <c r="DO237" s="16" cm="1">
        <f t="array" aca="1" ref="DO237" ca="1">MIN(_xlfn._xlws.FILTER(CY237:DL237,CY237:DL237&gt;BW237))</f>
        <v>-1.00664767331434E-2</v>
      </c>
      <c r="DP237" s="2" cm="1">
        <f t="array" aca="1" ref="DP237" ca="1">_FV(EE237,"Fechamento anterior",TRUE)</f>
        <v>4.45</v>
      </c>
      <c r="DQ237" s="28">
        <f t="shared" ca="1" si="235"/>
        <v>0.64998277506888691</v>
      </c>
      <c r="DR237" s="15">
        <f t="shared" ca="1" si="263"/>
        <v>4.3617658062102507</v>
      </c>
      <c r="DS237" s="15">
        <f t="shared" ca="1" si="264"/>
        <v>4.4052041785375122</v>
      </c>
      <c r="DT237" s="9"/>
      <c r="DU237" s="9"/>
      <c r="DV237" s="9"/>
      <c r="DW237" s="89">
        <v>9.5514241855705322E-3</v>
      </c>
      <c r="DX237" s="89">
        <f t="shared" ca="1" si="236"/>
        <v>9.7614319836542059E-3</v>
      </c>
      <c r="DY237" s="72">
        <f t="shared" ca="1" si="237"/>
        <v>8.2653584480826492E-2</v>
      </c>
      <c r="DZ237" s="37"/>
      <c r="EA237" s="35">
        <f t="shared" si="247"/>
        <v>0.27222049886075816</v>
      </c>
      <c r="EB237" s="56"/>
      <c r="EC237" s="56"/>
      <c r="EE237" s="2" t="e" vm="239">
        <v>#VALUE!</v>
      </c>
      <c r="EG237" s="10" cm="1">
        <f t="array" aca="1" ref="EG237" ca="1">_FV(EE237,"Ações em circulação",TRUE)</f>
        <v>14860570</v>
      </c>
      <c r="EH237" s="18">
        <f>VLOOKUP(BR237,Fundamentus!A:U,5,FALSE)</f>
        <v>9.9049999999999994</v>
      </c>
      <c r="EI237" s="2">
        <f t="shared" ca="1" si="238"/>
        <v>6586360.6562342253</v>
      </c>
      <c r="EJ237" s="17">
        <v>5359980.3020434119</v>
      </c>
      <c r="EK237" s="17">
        <f t="shared" ca="1" si="239"/>
        <v>5359980.3020434119</v>
      </c>
      <c r="EM237" s="16">
        <f t="shared" ca="1" si="226"/>
        <v>0</v>
      </c>
      <c r="EN237" s="32" t="str">
        <f>IF(VLOOKUP(BR237,Fundamentus!A:U,3,FALSE)&lt;15,"Bom",IF(VLOOKUP(BR237,Fundamentus!A:U,3,FALSE)&gt;15,"Ruim","n/a"))</f>
        <v>Bom</v>
      </c>
      <c r="EO237" s="28" t="str">
        <f>IF(VLOOKUP(BR237,Fundamentus!A:U,4,FALSE)&lt;1,"Baixo",IF(VLOOKUP(BR237,Fundamentus!A:U,4,FALSE)&lt;1.5,"Moderado",IF(VLOOKUP(BR237,Fundamentus!A:U,4,FALSE)&gt;1.5,"Alto","n/a")))</f>
        <v>Moderado</v>
      </c>
      <c r="EP237" s="17" t="str">
        <f>IF(VLOOKUP(BR237,Fundamentus!A:U,8,FALSE)&lt;0,"Risco elevado",IF(VLOOKUP(BR237,Fundamentus!A:U,8,FALSE)&lt;1,"Saudável",IF(VLOOKUP(BR237,Fundamentus!A:U,8,FALSE)&lt;3,"Estável",IF(VLOOKUP(BR237,Fundamentus!A:U,8,FALSE)&gt;3,"Alerta","n/a"))))</f>
        <v>Alerta</v>
      </c>
      <c r="EQ237" s="28" t="str">
        <f t="shared" si="240"/>
        <v>Bom</v>
      </c>
      <c r="ER237" s="17" t="str">
        <f>IF(VLOOKUP(BR237,Fundamentus!A:U,12,FALSE)&lt;2,"Subvalorizada",IF(VLOOKUP(BR237,Fundamentus!A:U,12,FALSE)&lt;6,"Muita barata",IF(VLOOKUP(BR237,Fundamentus!A:U,12,FALSE)&lt;6,"Barata",IF(VLOOKUP(BR237,Fundamentus!A:U,12,FALSE)&lt;8,"Atrativa",IF(VLOOKUP(BR237,Fundamentus!A:U,12,FALSE)&gt;8,"Supervalorizada","n/a")))))</f>
        <v>Subvalorizada</v>
      </c>
      <c r="ET237" s="17" t="str">
        <f>IF(VLOOKUP(BR237,Fundamentus!A:U,17,FALSE)&lt;0.1,"Fraco retorno",IF(VLOOKUP(BR237,Fundamentus!A:U,17,FALSE)&gt;0.1,"Bom retorno","n/a"))</f>
        <v>Bom retorno</v>
      </c>
      <c r="EU237" s="17" t="str">
        <f>IF(VLOOKUP(BR237,Fundamentus!A:U,16,FALSE)&lt;0.1,"Ineficiente",IF(VLOOKUP(BR237,Fundamentus!A:U,16,FALSE)&gt;0.1,"Eficiente","n/a"))</f>
        <v>Ineficiente</v>
      </c>
      <c r="EV237" s="33" t="str">
        <f>IF(VLOOKUP(BR237,Fundamentus!A:U,16,FALSE)&lt;0.1,"Oper. Ineficiente",IF(VLOOKUP(BR237,Fundamentus!A:U,16,FALSE)&gt;0.1,"Oper.Eficiente","n/a"))</f>
        <v>Oper. Ineficiente</v>
      </c>
      <c r="EW237" s="34">
        <f>VLOOKUP(BR237,Fundamentus!A:U,14,FALSE)</f>
        <v>0.81379999999999997</v>
      </c>
      <c r="EX237" s="17" t="str">
        <f>IF(VLOOKUP(BR237,Fundamentus!A:U,21,FALSE)&lt;0,"Negativo",IF(VLOOKUP(BR237,Fundamentus!A:U,21,FALSE)&lt;0.05,"Fraco",IF(VLOOKUP(BR237,Fundamentus!A:U,21,FALSE)&lt;0.1,"Bom",IF(VLOOKUP(BR237,Fundamentus!A:U,21,FALSE)&gt;0.1,"Muito bom","n/a"))))</f>
        <v>Negativo</v>
      </c>
      <c r="EZ237" s="29" t="str">
        <f>IF(VLOOKUP(BR237,Fundamentus!A:U,15,FALSE)&gt;1,"Bom",IF(VLOOKUP(BR237,Fundamentus!A:U,15,FALSE)&lt;1,"Ruim","n/a"))</f>
        <v>Bom</v>
      </c>
      <c r="FA237" s="17" t="str">
        <f>IF(VLOOKUP(BR237,Fundamentus!A:U,20,FALSE)&lt;0.5,"Baixa",IF(VLOOKUP(BR237,Fundamentus!A:U,20,FALSE)&lt;1,"Moderada",IF(VLOOKUP(BR237,Fundamentus!A:U,20,FALSE)&lt;2,"Alerta",IF(VLOOKUP(BR237,Fundamentus!A:U,20,FALSE)&gt;2,"Alta","n/a"))))</f>
        <v>Baixa</v>
      </c>
    </row>
    <row r="238" spans="1:157" s="2" customFormat="1" ht="11.25"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5">
        <v>5.3</v>
      </c>
      <c r="BC238" s="52">
        <v>5.87</v>
      </c>
      <c r="BD238" s="52">
        <v>6.07</v>
      </c>
      <c r="BE238" s="52">
        <v>6.06</v>
      </c>
      <c r="BF238" s="52">
        <v>5.42</v>
      </c>
      <c r="BG238" s="67">
        <v>5.67</v>
      </c>
      <c r="BH238" s="52">
        <v>6.07</v>
      </c>
      <c r="BI238" s="52">
        <v>6.4</v>
      </c>
      <c r="BJ238" s="52">
        <v>6.06</v>
      </c>
      <c r="BK238" s="52">
        <v>6.04</v>
      </c>
      <c r="BL238" s="52">
        <v>6.48</v>
      </c>
      <c r="BM238" s="52">
        <v>6.58</v>
      </c>
      <c r="BN238" s="52">
        <v>6.73</v>
      </c>
      <c r="BO238" s="52">
        <v>6.9</v>
      </c>
      <c r="BP238" s="52">
        <v>6.97</v>
      </c>
      <c r="BQ238" s="52" cm="1">
        <f t="array" aca="1" ref="BQ238" ca="1">_FV(EE238,"Preço")</f>
        <v>6.97</v>
      </c>
      <c r="BR238" s="69" t="s">
        <v>234</v>
      </c>
      <c r="BS238" s="36" cm="1">
        <f t="array" aca="1" ref="BS238" ca="1">_FV(EE238,"Média de volume",TRUE)</f>
        <v>485460</v>
      </c>
      <c r="BT238" s="36">
        <v>618700</v>
      </c>
      <c r="BU238" s="36" cm="1">
        <f t="array" aca="1" ref="BU238" ca="1">_FV(EE238,"Volume")</f>
        <v>618700</v>
      </c>
      <c r="BV238" s="24" cm="1">
        <f t="array" aca="1" ref="BV238" ca="1">_FV(EE238,"Beta")</f>
        <v>0.78949999999999998</v>
      </c>
      <c r="BW238" s="71" cm="1">
        <f t="array" aca="1" ref="BW238" ca="1">_FV(EE238,"Variação (%)",TRUE)</f>
        <v>0</v>
      </c>
      <c r="BY238" s="17" cm="1">
        <f t="array" aca="1" ref="BY238" ca="1">_FV(EE238,"Baixo")</f>
        <v>6.75</v>
      </c>
      <c r="BZ238" s="17" cm="1">
        <f t="array" aca="1" ref="BZ238" ca="1">_FV(EE238,"Alto")</f>
        <v>7.08</v>
      </c>
      <c r="CA238" s="24"/>
      <c r="CB238" s="63">
        <f ca="1">SQRT(22.5*(BQ238/VLOOKUP(BR238,Fundamentus!A:U,3,FALSE))*(BQ238/VLOOKUP(BR238,Fundamentus!A:U,4,FALSE)))</f>
        <v>25.691760859990822</v>
      </c>
      <c r="CD238" s="62">
        <f t="shared" ca="1" si="241"/>
        <v>0</v>
      </c>
      <c r="CE238" s="8"/>
      <c r="CF238" s="61">
        <f t="shared" si="242"/>
        <v>4.5</v>
      </c>
      <c r="CG238" s="61">
        <f t="shared" si="243"/>
        <v>11.3</v>
      </c>
      <c r="CH238" s="61">
        <f t="shared" si="244"/>
        <v>7.0889705882352958</v>
      </c>
      <c r="CI238" s="14"/>
      <c r="CJ238" s="35">
        <f t="shared" si="227"/>
        <v>6.5498482957018869</v>
      </c>
      <c r="CK238" s="15">
        <f t="shared" si="245"/>
        <v>7.1299999999999955</v>
      </c>
      <c r="CL238" s="35">
        <f t="shared" si="228"/>
        <v>7.710151704298104</v>
      </c>
      <c r="CN238" s="14"/>
      <c r="CO238" s="17">
        <f t="shared" si="229"/>
        <v>-2.9200000000000017</v>
      </c>
      <c r="CP238" s="17">
        <f t="shared" si="230"/>
        <v>0.78999999999999915</v>
      </c>
      <c r="CQ238" s="17">
        <f t="shared" si="231"/>
        <v>3.879999999999999</v>
      </c>
      <c r="CR238" s="38">
        <f t="shared" si="246"/>
        <v>7.59</v>
      </c>
      <c r="CS238" s="17">
        <f t="shared" si="232"/>
        <v>10.68</v>
      </c>
      <c r="CT238" s="17">
        <f t="shared" si="233"/>
        <v>14.39</v>
      </c>
      <c r="CU238" s="17">
        <f t="shared" si="234"/>
        <v>17.48</v>
      </c>
      <c r="CV238" s="2" cm="1">
        <f t="array" aca="1" ref="CV238" ca="1">MAX(_xlfn._xlws.FILTER(CO238:CU238,CO238:CU238&lt;BQ238))</f>
        <v>3.879999999999999</v>
      </c>
      <c r="CW238" s="2" cm="1">
        <f t="array" aca="1" ref="CW238" ca="1">MIN(_xlfn._xlws.FILTER($CO238:$CU238,$CO238:$CU238&gt;BQ238))</f>
        <v>7.59</v>
      </c>
      <c r="CX238" s="16">
        <f t="shared" ca="1" si="248"/>
        <v>0.95618556701030966</v>
      </c>
      <c r="CY238" s="20">
        <f t="shared" ca="1" si="249"/>
        <v>-0.47809278350515483</v>
      </c>
      <c r="CZ238" s="20">
        <f t="shared" ca="1" si="250"/>
        <v>-0.3187285223367699</v>
      </c>
      <c r="DA238" s="20">
        <f t="shared" ca="1" si="251"/>
        <v>-0.19123711340206193</v>
      </c>
      <c r="DB238" s="20">
        <f t="shared" ca="1" si="252"/>
        <v>-0.10624284077892329</v>
      </c>
      <c r="DC238" s="20">
        <f t="shared" ca="1" si="253"/>
        <v>-5.6246209824135862E-2</v>
      </c>
      <c r="DD238" s="20">
        <f t="shared" ca="1" si="254"/>
        <v>-2.8975320212433625E-2</v>
      </c>
      <c r="DE238" s="20">
        <f t="shared" ca="1" si="255"/>
        <v>-1.4710547184773994E-2</v>
      </c>
      <c r="DF238" s="21">
        <f t="shared" ca="1" si="256"/>
        <v>1.4710547184773994E-2</v>
      </c>
      <c r="DG238" s="21">
        <f t="shared" ca="1" si="257"/>
        <v>2.8975320212433625E-2</v>
      </c>
      <c r="DH238" s="21">
        <f t="shared" ca="1" si="258"/>
        <v>5.6246209824135862E-2</v>
      </c>
      <c r="DI238" s="21">
        <f t="shared" ca="1" si="259"/>
        <v>0.10624284077892329</v>
      </c>
      <c r="DJ238" s="21">
        <f t="shared" ca="1" si="260"/>
        <v>0.19123711340206193</v>
      </c>
      <c r="DK238" s="21">
        <f t="shared" ca="1" si="261"/>
        <v>0.3187285223367699</v>
      </c>
      <c r="DL238" s="21">
        <f t="shared" ca="1" si="262"/>
        <v>0.47809278350515483</v>
      </c>
      <c r="DN238" s="16" cm="1">
        <f t="array" aca="1" ref="DN238" ca="1">MAX(_xlfn._xlws.FILTER(CY238:DL238,CY238:DL238&lt;BW238))</f>
        <v>-1.4710547184773994E-2</v>
      </c>
      <c r="DO238" s="16" cm="1">
        <f t="array" aca="1" ref="DO238" ca="1">MIN(_xlfn._xlws.FILTER(CY238:DL238,CY238:DL238&gt;BW238))</f>
        <v>1.4710547184773994E-2</v>
      </c>
      <c r="DP238" s="2" cm="1">
        <f t="array" aca="1" ref="DP238" ca="1">_FV(EE238,"Fechamento anterior",TRUE)</f>
        <v>6.97</v>
      </c>
      <c r="DQ238" s="28">
        <f t="shared" ca="1" si="235"/>
        <v>0.5</v>
      </c>
      <c r="DR238" s="15">
        <f t="shared" ca="1" si="263"/>
        <v>6.8674674861221252</v>
      </c>
      <c r="DS238" s="15">
        <f t="shared" ca="1" si="264"/>
        <v>7.0725325138778743</v>
      </c>
      <c r="DT238" s="9"/>
      <c r="DU238" s="9"/>
      <c r="DV238" s="9"/>
      <c r="DW238" s="89">
        <v>1.4529238877064964E-2</v>
      </c>
      <c r="DX238" s="89">
        <f t="shared" ca="1" si="236"/>
        <v>2.9421094369547988E-2</v>
      </c>
      <c r="DY238" s="72">
        <f t="shared" ca="1" si="237"/>
        <v>-0.27578993358912957</v>
      </c>
      <c r="DZ238" s="37"/>
      <c r="EA238" s="35">
        <f t="shared" si="247"/>
        <v>0.2900758521490544</v>
      </c>
      <c r="EB238" s="56"/>
      <c r="EC238" s="56"/>
      <c r="EE238" s="2" t="e" vm="240">
        <v>#VALUE!</v>
      </c>
      <c r="EG238" s="10" cm="1">
        <f t="array" aca="1" ref="EG238" ca="1">_FV(EE238,"Ações em circulação",TRUE)</f>
        <v>152644400</v>
      </c>
      <c r="EH238" s="18">
        <f>VLOOKUP(BR238,Fundamentus!A:U,5,FALSE)</f>
        <v>0.75800000000000001</v>
      </c>
      <c r="EI238" s="2">
        <f t="shared" ca="1" si="238"/>
        <v>1403603519.7889183</v>
      </c>
      <c r="EJ238" s="17">
        <v>708539056.789446</v>
      </c>
      <c r="EK238" s="17">
        <f t="shared" ca="1" si="239"/>
        <v>708539056.789446</v>
      </c>
      <c r="EM238" s="16">
        <f t="shared" ca="1" si="226"/>
        <v>0</v>
      </c>
      <c r="EN238" s="32" t="str">
        <f>IF(VLOOKUP(BR238,Fundamentus!A:U,3,FALSE)&lt;15,"Bom",IF(VLOOKUP(BR238,Fundamentus!A:U,3,FALSE)&gt;15,"Ruim","n/a"))</f>
        <v>Bom</v>
      </c>
      <c r="EO238" s="28" t="str">
        <f>IF(VLOOKUP(BR238,Fundamentus!A:U,4,FALSE)&lt;1,"Baixo",IF(VLOOKUP(BR238,Fundamentus!A:U,4,FALSE)&lt;1.5,"Moderado",IF(VLOOKUP(BR238,Fundamentus!A:U,4,FALSE)&gt;1.5,"Alto","n/a")))</f>
        <v>Baixo</v>
      </c>
      <c r="EP238" s="17" t="str">
        <f>IF(VLOOKUP(BR238,Fundamentus!A:U,8,FALSE)&lt;0,"Risco elevado",IF(VLOOKUP(BR238,Fundamentus!A:U,8,FALSE)&lt;1,"Saudável",IF(VLOOKUP(BR238,Fundamentus!A:U,8,FALSE)&lt;3,"Estável",IF(VLOOKUP(BR238,Fundamentus!A:U,8,FALSE)&gt;3,"Alerta","n/a"))))</f>
        <v>Estável</v>
      </c>
      <c r="EQ238" s="28" t="str">
        <f t="shared" si="240"/>
        <v>Ruim</v>
      </c>
      <c r="ER238" s="17" t="str">
        <f>IF(VLOOKUP(BR238,Fundamentus!A:U,12,FALSE)&lt;2,"Subvalorizada",IF(VLOOKUP(BR238,Fundamentus!A:U,12,FALSE)&lt;6,"Muita barata",IF(VLOOKUP(BR238,Fundamentus!A:U,12,FALSE)&lt;6,"Barata",IF(VLOOKUP(BR238,Fundamentus!A:U,12,FALSE)&lt;8,"Atrativa",IF(VLOOKUP(BR238,Fundamentus!A:U,12,FALSE)&gt;8,"Supervalorizada","n/a")))))</f>
        <v>Muita barata</v>
      </c>
      <c r="ET238" s="17" t="str">
        <f>IF(VLOOKUP(BR238,Fundamentus!A:U,17,FALSE)&lt;0.1,"Fraco retorno",IF(VLOOKUP(BR238,Fundamentus!A:U,17,FALSE)&gt;0.1,"Bom retorno","n/a"))</f>
        <v>Bom retorno</v>
      </c>
      <c r="EU238" s="17" t="str">
        <f>IF(VLOOKUP(BR238,Fundamentus!A:U,16,FALSE)&lt;0.1,"Ineficiente",IF(VLOOKUP(BR238,Fundamentus!A:U,16,FALSE)&gt;0.1,"Eficiente","n/a"))</f>
        <v>Eficiente</v>
      </c>
      <c r="EV238" s="33" t="str">
        <f>IF(VLOOKUP(BR238,Fundamentus!A:U,16,FALSE)&lt;0.1,"Oper. Ineficiente",IF(VLOOKUP(BR238,Fundamentus!A:U,16,FALSE)&gt;0.1,"Oper.Eficiente","n/a"))</f>
        <v>Oper.Eficiente</v>
      </c>
      <c r="EW238" s="34">
        <f>VLOOKUP(BR238,Fundamentus!A:U,14,FALSE)</f>
        <v>0.50480000000000003</v>
      </c>
      <c r="EX238" s="17" t="str">
        <f>IF(VLOOKUP(BR238,Fundamentus!A:U,21,FALSE)&lt;0,"Negativo",IF(VLOOKUP(BR238,Fundamentus!A:U,21,FALSE)&lt;0.05,"Fraco",IF(VLOOKUP(BR238,Fundamentus!A:U,21,FALSE)&lt;0.1,"Bom",IF(VLOOKUP(BR238,Fundamentus!A:U,21,FALSE)&gt;0.1,"Muito bom","n/a"))))</f>
        <v>Fraco</v>
      </c>
      <c r="EZ238" s="29" t="str">
        <f>IF(VLOOKUP(BR238,Fundamentus!A:U,15,FALSE)&gt;1,"Bom",IF(VLOOKUP(BR238,Fundamentus!A:U,15,FALSE)&lt;1,"Ruim","n/a"))</f>
        <v>Bom</v>
      </c>
      <c r="FA238" s="17" t="str">
        <f>IF(VLOOKUP(BR238,Fundamentus!A:U,20,FALSE)&lt;0.5,"Baixa",IF(VLOOKUP(BR238,Fundamentus!A:U,20,FALSE)&lt;1,"Moderada",IF(VLOOKUP(BR238,Fundamentus!A:U,20,FALSE)&lt;2,"Alerta",IF(VLOOKUP(BR238,Fundamentus!A:U,20,FALSE)&gt;2,"Alta","n/a"))))</f>
        <v>Moderada</v>
      </c>
    </row>
    <row r="239" spans="1:157"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5">
        <v>6.15</v>
      </c>
      <c r="BC239" s="52">
        <v>5.49</v>
      </c>
      <c r="BD239" s="52">
        <v>5.07</v>
      </c>
      <c r="BE239" s="52">
        <v>5.29</v>
      </c>
      <c r="BF239" s="52">
        <v>5.92</v>
      </c>
      <c r="BG239" s="67">
        <v>5.76</v>
      </c>
      <c r="BH239" s="52">
        <v>5.86</v>
      </c>
      <c r="BI239" s="52">
        <v>5.92</v>
      </c>
      <c r="BJ239" s="52">
        <v>6.29</v>
      </c>
      <c r="BK239" s="52">
        <v>6.12</v>
      </c>
      <c r="BL239" s="52">
        <v>5.95</v>
      </c>
      <c r="BM239" s="52">
        <v>6.1</v>
      </c>
      <c r="BN239" s="52">
        <v>5.99</v>
      </c>
      <c r="BO239" s="52">
        <v>6.51</v>
      </c>
      <c r="BP239" s="52">
        <v>7.16</v>
      </c>
      <c r="BQ239" s="52" cm="1">
        <f t="array" aca="1" ref="BQ239" ca="1">_FV(EE239,"Preço")</f>
        <v>7.16</v>
      </c>
      <c r="BR239" s="69" t="s">
        <v>235</v>
      </c>
      <c r="BS239" s="36" cm="1">
        <f t="array" aca="1" ref="BS239" ca="1">_FV(EE239,"Média de volume",TRUE)</f>
        <v>12354430</v>
      </c>
      <c r="BT239" s="36">
        <v>10925200</v>
      </c>
      <c r="BU239" s="36" cm="1">
        <f t="array" aca="1" ref="BU239" ca="1">_FV(EE239,"Volume")</f>
        <v>10925200</v>
      </c>
      <c r="BV239" s="24" cm="1">
        <f t="array" aca="1" ref="BV239" ca="1">_FV(EE239,"Beta")</f>
        <v>1.6783999999999999</v>
      </c>
      <c r="BW239" s="71" cm="1">
        <f t="array" aca="1" ref="BW239" ca="1">_FV(EE239,"Variação (%)",TRUE)</f>
        <v>-1.3950000000000002E-3</v>
      </c>
      <c r="BY239" s="17" cm="1">
        <f t="array" aca="1" ref="BY239" ca="1">_FV(EE239,"Baixo")</f>
        <v>7.11</v>
      </c>
      <c r="BZ239" s="17" cm="1">
        <f t="array" aca="1" ref="BZ239" ca="1">_FV(EE239,"Alto")</f>
        <v>7.3</v>
      </c>
      <c r="CA239" s="24"/>
      <c r="CB239" s="60" t="e">
        <f ca="1">SQRT(22.5*(BQ239/VLOOKUP(BR239,Fundamentus!A:U,3,FALSE))*(BQ239/VLOOKUP(BR239,Fundamentus!A:U,4,FALSE)))</f>
        <v>#NUM!</v>
      </c>
      <c r="CD239" s="62">
        <f t="shared" ca="1" si="241"/>
        <v>0</v>
      </c>
      <c r="CE239" s="8"/>
      <c r="CF239" s="61">
        <f t="shared" si="242"/>
        <v>4.51</v>
      </c>
      <c r="CG239" s="61">
        <f t="shared" si="243"/>
        <v>8.0299999999999994</v>
      </c>
      <c r="CH239" s="61">
        <f t="shared" si="244"/>
        <v>6.2200735294117662</v>
      </c>
      <c r="CI239" s="14"/>
      <c r="CJ239" s="35">
        <f t="shared" si="227"/>
        <v>6.9676890386609331</v>
      </c>
      <c r="CK239" s="15">
        <f t="shared" si="245"/>
        <v>7.3649999999997817</v>
      </c>
      <c r="CL239" s="35">
        <f t="shared" si="228"/>
        <v>7.7623109613386303</v>
      </c>
      <c r="CN239" s="14"/>
      <c r="CO239" s="17">
        <f t="shared" si="229"/>
        <v>1.5833333333333339</v>
      </c>
      <c r="CP239" s="17">
        <f t="shared" si="230"/>
        <v>3.0466666666666669</v>
      </c>
      <c r="CQ239" s="17">
        <f t="shared" si="231"/>
        <v>5.1033333333333335</v>
      </c>
      <c r="CR239" s="38">
        <f t="shared" si="246"/>
        <v>6.5666666666666664</v>
      </c>
      <c r="CS239" s="17">
        <f t="shared" si="232"/>
        <v>8.6233333333333331</v>
      </c>
      <c r="CT239" s="17">
        <f t="shared" si="233"/>
        <v>10.086666666666666</v>
      </c>
      <c r="CU239" s="17">
        <f t="shared" si="234"/>
        <v>12.143333333333333</v>
      </c>
      <c r="CV239" s="2" cm="1">
        <f t="array" aca="1" ref="CV239" ca="1">MAX(_xlfn._xlws.FILTER(CO239:CU239,CO239:CU239&lt;BQ239))</f>
        <v>6.5666666666666664</v>
      </c>
      <c r="CW239" s="2" cm="1">
        <f t="array" aca="1" ref="CW239" ca="1">MIN(_xlfn._xlws.FILTER($CO239:$CU239,$CO239:$CU239&gt;BQ239))</f>
        <v>8.6233333333333331</v>
      </c>
      <c r="CX239" s="16">
        <f t="shared" ca="1" si="248"/>
        <v>0.31319796954314727</v>
      </c>
      <c r="CY239" s="20">
        <f t="shared" ca="1" si="249"/>
        <v>-0.15659898477157363</v>
      </c>
      <c r="CZ239" s="20">
        <f t="shared" ca="1" si="250"/>
        <v>-0.10439932318104909</v>
      </c>
      <c r="DA239" s="20">
        <f t="shared" ca="1" si="251"/>
        <v>-6.2639593908629457E-2</v>
      </c>
      <c r="DB239" s="20">
        <f t="shared" ca="1" si="252"/>
        <v>-3.4799774393683029E-2</v>
      </c>
      <c r="DC239" s="20">
        <f t="shared" ca="1" si="253"/>
        <v>-1.842340997312631E-2</v>
      </c>
      <c r="DD239" s="20">
        <f t="shared" ca="1" si="254"/>
        <v>-9.4908475619135541E-3</v>
      </c>
      <c r="DE239" s="20">
        <f t="shared" ca="1" si="255"/>
        <v>-4.818430300663804E-3</v>
      </c>
      <c r="DF239" s="21">
        <f t="shared" ca="1" si="256"/>
        <v>4.818430300663804E-3</v>
      </c>
      <c r="DG239" s="21">
        <f t="shared" ca="1" si="257"/>
        <v>9.4908475619135541E-3</v>
      </c>
      <c r="DH239" s="21">
        <f t="shared" ca="1" si="258"/>
        <v>1.842340997312631E-2</v>
      </c>
      <c r="DI239" s="21">
        <f t="shared" ca="1" si="259"/>
        <v>3.4799774393683029E-2</v>
      </c>
      <c r="DJ239" s="21">
        <f t="shared" ca="1" si="260"/>
        <v>6.2639593908629457E-2</v>
      </c>
      <c r="DK239" s="21">
        <f t="shared" ca="1" si="261"/>
        <v>0.10439932318104909</v>
      </c>
      <c r="DL239" s="21">
        <f t="shared" ca="1" si="262"/>
        <v>0.15659898477157363</v>
      </c>
      <c r="DN239" s="16" cm="1">
        <f t="array" aca="1" ref="DN239" ca="1">MAX(_xlfn._xlws.FILTER(CY239:DL239,CY239:DL239&lt;BW239))</f>
        <v>-4.818430300663804E-3</v>
      </c>
      <c r="DO239" s="16" cm="1">
        <f t="array" aca="1" ref="DO239" ca="1">MIN(_xlfn._xlws.FILTER(CY239:DL239,CY239:DL239&gt;BW239))</f>
        <v>4.818430300663804E-3</v>
      </c>
      <c r="DP239" s="2" cm="1">
        <f t="array" aca="1" ref="DP239" ca="1">_FV(EE239,"Fechamento anterior",TRUE)</f>
        <v>7.17</v>
      </c>
      <c r="DQ239" s="28">
        <f t="shared" ca="1" si="235"/>
        <v>0.35527443042209755</v>
      </c>
      <c r="DR239" s="15">
        <f t="shared" ca="1" si="263"/>
        <v>7.1354518547442405</v>
      </c>
      <c r="DS239" s="15">
        <f t="shared" ca="1" si="264"/>
        <v>7.2045481452557594</v>
      </c>
      <c r="DT239" s="9"/>
      <c r="DU239" s="9"/>
      <c r="DV239" s="9"/>
      <c r="DW239" s="89">
        <v>4.3228162913202259E-3</v>
      </c>
      <c r="DX239" s="89">
        <f t="shared" ca="1" si="236"/>
        <v>9.6368606013276081E-3</v>
      </c>
      <c r="DY239" s="72">
        <f t="shared" ca="1" si="237"/>
        <v>-0.51596864911297102</v>
      </c>
      <c r="DZ239" s="37"/>
      <c r="EA239" s="35">
        <f t="shared" si="247"/>
        <v>0.19865548066942412</v>
      </c>
      <c r="EB239" s="56"/>
      <c r="EC239" s="56"/>
      <c r="EE239" s="2" t="e" vm="241">
        <v>#VALUE!</v>
      </c>
      <c r="EG239" s="10" cm="1">
        <f t="array" aca="1" ref="EG239" ca="1">_FV(EE239,"Ações em circulação",TRUE)</f>
        <v>562826700</v>
      </c>
      <c r="EH239" s="18">
        <f>VLOOKUP(BR239,Fundamentus!A:U,5,FALSE)</f>
        <v>0.372</v>
      </c>
      <c r="EI239" s="2">
        <f t="shared" ca="1" si="238"/>
        <v>10832901000</v>
      </c>
      <c r="EJ239" s="17">
        <v>-781052162.10000002</v>
      </c>
      <c r="EK239" s="17">
        <f t="shared" ca="1" si="239"/>
        <v>-781052162.10000002</v>
      </c>
      <c r="EM239" s="16">
        <f t="shared" ca="1" si="226"/>
        <v>0</v>
      </c>
      <c r="EN239" s="32" t="str">
        <f>IF(VLOOKUP(BR239,Fundamentus!A:U,3,FALSE)&lt;15,"Bom",IF(VLOOKUP(BR239,Fundamentus!A:U,3,FALSE)&gt;15,"Ruim","n/a"))</f>
        <v>Bom</v>
      </c>
      <c r="EO239" s="28" t="str">
        <f>IF(VLOOKUP(BR239,Fundamentus!A:U,4,FALSE)&lt;1,"Baixo",IF(VLOOKUP(BR239,Fundamentus!A:U,4,FALSE)&lt;1.5,"Moderado",IF(VLOOKUP(BR239,Fundamentus!A:U,4,FALSE)&gt;1.5,"Alto","n/a")))</f>
        <v>Baixo</v>
      </c>
      <c r="EP239" s="17" t="str">
        <f>IF(VLOOKUP(BR239,Fundamentus!A:U,8,FALSE)&lt;0,"Risco elevado",IF(VLOOKUP(BR239,Fundamentus!A:U,8,FALSE)&lt;1,"Saudável",IF(VLOOKUP(BR239,Fundamentus!A:U,8,FALSE)&lt;3,"Estável",IF(VLOOKUP(BR239,Fundamentus!A:U,8,FALSE)&gt;3,"Alerta","n/a"))))</f>
        <v>Saudável</v>
      </c>
      <c r="EQ239" s="28" t="str">
        <f t="shared" si="240"/>
        <v>Ruim</v>
      </c>
      <c r="ER239" s="17" t="str">
        <f>IF(VLOOKUP(BR239,Fundamentus!A:U,12,FALSE)&lt;2,"Subvalorizada",IF(VLOOKUP(BR239,Fundamentus!A:U,12,FALSE)&lt;6,"Muita barata",IF(VLOOKUP(BR239,Fundamentus!A:U,12,FALSE)&lt;6,"Barata",IF(VLOOKUP(BR239,Fundamentus!A:U,12,FALSE)&lt;8,"Atrativa",IF(VLOOKUP(BR239,Fundamentus!A:U,12,FALSE)&gt;8,"Supervalorizada","n/a")))))</f>
        <v>Supervalorizada</v>
      </c>
      <c r="ET239" s="17" t="str">
        <f>IF(VLOOKUP(BR239,Fundamentus!A:U,17,FALSE)&lt;0.1,"Fraco retorno",IF(VLOOKUP(BR239,Fundamentus!A:U,17,FALSE)&gt;0.1,"Bom retorno","n/a"))</f>
        <v>Fraco retorno</v>
      </c>
      <c r="EU239" s="17" t="str">
        <f>IF(VLOOKUP(BR239,Fundamentus!A:U,16,FALSE)&lt;0.1,"Ineficiente",IF(VLOOKUP(BR239,Fundamentus!A:U,16,FALSE)&gt;0.1,"Eficiente","n/a"))</f>
        <v>Ineficiente</v>
      </c>
      <c r="EV239" s="33" t="str">
        <f>IF(VLOOKUP(BR239,Fundamentus!A:U,16,FALSE)&lt;0.1,"Oper. Ineficiente",IF(VLOOKUP(BR239,Fundamentus!A:U,16,FALSE)&gt;0.1,"Oper.Eficiente","n/a"))</f>
        <v>Oper. Ineficiente</v>
      </c>
      <c r="EW239" s="34">
        <f>VLOOKUP(BR239,Fundamentus!A:U,14,FALSE)</f>
        <v>-7.2099999999999997E-2</v>
      </c>
      <c r="EX239" s="17" t="str">
        <f>IF(VLOOKUP(BR239,Fundamentus!A:U,21,FALSE)&lt;0,"Negativo",IF(VLOOKUP(BR239,Fundamentus!A:U,21,FALSE)&lt;0.05,"Fraco",IF(VLOOKUP(BR239,Fundamentus!A:U,21,FALSE)&lt;0.1,"Bom",IF(VLOOKUP(BR239,Fundamentus!A:U,21,FALSE)&gt;0.1,"Muito bom","n/a"))))</f>
        <v>Bom</v>
      </c>
      <c r="EZ239" s="29" t="str">
        <f>IF(VLOOKUP(BR239,Fundamentus!A:U,15,FALSE)&gt;1,"Bom",IF(VLOOKUP(BR239,Fundamentus!A:U,15,FALSE)&lt;1,"Ruim","n/a"))</f>
        <v>Bom</v>
      </c>
      <c r="FA239" s="17" t="str">
        <f>IF(VLOOKUP(BR239,Fundamentus!A:U,20,FALSE)&lt;0.5,"Baixa",IF(VLOOKUP(BR239,Fundamentus!A:U,20,FALSE)&lt;1,"Moderada",IF(VLOOKUP(BR239,Fundamentus!A:U,20,FALSE)&lt;2,"Alerta",IF(VLOOKUP(BR239,Fundamentus!A:U,20,FALSE)&gt;2,"Alta","n/a"))))</f>
        <v>Alerta</v>
      </c>
    </row>
    <row r="240" spans="1:157" s="2" customFormat="1" ht="11.25"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5">
        <v>7.68</v>
      </c>
      <c r="BC240" s="52">
        <v>6.86</v>
      </c>
      <c r="BD240" s="52">
        <v>6.62</v>
      </c>
      <c r="BE240" s="52">
        <v>6.95</v>
      </c>
      <c r="BF240" s="52">
        <v>6.59</v>
      </c>
      <c r="BG240" s="67">
        <v>7.72</v>
      </c>
      <c r="BH240" s="52">
        <v>8.27</v>
      </c>
      <c r="BI240" s="52">
        <v>7.11</v>
      </c>
      <c r="BJ240" s="52">
        <v>6.84</v>
      </c>
      <c r="BK240" s="52">
        <v>6.25</v>
      </c>
      <c r="BL240" s="52">
        <v>6.35</v>
      </c>
      <c r="BM240" s="52">
        <v>6.37</v>
      </c>
      <c r="BN240" s="52">
        <v>6.12</v>
      </c>
      <c r="BO240" s="52">
        <v>7.45</v>
      </c>
      <c r="BP240" s="52">
        <v>7.24</v>
      </c>
      <c r="BQ240" s="52" cm="1">
        <f t="array" aca="1" ref="BQ240" ca="1">_FV(EE240,"Preço")</f>
        <v>7.24</v>
      </c>
      <c r="BR240" s="69" t="s">
        <v>236</v>
      </c>
      <c r="BS240" s="36" cm="1">
        <f t="array" aca="1" ref="BS240" ca="1">_FV(EE240,"Média de volume",TRUE)</f>
        <v>6569100</v>
      </c>
      <c r="BT240" s="36">
        <v>5034000</v>
      </c>
      <c r="BU240" s="36" cm="1">
        <f t="array" aca="1" ref="BU240" ca="1">_FV(EE240,"Volume")</f>
        <v>5034000</v>
      </c>
      <c r="BV240" s="24" cm="1">
        <f t="array" aca="1" ref="BV240" ca="1">_FV(EE240,"Beta")</f>
        <v>1.5227999999999999</v>
      </c>
      <c r="BW240" s="71" cm="1">
        <f t="array" aca="1" ref="BW240" ca="1">_FV(EE240,"Variação (%)",TRUE)</f>
        <v>-3.2086000000000003E-2</v>
      </c>
      <c r="BY240" s="17" cm="1">
        <f t="array" aca="1" ref="BY240" ca="1">_FV(EE240,"Baixo")</f>
        <v>7.21</v>
      </c>
      <c r="BZ240" s="17" cm="1">
        <f t="array" aca="1" ref="BZ240" ca="1">_FV(EE240,"Alto")</f>
        <v>7.62</v>
      </c>
      <c r="CA240" s="24"/>
      <c r="CB240" s="63">
        <f ca="1">SQRT(22.5*(BQ240/VLOOKUP(BR240,Fundamentus!A:U,3,FALSE))*(BQ240/VLOOKUP(BR240,Fundamentus!A:U,4,FALSE)))</f>
        <v>12.982779512981645</v>
      </c>
      <c r="CD240" s="62">
        <f t="shared" ca="1" si="241"/>
        <v>0</v>
      </c>
      <c r="CE240" s="8"/>
      <c r="CF240" s="61">
        <f t="shared" si="242"/>
        <v>3.34</v>
      </c>
      <c r="CG240" s="61">
        <f t="shared" si="243"/>
        <v>8.27</v>
      </c>
      <c r="CH240" s="61">
        <f t="shared" si="244"/>
        <v>5.9587500000000002</v>
      </c>
      <c r="CI240" s="14"/>
      <c r="CJ240" s="35">
        <f t="shared" si="227"/>
        <v>6.82146778875219</v>
      </c>
      <c r="CK240" s="15">
        <f t="shared" si="245"/>
        <v>7.7800000000002001</v>
      </c>
      <c r="CL240" s="35">
        <f t="shared" si="228"/>
        <v>8.7385322112482111</v>
      </c>
      <c r="CN240" s="14"/>
      <c r="CO240" s="17">
        <f t="shared" si="229"/>
        <v>-0.63333333333333108</v>
      </c>
      <c r="CP240" s="17">
        <f t="shared" si="230"/>
        <v>1.3533333333333344</v>
      </c>
      <c r="CQ240" s="17">
        <f t="shared" si="231"/>
        <v>4.2966666666666686</v>
      </c>
      <c r="CR240" s="38">
        <f t="shared" si="246"/>
        <v>6.2833333333333341</v>
      </c>
      <c r="CS240" s="17">
        <f t="shared" si="232"/>
        <v>9.2266666666666683</v>
      </c>
      <c r="CT240" s="17">
        <f t="shared" si="233"/>
        <v>11.213333333333335</v>
      </c>
      <c r="CU240" s="17">
        <f t="shared" si="234"/>
        <v>14.156666666666668</v>
      </c>
      <c r="CV240" s="2" cm="1">
        <f t="array" aca="1" ref="CV240" ca="1">MAX(_xlfn._xlws.FILTER(CO240:CU240,CO240:CU240&lt;BQ240))</f>
        <v>6.2833333333333341</v>
      </c>
      <c r="CW240" s="2" cm="1">
        <f t="array" aca="1" ref="CW240" ca="1">MIN(_xlfn._xlws.FILTER($CO240:$CU240,$CO240:$CU240&gt;BQ240))</f>
        <v>9.2266666666666683</v>
      </c>
      <c r="CX240" s="16">
        <f t="shared" ca="1" si="248"/>
        <v>0.46843501326259962</v>
      </c>
      <c r="CY240" s="20">
        <f t="shared" ca="1" si="249"/>
        <v>-0.23421750663129981</v>
      </c>
      <c r="CZ240" s="20">
        <f t="shared" ca="1" si="250"/>
        <v>-0.15614500442086654</v>
      </c>
      <c r="DA240" s="20">
        <f t="shared" ca="1" si="251"/>
        <v>-9.3687002652519918E-2</v>
      </c>
      <c r="DB240" s="20">
        <f t="shared" ca="1" si="252"/>
        <v>-5.2048334806955511E-2</v>
      </c>
      <c r="DC240" s="20">
        <f t="shared" ca="1" si="253"/>
        <v>-2.7555000780152918E-2</v>
      </c>
      <c r="DD240" s="20">
        <f t="shared" ca="1" si="254"/>
        <v>-1.4195000401896958E-2</v>
      </c>
      <c r="DE240" s="20">
        <f t="shared" ca="1" si="255"/>
        <v>-7.2066925117323022E-3</v>
      </c>
      <c r="DF240" s="21">
        <f t="shared" ca="1" si="256"/>
        <v>7.2066925117323022E-3</v>
      </c>
      <c r="DG240" s="21">
        <f t="shared" ca="1" si="257"/>
        <v>1.4195000401896958E-2</v>
      </c>
      <c r="DH240" s="21">
        <f t="shared" ca="1" si="258"/>
        <v>2.7555000780152918E-2</v>
      </c>
      <c r="DI240" s="21">
        <f t="shared" ca="1" si="259"/>
        <v>5.2048334806955511E-2</v>
      </c>
      <c r="DJ240" s="21">
        <f t="shared" ca="1" si="260"/>
        <v>9.3687002652519918E-2</v>
      </c>
      <c r="DK240" s="21">
        <f t="shared" ca="1" si="261"/>
        <v>0.15614500442086654</v>
      </c>
      <c r="DL240" s="21">
        <f t="shared" ca="1" si="262"/>
        <v>0.23421750663129981</v>
      </c>
      <c r="DN240" s="16" cm="1">
        <f t="array" aca="1" ref="DN240" ca="1">MAX(_xlfn._xlws.FILTER(CY240:DL240,CY240:DL240&lt;BW240))</f>
        <v>-5.2048334806955511E-2</v>
      </c>
      <c r="DO240" s="16" cm="1">
        <f t="array" aca="1" ref="DO240" ca="1">MIN(_xlfn._xlws.FILTER(CY240:DL240,CY240:DL240&gt;BW240))</f>
        <v>-2.7555000780152918E-2</v>
      </c>
      <c r="DP240" s="2" cm="1">
        <f t="array" aca="1" ref="DP240" ca="1">_FV(EE240,"Fechamento anterior",TRUE)</f>
        <v>7.48</v>
      </c>
      <c r="DQ240" s="28">
        <f t="shared" ca="1" si="235"/>
        <v>0.81502882734479498</v>
      </c>
      <c r="DR240" s="15">
        <f t="shared" ca="1" si="263"/>
        <v>7.0906784556439728</v>
      </c>
      <c r="DS240" s="15">
        <f t="shared" ca="1" si="264"/>
        <v>7.2738885941644567</v>
      </c>
      <c r="DT240" s="9"/>
      <c r="DU240" s="9"/>
      <c r="DV240" s="9"/>
      <c r="DW240" s="89">
        <v>4.2159263145622003E-2</v>
      </c>
      <c r="DX240" s="89">
        <f t="shared" ca="1" si="236"/>
        <v>2.4493334026802593E-2</v>
      </c>
      <c r="DY240" s="72">
        <f t="shared" ca="1" si="237"/>
        <v>-0.5633613494293731</v>
      </c>
      <c r="DZ240" s="37"/>
      <c r="EA240" s="35">
        <f t="shared" si="247"/>
        <v>0.47926610562400518</v>
      </c>
      <c r="EB240" s="56"/>
      <c r="EC240" s="56"/>
      <c r="EE240" s="2" t="e" vm="242">
        <v>#VALUE!</v>
      </c>
      <c r="EG240" s="10" cm="1">
        <f t="array" aca="1" ref="EG240" ca="1">_FV(EE240,"Ações em circulação",TRUE)</f>
        <v>347931500</v>
      </c>
      <c r="EH240" s="18">
        <f>VLOOKUP(BR240,Fundamentus!A:U,5,FALSE)</f>
        <v>0.155</v>
      </c>
      <c r="EI240" s="2">
        <f t="shared" ca="1" si="238"/>
        <v>16251768129.032259</v>
      </c>
      <c r="EJ240" s="17">
        <v>302282887.19999999</v>
      </c>
      <c r="EK240" s="17">
        <f t="shared" ca="1" si="239"/>
        <v>302282887.19999999</v>
      </c>
      <c r="EM240" s="16">
        <f t="shared" ca="1" si="226"/>
        <v>0</v>
      </c>
      <c r="EN240" s="32" t="str">
        <f>IF(VLOOKUP(BR240,Fundamentus!A:U,3,FALSE)&lt;15,"Bom",IF(VLOOKUP(BR240,Fundamentus!A:U,3,FALSE)&gt;15,"Ruim","n/a"))</f>
        <v>Bom</v>
      </c>
      <c r="EO240" s="28" t="str">
        <f>IF(VLOOKUP(BR240,Fundamentus!A:U,4,FALSE)&lt;1,"Baixo",IF(VLOOKUP(BR240,Fundamentus!A:U,4,FALSE)&lt;1.5,"Moderado",IF(VLOOKUP(BR240,Fundamentus!A:U,4,FALSE)&gt;1.5,"Alto","n/a")))</f>
        <v>Baixo</v>
      </c>
      <c r="EP240" s="17" t="str">
        <f>IF(VLOOKUP(BR240,Fundamentus!A:U,8,FALSE)&lt;0,"Risco elevado",IF(VLOOKUP(BR240,Fundamentus!A:U,8,FALSE)&lt;1,"Saudável",IF(VLOOKUP(BR240,Fundamentus!A:U,8,FALSE)&lt;3,"Estável",IF(VLOOKUP(BR240,Fundamentus!A:U,8,FALSE)&gt;3,"Alerta","n/a"))))</f>
        <v>Risco elevado</v>
      </c>
      <c r="EQ240" s="28" t="str">
        <f t="shared" si="240"/>
        <v>Ruim</v>
      </c>
      <c r="ER240" s="17" t="str">
        <f>IF(VLOOKUP(BR240,Fundamentus!A:U,12,FALSE)&lt;2,"Subvalorizada",IF(VLOOKUP(BR240,Fundamentus!A:U,12,FALSE)&lt;6,"Muita barata",IF(VLOOKUP(BR240,Fundamentus!A:U,12,FALSE)&lt;6,"Barata",IF(VLOOKUP(BR240,Fundamentus!A:U,12,FALSE)&lt;8,"Atrativa",IF(VLOOKUP(BR240,Fundamentus!A:U,12,FALSE)&gt;8,"Supervalorizada","n/a")))))</f>
        <v>Muita barata</v>
      </c>
      <c r="ET240" s="17" t="str">
        <f>IF(VLOOKUP(BR240,Fundamentus!A:U,17,FALSE)&lt;0.1,"Fraco retorno",IF(VLOOKUP(BR240,Fundamentus!A:U,17,FALSE)&gt;0.1,"Bom retorno","n/a"))</f>
        <v>Bom retorno</v>
      </c>
      <c r="EU240" s="17" t="str">
        <f>IF(VLOOKUP(BR240,Fundamentus!A:U,16,FALSE)&lt;0.1,"Ineficiente",IF(VLOOKUP(BR240,Fundamentus!A:U,16,FALSE)&gt;0.1,"Eficiente","n/a"))</f>
        <v>Eficiente</v>
      </c>
      <c r="EV240" s="33" t="str">
        <f>IF(VLOOKUP(BR240,Fundamentus!A:U,16,FALSE)&lt;0.1,"Oper. Ineficiente",IF(VLOOKUP(BR240,Fundamentus!A:U,16,FALSE)&gt;0.1,"Oper.Eficiente","n/a"))</f>
        <v>Oper.Eficiente</v>
      </c>
      <c r="EW240" s="34">
        <f>VLOOKUP(BR240,Fundamentus!A:U,14,FALSE)</f>
        <v>1.8599999999999998E-2</v>
      </c>
      <c r="EX240" s="17" t="str">
        <f>IF(VLOOKUP(BR240,Fundamentus!A:U,21,FALSE)&lt;0,"Negativo",IF(VLOOKUP(BR240,Fundamentus!A:U,21,FALSE)&lt;0.05,"Fraco",IF(VLOOKUP(BR240,Fundamentus!A:U,21,FALSE)&lt;0.1,"Bom",IF(VLOOKUP(BR240,Fundamentus!A:U,21,FALSE)&gt;0.1,"Muito bom","n/a"))))</f>
        <v>Muito bom</v>
      </c>
      <c r="EZ240" s="29" t="str">
        <f>IF(VLOOKUP(BR240,Fundamentus!A:U,15,FALSE)&gt;1,"Bom",IF(VLOOKUP(BR240,Fundamentus!A:U,15,FALSE)&lt;1,"Ruim","n/a"))</f>
        <v>Ruim</v>
      </c>
      <c r="FA240" s="17" t="str">
        <f>IF(VLOOKUP(BR240,Fundamentus!A:U,20,FALSE)&lt;0.5,"Baixa",IF(VLOOKUP(BR240,Fundamentus!A:U,20,FALSE)&lt;1,"Moderada",IF(VLOOKUP(BR240,Fundamentus!A:U,20,FALSE)&lt;2,"Alerta",IF(VLOOKUP(BR240,Fundamentus!A:U,20,FALSE)&gt;2,"Alta","n/a"))))</f>
        <v>Alta</v>
      </c>
    </row>
    <row r="241" spans="1:157" s="2" customFormat="1" ht="11.25"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5">
        <v>0.95</v>
      </c>
      <c r="BC241" s="52">
        <v>0.92</v>
      </c>
      <c r="BD241" s="52">
        <v>0.76</v>
      </c>
      <c r="BE241" s="52">
        <v>0.71</v>
      </c>
      <c r="BF241" s="52">
        <v>0.73</v>
      </c>
      <c r="BG241" s="67">
        <v>0.69</v>
      </c>
      <c r="BH241" s="52">
        <v>0.63</v>
      </c>
      <c r="BI241" s="52">
        <v>0.59</v>
      </c>
      <c r="BJ241" s="52">
        <v>0.54</v>
      </c>
      <c r="BK241" s="52">
        <v>0.64</v>
      </c>
      <c r="BL241" s="52">
        <v>0.56000000000000005</v>
      </c>
      <c r="BM241" s="52">
        <v>0.55000000000000004</v>
      </c>
      <c r="BN241" s="52">
        <v>0.56000000000000005</v>
      </c>
      <c r="BO241" s="52">
        <v>0.56000000000000005</v>
      </c>
      <c r="BP241" s="52">
        <v>0.57999999999999996</v>
      </c>
      <c r="BQ241" s="52" cm="1">
        <f t="array" aca="1" ref="BQ241" ca="1">_FV(EE241,"Preço")</f>
        <v>0.57999999999999996</v>
      </c>
      <c r="BR241" s="69" t="s">
        <v>237</v>
      </c>
      <c r="BS241" s="36" cm="1">
        <f t="array" aca="1" ref="BS241" ca="1">_FV(EE241,"Média de volume",TRUE)</f>
        <v>1519960</v>
      </c>
      <c r="BT241" s="36">
        <v>3170200</v>
      </c>
      <c r="BU241" s="36" cm="1">
        <f t="array" aca="1" ref="BU241" ca="1">_FV(EE241,"Volume")</f>
        <v>3170200</v>
      </c>
      <c r="BV241" s="24" cm="1">
        <f t="array" aca="1" ref="BV241" ca="1">_FV(EE241,"Beta")</f>
        <v>1.0609999999999999</v>
      </c>
      <c r="BW241" s="71" cm="1">
        <f t="array" aca="1" ref="BW241" ca="1">_FV(EE241,"Variação (%)",TRUE)</f>
        <v>-6.4516000000000004E-2</v>
      </c>
      <c r="BY241" s="17" cm="1">
        <f t="array" aca="1" ref="BY241" ca="1">_FV(EE241,"Baixo")</f>
        <v>0.57999999999999996</v>
      </c>
      <c r="BZ241" s="17" cm="1">
        <f t="array" aca="1" ref="BZ241" ca="1">_FV(EE241,"Alto")</f>
        <v>0.67</v>
      </c>
      <c r="CA241" s="24"/>
      <c r="CB241" s="63" t="e">
        <f ca="1">SQRT(22.5*(BQ241/VLOOKUP(BR241,Fundamentus!A:U,3,FALSE))*(BQ241/VLOOKUP(BR241,Fundamentus!A:U,4,FALSE)))</f>
        <v>#NUM!</v>
      </c>
      <c r="CD241" s="62">
        <f t="shared" ca="1" si="241"/>
        <v>0</v>
      </c>
      <c r="CE241" s="8"/>
      <c r="CF241" s="61">
        <f t="shared" si="242"/>
        <v>0.54</v>
      </c>
      <c r="CG241" s="61">
        <f t="shared" si="243"/>
        <v>1.7</v>
      </c>
      <c r="CH241" s="61">
        <f t="shared" si="244"/>
        <v>1.0799264705882354</v>
      </c>
      <c r="CI241" s="14"/>
      <c r="CJ241" s="35">
        <f t="shared" si="227"/>
        <v>0.51854700909664919</v>
      </c>
      <c r="CK241" s="15">
        <f t="shared" si="245"/>
        <v>0.58499999999999375</v>
      </c>
      <c r="CL241" s="35">
        <f t="shared" si="228"/>
        <v>0.6514529909033383</v>
      </c>
      <c r="CN241" s="14"/>
      <c r="CO241" s="17">
        <f t="shared" si="229"/>
        <v>-0.97999999999999976</v>
      </c>
      <c r="CP241" s="17">
        <f t="shared" si="230"/>
        <v>-0.21999999999999986</v>
      </c>
      <c r="CQ241" s="17">
        <f t="shared" si="231"/>
        <v>0.18000000000000016</v>
      </c>
      <c r="CR241" s="38">
        <f t="shared" si="246"/>
        <v>0.94000000000000006</v>
      </c>
      <c r="CS241" s="17">
        <f t="shared" si="232"/>
        <v>1.34</v>
      </c>
      <c r="CT241" s="17">
        <f t="shared" si="233"/>
        <v>2.1</v>
      </c>
      <c r="CU241" s="17">
        <f t="shared" si="234"/>
        <v>2.5</v>
      </c>
      <c r="CV241" s="2" cm="1">
        <f t="array" aca="1" ref="CV241" ca="1">MAX(_xlfn._xlws.FILTER(CO241:CU241,CO241:CU241&lt;BQ241))</f>
        <v>0.18000000000000016</v>
      </c>
      <c r="CW241" s="2" cm="1">
        <f t="array" aca="1" ref="CW241" ca="1">MIN(_xlfn._xlws.FILTER($CO241:$CU241,$CO241:$CU241&gt;BQ241))</f>
        <v>0.94000000000000006</v>
      </c>
      <c r="CX241" s="16">
        <f t="shared" ca="1" si="248"/>
        <v>4.2222222222222179</v>
      </c>
      <c r="CY241" s="20">
        <f t="shared" ca="1" si="249"/>
        <v>-2.1111111111111089</v>
      </c>
      <c r="CZ241" s="20">
        <f t="shared" ca="1" si="250"/>
        <v>-1.4074074074074059</v>
      </c>
      <c r="DA241" s="20">
        <f t="shared" ca="1" si="251"/>
        <v>-0.84444444444444355</v>
      </c>
      <c r="DB241" s="20">
        <f t="shared" ca="1" si="252"/>
        <v>-0.46913580246913533</v>
      </c>
      <c r="DC241" s="20">
        <f t="shared" ca="1" si="253"/>
        <v>-0.24836601307189518</v>
      </c>
      <c r="DD241" s="20">
        <f t="shared" ca="1" si="254"/>
        <v>-0.12794612794612781</v>
      </c>
      <c r="DE241" s="20">
        <f t="shared" ca="1" si="255"/>
        <v>-6.4957264957264893E-2</v>
      </c>
      <c r="DF241" s="21">
        <f t="shared" ca="1" si="256"/>
        <v>6.4957264957264893E-2</v>
      </c>
      <c r="DG241" s="21">
        <f t="shared" ca="1" si="257"/>
        <v>0.12794612794612781</v>
      </c>
      <c r="DH241" s="21">
        <f t="shared" ca="1" si="258"/>
        <v>0.24836601307189518</v>
      </c>
      <c r="DI241" s="21">
        <f t="shared" ca="1" si="259"/>
        <v>0.46913580246913533</v>
      </c>
      <c r="DJ241" s="21">
        <f t="shared" ca="1" si="260"/>
        <v>0.84444444444444355</v>
      </c>
      <c r="DK241" s="21">
        <f t="shared" ca="1" si="261"/>
        <v>1.4074074074074059</v>
      </c>
      <c r="DL241" s="21">
        <f t="shared" ca="1" si="262"/>
        <v>2.1111111111111089</v>
      </c>
      <c r="DN241" s="16" cm="1">
        <f t="array" aca="1" ref="DN241" ca="1">MAX(_xlfn._xlws.FILTER(CY241:DL241,CY241:DL241&lt;BW241))</f>
        <v>-6.4957264957264893E-2</v>
      </c>
      <c r="DO241" s="16" cm="1">
        <f t="array" aca="1" ref="DO241" ca="1">MIN(_xlfn._xlws.FILTER(CY241:DL241,CY241:DL241&gt;BW241))</f>
        <v>6.4957264957264893E-2</v>
      </c>
      <c r="DP241" s="2" cm="1">
        <f t="array" aca="1" ref="DP241" ca="1">_FV(EE241,"Fechamento anterior",TRUE)</f>
        <v>0.62</v>
      </c>
      <c r="DQ241" s="28">
        <f t="shared" ca="1" si="235"/>
        <v>3.3955857385382952E-3</v>
      </c>
      <c r="DR241" s="15">
        <f t="shared" ca="1" si="263"/>
        <v>0.57972649572649582</v>
      </c>
      <c r="DS241" s="15">
        <f t="shared" ca="1" si="264"/>
        <v>0.66027350427350417</v>
      </c>
      <c r="DT241" s="9"/>
      <c r="DU241" s="9"/>
      <c r="DV241" s="9"/>
      <c r="DW241" s="89">
        <v>0.14153846153846125</v>
      </c>
      <c r="DX241" s="89">
        <f t="shared" ca="1" si="236"/>
        <v>0.12991452991452979</v>
      </c>
      <c r="DY241" s="72">
        <f t="shared" ca="1" si="237"/>
        <v>-7.5241158178512305E-2</v>
      </c>
      <c r="DZ241" s="37"/>
      <c r="EA241" s="35">
        <f t="shared" si="247"/>
        <v>3.3226495451672278E-2</v>
      </c>
      <c r="EB241" s="56"/>
      <c r="EC241" s="56"/>
      <c r="EE241" s="2" t="e" vm="243">
        <v>#VALUE!</v>
      </c>
      <c r="EG241" s="10" cm="1">
        <f t="array" aca="1" ref="EG241" ca="1">_FV(EE241,"Ações em circulação",TRUE)</f>
        <v>592753700</v>
      </c>
      <c r="EH241" s="18">
        <f>VLOOKUP(BR241,Fundamentus!A:U,5,FALSE)</f>
        <v>2.16</v>
      </c>
      <c r="EI241" s="2">
        <f t="shared" ca="1" si="238"/>
        <v>159165345.37037036</v>
      </c>
      <c r="EJ241" s="17">
        <v>-272506987.80861109</v>
      </c>
      <c r="EK241" s="17">
        <f t="shared" ca="1" si="239"/>
        <v>-272506987.80861109</v>
      </c>
      <c r="EM241" s="16">
        <f t="shared" ca="1" si="226"/>
        <v>0</v>
      </c>
      <c r="EN241" s="32" t="str">
        <f>IF(VLOOKUP(BR241,Fundamentus!A:U,3,FALSE)&lt;15,"Bom",IF(VLOOKUP(BR241,Fundamentus!A:U,3,FALSE)&gt;15,"Ruim","n/a"))</f>
        <v>Bom</v>
      </c>
      <c r="EO241" s="28" t="str">
        <f>IF(VLOOKUP(BR241,Fundamentus!A:U,4,FALSE)&lt;1,"Baixo",IF(VLOOKUP(BR241,Fundamentus!A:U,4,FALSE)&lt;1.5,"Moderado",IF(VLOOKUP(BR241,Fundamentus!A:U,4,FALSE)&gt;1.5,"Alto","n/a")))</f>
        <v>Baixo</v>
      </c>
      <c r="EP241" s="17" t="str">
        <f>IF(VLOOKUP(BR241,Fundamentus!A:U,8,FALSE)&lt;0,"Risco elevado",IF(VLOOKUP(BR241,Fundamentus!A:U,8,FALSE)&lt;1,"Saudável",IF(VLOOKUP(BR241,Fundamentus!A:U,8,FALSE)&lt;3,"Estável",IF(VLOOKUP(BR241,Fundamentus!A:U,8,FALSE)&gt;3,"Alerta","n/a"))))</f>
        <v>Risco elevado</v>
      </c>
      <c r="EQ241" s="28" t="str">
        <f t="shared" si="240"/>
        <v>Bom</v>
      </c>
      <c r="ER241" s="17" t="str">
        <f>IF(VLOOKUP(BR241,Fundamentus!A:U,12,FALSE)&lt;2,"Subvalorizada",IF(VLOOKUP(BR241,Fundamentus!A:U,12,FALSE)&lt;6,"Muita barata",IF(VLOOKUP(BR241,Fundamentus!A:U,12,FALSE)&lt;6,"Barata",IF(VLOOKUP(BR241,Fundamentus!A:U,12,FALSE)&lt;8,"Atrativa",IF(VLOOKUP(BR241,Fundamentus!A:U,12,FALSE)&gt;8,"Supervalorizada","n/a")))))</f>
        <v>Subvalorizada</v>
      </c>
      <c r="ET241" s="17" t="str">
        <f>IF(VLOOKUP(BR241,Fundamentus!A:U,17,FALSE)&lt;0.1,"Fraco retorno",IF(VLOOKUP(BR241,Fundamentus!A:U,17,FALSE)&gt;0.1,"Bom retorno","n/a"))</f>
        <v>Fraco retorno</v>
      </c>
      <c r="EU241" s="17" t="str">
        <f>IF(VLOOKUP(BR241,Fundamentus!A:U,16,FALSE)&lt;0.1,"Ineficiente",IF(VLOOKUP(BR241,Fundamentus!A:U,16,FALSE)&gt;0.1,"Eficiente","n/a"))</f>
        <v>Ineficiente</v>
      </c>
      <c r="EV241" s="33" t="str">
        <f>IF(VLOOKUP(BR241,Fundamentus!A:U,16,FALSE)&lt;0.1,"Oper. Ineficiente",IF(VLOOKUP(BR241,Fundamentus!A:U,16,FALSE)&gt;0.1,"Oper.Eficiente","n/a"))</f>
        <v>Oper. Ineficiente</v>
      </c>
      <c r="EW241" s="34">
        <f>VLOOKUP(BR241,Fundamentus!A:U,14,FALSE)</f>
        <v>-1.7121</v>
      </c>
      <c r="EX241" s="17" t="str">
        <f>IF(VLOOKUP(BR241,Fundamentus!A:U,21,FALSE)&lt;0,"Negativo",IF(VLOOKUP(BR241,Fundamentus!A:U,21,FALSE)&lt;0.05,"Fraco",IF(VLOOKUP(BR241,Fundamentus!A:U,21,FALSE)&lt;0.1,"Bom",IF(VLOOKUP(BR241,Fundamentus!A:U,21,FALSE)&gt;0.1,"Muito bom","n/a"))))</f>
        <v>Muito bom</v>
      </c>
      <c r="EZ241" s="29" t="str">
        <f>IF(VLOOKUP(BR241,Fundamentus!A:U,15,FALSE)&gt;1,"Bom",IF(VLOOKUP(BR241,Fundamentus!A:U,15,FALSE)&lt;1,"Ruim","n/a"))</f>
        <v>Ruim</v>
      </c>
      <c r="FA241" s="17" t="str">
        <f>IF(VLOOKUP(BR241,Fundamentus!A:U,20,FALSE)&lt;0.5,"Baixa",IF(VLOOKUP(BR241,Fundamentus!A:U,20,FALSE)&lt;1,"Moderada",IF(VLOOKUP(BR241,Fundamentus!A:U,20,FALSE)&lt;2,"Alerta",IF(VLOOKUP(BR241,Fundamentus!A:U,20,FALSE)&gt;2,"Alta","n/a"))))</f>
        <v>Baixa</v>
      </c>
    </row>
    <row r="242" spans="1:157" s="2" customFormat="1" ht="11.25"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5">
        <v>9.6300000000000008</v>
      </c>
      <c r="BC242" s="52">
        <v>9.27</v>
      </c>
      <c r="BD242" s="52">
        <v>8.84</v>
      </c>
      <c r="BE242" s="52">
        <v>8.25</v>
      </c>
      <c r="BF242" s="52">
        <v>8.23</v>
      </c>
      <c r="BG242" s="67">
        <v>7.94</v>
      </c>
      <c r="BH242" s="52">
        <v>7.87</v>
      </c>
      <c r="BI242" s="52">
        <v>7.5</v>
      </c>
      <c r="BJ242" s="52">
        <v>8.2100000000000009</v>
      </c>
      <c r="BK242" s="52">
        <v>8.24</v>
      </c>
      <c r="BL242" s="52">
        <v>7.82</v>
      </c>
      <c r="BM242" s="52">
        <v>8.3699999999999992</v>
      </c>
      <c r="BN242" s="52">
        <v>7.62</v>
      </c>
      <c r="BO242" s="52">
        <v>7.41</v>
      </c>
      <c r="BP242" s="52">
        <v>6.77</v>
      </c>
      <c r="BQ242" s="52" cm="1">
        <f t="array" aca="1" ref="BQ242" ca="1">_FV(EE242,"Preço")</f>
        <v>6.77</v>
      </c>
      <c r="BR242" s="69" t="s">
        <v>238</v>
      </c>
      <c r="BS242" s="36" cm="1">
        <f t="array" aca="1" ref="BS242" ca="1">_FV(EE242,"Média de volume",TRUE)</f>
        <v>9361400</v>
      </c>
      <c r="BT242" s="36">
        <v>12375000</v>
      </c>
      <c r="BU242" s="36" cm="1">
        <f t="array" aca="1" ref="BU242" ca="1">_FV(EE242,"Volume")</f>
        <v>12375000</v>
      </c>
      <c r="BV242" s="24" cm="1">
        <f t="array" aca="1" ref="BV242" ca="1">_FV(EE242,"Beta")</f>
        <v>1.4414</v>
      </c>
      <c r="BW242" s="71" cm="1">
        <f t="array" aca="1" ref="BW242" ca="1">_FV(EE242,"Variação (%)",TRUE)</f>
        <v>-2.8694000000000001E-2</v>
      </c>
      <c r="BY242" s="17" cm="1">
        <f t="array" aca="1" ref="BY242" ca="1">_FV(EE242,"Baixo")</f>
        <v>6.72</v>
      </c>
      <c r="BZ242" s="17" cm="1">
        <f t="array" aca="1" ref="BZ242" ca="1">_FV(EE242,"Alto")</f>
        <v>7.03</v>
      </c>
      <c r="CA242" s="24"/>
      <c r="CB242" s="63" t="e">
        <f ca="1">SQRT(22.5*(BQ242/VLOOKUP(BR242,Fundamentus!A:U,3,FALSE))*(BQ242/VLOOKUP(BR242,Fundamentus!A:U,4,FALSE)))</f>
        <v>#NUM!</v>
      </c>
      <c r="CD242" s="62">
        <f t="shared" ca="1" si="241"/>
        <v>0</v>
      </c>
      <c r="CE242" s="8"/>
      <c r="CF242" s="61">
        <f t="shared" si="242"/>
        <v>6.77</v>
      </c>
      <c r="CG242" s="61">
        <f t="shared" si="243"/>
        <v>14.25</v>
      </c>
      <c r="CH242" s="61">
        <f t="shared" si="244"/>
        <v>10.297279411764706</v>
      </c>
      <c r="CI242" s="14"/>
      <c r="CJ242" s="35">
        <f t="shared" si="227"/>
        <v>5.5627696375979676</v>
      </c>
      <c r="CK242" s="15">
        <f t="shared" si="245"/>
        <v>6.2900000000004184</v>
      </c>
      <c r="CL242" s="35">
        <f t="shared" si="228"/>
        <v>7.0172303624028691</v>
      </c>
      <c r="CN242" s="14"/>
      <c r="CO242" s="17">
        <f t="shared" si="229"/>
        <v>-3.2033333333333331</v>
      </c>
      <c r="CP242" s="17">
        <f t="shared" si="230"/>
        <v>1.7833333333333332</v>
      </c>
      <c r="CQ242" s="17">
        <f t="shared" si="231"/>
        <v>4.2766666666666673</v>
      </c>
      <c r="CR242" s="38">
        <f t="shared" si="246"/>
        <v>9.2633333333333336</v>
      </c>
      <c r="CS242" s="17">
        <f t="shared" si="232"/>
        <v>11.756666666666668</v>
      </c>
      <c r="CT242" s="17">
        <f t="shared" si="233"/>
        <v>16.743333333333332</v>
      </c>
      <c r="CU242" s="17">
        <f t="shared" si="234"/>
        <v>19.236666666666668</v>
      </c>
      <c r="CV242" s="2" cm="1">
        <f t="array" aca="1" ref="CV242" ca="1">MAX(_xlfn._xlws.FILTER(CO242:CU242,CO242:CU242&lt;BQ242))</f>
        <v>4.2766666666666673</v>
      </c>
      <c r="CW242" s="2" cm="1">
        <f t="array" aca="1" ref="CW242" ca="1">MIN(_xlfn._xlws.FILTER($CO242:$CU242,$CO242:$CU242&gt;BQ242))</f>
        <v>9.2633333333333336</v>
      </c>
      <c r="CX242" s="16">
        <f t="shared" ca="1" si="248"/>
        <v>1.1660171473109897</v>
      </c>
      <c r="CY242" s="20">
        <f t="shared" ca="1" si="249"/>
        <v>-0.58300857365549486</v>
      </c>
      <c r="CZ242" s="20">
        <f t="shared" ca="1" si="250"/>
        <v>-0.38867238243699659</v>
      </c>
      <c r="DA242" s="20">
        <f t="shared" ca="1" si="251"/>
        <v>-0.23320342946219794</v>
      </c>
      <c r="DB242" s="20">
        <f t="shared" ca="1" si="252"/>
        <v>-0.12955746081233219</v>
      </c>
      <c r="DC242" s="20">
        <f t="shared" ca="1" si="253"/>
        <v>-6.8589243959469984E-2</v>
      </c>
      <c r="DD242" s="20">
        <f t="shared" ca="1" si="254"/>
        <v>-3.533385294881787E-2</v>
      </c>
      <c r="DE242" s="20">
        <f t="shared" ca="1" si="255"/>
        <v>-1.7938725343245997E-2</v>
      </c>
      <c r="DF242" s="21">
        <f t="shared" ca="1" si="256"/>
        <v>1.7938725343245997E-2</v>
      </c>
      <c r="DG242" s="21">
        <f t="shared" ca="1" si="257"/>
        <v>3.533385294881787E-2</v>
      </c>
      <c r="DH242" s="21">
        <f t="shared" ca="1" si="258"/>
        <v>6.8589243959469984E-2</v>
      </c>
      <c r="DI242" s="21">
        <f t="shared" ca="1" si="259"/>
        <v>0.12955746081233219</v>
      </c>
      <c r="DJ242" s="21">
        <f t="shared" ca="1" si="260"/>
        <v>0.23320342946219794</v>
      </c>
      <c r="DK242" s="21">
        <f t="shared" ca="1" si="261"/>
        <v>0.38867238243699659</v>
      </c>
      <c r="DL242" s="21">
        <f t="shared" ca="1" si="262"/>
        <v>0.58300857365549486</v>
      </c>
      <c r="DN242" s="16" cm="1">
        <f t="array" aca="1" ref="DN242" ca="1">MAX(_xlfn._xlws.FILTER(CY242:DL242,CY242:DL242&lt;BW242))</f>
        <v>-3.533385294881787E-2</v>
      </c>
      <c r="DO242" s="16" cm="1">
        <f t="array" aca="1" ref="DO242" ca="1">MIN(_xlfn._xlws.FILTER(CY242:DL242,CY242:DL242&gt;BW242))</f>
        <v>-1.7938725343245997E-2</v>
      </c>
      <c r="DP242" s="2" cm="1">
        <f t="array" aca="1" ref="DP242" ca="1">_FV(EE242,"Fechamento anterior",TRUE)</f>
        <v>6.97</v>
      </c>
      <c r="DQ242" s="28">
        <f t="shared" ca="1" si="235"/>
        <v>0.38168437209890749</v>
      </c>
      <c r="DR242" s="15">
        <f t="shared" ca="1" si="263"/>
        <v>6.7237230449467393</v>
      </c>
      <c r="DS242" s="15">
        <f t="shared" ca="1" si="264"/>
        <v>6.8449670843575756</v>
      </c>
      <c r="DT242" s="9"/>
      <c r="DU242" s="9"/>
      <c r="DV242" s="9"/>
      <c r="DW242" s="89">
        <v>1.3260813260813263E-2</v>
      </c>
      <c r="DX242" s="89">
        <f t="shared" ca="1" si="236"/>
        <v>1.7395127605571874E-2</v>
      </c>
      <c r="DY242" s="72">
        <f t="shared" ca="1" si="237"/>
        <v>0.66003844835888226</v>
      </c>
      <c r="DZ242" s="37"/>
      <c r="EA242" s="35">
        <f t="shared" si="247"/>
        <v>0.36361518120122521</v>
      </c>
      <c r="EB242" s="56"/>
      <c r="EC242" s="56"/>
      <c r="EE242" s="2" t="e" vm="244">
        <v>#VALUE!</v>
      </c>
      <c r="EG242" s="10" cm="1">
        <f t="array" aca="1" ref="EG242" ca="1">_FV(EE242,"Ações em circulação",TRUE)</f>
        <v>1326094000</v>
      </c>
      <c r="EH242" s="18">
        <f>VLOOKUP(BR242,Fundamentus!A:U,5,FALSE)</f>
        <v>0.25900000000000001</v>
      </c>
      <c r="EI242" s="2">
        <f t="shared" ca="1" si="238"/>
        <v>34662765945.945946</v>
      </c>
      <c r="EJ242" s="17">
        <v>-1383044361.2432432</v>
      </c>
      <c r="EK242" s="17">
        <f t="shared" ca="1" si="239"/>
        <v>-1383044361.2432432</v>
      </c>
      <c r="EM242" s="16">
        <f t="shared" ca="1" si="226"/>
        <v>0</v>
      </c>
      <c r="EN242" s="32" t="str">
        <f>IF(VLOOKUP(BR242,Fundamentus!A:U,3,FALSE)&lt;15,"Bom",IF(VLOOKUP(BR242,Fundamentus!A:U,3,FALSE)&gt;15,"Ruim","n/a"))</f>
        <v>Bom</v>
      </c>
      <c r="EO242" s="28" t="str">
        <f>IF(VLOOKUP(BR242,Fundamentus!A:U,4,FALSE)&lt;1,"Baixo",IF(VLOOKUP(BR242,Fundamentus!A:U,4,FALSE)&lt;1.5,"Moderado",IF(VLOOKUP(BR242,Fundamentus!A:U,4,FALSE)&gt;1.5,"Alto","n/a")))</f>
        <v>Baixo</v>
      </c>
      <c r="EP242" s="17" t="str">
        <f>IF(VLOOKUP(BR242,Fundamentus!A:U,8,FALSE)&lt;0,"Risco elevado",IF(VLOOKUP(BR242,Fundamentus!A:U,8,FALSE)&lt;1,"Saudável",IF(VLOOKUP(BR242,Fundamentus!A:U,8,FALSE)&lt;3,"Estável",IF(VLOOKUP(BR242,Fundamentus!A:U,8,FALSE)&gt;3,"Alerta","n/a"))))</f>
        <v>Saudável</v>
      </c>
      <c r="EQ242" s="28" t="str">
        <f t="shared" si="240"/>
        <v>Ruim</v>
      </c>
      <c r="ER242" s="17" t="str">
        <f>IF(VLOOKUP(BR242,Fundamentus!A:U,12,FALSE)&lt;2,"Subvalorizada",IF(VLOOKUP(BR242,Fundamentus!A:U,12,FALSE)&lt;6,"Muita barata",IF(VLOOKUP(BR242,Fundamentus!A:U,12,FALSE)&lt;6,"Barata",IF(VLOOKUP(BR242,Fundamentus!A:U,12,FALSE)&lt;8,"Atrativa",IF(VLOOKUP(BR242,Fundamentus!A:U,12,FALSE)&gt;8,"Supervalorizada","n/a")))))</f>
        <v>Muita barata</v>
      </c>
      <c r="ET242" s="17" t="str">
        <f>IF(VLOOKUP(BR242,Fundamentus!A:U,17,FALSE)&lt;0.1,"Fraco retorno",IF(VLOOKUP(BR242,Fundamentus!A:U,17,FALSE)&gt;0.1,"Bom retorno","n/a"))</f>
        <v>Fraco retorno</v>
      </c>
      <c r="EU242" s="17" t="str">
        <f>IF(VLOOKUP(BR242,Fundamentus!A:U,16,FALSE)&lt;0.1,"Ineficiente",IF(VLOOKUP(BR242,Fundamentus!A:U,16,FALSE)&gt;0.1,"Eficiente","n/a"))</f>
        <v>Ineficiente</v>
      </c>
      <c r="EV242" s="33" t="str">
        <f>IF(VLOOKUP(BR242,Fundamentus!A:U,16,FALSE)&lt;0.1,"Oper. Ineficiente",IF(VLOOKUP(BR242,Fundamentus!A:U,16,FALSE)&gt;0.1,"Oper.Eficiente","n/a"))</f>
        <v>Oper. Ineficiente</v>
      </c>
      <c r="EW242" s="34">
        <f>VLOOKUP(BR242,Fundamentus!A:U,14,FALSE)</f>
        <v>-3.9899999999999998E-2</v>
      </c>
      <c r="EX242" s="17" t="str">
        <f>IF(VLOOKUP(BR242,Fundamentus!A:U,21,FALSE)&lt;0,"Negativo",IF(VLOOKUP(BR242,Fundamentus!A:U,21,FALSE)&lt;0.05,"Fraco",IF(VLOOKUP(BR242,Fundamentus!A:U,21,FALSE)&lt;0.1,"Bom",IF(VLOOKUP(BR242,Fundamentus!A:U,21,FALSE)&gt;0.1,"Muito bom","n/a"))))</f>
        <v>Fraco</v>
      </c>
      <c r="EZ242" s="29" t="str">
        <f>IF(VLOOKUP(BR242,Fundamentus!A:U,15,FALSE)&gt;1,"Bom",IF(VLOOKUP(BR242,Fundamentus!A:U,15,FALSE)&lt;1,"Ruim","n/a"))</f>
        <v>Bom</v>
      </c>
      <c r="FA242" s="17" t="str">
        <f>IF(VLOOKUP(BR242,Fundamentus!A:U,20,FALSE)&lt;0.5,"Baixa",IF(VLOOKUP(BR242,Fundamentus!A:U,20,FALSE)&lt;1,"Moderada",IF(VLOOKUP(BR242,Fundamentus!A:U,20,FALSE)&lt;2,"Alerta",IF(VLOOKUP(BR242,Fundamentus!A:U,20,FALSE)&gt;2,"Alta","n/a"))))</f>
        <v>Alta</v>
      </c>
    </row>
    <row r="243" spans="1:157" s="2" customFormat="1" ht="11.25"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5">
        <v>0.86</v>
      </c>
      <c r="BC243" s="52">
        <v>0.86</v>
      </c>
      <c r="BD243" s="52">
        <v>0.86</v>
      </c>
      <c r="BE243" s="52">
        <v>0.86</v>
      </c>
      <c r="BF243" s="52">
        <v>0.86</v>
      </c>
      <c r="BG243" s="67">
        <v>0.86</v>
      </c>
      <c r="BH243" s="52">
        <v>0.86</v>
      </c>
      <c r="BI243" s="52">
        <v>0.86</v>
      </c>
      <c r="BJ243" s="52">
        <v>0.86</v>
      </c>
      <c r="BK243" s="52">
        <v>0.86</v>
      </c>
      <c r="BL243" s="52">
        <v>0.86</v>
      </c>
      <c r="BM243" s="52">
        <v>0.86</v>
      </c>
      <c r="BN243" s="52">
        <v>0.86</v>
      </c>
      <c r="BO243" s="52">
        <v>0.86</v>
      </c>
      <c r="BP243" s="52">
        <v>0.86</v>
      </c>
      <c r="BQ243" s="52" cm="1">
        <f t="array" aca="1" ref="BQ243" ca="1">_FV(EE243,"Preço")</f>
        <v>0.86</v>
      </c>
      <c r="BR243" s="69" t="s">
        <v>239</v>
      </c>
      <c r="BS243" s="36" t="e" cm="1" vm="3">
        <f t="array" ref="BS243">_FV(EE243,"Média de volume",TRUE)</f>
        <v>#VALUE!</v>
      </c>
      <c r="BT243" s="36">
        <v>5000</v>
      </c>
      <c r="BU243" s="36" cm="1">
        <f t="array" aca="1" ref="BU243" ca="1">_FV(EE243,"Volume")</f>
        <v>5000</v>
      </c>
      <c r="BV243" s="24" cm="1">
        <f t="array" aca="1" ref="BV243" ca="1">_FV(EE243,"Beta")</f>
        <v>1.2122999999999999</v>
      </c>
      <c r="BW243" s="71" cm="1">
        <f t="array" aca="1" ref="BW243" ca="1">_FV(EE243,"Variação (%)",TRUE)</f>
        <v>-2.2727000000000001E-2</v>
      </c>
      <c r="BY243" s="17" cm="1">
        <f t="array" aca="1" ref="BY243" ca="1">_FV(EE243,"Baixo")</f>
        <v>0.86</v>
      </c>
      <c r="BZ243" s="17" cm="1">
        <f t="array" aca="1" ref="BZ243" ca="1">_FV(EE243,"Alto")</f>
        <v>0.86</v>
      </c>
      <c r="CA243" s="24"/>
      <c r="CB243" s="63" t="e">
        <f ca="1">SQRT(22.5*(BQ243/VLOOKUP(BR243,Fundamentus!A:U,3,FALSE))*(BQ243/VLOOKUP(BR243,Fundamentus!A:U,4,FALSE)))</f>
        <v>#N/A</v>
      </c>
      <c r="CD243" s="62">
        <f t="shared" ca="1" si="241"/>
        <v>0</v>
      </c>
      <c r="CE243" s="8"/>
      <c r="CF243" s="61">
        <f t="shared" si="242"/>
        <v>0.62</v>
      </c>
      <c r="CG243" s="61">
        <f t="shared" si="243"/>
        <v>1.1100000000000001</v>
      </c>
      <c r="CH243" s="61">
        <f t="shared" si="244"/>
        <v>0.86367647058823493</v>
      </c>
      <c r="CI243" s="14"/>
      <c r="CJ243" s="35">
        <f t="shared" si="227"/>
        <v>0.86</v>
      </c>
      <c r="CK243" s="15">
        <f t="shared" si="245"/>
        <v>0.86</v>
      </c>
      <c r="CL243" s="35">
        <f t="shared" si="228"/>
        <v>0.86</v>
      </c>
      <c r="CN243" s="14"/>
      <c r="CO243" s="17">
        <f t="shared" si="229"/>
        <v>0.12666666666666637</v>
      </c>
      <c r="CP243" s="17">
        <f t="shared" si="230"/>
        <v>0.37333333333333318</v>
      </c>
      <c r="CQ243" s="17">
        <f t="shared" si="231"/>
        <v>0.61666666666666647</v>
      </c>
      <c r="CR243" s="38">
        <f t="shared" si="246"/>
        <v>0.86333333333333329</v>
      </c>
      <c r="CS243" s="17">
        <f t="shared" si="232"/>
        <v>1.1066666666666665</v>
      </c>
      <c r="CT243" s="17">
        <f t="shared" si="233"/>
        <v>1.3533333333333335</v>
      </c>
      <c r="CU243" s="17">
        <f t="shared" si="234"/>
        <v>1.5966666666666667</v>
      </c>
      <c r="CV243" s="2" cm="1">
        <f t="array" aca="1" ref="CV243" ca="1">MAX(_xlfn._xlws.FILTER(CO243:CU243,CO243:CU243&lt;BQ243))</f>
        <v>0.61666666666666647</v>
      </c>
      <c r="CW243" s="2" cm="1">
        <f t="array" aca="1" ref="CW243" ca="1">MIN(_xlfn._xlws.FILTER($CO243:$CU243,$CO243:$CU243&gt;BQ243))</f>
        <v>0.86333333333333329</v>
      </c>
      <c r="CX243" s="16">
        <f t="shared" ca="1" si="248"/>
        <v>0.40000000000000036</v>
      </c>
      <c r="CY243" s="20">
        <f t="shared" ca="1" si="249"/>
        <v>-0.20000000000000018</v>
      </c>
      <c r="CZ243" s="20">
        <f t="shared" ca="1" si="250"/>
        <v>-0.13333333333333344</v>
      </c>
      <c r="DA243" s="20">
        <f t="shared" ca="1" si="251"/>
        <v>-8.0000000000000071E-2</v>
      </c>
      <c r="DB243" s="20">
        <f t="shared" ca="1" si="252"/>
        <v>-4.4444444444444481E-2</v>
      </c>
      <c r="DC243" s="20">
        <f t="shared" ca="1" si="253"/>
        <v>-2.3529411764705903E-2</v>
      </c>
      <c r="DD243" s="20">
        <f t="shared" ca="1" si="254"/>
        <v>-1.2121212121212132E-2</v>
      </c>
      <c r="DE243" s="20">
        <f t="shared" ca="1" si="255"/>
        <v>-6.153846153846159E-3</v>
      </c>
      <c r="DF243" s="21">
        <f t="shared" ca="1" si="256"/>
        <v>6.153846153846159E-3</v>
      </c>
      <c r="DG243" s="21">
        <f t="shared" ca="1" si="257"/>
        <v>1.2121212121212132E-2</v>
      </c>
      <c r="DH243" s="21">
        <f t="shared" ca="1" si="258"/>
        <v>2.3529411764705903E-2</v>
      </c>
      <c r="DI243" s="21">
        <f t="shared" ca="1" si="259"/>
        <v>4.4444444444444481E-2</v>
      </c>
      <c r="DJ243" s="21">
        <f t="shared" ca="1" si="260"/>
        <v>8.0000000000000071E-2</v>
      </c>
      <c r="DK243" s="21">
        <f t="shared" ca="1" si="261"/>
        <v>0.13333333333333344</v>
      </c>
      <c r="DL243" s="21">
        <f t="shared" ca="1" si="262"/>
        <v>0.20000000000000018</v>
      </c>
      <c r="DN243" s="16" cm="1">
        <f t="array" aca="1" ref="DN243" ca="1">MAX(_xlfn._xlws.FILTER(CY243:DL243,CY243:DL243&lt;BW243))</f>
        <v>-2.3529411764705903E-2</v>
      </c>
      <c r="DO243" s="16" cm="1">
        <f t="array" aca="1" ref="DO243" ca="1">MIN(_xlfn._xlws.FILTER(CY243:DL243,CY243:DL243&gt;BW243))</f>
        <v>-1.2121212121212132E-2</v>
      </c>
      <c r="DP243" s="2" cm="1">
        <f t="array" aca="1" ref="DP243" ca="1">_FV(EE243,"Fechamento anterior",TRUE)</f>
        <v>0.88</v>
      </c>
      <c r="DQ243" s="28">
        <f t="shared" ca="1" si="235"/>
        <v>7.0312500000004496E-2</v>
      </c>
      <c r="DR243" s="15">
        <f t="shared" ca="1" si="263"/>
        <v>0.85929411764705876</v>
      </c>
      <c r="DS243" s="15">
        <f t="shared" ca="1" si="264"/>
        <v>0.86933333333333329</v>
      </c>
      <c r="DT243" s="9"/>
      <c r="DU243" s="9"/>
      <c r="DV243" s="9"/>
      <c r="DW243" s="89">
        <v>1.1408199643493771E-2</v>
      </c>
      <c r="DX243" s="89">
        <f t="shared" ca="1" si="236"/>
        <v>1.1408199643493771E-2</v>
      </c>
      <c r="DY243" s="72" t="e">
        <f t="shared" ca="1" si="237"/>
        <v>#DIV/0!</v>
      </c>
      <c r="DZ243" s="37"/>
      <c r="EA243" s="35">
        <f t="shared" si="247"/>
        <v>0</v>
      </c>
      <c r="EB243" s="56"/>
      <c r="EC243" s="56"/>
      <c r="EE243" s="2" t="e" vm="245">
        <v>#VALUE!</v>
      </c>
      <c r="EG243" s="10" cm="1">
        <f t="array" aca="1" ref="EG243" ca="1">_FV(EE243,"Ações em circulação",TRUE)</f>
        <v>30636460</v>
      </c>
      <c r="EH243" s="18" t="e">
        <f>VLOOKUP(BR243,Fundamentus!A:U,5,FALSE)</f>
        <v>#N/A</v>
      </c>
      <c r="EI243" s="2" t="e">
        <f t="shared" ca="1" si="238"/>
        <v>#N/A</v>
      </c>
      <c r="EJ243" s="17" t="e">
        <v>#N/A</v>
      </c>
      <c r="EK243" s="17" t="e">
        <f t="shared" ca="1" si="239"/>
        <v>#N/A</v>
      </c>
      <c r="EM243" s="16" t="e">
        <f t="shared" ca="1" si="226"/>
        <v>#N/A</v>
      </c>
      <c r="EN243" s="32" t="e">
        <f>IF(VLOOKUP(BR243,Fundamentus!A:U,3,FALSE)&lt;15,"Bom",IF(VLOOKUP(BR243,Fundamentus!A:U,3,FALSE)&gt;15,"Ruim","n/a"))</f>
        <v>#N/A</v>
      </c>
      <c r="EO243" s="28" t="e">
        <f>IF(VLOOKUP(BR243,Fundamentus!A:U,4,FALSE)&lt;1,"Baixo",IF(VLOOKUP(BR243,Fundamentus!A:U,4,FALSE)&lt;1.5,"Moderado",IF(VLOOKUP(BR243,Fundamentus!A:U,4,FALSE)&gt;1.5,"Alto","n/a")))</f>
        <v>#N/A</v>
      </c>
      <c r="EP243" s="17" t="e">
        <f>IF(VLOOKUP(BR243,Fundamentus!A:U,8,FALSE)&lt;0,"Risco elevado",IF(VLOOKUP(BR243,Fundamentus!A:U,8,FALSE)&lt;1,"Saudável",IF(VLOOKUP(BR243,Fundamentus!A:U,8,FALSE)&lt;3,"Estável",IF(VLOOKUP(BR243,Fundamentus!A:U,8,FALSE)&gt;3,"Alerta","n/a"))))</f>
        <v>#N/A</v>
      </c>
      <c r="EQ243" s="28" t="e">
        <f t="shared" si="240"/>
        <v>#N/A</v>
      </c>
      <c r="ER243" s="17" t="e">
        <f>IF(VLOOKUP(BR243,Fundamentus!A:U,12,FALSE)&lt;2,"Subvalorizada",IF(VLOOKUP(BR243,Fundamentus!A:U,12,FALSE)&lt;6,"Muita barata",IF(VLOOKUP(BR243,Fundamentus!A:U,12,FALSE)&lt;6,"Barata",IF(VLOOKUP(BR243,Fundamentus!A:U,12,FALSE)&lt;8,"Atrativa",IF(VLOOKUP(BR243,Fundamentus!A:U,12,FALSE)&gt;8,"Supervalorizada","n/a")))))</f>
        <v>#N/A</v>
      </c>
      <c r="ET243" s="17" t="e">
        <f>IF(VLOOKUP(BR243,Fundamentus!A:U,17,FALSE)&lt;0.1,"Fraco retorno",IF(VLOOKUP(BR243,Fundamentus!A:U,17,FALSE)&gt;0.1,"Bom retorno","n/a"))</f>
        <v>#N/A</v>
      </c>
      <c r="EU243" s="17" t="e">
        <f>IF(VLOOKUP(BR243,Fundamentus!A:U,16,FALSE)&lt;0.1,"Ineficiente",IF(VLOOKUP(BR243,Fundamentus!A:U,16,FALSE)&gt;0.1,"Eficiente","n/a"))</f>
        <v>#N/A</v>
      </c>
      <c r="EV243" s="33" t="e">
        <f>IF(VLOOKUP(BR243,Fundamentus!A:U,16,FALSE)&lt;0.1,"Oper. Ineficiente",IF(VLOOKUP(BR243,Fundamentus!A:U,16,FALSE)&gt;0.1,"Oper.Eficiente","n/a"))</f>
        <v>#N/A</v>
      </c>
      <c r="EW243" s="34" t="e">
        <f>VLOOKUP(BR243,Fundamentus!A:U,14,FALSE)</f>
        <v>#N/A</v>
      </c>
      <c r="EX243" s="17" t="e">
        <f>IF(VLOOKUP(BR243,Fundamentus!A:U,21,FALSE)&lt;0,"Negativo",IF(VLOOKUP(BR243,Fundamentus!A:U,21,FALSE)&lt;0.05,"Fraco",IF(VLOOKUP(BR243,Fundamentus!A:U,21,FALSE)&lt;0.1,"Bom",IF(VLOOKUP(BR243,Fundamentus!A:U,21,FALSE)&gt;0.1,"Muito bom","n/a"))))</f>
        <v>#N/A</v>
      </c>
      <c r="EZ243" s="29" t="e">
        <f>IF(VLOOKUP(BR243,Fundamentus!A:U,15,FALSE)&gt;1,"Bom",IF(VLOOKUP(BR243,Fundamentus!A:U,15,FALSE)&lt;1,"Ruim","n/a"))</f>
        <v>#N/A</v>
      </c>
      <c r="FA243" s="17" t="e">
        <f>IF(VLOOKUP(BR243,Fundamentus!A:U,20,FALSE)&lt;0.5,"Baixa",IF(VLOOKUP(BR243,Fundamentus!A:U,20,FALSE)&lt;1,"Moderada",IF(VLOOKUP(BR243,Fundamentus!A:U,20,FALSE)&lt;2,"Alerta",IF(VLOOKUP(BR243,Fundamentus!A:U,20,FALSE)&gt;2,"Alta","n/a"))))</f>
        <v>#N/A</v>
      </c>
    </row>
    <row r="244" spans="1:157" s="2" customFormat="1" ht="11.25"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5">
        <v>0.1</v>
      </c>
      <c r="BC244" s="52">
        <v>0.08</v>
      </c>
      <c r="BD244" s="52">
        <v>7.0000000000000007E-2</v>
      </c>
      <c r="BE244" s="52">
        <v>7.0000000000000007E-2</v>
      </c>
      <c r="BF244" s="52">
        <v>7.0000000000000007E-2</v>
      </c>
      <c r="BG244" s="67">
        <v>7.0000000000000007E-2</v>
      </c>
      <c r="BH244" s="52">
        <v>0.05</v>
      </c>
      <c r="BI244" s="52">
        <v>0.05</v>
      </c>
      <c r="BJ244" s="52">
        <v>0.05</v>
      </c>
      <c r="BK244" s="52">
        <v>0.05</v>
      </c>
      <c r="BL244" s="52">
        <v>0.04</v>
      </c>
      <c r="BM244" s="52">
        <v>0.04</v>
      </c>
      <c r="BN244" s="52">
        <v>0.79</v>
      </c>
      <c r="BO244" s="52">
        <v>0.74</v>
      </c>
      <c r="BP244" s="52">
        <v>0.59</v>
      </c>
      <c r="BQ244" s="52" cm="1">
        <f t="array" aca="1" ref="BQ244" ca="1">_FV(EE244,"Preço")</f>
        <v>0.59</v>
      </c>
      <c r="BR244" s="69" t="s">
        <v>240</v>
      </c>
      <c r="BS244" s="36" cm="1">
        <f t="array" aca="1" ref="BS244" ca="1">_FV(EE244,"Média de volume",TRUE)</f>
        <v>777140</v>
      </c>
      <c r="BT244" s="36">
        <v>2197000</v>
      </c>
      <c r="BU244" s="36" cm="1">
        <f t="array" aca="1" ref="BU244" ca="1">_FV(EE244,"Volume")</f>
        <v>2197000</v>
      </c>
      <c r="BV244" s="24" cm="1">
        <f t="array" aca="1" ref="BV244" ca="1">_FV(EE244,"Beta")</f>
        <v>2.5390000000000001</v>
      </c>
      <c r="BW244" s="71" cm="1">
        <f t="array" aca="1" ref="BW244" ca="1">_FV(EE244,"Variação (%)",TRUE)</f>
        <v>-0.144928</v>
      </c>
      <c r="BY244" s="17" cm="1">
        <f t="array" aca="1" ref="BY244" ca="1">_FV(EE244,"Baixo")</f>
        <v>0.59</v>
      </c>
      <c r="BZ244" s="17" cm="1">
        <f t="array" aca="1" ref="BZ244" ca="1">_FV(EE244,"Alto")</f>
        <v>0.7</v>
      </c>
      <c r="CA244" s="24"/>
      <c r="CB244" s="63">
        <f ca="1">SQRT(22.5*(BQ244/VLOOKUP(BR244,Fundamentus!A:U,3,FALSE))*(BQ244/VLOOKUP(BR244,Fundamentus!A:U,4,FALSE)))</f>
        <v>19.990112351778681</v>
      </c>
      <c r="CD244" s="62">
        <f t="shared" ca="1" si="241"/>
        <v>0</v>
      </c>
      <c r="CE244" s="8"/>
      <c r="CF244" s="61">
        <f t="shared" si="242"/>
        <v>0.04</v>
      </c>
      <c r="CG244" s="61">
        <f t="shared" si="243"/>
        <v>0.79</v>
      </c>
      <c r="CH244" s="61">
        <f t="shared" si="244"/>
        <v>0.19772058823529415</v>
      </c>
      <c r="CI244" s="14"/>
      <c r="CJ244" s="35">
        <f t="shared" si="227"/>
        <v>0.23216951181780487</v>
      </c>
      <c r="CK244" s="15">
        <f t="shared" si="245"/>
        <v>0.9399999999998272</v>
      </c>
      <c r="CL244" s="35">
        <f t="shared" si="228"/>
        <v>1.6478304881818495</v>
      </c>
      <c r="CN244" s="14"/>
      <c r="CO244" s="17">
        <f t="shared" si="229"/>
        <v>-0.59333333333333338</v>
      </c>
      <c r="CP244" s="17">
        <f t="shared" si="230"/>
        <v>-0.27666666666666667</v>
      </c>
      <c r="CQ244" s="17">
        <f t="shared" si="231"/>
        <v>0.15666666666666662</v>
      </c>
      <c r="CR244" s="38">
        <f t="shared" si="246"/>
        <v>0.47333333333333333</v>
      </c>
      <c r="CS244" s="17">
        <f t="shared" si="232"/>
        <v>0.90666666666666662</v>
      </c>
      <c r="CT244" s="17">
        <f t="shared" si="233"/>
        <v>1.2233333333333334</v>
      </c>
      <c r="CU244" s="17">
        <f t="shared" si="234"/>
        <v>1.6566666666666667</v>
      </c>
      <c r="CV244" s="2" cm="1">
        <f t="array" aca="1" ref="CV244" ca="1">MAX(_xlfn._xlws.FILTER(CO244:CU244,CO244:CU244&lt;BQ244))</f>
        <v>0.47333333333333333</v>
      </c>
      <c r="CW244" s="2" cm="1">
        <f t="array" aca="1" ref="CW244" ca="1">MIN(_xlfn._xlws.FILTER($CO244:$CU244,$CO244:$CU244&gt;BQ244))</f>
        <v>0.90666666666666662</v>
      </c>
      <c r="CX244" s="16">
        <f t="shared" ca="1" si="248"/>
        <v>0.91549295774647876</v>
      </c>
      <c r="CY244" s="20">
        <f t="shared" ca="1" si="249"/>
        <v>-0.45774647887323938</v>
      </c>
      <c r="CZ244" s="20">
        <f t="shared" ca="1" si="250"/>
        <v>-0.30516431924882625</v>
      </c>
      <c r="DA244" s="20">
        <f t="shared" ca="1" si="251"/>
        <v>-0.18309859154929575</v>
      </c>
      <c r="DB244" s="20">
        <f t="shared" ca="1" si="252"/>
        <v>-0.10172143974960875</v>
      </c>
      <c r="DC244" s="20">
        <f t="shared" ca="1" si="253"/>
        <v>-5.385252692626346E-2</v>
      </c>
      <c r="DD244" s="20">
        <f t="shared" ca="1" si="254"/>
        <v>-2.7742210840802386E-2</v>
      </c>
      <c r="DE244" s="20">
        <f t="shared" ca="1" si="255"/>
        <v>-1.408450704225352E-2</v>
      </c>
      <c r="DF244" s="21">
        <f t="shared" ca="1" si="256"/>
        <v>1.408450704225352E-2</v>
      </c>
      <c r="DG244" s="21">
        <f t="shared" ca="1" si="257"/>
        <v>2.7742210840802386E-2</v>
      </c>
      <c r="DH244" s="21">
        <f t="shared" ca="1" si="258"/>
        <v>5.385252692626346E-2</v>
      </c>
      <c r="DI244" s="21">
        <f t="shared" ca="1" si="259"/>
        <v>0.10172143974960875</v>
      </c>
      <c r="DJ244" s="21">
        <f t="shared" ca="1" si="260"/>
        <v>0.18309859154929575</v>
      </c>
      <c r="DK244" s="21">
        <f t="shared" ca="1" si="261"/>
        <v>0.30516431924882625</v>
      </c>
      <c r="DL244" s="21">
        <f t="shared" ca="1" si="262"/>
        <v>0.45774647887323938</v>
      </c>
      <c r="DN244" s="16" cm="1">
        <f t="array" aca="1" ref="DN244" ca="1">MAX(_xlfn._xlws.FILTER(CY244:DL244,CY244:DL244&lt;BW244))</f>
        <v>-0.18309859154929575</v>
      </c>
      <c r="DO244" s="16" cm="1">
        <f t="array" aca="1" ref="DO244" ca="1">MIN(_xlfn._xlws.FILTER(CY244:DL244,CY244:DL244&gt;BW244))</f>
        <v>-0.10172143974960875</v>
      </c>
      <c r="DP244" s="2" cm="1">
        <f t="array" aca="1" ref="DP244" ca="1">_FV(EE244,"Fechamento anterior",TRUE)</f>
        <v>0.69</v>
      </c>
      <c r="DQ244" s="28">
        <f t="shared" ca="1" si="235"/>
        <v>0.4690635451505018</v>
      </c>
      <c r="DR244" s="15">
        <f t="shared" ca="1" si="263"/>
        <v>0.56366197183098588</v>
      </c>
      <c r="DS244" s="15">
        <f t="shared" ca="1" si="264"/>
        <v>0.61981220657276992</v>
      </c>
      <c r="DT244" s="9"/>
      <c r="DU244" s="9"/>
      <c r="DV244" s="9"/>
      <c r="DW244" s="89">
        <v>2.8417442430181284E-2</v>
      </c>
      <c r="DX244" s="89">
        <f t="shared" ca="1" si="236"/>
        <v>8.1377151799687006E-2</v>
      </c>
      <c r="DY244" s="72">
        <f t="shared" ca="1" si="237"/>
        <v>-0.49446866989123373</v>
      </c>
      <c r="DZ244" s="37"/>
      <c r="EA244" s="35">
        <f t="shared" si="247"/>
        <v>0.35391524409101116</v>
      </c>
      <c r="EB244" s="56"/>
      <c r="EC244" s="56"/>
      <c r="EE244" s="2" t="e" vm="246">
        <v>#VALUE!</v>
      </c>
      <c r="EG244" s="10" cm="1">
        <f t="array" aca="1" ref="EG244" ca="1">_FV(EE244,"Ações em circulação",TRUE)</f>
        <v>90778350</v>
      </c>
      <c r="EH244" s="18">
        <f>VLOOKUP(BR244,Fundamentus!A:U,5,FALSE)</f>
        <v>7.0000000000000007E-2</v>
      </c>
      <c r="EI244" s="2">
        <f t="shared" ca="1" si="238"/>
        <v>765131807.14285707</v>
      </c>
      <c r="EJ244" s="17">
        <v>-1269506694.4114285</v>
      </c>
      <c r="EK244" s="17">
        <f t="shared" ca="1" si="239"/>
        <v>-1269506694.4114285</v>
      </c>
      <c r="EM244" s="16">
        <f t="shared" ca="1" si="226"/>
        <v>0</v>
      </c>
      <c r="EN244" s="32" t="str">
        <f>IF(VLOOKUP(BR244,Fundamentus!A:U,3,FALSE)&lt;15,"Bom",IF(VLOOKUP(BR244,Fundamentus!A:U,3,FALSE)&gt;15,"Ruim","n/a"))</f>
        <v>Bom</v>
      </c>
      <c r="EO244" s="28" t="str">
        <f>IF(VLOOKUP(BR244,Fundamentus!A:U,4,FALSE)&lt;1,"Baixo",IF(VLOOKUP(BR244,Fundamentus!A:U,4,FALSE)&lt;1.5,"Moderado",IF(VLOOKUP(BR244,Fundamentus!A:U,4,FALSE)&gt;1.5,"Alto","n/a")))</f>
        <v>Baixo</v>
      </c>
      <c r="EP244" s="17" t="str">
        <f>IF(VLOOKUP(BR244,Fundamentus!A:U,8,FALSE)&lt;0,"Risco elevado",IF(VLOOKUP(BR244,Fundamentus!A:U,8,FALSE)&lt;1,"Saudável",IF(VLOOKUP(BR244,Fundamentus!A:U,8,FALSE)&lt;3,"Estável",IF(VLOOKUP(BR244,Fundamentus!A:U,8,FALSE)&gt;3,"Alerta","n/a"))))</f>
        <v>Risco elevado</v>
      </c>
      <c r="EQ244" s="28" t="str">
        <f t="shared" si="240"/>
        <v>Ruim</v>
      </c>
      <c r="ER244" s="17" t="str">
        <f>IF(VLOOKUP(BR244,Fundamentus!A:U,12,FALSE)&lt;2,"Subvalorizada",IF(VLOOKUP(BR244,Fundamentus!A:U,12,FALSE)&lt;6,"Muita barata",IF(VLOOKUP(BR244,Fundamentus!A:U,12,FALSE)&lt;6,"Barata",IF(VLOOKUP(BR244,Fundamentus!A:U,12,FALSE)&lt;8,"Atrativa",IF(VLOOKUP(BR244,Fundamentus!A:U,12,FALSE)&gt;8,"Supervalorizada","n/a")))))</f>
        <v>Subvalorizada</v>
      </c>
      <c r="ET244" s="17" t="str">
        <f>IF(VLOOKUP(BR244,Fundamentus!A:U,17,FALSE)&lt;0.1,"Fraco retorno",IF(VLOOKUP(BR244,Fundamentus!A:U,17,FALSE)&gt;0.1,"Bom retorno","n/a"))</f>
        <v>Bom retorno</v>
      </c>
      <c r="EU244" s="17" t="str">
        <f>IF(VLOOKUP(BR244,Fundamentus!A:U,16,FALSE)&lt;0.1,"Ineficiente",IF(VLOOKUP(BR244,Fundamentus!A:U,16,FALSE)&gt;0.1,"Eficiente","n/a"))</f>
        <v>Ineficiente</v>
      </c>
      <c r="EV244" s="33" t="str">
        <f>IF(VLOOKUP(BR244,Fundamentus!A:U,16,FALSE)&lt;0.1,"Oper. Ineficiente",IF(VLOOKUP(BR244,Fundamentus!A:U,16,FALSE)&gt;0.1,"Oper.Eficiente","n/a"))</f>
        <v>Oper. Ineficiente</v>
      </c>
      <c r="EW244" s="34">
        <f>VLOOKUP(BR244,Fundamentus!A:U,14,FALSE)</f>
        <v>-1.6592</v>
      </c>
      <c r="EX244" s="17" t="str">
        <f>IF(VLOOKUP(BR244,Fundamentus!A:U,21,FALSE)&lt;0,"Negativo",IF(VLOOKUP(BR244,Fundamentus!A:U,21,FALSE)&lt;0.05,"Fraco",IF(VLOOKUP(BR244,Fundamentus!A:U,21,FALSE)&lt;0.1,"Bom",IF(VLOOKUP(BR244,Fundamentus!A:U,21,FALSE)&gt;0.1,"Muito bom","n/a"))))</f>
        <v>Muito bom</v>
      </c>
      <c r="EZ244" s="29" t="str">
        <f>IF(VLOOKUP(BR244,Fundamentus!A:U,15,FALSE)&gt;1,"Bom",IF(VLOOKUP(BR244,Fundamentus!A:U,15,FALSE)&lt;1,"Ruim","n/a"))</f>
        <v>Ruim</v>
      </c>
      <c r="FA244" s="17" t="str">
        <f>IF(VLOOKUP(BR244,Fundamentus!A:U,20,FALSE)&lt;0.5,"Baixa",IF(VLOOKUP(BR244,Fundamentus!A:U,20,FALSE)&lt;1,"Moderada",IF(VLOOKUP(BR244,Fundamentus!A:U,20,FALSE)&lt;2,"Alerta",IF(VLOOKUP(BR244,Fundamentus!A:U,20,FALSE)&gt;2,"Alta","n/a"))))</f>
        <v>Baixa</v>
      </c>
    </row>
    <row r="245" spans="1:157" s="2" customFormat="1" ht="11.25"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5">
        <v>2.46</v>
      </c>
      <c r="BC245" s="52">
        <v>42.3</v>
      </c>
      <c r="BD245" s="52">
        <v>42.6</v>
      </c>
      <c r="BE245" s="52">
        <v>42.9</v>
      </c>
      <c r="BF245" s="52">
        <v>39.909999999999997</v>
      </c>
      <c r="BG245" s="67">
        <v>38.49</v>
      </c>
      <c r="BH245" s="52">
        <v>37.42</v>
      </c>
      <c r="BI245" s="52">
        <v>36.270000000000003</v>
      </c>
      <c r="BJ245" s="52">
        <v>35.61</v>
      </c>
      <c r="BK245" s="52">
        <v>32.32</v>
      </c>
      <c r="BL245" s="52">
        <v>32.19</v>
      </c>
      <c r="BM245" s="52">
        <v>32.58</v>
      </c>
      <c r="BN245" s="52">
        <v>32.659999999999997</v>
      </c>
      <c r="BO245" s="52">
        <v>35.67</v>
      </c>
      <c r="BP245" s="52">
        <v>38.200000000000003</v>
      </c>
      <c r="BQ245" s="52" cm="1">
        <f t="array" aca="1" ref="BQ245" ca="1">_FV(EE245,"Preço")</f>
        <v>38.200000000000003</v>
      </c>
      <c r="BR245" s="69" t="s">
        <v>241</v>
      </c>
      <c r="BS245" s="36" cm="1">
        <f t="array" aca="1" ref="BS245" ca="1">_FV(EE245,"Média de volume",TRUE)</f>
        <v>4945640</v>
      </c>
      <c r="BT245" s="36">
        <v>5542200</v>
      </c>
      <c r="BU245" s="36" cm="1">
        <f t="array" aca="1" ref="BU245" ca="1">_FV(EE245,"Volume")</f>
        <v>5542200</v>
      </c>
      <c r="BV245" s="24" cm="1">
        <f t="array" aca="1" ref="BV245" ca="1">_FV(EE245,"Beta")</f>
        <v>1.6503000000000001</v>
      </c>
      <c r="BW245" s="71" cm="1">
        <f t="array" aca="1" ref="BW245" ca="1">_FV(EE245,"Variação (%)",TRUE)</f>
        <v>1.1385000000000001E-2</v>
      </c>
      <c r="BY245" s="17" cm="1">
        <f t="array" aca="1" ref="BY245" ca="1">_FV(EE245,"Baixo")</f>
        <v>37.479999999999997</v>
      </c>
      <c r="BZ245" s="17" cm="1">
        <f t="array" aca="1" ref="BZ245" ca="1">_FV(EE245,"Alto")</f>
        <v>38.659999999999997</v>
      </c>
      <c r="CA245" s="24"/>
      <c r="CB245" s="63" t="e">
        <f ca="1">SQRT(22.5*(BQ245/VLOOKUP(BR245,Fundamentus!A:U,3,FALSE))*(BQ245/VLOOKUP(BR245,Fundamentus!A:U,4,FALSE)))</f>
        <v>#NUM!</v>
      </c>
      <c r="CD245" s="62">
        <f t="shared" ca="1" si="241"/>
        <v>0</v>
      </c>
      <c r="CE245" s="8"/>
      <c r="CF245" s="61">
        <f t="shared" si="242"/>
        <v>2.1</v>
      </c>
      <c r="CG245" s="61">
        <f t="shared" si="243"/>
        <v>42.9</v>
      </c>
      <c r="CH245" s="61">
        <f t="shared" si="244"/>
        <v>10.195294117647061</v>
      </c>
      <c r="CI245" s="14"/>
      <c r="CJ245" s="35">
        <f t="shared" si="227"/>
        <v>37.136687135329559</v>
      </c>
      <c r="CK245" s="15">
        <f t="shared" si="245"/>
        <v>39.744999999998981</v>
      </c>
      <c r="CL245" s="35">
        <f t="shared" si="228"/>
        <v>42.353312864668403</v>
      </c>
      <c r="CN245" s="14"/>
      <c r="CO245" s="17">
        <f t="shared" si="229"/>
        <v>-28.233333333333327</v>
      </c>
      <c r="CP245" s="17">
        <f t="shared" si="230"/>
        <v>-13.066666666666663</v>
      </c>
      <c r="CQ245" s="17">
        <f t="shared" si="231"/>
        <v>12.56666666666667</v>
      </c>
      <c r="CR245" s="38">
        <f t="shared" si="246"/>
        <v>27.733333333333334</v>
      </c>
      <c r="CS245" s="17">
        <f t="shared" si="232"/>
        <v>53.366666666666667</v>
      </c>
      <c r="CT245" s="17">
        <f t="shared" si="233"/>
        <v>68.533333333333331</v>
      </c>
      <c r="CU245" s="17">
        <f t="shared" si="234"/>
        <v>94.166666666666657</v>
      </c>
      <c r="CV245" s="2" cm="1">
        <f t="array" aca="1" ref="CV245" ca="1">MAX(_xlfn._xlws.FILTER(CO245:CU245,CO245:CU245&lt;BQ245))</f>
        <v>27.733333333333334</v>
      </c>
      <c r="CW245" s="2" cm="1">
        <f t="array" aca="1" ref="CW245" ca="1">MIN(_xlfn._xlws.FILTER($CO245:$CU245,$CO245:$CU245&gt;BQ245))</f>
        <v>53.366666666666667</v>
      </c>
      <c r="CX245" s="16">
        <f t="shared" ca="1" si="248"/>
        <v>0.92427884615384603</v>
      </c>
      <c r="CY245" s="20">
        <f t="shared" ca="1" si="249"/>
        <v>-0.46213942307692302</v>
      </c>
      <c r="CZ245" s="20">
        <f t="shared" ca="1" si="250"/>
        <v>-0.30809294871794868</v>
      </c>
      <c r="DA245" s="20">
        <f t="shared" ca="1" si="251"/>
        <v>-0.18485576923076921</v>
      </c>
      <c r="DB245" s="20">
        <f t="shared" ca="1" si="252"/>
        <v>-0.10269764957264955</v>
      </c>
      <c r="DC245" s="20">
        <f t="shared" ca="1" si="253"/>
        <v>-5.4369343891402709E-2</v>
      </c>
      <c r="DD245" s="20">
        <f t="shared" ca="1" si="254"/>
        <v>-2.800844988344988E-2</v>
      </c>
      <c r="DE245" s="20">
        <f t="shared" ca="1" si="255"/>
        <v>-1.4219674556213016E-2</v>
      </c>
      <c r="DF245" s="21">
        <f t="shared" ca="1" si="256"/>
        <v>1.4219674556213016E-2</v>
      </c>
      <c r="DG245" s="21">
        <f t="shared" ca="1" si="257"/>
        <v>2.800844988344988E-2</v>
      </c>
      <c r="DH245" s="21">
        <f t="shared" ca="1" si="258"/>
        <v>5.4369343891402709E-2</v>
      </c>
      <c r="DI245" s="21">
        <f t="shared" ca="1" si="259"/>
        <v>0.10269764957264955</v>
      </c>
      <c r="DJ245" s="21">
        <f t="shared" ca="1" si="260"/>
        <v>0.18485576923076921</v>
      </c>
      <c r="DK245" s="21">
        <f t="shared" ca="1" si="261"/>
        <v>0.30809294871794868</v>
      </c>
      <c r="DL245" s="21">
        <f t="shared" ca="1" si="262"/>
        <v>0.46213942307692302</v>
      </c>
      <c r="DN245" s="16" cm="1">
        <f t="array" aca="1" ref="DN245" ca="1">MAX(_xlfn._xlws.FILTER(CY245:DL245,CY245:DL245&lt;BW245))</f>
        <v>-1.4219674556213016E-2</v>
      </c>
      <c r="DO245" s="16" cm="1">
        <f t="array" aca="1" ref="DO245" ca="1">MIN(_xlfn._xlws.FILTER(CY245:DL245,CY245:DL245&gt;BW245))</f>
        <v>1.4219674556213016E-2</v>
      </c>
      <c r="DP245" s="2" cm="1">
        <f t="array" aca="1" ref="DP245" ca="1">_FV(EE245,"Fechamento anterior",TRUE)</f>
        <v>37.770000000000003</v>
      </c>
      <c r="DQ245" s="28">
        <f t="shared" ca="1" si="235"/>
        <v>0.90031495813583717</v>
      </c>
      <c r="DR245" s="15">
        <f t="shared" ca="1" si="263"/>
        <v>37.232922892011835</v>
      </c>
      <c r="DS245" s="15">
        <f t="shared" ca="1" si="264"/>
        <v>38.307077107988171</v>
      </c>
      <c r="DT245" s="9"/>
      <c r="DU245" s="9"/>
      <c r="DV245" s="9"/>
      <c r="DW245" s="89">
        <v>2.8366278570815574E-2</v>
      </c>
      <c r="DX245" s="89">
        <f t="shared" ca="1" si="236"/>
        <v>2.8439349112426033E-2</v>
      </c>
      <c r="DY245" s="72">
        <f t="shared" ca="1" si="237"/>
        <v>-0.59233691668150101</v>
      </c>
      <c r="DZ245" s="37"/>
      <c r="EA245" s="35">
        <f t="shared" si="247"/>
        <v>1.3041564323347117</v>
      </c>
      <c r="EB245" s="56"/>
      <c r="EC245" s="56"/>
      <c r="EE245" s="2" t="e" vm="247">
        <v>#VALUE!</v>
      </c>
      <c r="EG245" s="10" cm="1">
        <f t="array" aca="1" ref="EG245" ca="1">_FV(EE245,"Ações em circulação",TRUE)</f>
        <v>502630900</v>
      </c>
      <c r="EH245" s="18">
        <f>VLOOKUP(BR245,Fundamentus!A:U,5,FALSE)</f>
        <v>0.55000000000000004</v>
      </c>
      <c r="EI245" s="2">
        <f t="shared" ca="1" si="238"/>
        <v>34910000690.909088</v>
      </c>
      <c r="EJ245" s="17">
        <v>-635362012.57454538</v>
      </c>
      <c r="EK245" s="17">
        <f t="shared" ca="1" si="239"/>
        <v>-635362012.57454538</v>
      </c>
      <c r="EM245" s="16">
        <f t="shared" ca="1" si="226"/>
        <v>0</v>
      </c>
      <c r="EN245" s="32" t="str">
        <f>IF(VLOOKUP(BR245,Fundamentus!A:U,3,FALSE)&lt;15,"Bom",IF(VLOOKUP(BR245,Fundamentus!A:U,3,FALSE)&gt;15,"Ruim","n/a"))</f>
        <v>Bom</v>
      </c>
      <c r="EO245" s="28" t="str">
        <f>IF(VLOOKUP(BR245,Fundamentus!A:U,4,FALSE)&lt;1,"Baixo",IF(VLOOKUP(BR245,Fundamentus!A:U,4,FALSE)&lt;1.5,"Moderado",IF(VLOOKUP(BR245,Fundamentus!A:U,4,FALSE)&gt;1.5,"Alto","n/a")))</f>
        <v>Baixo</v>
      </c>
      <c r="EP245" s="17" t="str">
        <f>IF(VLOOKUP(BR245,Fundamentus!A:U,8,FALSE)&lt;0,"Risco elevado",IF(VLOOKUP(BR245,Fundamentus!A:U,8,FALSE)&lt;1,"Saudável",IF(VLOOKUP(BR245,Fundamentus!A:U,8,FALSE)&lt;3,"Estável",IF(VLOOKUP(BR245,Fundamentus!A:U,8,FALSE)&gt;3,"Alerta","n/a"))))</f>
        <v>Estável</v>
      </c>
      <c r="EQ245" s="28" t="str">
        <f t="shared" si="240"/>
        <v>Ruim</v>
      </c>
      <c r="ER245" s="17" t="str">
        <f>IF(VLOOKUP(BR245,Fundamentus!A:U,12,FALSE)&lt;2,"Subvalorizada",IF(VLOOKUP(BR245,Fundamentus!A:U,12,FALSE)&lt;6,"Muita barata",IF(VLOOKUP(BR245,Fundamentus!A:U,12,FALSE)&lt;6,"Barata",IF(VLOOKUP(BR245,Fundamentus!A:U,12,FALSE)&lt;8,"Atrativa",IF(VLOOKUP(BR245,Fundamentus!A:U,12,FALSE)&gt;8,"Supervalorizada","n/a")))))</f>
        <v>Supervalorizada</v>
      </c>
      <c r="ET245" s="17" t="str">
        <f>IF(VLOOKUP(BR245,Fundamentus!A:U,17,FALSE)&lt;0.1,"Fraco retorno",IF(VLOOKUP(BR245,Fundamentus!A:U,17,FALSE)&gt;0.1,"Bom retorno","n/a"))</f>
        <v>Fraco retorno</v>
      </c>
      <c r="EU245" s="17" t="str">
        <f>IF(VLOOKUP(BR245,Fundamentus!A:U,16,FALSE)&lt;0.1,"Ineficiente",IF(VLOOKUP(BR245,Fundamentus!A:U,16,FALSE)&gt;0.1,"Eficiente","n/a"))</f>
        <v>Ineficiente</v>
      </c>
      <c r="EV245" s="33" t="str">
        <f>IF(VLOOKUP(BR245,Fundamentus!A:U,16,FALSE)&lt;0.1,"Oper. Ineficiente",IF(VLOOKUP(BR245,Fundamentus!A:U,16,FALSE)&gt;0.1,"Oper.Eficiente","n/a"))</f>
        <v>Oper. Ineficiente</v>
      </c>
      <c r="EW245" s="34">
        <f>VLOOKUP(BR245,Fundamentus!A:U,14,FALSE)</f>
        <v>-1.8200000000000001E-2</v>
      </c>
      <c r="EX245" s="17" t="str">
        <f>IF(VLOOKUP(BR245,Fundamentus!A:U,21,FALSE)&lt;0,"Negativo",IF(VLOOKUP(BR245,Fundamentus!A:U,21,FALSE)&lt;0.05,"Fraco",IF(VLOOKUP(BR245,Fundamentus!A:U,21,FALSE)&lt;0.1,"Bom",IF(VLOOKUP(BR245,Fundamentus!A:U,21,FALSE)&gt;0.1,"Muito bom","n/a"))))</f>
        <v>Muito bom</v>
      </c>
      <c r="EZ245" s="29" t="str">
        <f>IF(VLOOKUP(BR245,Fundamentus!A:U,15,FALSE)&gt;1,"Bom",IF(VLOOKUP(BR245,Fundamentus!A:U,15,FALSE)&lt;1,"Ruim","n/a"))</f>
        <v>Bom</v>
      </c>
      <c r="FA245" s="17" t="str">
        <f>IF(VLOOKUP(BR245,Fundamentus!A:U,20,FALSE)&lt;0.5,"Baixa",IF(VLOOKUP(BR245,Fundamentus!A:U,20,FALSE)&lt;1,"Moderada",IF(VLOOKUP(BR245,Fundamentus!A:U,20,FALSE)&lt;2,"Alerta",IF(VLOOKUP(BR245,Fundamentus!A:U,20,FALSE)&gt;2,"Alta","n/a"))))</f>
        <v>Baixa</v>
      </c>
    </row>
    <row r="246" spans="1:157" s="2" customFormat="1" ht="11.25"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5">
        <v>2.0099999999999998</v>
      </c>
      <c r="BC246" s="52">
        <v>1.98</v>
      </c>
      <c r="BD246" s="52">
        <v>1.96</v>
      </c>
      <c r="BE246" s="52">
        <v>1.77</v>
      </c>
      <c r="BF246" s="52">
        <v>1.72</v>
      </c>
      <c r="BG246" s="67">
        <v>1.57</v>
      </c>
      <c r="BH246" s="52">
        <v>1.2</v>
      </c>
      <c r="BI246" s="52">
        <v>0.95</v>
      </c>
      <c r="BJ246" s="52">
        <v>1.1200000000000001</v>
      </c>
      <c r="BK246" s="52">
        <v>1.08</v>
      </c>
      <c r="BL246" s="52">
        <v>0.96</v>
      </c>
      <c r="BM246" s="52">
        <v>0.99</v>
      </c>
      <c r="BN246" s="52">
        <v>0.97</v>
      </c>
      <c r="BO246" s="52">
        <v>0.96</v>
      </c>
      <c r="BP246" s="52">
        <v>0.97</v>
      </c>
      <c r="BQ246" s="52" cm="1">
        <f t="array" aca="1" ref="BQ246" ca="1">_FV(EE246,"Preço")</f>
        <v>0.97</v>
      </c>
      <c r="BR246" s="69" t="s">
        <v>242</v>
      </c>
      <c r="BS246" s="36" cm="1">
        <f t="array" aca="1" ref="BS246" ca="1">_FV(EE246,"Média de volume",TRUE)</f>
        <v>138630</v>
      </c>
      <c r="BT246" s="36">
        <v>117800</v>
      </c>
      <c r="BU246" s="36" cm="1">
        <f t="array" aca="1" ref="BU246" ca="1">_FV(EE246,"Volume")</f>
        <v>117800</v>
      </c>
      <c r="BV246" s="24" cm="1">
        <f t="array" aca="1" ref="BV246" ca="1">_FV(EE246,"Beta")</f>
        <v>1.7982</v>
      </c>
      <c r="BW246" s="71" cm="1">
        <f t="array" aca="1" ref="BW246" ca="1">_FV(EE246,"Variação (%)",TRUE)</f>
        <v>0</v>
      </c>
      <c r="BY246" s="17" cm="1">
        <f t="array" aca="1" ref="BY246" ca="1">_FV(EE246,"Baixo")</f>
        <v>0.95</v>
      </c>
      <c r="BZ246" s="17" cm="1">
        <f t="array" aca="1" ref="BZ246" ca="1">_FV(EE246,"Alto")</f>
        <v>0.97</v>
      </c>
      <c r="CA246" s="24"/>
      <c r="CB246" s="63">
        <f ca="1">SQRT(22.5*(BQ246/VLOOKUP(BR246,Fundamentus!A:U,3,FALSE))*(BQ246/VLOOKUP(BR246,Fundamentus!A:U,4,FALSE)))</f>
        <v>77.773021396515489</v>
      </c>
      <c r="CD246" s="62">
        <f t="shared" ca="1" si="241"/>
        <v>0</v>
      </c>
      <c r="CE246" s="8"/>
      <c r="CF246" s="61">
        <f t="shared" si="242"/>
        <v>0.34</v>
      </c>
      <c r="CG246" s="61">
        <f t="shared" si="243"/>
        <v>7.27</v>
      </c>
      <c r="CH246" s="61">
        <f t="shared" si="244"/>
        <v>3.0297058823529399</v>
      </c>
      <c r="CI246" s="14"/>
      <c r="CJ246" s="35">
        <f t="shared" si="227"/>
        <v>0.86431372760996117</v>
      </c>
      <c r="CK246" s="15">
        <f t="shared" si="245"/>
        <v>0.95499999999999829</v>
      </c>
      <c r="CL246" s="35">
        <f t="shared" si="228"/>
        <v>1.0456862723900355</v>
      </c>
      <c r="CN246" s="14"/>
      <c r="CO246" s="17">
        <f t="shared" si="229"/>
        <v>-8.48</v>
      </c>
      <c r="CP246" s="17">
        <f t="shared" si="230"/>
        <v>-4.07</v>
      </c>
      <c r="CQ246" s="17">
        <f t="shared" si="231"/>
        <v>-1.5499999999999998</v>
      </c>
      <c r="CR246" s="38">
        <f t="shared" si="246"/>
        <v>2.86</v>
      </c>
      <c r="CS246" s="17">
        <f t="shared" si="232"/>
        <v>5.38</v>
      </c>
      <c r="CT246" s="17">
        <f t="shared" si="233"/>
        <v>9.7899999999999991</v>
      </c>
      <c r="CU246" s="17">
        <f t="shared" si="234"/>
        <v>12.309999999999999</v>
      </c>
      <c r="CV246" s="2" cm="1">
        <f t="array" aca="1" ref="CV246" ca="1">MAX(_xlfn._xlws.FILTER(CO246:CU246,CO246:CU246&lt;BQ246))</f>
        <v>-1.5499999999999998</v>
      </c>
      <c r="CW246" s="2" cm="1">
        <f t="array" aca="1" ref="CW246" ca="1">MIN(_xlfn._xlws.FILTER($CO246:$CU246,$CO246:$CU246&gt;BQ246))</f>
        <v>2.86</v>
      </c>
      <c r="CX246" s="16">
        <f t="shared" ca="1" si="248"/>
        <v>-2.8451612903225807</v>
      </c>
      <c r="CY246" s="20">
        <f t="shared" ca="1" si="249"/>
        <v>1.4225806451612903</v>
      </c>
      <c r="CZ246" s="20">
        <f t="shared" ca="1" si="250"/>
        <v>0.94838709677419353</v>
      </c>
      <c r="DA246" s="20">
        <f t="shared" ca="1" si="251"/>
        <v>0.56903225806451618</v>
      </c>
      <c r="DB246" s="20">
        <f t="shared" ca="1" si="252"/>
        <v>0.31612903225806455</v>
      </c>
      <c r="DC246" s="20">
        <f t="shared" ca="1" si="253"/>
        <v>0.16736242884250474</v>
      </c>
      <c r="DD246" s="20">
        <f t="shared" ca="1" si="254"/>
        <v>8.6217008797653955E-2</v>
      </c>
      <c r="DE246" s="20">
        <f t="shared" ca="1" si="255"/>
        <v>4.3771712158808936E-2</v>
      </c>
      <c r="DF246" s="21">
        <f t="shared" ca="1" si="256"/>
        <v>-4.3771712158808936E-2</v>
      </c>
      <c r="DG246" s="21">
        <f t="shared" ca="1" si="257"/>
        <v>-8.6217008797653955E-2</v>
      </c>
      <c r="DH246" s="21">
        <f t="shared" ca="1" si="258"/>
        <v>-0.16736242884250474</v>
      </c>
      <c r="DI246" s="21">
        <f t="shared" ca="1" si="259"/>
        <v>-0.31612903225806455</v>
      </c>
      <c r="DJ246" s="21">
        <f t="shared" ca="1" si="260"/>
        <v>-0.56903225806451618</v>
      </c>
      <c r="DK246" s="21">
        <f t="shared" ca="1" si="261"/>
        <v>-0.94838709677419353</v>
      </c>
      <c r="DL246" s="21">
        <f t="shared" ca="1" si="262"/>
        <v>-1.4225806451612903</v>
      </c>
      <c r="DN246" s="16" cm="1">
        <f t="array" aca="1" ref="DN246" ca="1">MAX(_xlfn._xlws.FILTER(CY246:DL246,CY246:DL246&lt;BW246))</f>
        <v>-4.3771712158808936E-2</v>
      </c>
      <c r="DO246" s="16" cm="1">
        <f t="array" aca="1" ref="DO246" ca="1">MIN(_xlfn._xlws.FILTER(CY246:DL246,CY246:DL246&gt;BW246))</f>
        <v>4.3771712158808936E-2</v>
      </c>
      <c r="DP246" s="2" cm="1">
        <f t="array" aca="1" ref="DP246" ca="1">_FV(EE246,"Fechamento anterior",TRUE)</f>
        <v>0.97</v>
      </c>
      <c r="DQ246" s="28">
        <f t="shared" ca="1" si="235"/>
        <v>0.5</v>
      </c>
      <c r="DR246" s="15">
        <f t="shared" ca="1" si="263"/>
        <v>0.92754143920595533</v>
      </c>
      <c r="DS246" s="15">
        <f t="shared" ca="1" si="264"/>
        <v>1.0124585607940446</v>
      </c>
      <c r="DT246" s="9"/>
      <c r="DU246" s="9"/>
      <c r="DV246" s="9"/>
      <c r="DW246" s="89">
        <v>8.7234393015977629E-2</v>
      </c>
      <c r="DX246" s="89">
        <f t="shared" ca="1" si="236"/>
        <v>8.7543424317617871E-2</v>
      </c>
      <c r="DY246" s="72">
        <f t="shared" ca="1" si="237"/>
        <v>0.16540540927173</v>
      </c>
      <c r="DZ246" s="37"/>
      <c r="EA246" s="35">
        <f t="shared" si="247"/>
        <v>4.5343136195018577E-2</v>
      </c>
      <c r="EB246" s="56"/>
      <c r="EC246" s="56"/>
      <c r="EE246" s="2" t="e" vm="248">
        <v>#VALUE!</v>
      </c>
      <c r="EG246" s="10" cm="1">
        <f t="array" aca="1" ref="EG246" ca="1">_FV(EE246,"Ações em circulação",TRUE)</f>
        <v>50311580</v>
      </c>
      <c r="EH246" s="18">
        <f>VLOOKUP(BR246,Fundamentus!A:U,5,FALSE)</f>
        <v>6.5000000000000002E-2</v>
      </c>
      <c r="EI246" s="2">
        <f t="shared" ca="1" si="238"/>
        <v>750803578.46153843</v>
      </c>
      <c r="EJ246" s="17">
        <v>-1248135868.8344615</v>
      </c>
      <c r="EK246" s="17">
        <f t="shared" ca="1" si="239"/>
        <v>-1248135868.8344615</v>
      </c>
      <c r="EM246" s="16">
        <f t="shared" ca="1" si="226"/>
        <v>0</v>
      </c>
      <c r="EN246" s="32" t="str">
        <f>IF(VLOOKUP(BR246,Fundamentus!A:U,3,FALSE)&lt;15,"Bom",IF(VLOOKUP(BR246,Fundamentus!A:U,3,FALSE)&gt;15,"Ruim","n/a"))</f>
        <v>Bom</v>
      </c>
      <c r="EO246" s="28" t="str">
        <f>IF(VLOOKUP(BR246,Fundamentus!A:U,4,FALSE)&lt;1,"Baixo",IF(VLOOKUP(BR246,Fundamentus!A:U,4,FALSE)&lt;1.5,"Moderado",IF(VLOOKUP(BR246,Fundamentus!A:U,4,FALSE)&gt;1.5,"Alto","n/a")))</f>
        <v>Baixo</v>
      </c>
      <c r="EP246" s="17" t="str">
        <f>IF(VLOOKUP(BR246,Fundamentus!A:U,8,FALSE)&lt;0,"Risco elevado",IF(VLOOKUP(BR246,Fundamentus!A:U,8,FALSE)&lt;1,"Saudável",IF(VLOOKUP(BR246,Fundamentus!A:U,8,FALSE)&lt;3,"Estável",IF(VLOOKUP(BR246,Fundamentus!A:U,8,FALSE)&gt;3,"Alerta","n/a"))))</f>
        <v>Risco elevado</v>
      </c>
      <c r="EQ246" s="28" t="str">
        <f t="shared" si="240"/>
        <v>Ruim</v>
      </c>
      <c r="ER246" s="17" t="str">
        <f>IF(VLOOKUP(BR246,Fundamentus!A:U,12,FALSE)&lt;2,"Subvalorizada",IF(VLOOKUP(BR246,Fundamentus!A:U,12,FALSE)&lt;6,"Muita barata",IF(VLOOKUP(BR246,Fundamentus!A:U,12,FALSE)&lt;6,"Barata",IF(VLOOKUP(BR246,Fundamentus!A:U,12,FALSE)&lt;8,"Atrativa",IF(VLOOKUP(BR246,Fundamentus!A:U,12,FALSE)&gt;8,"Supervalorizada","n/a")))))</f>
        <v>Subvalorizada</v>
      </c>
      <c r="ET246" s="17" t="str">
        <f>IF(VLOOKUP(BR246,Fundamentus!A:U,17,FALSE)&lt;0.1,"Fraco retorno",IF(VLOOKUP(BR246,Fundamentus!A:U,17,FALSE)&gt;0.1,"Bom retorno","n/a"))</f>
        <v>Bom retorno</v>
      </c>
      <c r="EU246" s="17" t="str">
        <f>IF(VLOOKUP(BR246,Fundamentus!A:U,16,FALSE)&lt;0.1,"Ineficiente",IF(VLOOKUP(BR246,Fundamentus!A:U,16,FALSE)&gt;0.1,"Eficiente","n/a"))</f>
        <v>Ineficiente</v>
      </c>
      <c r="EV246" s="33" t="str">
        <f>IF(VLOOKUP(BR246,Fundamentus!A:U,16,FALSE)&lt;0.1,"Oper. Ineficiente",IF(VLOOKUP(BR246,Fundamentus!A:U,16,FALSE)&gt;0.1,"Oper.Eficiente","n/a"))</f>
        <v>Oper. Ineficiente</v>
      </c>
      <c r="EW246" s="34">
        <f>VLOOKUP(BR246,Fundamentus!A:U,14,FALSE)</f>
        <v>-1.6624000000000001</v>
      </c>
      <c r="EX246" s="17" t="str">
        <f>IF(VLOOKUP(BR246,Fundamentus!A:U,21,FALSE)&lt;0,"Negativo",IF(VLOOKUP(BR246,Fundamentus!A:U,21,FALSE)&lt;0.05,"Fraco",IF(VLOOKUP(BR246,Fundamentus!A:U,21,FALSE)&lt;0.1,"Bom",IF(VLOOKUP(BR246,Fundamentus!A:U,21,FALSE)&gt;0.1,"Muito bom","n/a"))))</f>
        <v>Negativo</v>
      </c>
      <c r="EZ246" s="29" t="str">
        <f>IF(VLOOKUP(BR246,Fundamentus!A:U,15,FALSE)&gt;1,"Bom",IF(VLOOKUP(BR246,Fundamentus!A:U,15,FALSE)&lt;1,"Ruim","n/a"))</f>
        <v>Ruim</v>
      </c>
      <c r="FA246" s="17" t="str">
        <f>IF(VLOOKUP(BR246,Fundamentus!A:U,20,FALSE)&lt;0.5,"Baixa",IF(VLOOKUP(BR246,Fundamentus!A:U,20,FALSE)&lt;1,"Moderada",IF(VLOOKUP(BR246,Fundamentus!A:U,20,FALSE)&lt;2,"Alerta",IF(VLOOKUP(BR246,Fundamentus!A:U,20,FALSE)&gt;2,"Alta","n/a"))))</f>
        <v>Baixa</v>
      </c>
    </row>
    <row r="247" spans="1:157" s="2" customFormat="1" ht="11.25"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5">
        <v>3</v>
      </c>
      <c r="BC247" s="52">
        <v>3.11</v>
      </c>
      <c r="BD247" s="52">
        <v>3.59</v>
      </c>
      <c r="BE247" s="52">
        <v>3.43</v>
      </c>
      <c r="BF247" s="52">
        <v>3.32</v>
      </c>
      <c r="BG247" s="67">
        <v>3.47</v>
      </c>
      <c r="BH247" s="52">
        <v>3.41</v>
      </c>
      <c r="BI247" s="52">
        <v>3.43</v>
      </c>
      <c r="BJ247" s="52">
        <v>3.4</v>
      </c>
      <c r="BK247" s="52">
        <v>3.38</v>
      </c>
      <c r="BL247" s="52">
        <v>3.4</v>
      </c>
      <c r="BM247" s="52">
        <v>3.47</v>
      </c>
      <c r="BN247" s="52">
        <v>3.48</v>
      </c>
      <c r="BO247" s="52">
        <v>3.46</v>
      </c>
      <c r="BP247" s="52">
        <v>3.47</v>
      </c>
      <c r="BQ247" s="52" cm="1">
        <f t="array" aca="1" ref="BQ247" ca="1">_FV(EE247,"Preço")</f>
        <v>3.47</v>
      </c>
      <c r="BR247" s="69" t="s">
        <v>243</v>
      </c>
      <c r="BS247" s="36" cm="1">
        <f t="array" aca="1" ref="BS247" ca="1">_FV(EE247,"Média de volume",TRUE)</f>
        <v>588610</v>
      </c>
      <c r="BT247" s="36">
        <v>630700</v>
      </c>
      <c r="BU247" s="36" cm="1">
        <f t="array" aca="1" ref="BU247" ca="1">_FV(EE247,"Volume")</f>
        <v>630700</v>
      </c>
      <c r="BV247" s="24" cm="1">
        <f t="array" aca="1" ref="BV247" ca="1">_FV(EE247,"Beta")</f>
        <v>1.2009000000000001</v>
      </c>
      <c r="BW247" s="71" cm="1">
        <f t="array" aca="1" ref="BW247" ca="1">_FV(EE247,"Variação (%)",TRUE)</f>
        <v>-2.8739999999999998E-3</v>
      </c>
      <c r="BY247" s="17" cm="1">
        <f t="array" aca="1" ref="BY247" ca="1">_FV(EE247,"Baixo")</f>
        <v>3.45</v>
      </c>
      <c r="BZ247" s="17" cm="1">
        <f t="array" aca="1" ref="BZ247" ca="1">_FV(EE247,"Alto")</f>
        <v>3.49</v>
      </c>
      <c r="CA247" s="24"/>
      <c r="CB247" s="63" t="e">
        <f ca="1">SQRT(22.5*(BQ247/VLOOKUP(BR247,Fundamentus!A:U,3,FALSE))*(BQ247/VLOOKUP(BR247,Fundamentus!A:U,4,FALSE)))</f>
        <v>#NUM!</v>
      </c>
      <c r="CD247" s="62">
        <f t="shared" ca="1" si="241"/>
        <v>0</v>
      </c>
      <c r="CE247" s="8"/>
      <c r="CF247" s="61">
        <f t="shared" si="242"/>
        <v>2.15</v>
      </c>
      <c r="CG247" s="61">
        <f t="shared" si="243"/>
        <v>3.91</v>
      </c>
      <c r="CH247" s="61">
        <f t="shared" si="244"/>
        <v>3.0512499999999996</v>
      </c>
      <c r="CI247" s="14"/>
      <c r="CJ247" s="35">
        <f t="shared" si="227"/>
        <v>3.3846009950310325</v>
      </c>
      <c r="CK247" s="15">
        <f t="shared" si="245"/>
        <v>3.4649999999999999</v>
      </c>
      <c r="CL247" s="35">
        <f t="shared" si="228"/>
        <v>3.5453990049689672</v>
      </c>
      <c r="CN247" s="14"/>
      <c r="CO247" s="17">
        <f t="shared" si="229"/>
        <v>0.68333333333333401</v>
      </c>
      <c r="CP247" s="17">
        <f t="shared" si="230"/>
        <v>1.416666666666667</v>
      </c>
      <c r="CQ247" s="17">
        <f t="shared" si="231"/>
        <v>2.4433333333333342</v>
      </c>
      <c r="CR247" s="38">
        <f t="shared" si="246"/>
        <v>3.1766666666666672</v>
      </c>
      <c r="CS247" s="17">
        <f t="shared" si="232"/>
        <v>4.2033333333333349</v>
      </c>
      <c r="CT247" s="17">
        <f t="shared" si="233"/>
        <v>4.9366666666666674</v>
      </c>
      <c r="CU247" s="17">
        <f t="shared" si="234"/>
        <v>5.9633333333333347</v>
      </c>
      <c r="CV247" s="2" cm="1">
        <f t="array" aca="1" ref="CV247" ca="1">MAX(_xlfn._xlws.FILTER(CO247:CU247,CO247:CU247&lt;BQ247))</f>
        <v>3.1766666666666672</v>
      </c>
      <c r="CW247" s="2" cm="1">
        <f t="array" aca="1" ref="CW247" ca="1">MIN(_xlfn._xlws.FILTER($CO247:$CU247,$CO247:$CU247&gt;BQ247))</f>
        <v>4.2033333333333349</v>
      </c>
      <c r="CX247" s="16">
        <f t="shared" ca="1" si="248"/>
        <v>0.32318992654774426</v>
      </c>
      <c r="CY247" s="20">
        <f t="shared" ca="1" si="249"/>
        <v>-0.16159496327387213</v>
      </c>
      <c r="CZ247" s="20">
        <f t="shared" ca="1" si="250"/>
        <v>-0.10772997551591475</v>
      </c>
      <c r="DA247" s="20">
        <f t="shared" ca="1" si="251"/>
        <v>-6.4637985309548854E-2</v>
      </c>
      <c r="DB247" s="20">
        <f t="shared" ca="1" si="252"/>
        <v>-3.5909991838638251E-2</v>
      </c>
      <c r="DC247" s="20">
        <f t="shared" ca="1" si="253"/>
        <v>-1.9011172149867309E-2</v>
      </c>
      <c r="DD247" s="20">
        <f t="shared" ca="1" si="254"/>
        <v>-9.7936341378104322E-3</v>
      </c>
      <c r="DE247" s="20">
        <f t="shared" ca="1" si="255"/>
        <v>-4.9721527161191428E-3</v>
      </c>
      <c r="DF247" s="21">
        <f t="shared" ca="1" si="256"/>
        <v>4.9721527161191428E-3</v>
      </c>
      <c r="DG247" s="21">
        <f t="shared" ca="1" si="257"/>
        <v>9.7936341378104322E-3</v>
      </c>
      <c r="DH247" s="21">
        <f t="shared" ca="1" si="258"/>
        <v>1.9011172149867309E-2</v>
      </c>
      <c r="DI247" s="21">
        <f t="shared" ca="1" si="259"/>
        <v>3.5909991838638251E-2</v>
      </c>
      <c r="DJ247" s="21">
        <f t="shared" ca="1" si="260"/>
        <v>6.4637985309548854E-2</v>
      </c>
      <c r="DK247" s="21">
        <f t="shared" ca="1" si="261"/>
        <v>0.10772997551591475</v>
      </c>
      <c r="DL247" s="21">
        <f t="shared" ca="1" si="262"/>
        <v>0.16159496327387213</v>
      </c>
      <c r="DN247" s="16" cm="1">
        <f t="array" aca="1" ref="DN247" ca="1">MAX(_xlfn._xlws.FILTER(CY247:DL247,CY247:DL247&lt;BW247))</f>
        <v>-4.9721527161191428E-3</v>
      </c>
      <c r="DO247" s="16" cm="1">
        <f t="array" aca="1" ref="DO247" ca="1">MIN(_xlfn._xlws.FILTER(CY247:DL247,CY247:DL247&gt;BW247))</f>
        <v>4.9721527161191428E-3</v>
      </c>
      <c r="DP247" s="2" cm="1">
        <f t="array" aca="1" ref="DP247" ca="1">_FV(EE247,"Fechamento anterior",TRUE)</f>
        <v>3.48</v>
      </c>
      <c r="DQ247" s="28">
        <f t="shared" ca="1" si="235"/>
        <v>0.2110342961636095</v>
      </c>
      <c r="DR247" s="15">
        <f t="shared" ca="1" si="263"/>
        <v>3.4626969085479056</v>
      </c>
      <c r="DS247" s="15">
        <f t="shared" ca="1" si="264"/>
        <v>3.4973030914520944</v>
      </c>
      <c r="DT247" s="9"/>
      <c r="DU247" s="9"/>
      <c r="DV247" s="9"/>
      <c r="DW247" s="89">
        <v>4.8108753991106951E-3</v>
      </c>
      <c r="DX247" s="89">
        <f t="shared" ca="1" si="236"/>
        <v>9.9443054322382856E-3</v>
      </c>
      <c r="DY247" s="72">
        <f t="shared" ca="1" si="237"/>
        <v>6.2189824388128347E-2</v>
      </c>
      <c r="DZ247" s="37"/>
      <c r="EA247" s="35">
        <f t="shared" si="247"/>
        <v>4.0199502484483632E-2</v>
      </c>
      <c r="EB247" s="56"/>
      <c r="EC247" s="56"/>
      <c r="EE247" s="2" t="e" vm="249">
        <v>#VALUE!</v>
      </c>
      <c r="EG247" s="10" cm="1">
        <f t="array" aca="1" ref="EG247" ca="1">_FV(EE247,"Ações em circulação",TRUE)</f>
        <v>406934400</v>
      </c>
      <c r="EH247" s="18">
        <f>VLOOKUP(BR247,Fundamentus!A:U,5,FALSE)</f>
        <v>0.30199999999999999</v>
      </c>
      <c r="EI247" s="2">
        <f t="shared" ca="1" si="238"/>
        <v>4675703205.2980137</v>
      </c>
      <c r="EJ247" s="17">
        <v>-143544088.40264902</v>
      </c>
      <c r="EK247" s="17">
        <f t="shared" ca="1" si="239"/>
        <v>-143544088.40264902</v>
      </c>
      <c r="EM247" s="16">
        <f t="shared" ca="1" si="226"/>
        <v>0</v>
      </c>
      <c r="EN247" s="32" t="str">
        <f>IF(VLOOKUP(BR247,Fundamentus!A:U,3,FALSE)&lt;15,"Bom",IF(VLOOKUP(BR247,Fundamentus!A:U,3,FALSE)&gt;15,"Ruim","n/a"))</f>
        <v>Bom</v>
      </c>
      <c r="EO247" s="28" t="str">
        <f>IF(VLOOKUP(BR247,Fundamentus!A:U,4,FALSE)&lt;1,"Baixo",IF(VLOOKUP(BR247,Fundamentus!A:U,4,FALSE)&lt;1.5,"Moderado",IF(VLOOKUP(BR247,Fundamentus!A:U,4,FALSE)&gt;1.5,"Alto","n/a")))</f>
        <v>Baixo</v>
      </c>
      <c r="EP247" s="17" t="str">
        <f>IF(VLOOKUP(BR247,Fundamentus!A:U,8,FALSE)&lt;0,"Risco elevado",IF(VLOOKUP(BR247,Fundamentus!A:U,8,FALSE)&lt;1,"Saudável",IF(VLOOKUP(BR247,Fundamentus!A:U,8,FALSE)&lt;3,"Estável",IF(VLOOKUP(BR247,Fundamentus!A:U,8,FALSE)&gt;3,"Alerta","n/a"))))</f>
        <v>Alerta</v>
      </c>
      <c r="EQ247" s="28" t="str">
        <f t="shared" si="240"/>
        <v>Ruim</v>
      </c>
      <c r="ER247" s="17" t="str">
        <f>IF(VLOOKUP(BR247,Fundamentus!A:U,12,FALSE)&lt;2,"Subvalorizada",IF(VLOOKUP(BR247,Fundamentus!A:U,12,FALSE)&lt;6,"Muita barata",IF(VLOOKUP(BR247,Fundamentus!A:U,12,FALSE)&lt;6,"Barata",IF(VLOOKUP(BR247,Fundamentus!A:U,12,FALSE)&lt;8,"Atrativa",IF(VLOOKUP(BR247,Fundamentus!A:U,12,FALSE)&gt;8,"Supervalorizada","n/a")))))</f>
        <v>Muita barata</v>
      </c>
      <c r="ET247" s="17" t="str">
        <f>IF(VLOOKUP(BR247,Fundamentus!A:U,17,FALSE)&lt;0.1,"Fraco retorno",IF(VLOOKUP(BR247,Fundamentus!A:U,17,FALSE)&gt;0.1,"Bom retorno","n/a"))</f>
        <v>Fraco retorno</v>
      </c>
      <c r="EU247" s="17" t="str">
        <f>IF(VLOOKUP(BR247,Fundamentus!A:U,16,FALSE)&lt;0.1,"Ineficiente",IF(VLOOKUP(BR247,Fundamentus!A:U,16,FALSE)&gt;0.1,"Eficiente","n/a"))</f>
        <v>Ineficiente</v>
      </c>
      <c r="EV247" s="33" t="str">
        <f>IF(VLOOKUP(BR247,Fundamentus!A:U,16,FALSE)&lt;0.1,"Oper. Ineficiente",IF(VLOOKUP(BR247,Fundamentus!A:U,16,FALSE)&gt;0.1,"Oper.Eficiente","n/a"))</f>
        <v>Oper. Ineficiente</v>
      </c>
      <c r="EW247" s="34">
        <f>VLOOKUP(BR247,Fundamentus!A:U,14,FALSE)</f>
        <v>-3.0700000000000002E-2</v>
      </c>
      <c r="EX247" s="17" t="str">
        <f>IF(VLOOKUP(BR247,Fundamentus!A:U,21,FALSE)&lt;0,"Negativo",IF(VLOOKUP(BR247,Fundamentus!A:U,21,FALSE)&lt;0.05,"Fraco",IF(VLOOKUP(BR247,Fundamentus!A:U,21,FALSE)&lt;0.1,"Bom",IF(VLOOKUP(BR247,Fundamentus!A:U,21,FALSE)&gt;0.1,"Muito bom","n/a"))))</f>
        <v>Muito bom</v>
      </c>
      <c r="EZ247" s="29" t="str">
        <f>IF(VLOOKUP(BR247,Fundamentus!A:U,15,FALSE)&gt;1,"Bom",IF(VLOOKUP(BR247,Fundamentus!A:U,15,FALSE)&lt;1,"Ruim","n/a"))</f>
        <v>Bom</v>
      </c>
      <c r="FA247" s="17" t="str">
        <f>IF(VLOOKUP(BR247,Fundamentus!A:U,20,FALSE)&lt;0.5,"Baixa",IF(VLOOKUP(BR247,Fundamentus!A:U,20,FALSE)&lt;1,"Moderada",IF(VLOOKUP(BR247,Fundamentus!A:U,20,FALSE)&lt;2,"Alerta",IF(VLOOKUP(BR247,Fundamentus!A:U,20,FALSE)&gt;2,"Alta","n/a"))))</f>
        <v>Moderada</v>
      </c>
    </row>
    <row r="248" spans="1:157" s="2" customFormat="1" ht="11.25"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5">
        <v>2</v>
      </c>
      <c r="BC248" s="52">
        <v>1.81</v>
      </c>
      <c r="BD248" s="52">
        <v>1.65</v>
      </c>
      <c r="BE248" s="52">
        <v>1.62</v>
      </c>
      <c r="BF248" s="52">
        <v>1.66</v>
      </c>
      <c r="BG248" s="67">
        <v>1.75</v>
      </c>
      <c r="BH248" s="52">
        <v>1.68</v>
      </c>
      <c r="BI248" s="52">
        <v>1.64</v>
      </c>
      <c r="BJ248" s="52">
        <v>1.69</v>
      </c>
      <c r="BK248" s="52">
        <v>1.65</v>
      </c>
      <c r="BL248" s="52">
        <v>1.59</v>
      </c>
      <c r="BM248" s="52">
        <v>1.51</v>
      </c>
      <c r="BN248" s="52">
        <v>1.4</v>
      </c>
      <c r="BO248" s="52">
        <v>1.43</v>
      </c>
      <c r="BP248" s="52">
        <v>1.57</v>
      </c>
      <c r="BQ248" s="52" cm="1">
        <f t="array" aca="1" ref="BQ248" ca="1">_FV(EE248,"Preço")</f>
        <v>1.57</v>
      </c>
      <c r="BR248" s="69" t="s">
        <v>244</v>
      </c>
      <c r="BS248" s="36" cm="1">
        <f t="array" aca="1" ref="BS248" ca="1">_FV(EE248,"Média de volume",TRUE)</f>
        <v>8380</v>
      </c>
      <c r="BT248" s="36">
        <v>20500</v>
      </c>
      <c r="BU248" s="36" cm="1">
        <f t="array" aca="1" ref="BU248" ca="1">_FV(EE248,"Volume")</f>
        <v>20500</v>
      </c>
      <c r="BV248" s="24" cm="1">
        <f t="array" aca="1" ref="BV248" ca="1">_FV(EE248,"Beta")</f>
        <v>1.9832000000000001</v>
      </c>
      <c r="BW248" s="71" cm="1">
        <f t="array" aca="1" ref="BW248" ca="1">_FV(EE248,"Variação (%)",TRUE)</f>
        <v>0.137681</v>
      </c>
      <c r="BY248" s="17" cm="1">
        <f t="array" aca="1" ref="BY248" ca="1">_FV(EE248,"Baixo")</f>
        <v>1.37</v>
      </c>
      <c r="BZ248" s="17" cm="1">
        <f t="array" aca="1" ref="BZ248" ca="1">_FV(EE248,"Alto")</f>
        <v>1.58</v>
      </c>
      <c r="CA248" s="24"/>
      <c r="CB248" s="63">
        <f ca="1">SQRT(22.5*(BQ248/VLOOKUP(BR248,Fundamentus!A:U,3,FALSE))*(BQ248/VLOOKUP(BR248,Fundamentus!A:U,4,FALSE)))</f>
        <v>61.845329876929327</v>
      </c>
      <c r="CD248" s="62">
        <f t="shared" ca="1" si="241"/>
        <v>0</v>
      </c>
      <c r="CE248" s="8"/>
      <c r="CF248" s="61">
        <f t="shared" si="242"/>
        <v>1.25</v>
      </c>
      <c r="CG248" s="61">
        <f t="shared" si="243"/>
        <v>3.03</v>
      </c>
      <c r="CH248" s="61">
        <f t="shared" si="244"/>
        <v>1.6725000000000005</v>
      </c>
      <c r="CI248" s="14"/>
      <c r="CJ248" s="35">
        <f t="shared" si="227"/>
        <v>1.3417023632649356</v>
      </c>
      <c r="CK248" s="15">
        <f t="shared" si="245"/>
        <v>1.5299999999999727</v>
      </c>
      <c r="CL248" s="35">
        <f t="shared" si="228"/>
        <v>1.7182976367350098</v>
      </c>
      <c r="CN248" s="14"/>
      <c r="CO248" s="17">
        <f t="shared" si="229"/>
        <v>-0.9099999999999997</v>
      </c>
      <c r="CP248" s="17">
        <f t="shared" si="230"/>
        <v>0.17000000000000015</v>
      </c>
      <c r="CQ248" s="17">
        <f t="shared" si="231"/>
        <v>0.87000000000000011</v>
      </c>
      <c r="CR248" s="38">
        <f t="shared" si="246"/>
        <v>1.95</v>
      </c>
      <c r="CS248" s="17">
        <f t="shared" si="232"/>
        <v>2.65</v>
      </c>
      <c r="CT248" s="17">
        <f t="shared" si="233"/>
        <v>3.7299999999999995</v>
      </c>
      <c r="CU248" s="17">
        <f t="shared" si="234"/>
        <v>4.43</v>
      </c>
      <c r="CV248" s="2" cm="1">
        <f t="array" aca="1" ref="CV248" ca="1">MAX(_xlfn._xlws.FILTER(CO248:CU248,CO248:CU248&lt;BQ248))</f>
        <v>0.87000000000000011</v>
      </c>
      <c r="CW248" s="2" cm="1">
        <f t="array" aca="1" ref="CW248" ca="1">MIN(_xlfn._xlws.FILTER($CO248:$CU248,$CO248:$CU248&gt;BQ248))</f>
        <v>1.95</v>
      </c>
      <c r="CX248" s="16">
        <f t="shared" ca="1" si="248"/>
        <v>1.2413793103448274</v>
      </c>
      <c r="CY248" s="20">
        <f t="shared" ca="1" si="249"/>
        <v>-0.6206896551724137</v>
      </c>
      <c r="CZ248" s="20">
        <f t="shared" ca="1" si="250"/>
        <v>-0.4137931034482758</v>
      </c>
      <c r="DA248" s="20">
        <f t="shared" ca="1" si="251"/>
        <v>-0.24827586206896549</v>
      </c>
      <c r="DB248" s="20">
        <f t="shared" ca="1" si="252"/>
        <v>-0.13793103448275859</v>
      </c>
      <c r="DC248" s="20">
        <f t="shared" ca="1" si="253"/>
        <v>-7.3022312373225137E-2</v>
      </c>
      <c r="DD248" s="20">
        <f t="shared" ca="1" si="254"/>
        <v>-3.7617554858934164E-2</v>
      </c>
      <c r="DE248" s="20">
        <f t="shared" ca="1" si="255"/>
        <v>-1.9098143236074269E-2</v>
      </c>
      <c r="DF248" s="21">
        <f t="shared" ca="1" si="256"/>
        <v>1.9098143236074269E-2</v>
      </c>
      <c r="DG248" s="21">
        <f t="shared" ca="1" si="257"/>
        <v>3.7617554858934164E-2</v>
      </c>
      <c r="DH248" s="21">
        <f t="shared" ca="1" si="258"/>
        <v>7.3022312373225137E-2</v>
      </c>
      <c r="DI248" s="21">
        <f t="shared" ca="1" si="259"/>
        <v>0.13793103448275859</v>
      </c>
      <c r="DJ248" s="21">
        <f t="shared" ca="1" si="260"/>
        <v>0.24827586206896549</v>
      </c>
      <c r="DK248" s="21">
        <f t="shared" ca="1" si="261"/>
        <v>0.4137931034482758</v>
      </c>
      <c r="DL248" s="21">
        <f t="shared" ca="1" si="262"/>
        <v>0.6206896551724137</v>
      </c>
      <c r="DN248" s="16" cm="1">
        <f t="array" aca="1" ref="DN248" ca="1">MAX(_xlfn._xlws.FILTER(CY248:DL248,CY248:DL248&lt;BW248))</f>
        <v>7.3022312373225137E-2</v>
      </c>
      <c r="DO248" s="16" cm="1">
        <f t="array" aca="1" ref="DO248" ca="1">MIN(_xlfn._xlws.FILTER(CY248:DL248,CY248:DL248&gt;BW248))</f>
        <v>0.13793103448275859</v>
      </c>
      <c r="DP248" s="2" cm="1">
        <f t="array" aca="1" ref="DP248" ca="1">_FV(EE248,"Fechamento anterior",TRUE)</f>
        <v>1.38</v>
      </c>
      <c r="DQ248" s="28">
        <f t="shared" ca="1" si="235"/>
        <v>0.99615036231884413</v>
      </c>
      <c r="DR248" s="15">
        <f t="shared" ca="1" si="263"/>
        <v>1.4807707910750505</v>
      </c>
      <c r="DS248" s="15">
        <f t="shared" ca="1" si="264"/>
        <v>1.5703448275862066</v>
      </c>
      <c r="DT248" s="9"/>
      <c r="DU248" s="9"/>
      <c r="DV248" s="9"/>
      <c r="DW248" s="89">
        <v>2.164130576147744E-2</v>
      </c>
      <c r="DX248" s="89">
        <f t="shared" ca="1" si="236"/>
        <v>6.4908722109533454E-2</v>
      </c>
      <c r="DY248" s="72">
        <f t="shared" ca="1" si="237"/>
        <v>0.21242964433118897</v>
      </c>
      <c r="DZ248" s="37"/>
      <c r="EA248" s="35">
        <f t="shared" si="247"/>
        <v>9.414881836751858E-2</v>
      </c>
      <c r="EB248" s="56"/>
      <c r="EC248" s="56"/>
      <c r="EE248" s="2" t="e" vm="250">
        <v>#VALUE!</v>
      </c>
      <c r="EG248" s="10" cm="1">
        <f t="array" aca="1" ref="EG248" ca="1">_FV(EE248,"Ações em circulação",TRUE)</f>
        <v>44895590</v>
      </c>
      <c r="EH248" s="18">
        <f>VLOOKUP(BR248,Fundamentus!A:U,5,FALSE)</f>
        <v>15.2</v>
      </c>
      <c r="EI248" s="2">
        <f t="shared" ca="1" si="238"/>
        <v>4637241.8618421052</v>
      </c>
      <c r="EJ248" s="17">
        <v>-249426110.36801842</v>
      </c>
      <c r="EK248" s="17">
        <f t="shared" ca="1" si="239"/>
        <v>-249426110.36801842</v>
      </c>
      <c r="EM248" s="16">
        <f t="shared" ca="1" si="226"/>
        <v>0</v>
      </c>
      <c r="EN248" s="32" t="str">
        <f>IF(VLOOKUP(BR248,Fundamentus!A:U,3,FALSE)&lt;15,"Bom",IF(VLOOKUP(BR248,Fundamentus!A:U,3,FALSE)&gt;15,"Ruim","n/a"))</f>
        <v>Bom</v>
      </c>
      <c r="EO248" s="28" t="str">
        <f>IF(VLOOKUP(BR248,Fundamentus!A:U,4,FALSE)&lt;1,"Baixo",IF(VLOOKUP(BR248,Fundamentus!A:U,4,FALSE)&lt;1.5,"Moderado",IF(VLOOKUP(BR248,Fundamentus!A:U,4,FALSE)&gt;1.5,"Alto","n/a")))</f>
        <v>Baixo</v>
      </c>
      <c r="EP248" s="17" t="str">
        <f>IF(VLOOKUP(BR248,Fundamentus!A:U,8,FALSE)&lt;0,"Risco elevado",IF(VLOOKUP(BR248,Fundamentus!A:U,8,FALSE)&lt;1,"Saudável",IF(VLOOKUP(BR248,Fundamentus!A:U,8,FALSE)&lt;3,"Estável",IF(VLOOKUP(BR248,Fundamentus!A:U,8,FALSE)&gt;3,"Alerta","n/a"))))</f>
        <v>Risco elevado</v>
      </c>
      <c r="EQ248" s="28" t="str">
        <f t="shared" si="240"/>
        <v>Bom</v>
      </c>
      <c r="ER248" s="17" t="str">
        <f>IF(VLOOKUP(BR248,Fundamentus!A:U,12,FALSE)&lt;2,"Subvalorizada",IF(VLOOKUP(BR248,Fundamentus!A:U,12,FALSE)&lt;6,"Muita barata",IF(VLOOKUP(BR248,Fundamentus!A:U,12,FALSE)&lt;6,"Barata",IF(VLOOKUP(BR248,Fundamentus!A:U,12,FALSE)&lt;8,"Atrativa",IF(VLOOKUP(BR248,Fundamentus!A:U,12,FALSE)&gt;8,"Supervalorizada","n/a")))))</f>
        <v>Subvalorizada</v>
      </c>
      <c r="ET248" s="17" t="str">
        <f>IF(VLOOKUP(BR248,Fundamentus!A:U,17,FALSE)&lt;0.1,"Fraco retorno",IF(VLOOKUP(BR248,Fundamentus!A:U,17,FALSE)&gt;0.1,"Bom retorno","n/a"))</f>
        <v>Bom retorno</v>
      </c>
      <c r="EU248" s="17" t="str">
        <f>IF(VLOOKUP(BR248,Fundamentus!A:U,16,FALSE)&lt;0.1,"Ineficiente",IF(VLOOKUP(BR248,Fundamentus!A:U,16,FALSE)&gt;0.1,"Eficiente","n/a"))</f>
        <v>Ineficiente</v>
      </c>
      <c r="EV248" s="33" t="str">
        <f>IF(VLOOKUP(BR248,Fundamentus!A:U,16,FALSE)&lt;0.1,"Oper. Ineficiente",IF(VLOOKUP(BR248,Fundamentus!A:U,16,FALSE)&gt;0.1,"Oper.Eficiente","n/a"))</f>
        <v>Oper. Ineficiente</v>
      </c>
      <c r="EW248" s="34">
        <f>VLOOKUP(BR248,Fundamentus!A:U,14,FALSE)</f>
        <v>-53.787599999999998</v>
      </c>
      <c r="EX248" s="17" t="str">
        <f>IF(VLOOKUP(BR248,Fundamentus!A:U,21,FALSE)&lt;0,"Negativo",IF(VLOOKUP(BR248,Fundamentus!A:U,21,FALSE)&lt;0.05,"Fraco",IF(VLOOKUP(BR248,Fundamentus!A:U,21,FALSE)&lt;0.1,"Bom",IF(VLOOKUP(BR248,Fundamentus!A:U,21,FALSE)&gt;0.1,"Muito bom","n/a"))))</f>
        <v>Negativo</v>
      </c>
      <c r="EZ248" s="29" t="str">
        <f>IF(VLOOKUP(BR248,Fundamentus!A:U,15,FALSE)&gt;1,"Bom",IF(VLOOKUP(BR248,Fundamentus!A:U,15,FALSE)&lt;1,"Ruim","n/a"))</f>
        <v>Ruim</v>
      </c>
      <c r="FA248" s="17" t="str">
        <f>IF(VLOOKUP(BR248,Fundamentus!A:U,20,FALSE)&lt;0.5,"Baixa",IF(VLOOKUP(BR248,Fundamentus!A:U,20,FALSE)&lt;1,"Moderada",IF(VLOOKUP(BR248,Fundamentus!A:U,20,FALSE)&lt;2,"Alerta",IF(VLOOKUP(BR248,Fundamentus!A:U,20,FALSE)&gt;2,"Alta","n/a"))))</f>
        <v>Baixa</v>
      </c>
    </row>
    <row r="249" spans="1:157" s="2" customFormat="1" ht="11.25"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5">
        <v>0.65</v>
      </c>
      <c r="BC249" s="52">
        <v>0.66</v>
      </c>
      <c r="BD249" s="52">
        <v>0.63</v>
      </c>
      <c r="BE249" s="52">
        <v>0.63</v>
      </c>
      <c r="BF249" s="52">
        <v>0.67</v>
      </c>
      <c r="BG249" s="67">
        <v>0.71</v>
      </c>
      <c r="BH249" s="52">
        <v>0.63</v>
      </c>
      <c r="BI249" s="52">
        <v>0.64</v>
      </c>
      <c r="BJ249" s="52">
        <v>0.63</v>
      </c>
      <c r="BK249" s="52">
        <v>0.56999999999999995</v>
      </c>
      <c r="BL249" s="52">
        <v>0.56999999999999995</v>
      </c>
      <c r="BM249" s="52">
        <v>0.5</v>
      </c>
      <c r="BN249" s="52">
        <v>0.51</v>
      </c>
      <c r="BO249" s="52">
        <v>0.54</v>
      </c>
      <c r="BP249" s="52">
        <v>0.56000000000000005</v>
      </c>
      <c r="BQ249" s="52" cm="1">
        <f t="array" aca="1" ref="BQ249" ca="1">_FV(EE249,"Preço")</f>
        <v>0.56000000000000005</v>
      </c>
      <c r="BR249" s="69" t="s">
        <v>245</v>
      </c>
      <c r="BS249" s="36" cm="1">
        <f t="array" aca="1" ref="BS249" ca="1">_FV(EE249,"Média de volume",TRUE)</f>
        <v>17980</v>
      </c>
      <c r="BT249" s="36">
        <v>2475600</v>
      </c>
      <c r="BU249" s="36" cm="1">
        <f t="array" aca="1" ref="BU249" ca="1">_FV(EE249,"Volume")</f>
        <v>2475600</v>
      </c>
      <c r="BV249" s="24" cm="1">
        <f t="array" aca="1" ref="BV249" ca="1">_FV(EE249,"Beta")</f>
        <v>1.3706</v>
      </c>
      <c r="BW249" s="71" cm="1">
        <f t="array" aca="1" ref="BW249" ca="1">_FV(EE249,"Variação (%)",TRUE)</f>
        <v>0</v>
      </c>
      <c r="BY249" s="17" cm="1">
        <f t="array" aca="1" ref="BY249" ca="1">_FV(EE249,"Baixo")</f>
        <v>0.53</v>
      </c>
      <c r="BZ249" s="17" cm="1">
        <f t="array" aca="1" ref="BZ249" ca="1">_FV(EE249,"Alto")</f>
        <v>0.56999999999999995</v>
      </c>
      <c r="CA249" s="24"/>
      <c r="CB249" s="63" t="e">
        <f ca="1">SQRT(22.5*(BQ249/VLOOKUP(BR249,Fundamentus!A:U,3,FALSE))*(BQ249/VLOOKUP(BR249,Fundamentus!A:U,4,FALSE)))</f>
        <v>#NUM!</v>
      </c>
      <c r="CD249" s="62">
        <f t="shared" ca="1" si="241"/>
        <v>0</v>
      </c>
      <c r="CE249" s="8"/>
      <c r="CF249" s="61">
        <f t="shared" si="242"/>
        <v>0.48</v>
      </c>
      <c r="CG249" s="61">
        <f t="shared" si="243"/>
        <v>6.24</v>
      </c>
      <c r="CH249" s="61">
        <f t="shared" si="244"/>
        <v>2.1211029411764692</v>
      </c>
      <c r="CI249" s="14"/>
      <c r="CJ249" s="35">
        <f t="shared" si="227"/>
        <v>0.521485044646673</v>
      </c>
      <c r="CK249" s="15">
        <f t="shared" si="245"/>
        <v>0.57999999999998408</v>
      </c>
      <c r="CL249" s="35">
        <f t="shared" si="228"/>
        <v>0.63851495535329517</v>
      </c>
      <c r="CN249" s="14"/>
      <c r="CO249" s="17">
        <f t="shared" si="229"/>
        <v>-7.1466666666666665</v>
      </c>
      <c r="CP249" s="17">
        <f t="shared" si="230"/>
        <v>-3.3333333333333326</v>
      </c>
      <c r="CQ249" s="17">
        <f t="shared" si="231"/>
        <v>-1.3866666666666658</v>
      </c>
      <c r="CR249" s="38">
        <f t="shared" si="246"/>
        <v>2.4266666666666672</v>
      </c>
      <c r="CS249" s="17">
        <f t="shared" si="232"/>
        <v>4.3733333333333348</v>
      </c>
      <c r="CT249" s="17">
        <f t="shared" si="233"/>
        <v>8.1866666666666674</v>
      </c>
      <c r="CU249" s="17">
        <f t="shared" si="234"/>
        <v>10.133333333333335</v>
      </c>
      <c r="CV249" s="2" cm="1">
        <f t="array" aca="1" ref="CV249" ca="1">MAX(_xlfn._xlws.FILTER(CO249:CU249,CO249:CU249&lt;BQ249))</f>
        <v>-1.3866666666666658</v>
      </c>
      <c r="CW249" s="2" cm="1">
        <f t="array" aca="1" ref="CW249" ca="1">MIN(_xlfn._xlws.FILTER($CO249:$CU249,$CO249:$CU249&gt;BQ249))</f>
        <v>2.4266666666666672</v>
      </c>
      <c r="CX249" s="16">
        <f t="shared" ca="1" si="248"/>
        <v>-2.7500000000000013</v>
      </c>
      <c r="CY249" s="20">
        <f t="shared" ca="1" si="249"/>
        <v>1.3750000000000007</v>
      </c>
      <c r="CZ249" s="20">
        <f t="shared" ca="1" si="250"/>
        <v>0.91666666666666707</v>
      </c>
      <c r="DA249" s="20">
        <f t="shared" ca="1" si="251"/>
        <v>0.55000000000000027</v>
      </c>
      <c r="DB249" s="20">
        <f t="shared" ca="1" si="252"/>
        <v>0.30555555555555569</v>
      </c>
      <c r="DC249" s="20">
        <f t="shared" ca="1" si="253"/>
        <v>0.16176470588235303</v>
      </c>
      <c r="DD249" s="20">
        <f t="shared" ca="1" si="254"/>
        <v>8.333333333333337E-2</v>
      </c>
      <c r="DE249" s="20">
        <f t="shared" ca="1" si="255"/>
        <v>4.2307692307692331E-2</v>
      </c>
      <c r="DF249" s="21">
        <f t="shared" ca="1" si="256"/>
        <v>-4.2307692307692331E-2</v>
      </c>
      <c r="DG249" s="21">
        <f t="shared" ca="1" si="257"/>
        <v>-8.333333333333337E-2</v>
      </c>
      <c r="DH249" s="21">
        <f t="shared" ca="1" si="258"/>
        <v>-0.16176470588235303</v>
      </c>
      <c r="DI249" s="21">
        <f t="shared" ca="1" si="259"/>
        <v>-0.30555555555555569</v>
      </c>
      <c r="DJ249" s="21">
        <f t="shared" ca="1" si="260"/>
        <v>-0.55000000000000027</v>
      </c>
      <c r="DK249" s="21">
        <f t="shared" ca="1" si="261"/>
        <v>-0.91666666666666707</v>
      </c>
      <c r="DL249" s="21">
        <f t="shared" ca="1" si="262"/>
        <v>-1.3750000000000007</v>
      </c>
      <c r="DN249" s="16" cm="1">
        <f t="array" aca="1" ref="DN249" ca="1">MAX(_xlfn._xlws.FILTER(CY249:DL249,CY249:DL249&lt;BW249))</f>
        <v>-4.2307692307692331E-2</v>
      </c>
      <c r="DO249" s="16" cm="1">
        <f t="array" aca="1" ref="DO249" ca="1">MIN(_xlfn._xlws.FILTER(CY249:DL249,CY249:DL249&gt;BW249))</f>
        <v>4.2307692307692331E-2</v>
      </c>
      <c r="DP249" s="2" cm="1">
        <f t="array" aca="1" ref="DP249" ca="1">_FV(EE249,"Fechamento anterior",TRUE)</f>
        <v>0.56000000000000005</v>
      </c>
      <c r="DQ249" s="28">
        <f t="shared" ca="1" si="235"/>
        <v>0.5</v>
      </c>
      <c r="DR249" s="15">
        <f t="shared" ca="1" si="263"/>
        <v>0.53630769230769237</v>
      </c>
      <c r="DS249" s="15">
        <f t="shared" ca="1" si="264"/>
        <v>0.58369230769230773</v>
      </c>
      <c r="DT249" s="9"/>
      <c r="DU249" s="9"/>
      <c r="DV249" s="9"/>
      <c r="DW249" s="89">
        <v>8.3956043956043988E-2</v>
      </c>
      <c r="DX249" s="89">
        <f t="shared" ca="1" si="236"/>
        <v>8.4615384615384662E-2</v>
      </c>
      <c r="DY249" s="72">
        <f t="shared" ca="1" si="237"/>
        <v>-0.34179296351205923</v>
      </c>
      <c r="DZ249" s="37"/>
      <c r="EA249" s="35">
        <f t="shared" si="247"/>
        <v>2.9257477676655562E-2</v>
      </c>
      <c r="EB249" s="56"/>
      <c r="EC249" s="56"/>
      <c r="EE249" s="2" t="e" vm="251">
        <v>#VALUE!</v>
      </c>
      <c r="EG249" s="10" cm="1">
        <f t="array" aca="1" ref="EG249" ca="1">_FV(EE249,"Ações em circulação",TRUE)</f>
        <v>330121700</v>
      </c>
      <c r="EH249" s="18">
        <f>VLOOKUP(BR249,Fundamentus!A:U,5,FALSE)</f>
        <v>9.8000000000000004E-2</v>
      </c>
      <c r="EI249" s="2">
        <f t="shared" ca="1" si="238"/>
        <v>1886409714.2857146</v>
      </c>
      <c r="EJ249" s="17">
        <v>15986001841.771431</v>
      </c>
      <c r="EK249" s="17">
        <f t="shared" ca="1" si="239"/>
        <v>15986001841.771431</v>
      </c>
      <c r="EM249" s="16">
        <f t="shared" ca="1" si="226"/>
        <v>0</v>
      </c>
      <c r="EN249" s="32" t="str">
        <f>IF(VLOOKUP(BR249,Fundamentus!A:U,3,FALSE)&lt;15,"Bom",IF(VLOOKUP(BR249,Fundamentus!A:U,3,FALSE)&gt;15,"Ruim","n/a"))</f>
        <v>Bom</v>
      </c>
      <c r="EO249" s="28" t="str">
        <f>IF(VLOOKUP(BR249,Fundamentus!A:U,4,FALSE)&lt;1,"Baixo",IF(VLOOKUP(BR249,Fundamentus!A:U,4,FALSE)&lt;1.5,"Moderado",IF(VLOOKUP(BR249,Fundamentus!A:U,4,FALSE)&gt;1.5,"Alto","n/a")))</f>
        <v>Baixo</v>
      </c>
      <c r="EP249" s="17" t="str">
        <f>IF(VLOOKUP(BR249,Fundamentus!A:U,8,FALSE)&lt;0,"Risco elevado",IF(VLOOKUP(BR249,Fundamentus!A:U,8,FALSE)&lt;1,"Saudável",IF(VLOOKUP(BR249,Fundamentus!A:U,8,FALSE)&lt;3,"Estável",IF(VLOOKUP(BR249,Fundamentus!A:U,8,FALSE)&gt;3,"Alerta","n/a"))))</f>
        <v>Risco elevado</v>
      </c>
      <c r="EQ249" s="28" t="str">
        <f t="shared" si="240"/>
        <v>Ruim</v>
      </c>
      <c r="ER249" s="17" t="str">
        <f>IF(VLOOKUP(BR249,Fundamentus!A:U,12,FALSE)&lt;2,"Subvalorizada",IF(VLOOKUP(BR249,Fundamentus!A:U,12,FALSE)&lt;6,"Muita barata",IF(VLOOKUP(BR249,Fundamentus!A:U,12,FALSE)&lt;6,"Barata",IF(VLOOKUP(BR249,Fundamentus!A:U,12,FALSE)&lt;8,"Atrativa",IF(VLOOKUP(BR249,Fundamentus!A:U,12,FALSE)&gt;8,"Supervalorizada","n/a")))))</f>
        <v>Subvalorizada</v>
      </c>
      <c r="ET249" s="17" t="str">
        <f>IF(VLOOKUP(BR249,Fundamentus!A:U,17,FALSE)&lt;0.1,"Fraco retorno",IF(VLOOKUP(BR249,Fundamentus!A:U,17,FALSE)&gt;0.1,"Bom retorno","n/a"))</f>
        <v>Fraco retorno</v>
      </c>
      <c r="EU249" s="17" t="str">
        <f>IF(VLOOKUP(BR249,Fundamentus!A:U,16,FALSE)&lt;0.1,"Ineficiente",IF(VLOOKUP(BR249,Fundamentus!A:U,16,FALSE)&gt;0.1,"Eficiente","n/a"))</f>
        <v>Ineficiente</v>
      </c>
      <c r="EV249" s="33" t="str">
        <f>IF(VLOOKUP(BR249,Fundamentus!A:U,16,FALSE)&lt;0.1,"Oper. Ineficiente",IF(VLOOKUP(BR249,Fundamentus!A:U,16,FALSE)&gt;0.1,"Oper.Eficiente","n/a"))</f>
        <v>Oper. Ineficiente</v>
      </c>
      <c r="EW249" s="34">
        <f>VLOOKUP(BR249,Fundamentus!A:U,14,FALSE)</f>
        <v>8.4742999999999995</v>
      </c>
      <c r="EX249" s="17" t="str">
        <f>IF(VLOOKUP(BR249,Fundamentus!A:U,21,FALSE)&lt;0,"Negativo",IF(VLOOKUP(BR249,Fundamentus!A:U,21,FALSE)&lt;0.05,"Fraco",IF(VLOOKUP(BR249,Fundamentus!A:U,21,FALSE)&lt;0.1,"Bom",IF(VLOOKUP(BR249,Fundamentus!A:U,21,FALSE)&gt;0.1,"Muito bom","n/a"))))</f>
        <v>Negativo</v>
      </c>
      <c r="EZ249" s="29" t="str">
        <f>IF(VLOOKUP(BR249,Fundamentus!A:U,15,FALSE)&gt;1,"Bom",IF(VLOOKUP(BR249,Fundamentus!A:U,15,FALSE)&lt;1,"Ruim","n/a"))</f>
        <v>Ruim</v>
      </c>
      <c r="FA249" s="17" t="str">
        <f>IF(VLOOKUP(BR249,Fundamentus!A:U,20,FALSE)&lt;0.5,"Baixa",IF(VLOOKUP(BR249,Fundamentus!A:U,20,FALSE)&lt;1,"Moderada",IF(VLOOKUP(BR249,Fundamentus!A:U,20,FALSE)&lt;2,"Alerta",IF(VLOOKUP(BR249,Fundamentus!A:U,20,FALSE)&gt;2,"Alta","n/a"))))</f>
        <v>Baixa</v>
      </c>
    </row>
    <row r="250" spans="1:157" s="2" customFormat="1" ht="11.25"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5">
        <v>7.99</v>
      </c>
      <c r="BC250" s="52">
        <v>7.72</v>
      </c>
      <c r="BD250" s="52">
        <v>8.02</v>
      </c>
      <c r="BE250" s="52">
        <v>8.23</v>
      </c>
      <c r="BF250" s="52">
        <v>8.06</v>
      </c>
      <c r="BG250" s="67">
        <v>8.1199999999999992</v>
      </c>
      <c r="BH250" s="52">
        <v>7.28</v>
      </c>
      <c r="BI250" s="52">
        <v>6.74</v>
      </c>
      <c r="BJ250" s="52">
        <v>7.14</v>
      </c>
      <c r="BK250" s="52">
        <v>6.38</v>
      </c>
      <c r="BL250" s="52">
        <v>5.96</v>
      </c>
      <c r="BM250" s="52">
        <v>6.02</v>
      </c>
      <c r="BN250" s="52">
        <v>5.82</v>
      </c>
      <c r="BO250" s="52">
        <v>5.83</v>
      </c>
      <c r="BP250" s="52">
        <v>5.48</v>
      </c>
      <c r="BQ250" s="52" cm="1">
        <f t="array" aca="1" ref="BQ250" ca="1">_FV(EE250,"Preço")</f>
        <v>5.48</v>
      </c>
      <c r="BR250" s="69" t="s">
        <v>246</v>
      </c>
      <c r="BS250" s="36" cm="1">
        <f t="array" aca="1" ref="BS250" ca="1">_FV(EE250,"Média de volume",TRUE)</f>
        <v>19760530</v>
      </c>
      <c r="BT250" s="36">
        <v>15408000</v>
      </c>
      <c r="BU250" s="36" cm="1">
        <f t="array" aca="1" ref="BU250" ca="1">_FV(EE250,"Volume")</f>
        <v>15408000</v>
      </c>
      <c r="BV250" s="24" cm="1">
        <f t="array" aca="1" ref="BV250" ca="1">_FV(EE250,"Beta")</f>
        <v>1.151</v>
      </c>
      <c r="BW250" s="71" cm="1">
        <f t="array" aca="1" ref="BW250" ca="1">_FV(EE250,"Variação (%)",TRUE)</f>
        <v>1.4815E-2</v>
      </c>
      <c r="BY250" s="17" cm="1">
        <f t="array" aca="1" ref="BY250" ca="1">_FV(EE250,"Baixo")</f>
        <v>5.29</v>
      </c>
      <c r="BZ250" s="17" cm="1">
        <f t="array" aca="1" ref="BZ250" ca="1">_FV(EE250,"Alto")</f>
        <v>5.58</v>
      </c>
      <c r="CA250" s="24"/>
      <c r="CB250" s="63" t="e">
        <f ca="1">SQRT(22.5*(BQ250/VLOOKUP(BR250,Fundamentus!A:U,3,FALSE))*(BQ250/VLOOKUP(BR250,Fundamentus!A:U,4,FALSE)))</f>
        <v>#NUM!</v>
      </c>
      <c r="CD250" s="62">
        <f t="shared" ca="1" si="241"/>
        <v>0</v>
      </c>
      <c r="CE250" s="8"/>
      <c r="CF250" s="61">
        <f t="shared" si="242"/>
        <v>5.48</v>
      </c>
      <c r="CG250" s="61">
        <f t="shared" si="243"/>
        <v>14.74</v>
      </c>
      <c r="CH250" s="61">
        <f t="shared" si="244"/>
        <v>9.9747058823529429</v>
      </c>
      <c r="CI250" s="14"/>
      <c r="CJ250" s="35">
        <f t="shared" si="227"/>
        <v>4.9773923455085676</v>
      </c>
      <c r="CK250" s="15">
        <f t="shared" si="245"/>
        <v>5.3849999999999909</v>
      </c>
      <c r="CL250" s="35">
        <f t="shared" si="228"/>
        <v>5.7926076544914142</v>
      </c>
      <c r="CN250" s="14"/>
      <c r="CO250" s="17">
        <f t="shared" si="229"/>
        <v>-6.8666666666666671</v>
      </c>
      <c r="CP250" s="17">
        <f t="shared" si="230"/>
        <v>-0.69333333333333336</v>
      </c>
      <c r="CQ250" s="17">
        <f t="shared" si="231"/>
        <v>2.3933333333333326</v>
      </c>
      <c r="CR250" s="38">
        <f t="shared" si="246"/>
        <v>8.5666666666666664</v>
      </c>
      <c r="CS250" s="17">
        <f t="shared" si="232"/>
        <v>11.653333333333332</v>
      </c>
      <c r="CT250" s="17">
        <f t="shared" si="233"/>
        <v>17.826666666666668</v>
      </c>
      <c r="CU250" s="17">
        <f t="shared" si="234"/>
        <v>20.913333333333334</v>
      </c>
      <c r="CV250" s="2" cm="1">
        <f t="array" aca="1" ref="CV250" ca="1">MAX(_xlfn._xlws.FILTER(CO250:CU250,CO250:CU250&lt;BQ250))</f>
        <v>2.3933333333333326</v>
      </c>
      <c r="CW250" s="2" cm="1">
        <f t="array" aca="1" ref="CW250" ca="1">MIN(_xlfn._xlws.FILTER($CO250:$CU250,$CO250:$CU250&gt;BQ250))</f>
        <v>8.5666666666666664</v>
      </c>
      <c r="CX250" s="16">
        <f t="shared" ca="1" si="248"/>
        <v>2.5793871866295275</v>
      </c>
      <c r="CY250" s="20">
        <f t="shared" ca="1" si="249"/>
        <v>-1.2896935933147637</v>
      </c>
      <c r="CZ250" s="20">
        <f t="shared" ca="1" si="250"/>
        <v>-0.85979572887650912</v>
      </c>
      <c r="DA250" s="20">
        <f t="shared" ca="1" si="251"/>
        <v>-0.51587743732590552</v>
      </c>
      <c r="DB250" s="20">
        <f t="shared" ca="1" si="252"/>
        <v>-0.28659857629216973</v>
      </c>
      <c r="DC250" s="20">
        <f t="shared" ca="1" si="253"/>
        <v>-0.15172865803703103</v>
      </c>
      <c r="DD250" s="20">
        <f t="shared" ca="1" si="254"/>
        <v>-7.8163248079682654E-2</v>
      </c>
      <c r="DE250" s="20">
        <f t="shared" ca="1" si="255"/>
        <v>-3.9682879794300421E-2</v>
      </c>
      <c r="DF250" s="21">
        <f t="shared" ca="1" si="256"/>
        <v>3.9682879794300421E-2</v>
      </c>
      <c r="DG250" s="21">
        <f t="shared" ca="1" si="257"/>
        <v>7.8163248079682654E-2</v>
      </c>
      <c r="DH250" s="21">
        <f t="shared" ca="1" si="258"/>
        <v>0.15172865803703103</v>
      </c>
      <c r="DI250" s="21">
        <f t="shared" ca="1" si="259"/>
        <v>0.28659857629216973</v>
      </c>
      <c r="DJ250" s="21">
        <f t="shared" ca="1" si="260"/>
        <v>0.51587743732590552</v>
      </c>
      <c r="DK250" s="21">
        <f t="shared" ca="1" si="261"/>
        <v>0.85979572887650912</v>
      </c>
      <c r="DL250" s="21">
        <f t="shared" ca="1" si="262"/>
        <v>1.2896935933147637</v>
      </c>
      <c r="DN250" s="16" cm="1">
        <f t="array" aca="1" ref="DN250" ca="1">MAX(_xlfn._xlws.FILTER(CY250:DL250,CY250:DL250&lt;BW250))</f>
        <v>-3.9682879794300421E-2</v>
      </c>
      <c r="DO250" s="16" cm="1">
        <f t="array" aca="1" ref="DO250" ca="1">MIN(_xlfn._xlws.FILTER(CY250:DL250,CY250:DL250&gt;BW250))</f>
        <v>3.9682879794300421E-2</v>
      </c>
      <c r="DP250" s="2" cm="1">
        <f t="array" aca="1" ref="DP250" ca="1">_FV(EE250,"Fechamento anterior",TRUE)</f>
        <v>5.4</v>
      </c>
      <c r="DQ250" s="28">
        <f t="shared" ca="1" si="235"/>
        <v>0.68666506679465689</v>
      </c>
      <c r="DR250" s="15">
        <f t="shared" ca="1" si="263"/>
        <v>5.1857124491107784</v>
      </c>
      <c r="DS250" s="15">
        <f t="shared" ca="1" si="264"/>
        <v>5.6142875508892223</v>
      </c>
      <c r="DT250" s="9"/>
      <c r="DU250" s="9"/>
      <c r="DV250" s="9"/>
      <c r="DW250" s="89">
        <v>6.4090582314881378E-2</v>
      </c>
      <c r="DX250" s="89">
        <f t="shared" ca="1" si="236"/>
        <v>7.9365759588600843E-2</v>
      </c>
      <c r="DY250" s="72">
        <f t="shared" ca="1" si="237"/>
        <v>0.23306726199374761</v>
      </c>
      <c r="DZ250" s="37"/>
      <c r="EA250" s="35">
        <f t="shared" si="247"/>
        <v>0.20380382724571183</v>
      </c>
      <c r="EB250" s="56"/>
      <c r="EC250" s="56"/>
      <c r="EE250" s="2" t="e" vm="252">
        <v>#VALUE!</v>
      </c>
      <c r="EG250" s="10" cm="1">
        <f t="array" aca="1" ref="EG250" ca="1">_FV(EE250,"Ações em circulação",TRUE)</f>
        <v>1866571000</v>
      </c>
      <c r="EH250" s="18">
        <f>VLOOKUP(BR250,Fundamentus!A:U,5,FALSE)</f>
        <v>0.25</v>
      </c>
      <c r="EI250" s="2">
        <f t="shared" ca="1" si="238"/>
        <v>40915236320</v>
      </c>
      <c r="EJ250" s="17">
        <v>-9684636436.9440002</v>
      </c>
      <c r="EK250" s="17">
        <f t="shared" ca="1" si="239"/>
        <v>-9684636436.9440002</v>
      </c>
      <c r="EM250" s="16">
        <f t="shared" ca="1" si="226"/>
        <v>0</v>
      </c>
      <c r="EN250" s="32" t="str">
        <f>IF(VLOOKUP(BR250,Fundamentus!A:U,3,FALSE)&lt;15,"Bom",IF(VLOOKUP(BR250,Fundamentus!A:U,3,FALSE)&gt;15,"Ruim","n/a"))</f>
        <v>Bom</v>
      </c>
      <c r="EO250" s="28" t="str">
        <f>IF(VLOOKUP(BR250,Fundamentus!A:U,4,FALSE)&lt;1,"Baixo",IF(VLOOKUP(BR250,Fundamentus!A:U,4,FALSE)&lt;1.5,"Moderado",IF(VLOOKUP(BR250,Fundamentus!A:U,4,FALSE)&gt;1.5,"Alto","n/a")))</f>
        <v>Moderado</v>
      </c>
      <c r="EP250" s="17" t="str">
        <f>IF(VLOOKUP(BR250,Fundamentus!A:U,8,FALSE)&lt;0,"Risco elevado",IF(VLOOKUP(BR250,Fundamentus!A:U,8,FALSE)&lt;1,"Saudável",IF(VLOOKUP(BR250,Fundamentus!A:U,8,FALSE)&lt;3,"Estável",IF(VLOOKUP(BR250,Fundamentus!A:U,8,FALSE)&gt;3,"Alerta","n/a"))))</f>
        <v>Saudável</v>
      </c>
      <c r="EQ250" s="28" t="str">
        <f t="shared" si="240"/>
        <v>Ruim</v>
      </c>
      <c r="ER250" s="17" t="str">
        <f>IF(VLOOKUP(BR250,Fundamentus!A:U,12,FALSE)&lt;2,"Subvalorizada",IF(VLOOKUP(BR250,Fundamentus!A:U,12,FALSE)&lt;6,"Muita barata",IF(VLOOKUP(BR250,Fundamentus!A:U,12,FALSE)&lt;6,"Barata",IF(VLOOKUP(BR250,Fundamentus!A:U,12,FALSE)&lt;8,"Atrativa",IF(VLOOKUP(BR250,Fundamentus!A:U,12,FALSE)&gt;8,"Supervalorizada","n/a")))))</f>
        <v>Muita barata</v>
      </c>
      <c r="ET250" s="17" t="str">
        <f>IF(VLOOKUP(BR250,Fundamentus!A:U,17,FALSE)&lt;0.1,"Fraco retorno",IF(VLOOKUP(BR250,Fundamentus!A:U,17,FALSE)&gt;0.1,"Bom retorno","n/a"))</f>
        <v>Fraco retorno</v>
      </c>
      <c r="EU250" s="17" t="str">
        <f>IF(VLOOKUP(BR250,Fundamentus!A:U,16,FALSE)&lt;0.1,"Ineficiente",IF(VLOOKUP(BR250,Fundamentus!A:U,16,FALSE)&gt;0.1,"Eficiente","n/a"))</f>
        <v>Ineficiente</v>
      </c>
      <c r="EV250" s="33" t="str">
        <f>IF(VLOOKUP(BR250,Fundamentus!A:U,16,FALSE)&lt;0.1,"Oper. Ineficiente",IF(VLOOKUP(BR250,Fundamentus!A:U,16,FALSE)&gt;0.1,"Oper.Eficiente","n/a"))</f>
        <v>Oper. Ineficiente</v>
      </c>
      <c r="EW250" s="34">
        <f>VLOOKUP(BR250,Fundamentus!A:U,14,FALSE)</f>
        <v>-0.23669999999999999</v>
      </c>
      <c r="EX250" s="17" t="str">
        <f>IF(VLOOKUP(BR250,Fundamentus!A:U,21,FALSE)&lt;0,"Negativo",IF(VLOOKUP(BR250,Fundamentus!A:U,21,FALSE)&lt;0.05,"Fraco",IF(VLOOKUP(BR250,Fundamentus!A:U,21,FALSE)&lt;0.1,"Bom",IF(VLOOKUP(BR250,Fundamentus!A:U,21,FALSE)&gt;0.1,"Muito bom","n/a"))))</f>
        <v>Muito bom</v>
      </c>
      <c r="EZ250" s="29" t="str">
        <f>IF(VLOOKUP(BR250,Fundamentus!A:U,15,FALSE)&gt;1,"Bom",IF(VLOOKUP(BR250,Fundamentus!A:U,15,FALSE)&lt;1,"Ruim","n/a"))</f>
        <v>Bom</v>
      </c>
      <c r="FA250" s="17" t="str">
        <f>IF(VLOOKUP(BR250,Fundamentus!A:U,20,FALSE)&lt;0.5,"Baixa",IF(VLOOKUP(BR250,Fundamentus!A:U,20,FALSE)&lt;1,"Moderada",IF(VLOOKUP(BR250,Fundamentus!A:U,20,FALSE)&lt;2,"Alerta",IF(VLOOKUP(BR250,Fundamentus!A:U,20,FALSE)&gt;2,"Alta","n/a"))))</f>
        <v>Alta</v>
      </c>
    </row>
    <row r="251" spans="1:157" s="2" customFormat="1" ht="11.25"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5">
        <v>11.18</v>
      </c>
      <c r="BC251" s="52">
        <v>10.65</v>
      </c>
      <c r="BD251" s="52">
        <v>10.99</v>
      </c>
      <c r="BE251" s="52">
        <v>11.65</v>
      </c>
      <c r="BF251" s="52">
        <v>10.97</v>
      </c>
      <c r="BG251" s="67">
        <v>11.01</v>
      </c>
      <c r="BH251" s="52">
        <v>10.4</v>
      </c>
      <c r="BI251" s="52">
        <v>9.5</v>
      </c>
      <c r="BJ251" s="52">
        <v>9.8000000000000007</v>
      </c>
      <c r="BK251" s="52">
        <v>10.02</v>
      </c>
      <c r="BL251" s="52">
        <v>9</v>
      </c>
      <c r="BM251" s="52">
        <v>9.32</v>
      </c>
      <c r="BN251" s="52">
        <v>8.91</v>
      </c>
      <c r="BO251" s="52">
        <v>9.26</v>
      </c>
      <c r="BP251" s="52">
        <v>8.57</v>
      </c>
      <c r="BQ251" s="52" cm="1">
        <f t="array" aca="1" ref="BQ251" ca="1">_FV(EE251,"Preço")</f>
        <v>8.57</v>
      </c>
      <c r="BR251" s="69" t="s">
        <v>247</v>
      </c>
      <c r="BS251" s="36" cm="1">
        <f t="array" aca="1" ref="BS251" ca="1">_FV(EE251,"Média de volume",TRUE)</f>
        <v>4577240</v>
      </c>
      <c r="BT251" s="36">
        <v>19100</v>
      </c>
      <c r="BU251" s="36" cm="1">
        <f t="array" aca="1" ref="BU251" ca="1">_FV(EE251,"Volume")</f>
        <v>19100</v>
      </c>
      <c r="BV251" s="24" cm="1">
        <f t="array" aca="1" ref="BV251" ca="1">_FV(EE251,"Beta")</f>
        <v>1.0583</v>
      </c>
      <c r="BW251" s="71" cm="1">
        <f t="array" aca="1" ref="BW251" ca="1">_FV(EE251,"Variação (%)",TRUE)</f>
        <v>-2.0571000000000002E-2</v>
      </c>
      <c r="BY251" s="17" cm="1">
        <f t="array" aca="1" ref="BY251" ca="1">_FV(EE251,"Baixo")</f>
        <v>8.5</v>
      </c>
      <c r="BZ251" s="17" cm="1">
        <f t="array" aca="1" ref="BZ251" ca="1">_FV(EE251,"Alto")</f>
        <v>8.74</v>
      </c>
      <c r="CA251" s="24"/>
      <c r="CB251" s="63">
        <f ca="1">SQRT(22.5*(BQ251/VLOOKUP(BR251,Fundamentus!A:U,3,FALSE))*(BQ251/VLOOKUP(BR251,Fundamentus!A:U,4,FALSE)))</f>
        <v>34.873401660316851</v>
      </c>
      <c r="CD251" s="62">
        <f t="shared" ca="1" si="241"/>
        <v>0</v>
      </c>
      <c r="CE251" s="8"/>
      <c r="CF251" s="61">
        <f t="shared" si="242"/>
        <v>8.57</v>
      </c>
      <c r="CG251" s="61">
        <f t="shared" si="243"/>
        <v>22.31</v>
      </c>
      <c r="CH251" s="61">
        <f t="shared" si="244"/>
        <v>14.408676470588233</v>
      </c>
      <c r="CI251" s="14"/>
      <c r="CJ251" s="35">
        <f t="shared" si="227"/>
        <v>7.7589852754270883</v>
      </c>
      <c r="CK251" s="15">
        <f t="shared" si="245"/>
        <v>8.540000000000191</v>
      </c>
      <c r="CL251" s="35">
        <f t="shared" si="228"/>
        <v>9.3210147245732937</v>
      </c>
      <c r="CN251" s="14"/>
      <c r="CO251" s="17">
        <f t="shared" si="229"/>
        <v>-9.7499999999999964</v>
      </c>
      <c r="CP251" s="17">
        <f t="shared" si="230"/>
        <v>-0.58999999999999808</v>
      </c>
      <c r="CQ251" s="17">
        <f t="shared" si="231"/>
        <v>3.990000000000002</v>
      </c>
      <c r="CR251" s="38">
        <f t="shared" si="246"/>
        <v>13.15</v>
      </c>
      <c r="CS251" s="17">
        <f t="shared" si="232"/>
        <v>17.73</v>
      </c>
      <c r="CT251" s="17">
        <f t="shared" si="233"/>
        <v>26.89</v>
      </c>
      <c r="CU251" s="17">
        <f t="shared" si="234"/>
        <v>31.47</v>
      </c>
      <c r="CV251" s="2" cm="1">
        <f t="array" aca="1" ref="CV251" ca="1">MAX(_xlfn._xlws.FILTER(CO251:CU251,CO251:CU251&lt;BQ251))</f>
        <v>3.990000000000002</v>
      </c>
      <c r="CW251" s="2" cm="1">
        <f t="array" aca="1" ref="CW251" ca="1">MIN(_xlfn._xlws.FILTER($CO251:$CU251,$CO251:$CU251&gt;BQ251))</f>
        <v>13.15</v>
      </c>
      <c r="CX251" s="16">
        <f t="shared" ca="1" si="248"/>
        <v>2.2957393483709256</v>
      </c>
      <c r="CY251" s="20">
        <f t="shared" ca="1" si="249"/>
        <v>-1.1478696741854628</v>
      </c>
      <c r="CZ251" s="20">
        <f t="shared" ca="1" si="250"/>
        <v>-0.76524644945697518</v>
      </c>
      <c r="DA251" s="20">
        <f t="shared" ca="1" si="251"/>
        <v>-0.45914786967418514</v>
      </c>
      <c r="DB251" s="20">
        <f t="shared" ca="1" si="252"/>
        <v>-0.25508214981899174</v>
      </c>
      <c r="DC251" s="20">
        <f t="shared" ca="1" si="253"/>
        <v>-0.13504349108064267</v>
      </c>
      <c r="DD251" s="20">
        <f t="shared" ca="1" si="254"/>
        <v>-6.9567859041543195E-2</v>
      </c>
      <c r="DE251" s="20">
        <f t="shared" ca="1" si="255"/>
        <v>-3.5319066898014242E-2</v>
      </c>
      <c r="DF251" s="21">
        <f t="shared" ca="1" si="256"/>
        <v>3.5319066898014242E-2</v>
      </c>
      <c r="DG251" s="21">
        <f t="shared" ca="1" si="257"/>
        <v>6.9567859041543195E-2</v>
      </c>
      <c r="DH251" s="21">
        <f t="shared" ca="1" si="258"/>
        <v>0.13504349108064267</v>
      </c>
      <c r="DI251" s="21">
        <f t="shared" ca="1" si="259"/>
        <v>0.25508214981899174</v>
      </c>
      <c r="DJ251" s="21">
        <f t="shared" ca="1" si="260"/>
        <v>0.45914786967418514</v>
      </c>
      <c r="DK251" s="21">
        <f t="shared" ca="1" si="261"/>
        <v>0.76524644945697518</v>
      </c>
      <c r="DL251" s="21">
        <f t="shared" ca="1" si="262"/>
        <v>1.1478696741854628</v>
      </c>
      <c r="DN251" s="16" cm="1">
        <f t="array" aca="1" ref="DN251" ca="1">MAX(_xlfn._xlws.FILTER(CY251:DL251,CY251:DL251&lt;BW251))</f>
        <v>-3.5319066898014242E-2</v>
      </c>
      <c r="DO251" s="16" cm="1">
        <f t="array" aca="1" ref="DO251" ca="1">MIN(_xlfn._xlws.FILTER(CY251:DL251,CY251:DL251&gt;BW251))</f>
        <v>3.5319066898014242E-2</v>
      </c>
      <c r="DP251" s="2" cm="1">
        <f t="array" aca="1" ref="DP251" ca="1">_FV(EE251,"Fechamento anterior",TRUE)</f>
        <v>8.75</v>
      </c>
      <c r="DQ251" s="28">
        <f t="shared" ca="1" si="235"/>
        <v>0.20877729257642022</v>
      </c>
      <c r="DR251" s="15">
        <f t="shared" ca="1" si="263"/>
        <v>8.4409581646423746</v>
      </c>
      <c r="DS251" s="15">
        <f t="shared" ca="1" si="264"/>
        <v>9.0590418353576254</v>
      </c>
      <c r="DT251" s="9"/>
      <c r="DU251" s="9"/>
      <c r="DV251" s="9"/>
      <c r="DW251" s="89">
        <v>5.8007566204287521E-2</v>
      </c>
      <c r="DX251" s="89">
        <f t="shared" ca="1" si="236"/>
        <v>7.0638133796028485E-2</v>
      </c>
      <c r="DY251" s="72">
        <f t="shared" ca="1" si="237"/>
        <v>3.8411567741193461E-2</v>
      </c>
      <c r="DZ251" s="37"/>
      <c r="EA251" s="35">
        <f t="shared" si="247"/>
        <v>0.39050736228655131</v>
      </c>
      <c r="EB251" s="56"/>
      <c r="EC251" s="56"/>
      <c r="EE251" s="2" t="e" vm="253">
        <v>#VALUE!</v>
      </c>
      <c r="EG251" s="10" cm="1">
        <f t="array" aca="1" ref="EG251" ca="1">_FV(EE251,"Ações em circulação",TRUE)</f>
        <v>797207800</v>
      </c>
      <c r="EH251" s="18">
        <f>VLOOKUP(BR251,Fundamentus!A:U,5,FALSE)</f>
        <v>9.1999999999999998E-2</v>
      </c>
      <c r="EI251" s="2">
        <f t="shared" ca="1" si="238"/>
        <v>74261639630.434784</v>
      </c>
      <c r="EJ251" s="17">
        <v>-9431228233.065218</v>
      </c>
      <c r="EK251" s="17">
        <f t="shared" ca="1" si="239"/>
        <v>-9431228233.065218</v>
      </c>
      <c r="EM251" s="16">
        <f t="shared" ca="1" si="226"/>
        <v>0</v>
      </c>
      <c r="EN251" s="32" t="str">
        <f>IF(VLOOKUP(BR251,Fundamentus!A:U,3,FALSE)&lt;15,"Bom",IF(VLOOKUP(BR251,Fundamentus!A:U,3,FALSE)&gt;15,"Ruim","n/a"))</f>
        <v>Bom</v>
      </c>
      <c r="EO251" s="28" t="str">
        <f>IF(VLOOKUP(BR251,Fundamentus!A:U,4,FALSE)&lt;1,"Baixo",IF(VLOOKUP(BR251,Fundamentus!A:U,4,FALSE)&lt;1.5,"Moderado",IF(VLOOKUP(BR251,Fundamentus!A:U,4,FALSE)&gt;1.5,"Alto","n/a")))</f>
        <v>Baixo</v>
      </c>
      <c r="EP251" s="17" t="str">
        <f>IF(VLOOKUP(BR251,Fundamentus!A:U,8,FALSE)&lt;0,"Risco elevado",IF(VLOOKUP(BR251,Fundamentus!A:U,8,FALSE)&lt;1,"Saudável",IF(VLOOKUP(BR251,Fundamentus!A:U,8,FALSE)&lt;3,"Estável",IF(VLOOKUP(BR251,Fundamentus!A:U,8,FALSE)&gt;3,"Alerta","n/a"))))</f>
        <v>Saudável</v>
      </c>
      <c r="EQ251" s="28" t="str">
        <f t="shared" si="240"/>
        <v>Ruim</v>
      </c>
      <c r="ER251" s="17" t="str">
        <f>IF(VLOOKUP(BR251,Fundamentus!A:U,12,FALSE)&lt;2,"Subvalorizada",IF(VLOOKUP(BR251,Fundamentus!A:U,12,FALSE)&lt;6,"Muita barata",IF(VLOOKUP(BR251,Fundamentus!A:U,12,FALSE)&lt;6,"Barata",IF(VLOOKUP(BR251,Fundamentus!A:U,12,FALSE)&lt;8,"Atrativa",IF(VLOOKUP(BR251,Fundamentus!A:U,12,FALSE)&gt;8,"Supervalorizada","n/a")))))</f>
        <v>Atrativa</v>
      </c>
      <c r="ET251" s="17" t="str">
        <f>IF(VLOOKUP(BR251,Fundamentus!A:U,17,FALSE)&lt;0.1,"Fraco retorno",IF(VLOOKUP(BR251,Fundamentus!A:U,17,FALSE)&gt;0.1,"Bom retorno","n/a"))</f>
        <v>Bom retorno</v>
      </c>
      <c r="EU251" s="17" t="str">
        <f>IF(VLOOKUP(BR251,Fundamentus!A:U,16,FALSE)&lt;0.1,"Ineficiente",IF(VLOOKUP(BR251,Fundamentus!A:U,16,FALSE)&gt;0.1,"Eficiente","n/a"))</f>
        <v>Ineficiente</v>
      </c>
      <c r="EV251" s="33" t="str">
        <f>IF(VLOOKUP(BR251,Fundamentus!A:U,16,FALSE)&lt;0.1,"Oper. Ineficiente",IF(VLOOKUP(BR251,Fundamentus!A:U,16,FALSE)&gt;0.1,"Oper.Eficiente","n/a"))</f>
        <v>Oper. Ineficiente</v>
      </c>
      <c r="EW251" s="34">
        <f>VLOOKUP(BR251,Fundamentus!A:U,14,FALSE)</f>
        <v>-0.127</v>
      </c>
      <c r="EX251" s="17" t="str">
        <f>IF(VLOOKUP(BR251,Fundamentus!A:U,21,FALSE)&lt;0,"Negativo",IF(VLOOKUP(BR251,Fundamentus!A:U,21,FALSE)&lt;0.05,"Fraco",IF(VLOOKUP(BR251,Fundamentus!A:U,21,FALSE)&lt;0.1,"Bom",IF(VLOOKUP(BR251,Fundamentus!A:U,21,FALSE)&gt;0.1,"Muito bom","n/a"))))</f>
        <v>Negativo</v>
      </c>
      <c r="EZ251" s="29" t="str">
        <f>IF(VLOOKUP(BR251,Fundamentus!A:U,15,FALSE)&gt;1,"Bom",IF(VLOOKUP(BR251,Fundamentus!A:U,15,FALSE)&lt;1,"Ruim","n/a"))</f>
        <v>Bom</v>
      </c>
      <c r="FA251" s="17" t="str">
        <f>IF(VLOOKUP(BR251,Fundamentus!A:U,20,FALSE)&lt;0.5,"Baixa",IF(VLOOKUP(BR251,Fundamentus!A:U,20,FALSE)&lt;1,"Moderada",IF(VLOOKUP(BR251,Fundamentus!A:U,20,FALSE)&lt;2,"Alerta",IF(VLOOKUP(BR251,Fundamentus!A:U,20,FALSE)&gt;2,"Alta","n/a"))))</f>
        <v>Baixa</v>
      </c>
    </row>
    <row r="252" spans="1:157" s="2" customFormat="1" ht="11.25"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5">
        <v>0.72</v>
      </c>
      <c r="BC252" s="52">
        <v>0.74</v>
      </c>
      <c r="BD252" s="52">
        <v>0.7</v>
      </c>
      <c r="BE252" s="52">
        <v>7</v>
      </c>
      <c r="BF252" s="52">
        <v>6.41</v>
      </c>
      <c r="BG252" s="67">
        <v>6.5</v>
      </c>
      <c r="BH252" s="52">
        <v>6.7</v>
      </c>
      <c r="BI252" s="52">
        <v>6.44</v>
      </c>
      <c r="BJ252" s="52">
        <v>6.74</v>
      </c>
      <c r="BK252" s="52">
        <v>6.44</v>
      </c>
      <c r="BL252" s="52">
        <v>6.66</v>
      </c>
      <c r="BM252" s="52">
        <v>6.43</v>
      </c>
      <c r="BN252" s="52">
        <v>6.31</v>
      </c>
      <c r="BO252" s="52">
        <v>6.41</v>
      </c>
      <c r="BP252" s="52">
        <v>6.22</v>
      </c>
      <c r="BQ252" s="52" cm="1">
        <f t="array" aca="1" ref="BQ252" ca="1">_FV(EE252,"Preço")</f>
        <v>6.22</v>
      </c>
      <c r="BR252" s="69" t="s">
        <v>248</v>
      </c>
      <c r="BS252" s="36" cm="1">
        <f t="array" aca="1" ref="BS252" ca="1">_FV(EE252,"Média de volume",TRUE)</f>
        <v>21170</v>
      </c>
      <c r="BT252" s="36">
        <v>40800</v>
      </c>
      <c r="BU252" s="36" cm="1">
        <f t="array" aca="1" ref="BU252" ca="1">_FV(EE252,"Volume")</f>
        <v>40800</v>
      </c>
      <c r="BV252" s="24" cm="1">
        <f t="array" aca="1" ref="BV252" ca="1">_FV(EE252,"Beta")</f>
        <v>1.885</v>
      </c>
      <c r="BW252" s="71" cm="1">
        <f t="array" aca="1" ref="BW252" ca="1">_FV(EE252,"Variação (%)",TRUE)</f>
        <v>-1.1129E-2</v>
      </c>
      <c r="BY252" s="17" cm="1">
        <f t="array" aca="1" ref="BY252" ca="1">_FV(EE252,"Baixo")</f>
        <v>6.22</v>
      </c>
      <c r="BZ252" s="17" cm="1">
        <f t="array" aca="1" ref="BZ252" ca="1">_FV(EE252,"Alto")</f>
        <v>6.36</v>
      </c>
      <c r="CA252" s="24"/>
      <c r="CB252" s="63" t="e">
        <f ca="1">SQRT(22.5*(BQ252/VLOOKUP(BR252,Fundamentus!A:U,3,FALSE))*(BQ252/VLOOKUP(BR252,Fundamentus!A:U,4,FALSE)))</f>
        <v>#NUM!</v>
      </c>
      <c r="CD252" s="62">
        <f t="shared" ca="1" si="241"/>
        <v>0</v>
      </c>
      <c r="CE252" s="8"/>
      <c r="CF252" s="61">
        <f t="shared" si="242"/>
        <v>0.63</v>
      </c>
      <c r="CG252" s="61">
        <f t="shared" si="243"/>
        <v>7</v>
      </c>
      <c r="CH252" s="61">
        <f t="shared" si="244"/>
        <v>2.0198529411764703</v>
      </c>
      <c r="CI252" s="14"/>
      <c r="CJ252" s="35">
        <f t="shared" si="227"/>
        <v>5.9805659136047797</v>
      </c>
      <c r="CK252" s="15">
        <f t="shared" si="245"/>
        <v>6.2099999999999795</v>
      </c>
      <c r="CL252" s="35">
        <f t="shared" si="228"/>
        <v>6.4394340863951793</v>
      </c>
      <c r="CN252" s="14"/>
      <c r="CO252" s="17">
        <f t="shared" si="229"/>
        <v>-4.1366666666666676</v>
      </c>
      <c r="CP252" s="17">
        <f t="shared" si="230"/>
        <v>-1.7533333333333339</v>
      </c>
      <c r="CQ252" s="17">
        <f t="shared" si="231"/>
        <v>2.2333333333333325</v>
      </c>
      <c r="CR252" s="38">
        <f t="shared" si="246"/>
        <v>4.6166666666666663</v>
      </c>
      <c r="CS252" s="17">
        <f t="shared" si="232"/>
        <v>8.6033333333333317</v>
      </c>
      <c r="CT252" s="17">
        <f t="shared" si="233"/>
        <v>10.986666666666666</v>
      </c>
      <c r="CU252" s="17">
        <f t="shared" si="234"/>
        <v>14.973333333333333</v>
      </c>
      <c r="CV252" s="2" cm="1">
        <f t="array" aca="1" ref="CV252" ca="1">MAX(_xlfn._xlws.FILTER(CO252:CU252,CO252:CU252&lt;BQ252))</f>
        <v>4.6166666666666663</v>
      </c>
      <c r="CW252" s="2" cm="1">
        <f t="array" aca="1" ref="CW252" ca="1">MIN(_xlfn._xlws.FILTER($CO252:$CU252,$CO252:$CU252&gt;BQ252))</f>
        <v>8.6033333333333317</v>
      </c>
      <c r="CX252" s="16">
        <f t="shared" ca="1" si="248"/>
        <v>0.86353790613718395</v>
      </c>
      <c r="CY252" s="20">
        <f t="shared" ca="1" si="249"/>
        <v>-0.43176895306859198</v>
      </c>
      <c r="CZ252" s="20">
        <f t="shared" ca="1" si="250"/>
        <v>-0.28784596871239465</v>
      </c>
      <c r="DA252" s="20">
        <f t="shared" ca="1" si="251"/>
        <v>-0.17270758122743679</v>
      </c>
      <c r="DB252" s="20">
        <f t="shared" ca="1" si="252"/>
        <v>-9.5948656237464888E-2</v>
      </c>
      <c r="DC252" s="20">
        <f t="shared" ca="1" si="253"/>
        <v>-5.0796347419834353E-2</v>
      </c>
      <c r="DD252" s="20">
        <f t="shared" ca="1" si="254"/>
        <v>-2.6167815337490422E-2</v>
      </c>
      <c r="DE252" s="20">
        <f t="shared" ca="1" si="255"/>
        <v>-1.3285198555956676E-2</v>
      </c>
      <c r="DF252" s="21">
        <f t="shared" ca="1" si="256"/>
        <v>1.3285198555956676E-2</v>
      </c>
      <c r="DG252" s="21">
        <f t="shared" ca="1" si="257"/>
        <v>2.6167815337490422E-2</v>
      </c>
      <c r="DH252" s="21">
        <f t="shared" ca="1" si="258"/>
        <v>5.0796347419834353E-2</v>
      </c>
      <c r="DI252" s="21">
        <f t="shared" ca="1" si="259"/>
        <v>9.5948656237464888E-2</v>
      </c>
      <c r="DJ252" s="21">
        <f t="shared" ca="1" si="260"/>
        <v>0.17270758122743679</v>
      </c>
      <c r="DK252" s="21">
        <f t="shared" ca="1" si="261"/>
        <v>0.28784596871239465</v>
      </c>
      <c r="DL252" s="21">
        <f t="shared" ca="1" si="262"/>
        <v>0.43176895306859198</v>
      </c>
      <c r="DN252" s="16" cm="1">
        <f t="array" aca="1" ref="DN252" ca="1">MAX(_xlfn._xlws.FILTER(CY252:DL252,CY252:DL252&lt;BW252))</f>
        <v>-1.3285198555956676E-2</v>
      </c>
      <c r="DO252" s="16" cm="1">
        <f t="array" aca="1" ref="DO252" ca="1">MIN(_xlfn._xlws.FILTER(CY252:DL252,CY252:DL252&gt;BW252))</f>
        <v>1.3285198555956676E-2</v>
      </c>
      <c r="DP252" s="2" cm="1">
        <f t="array" aca="1" ref="DP252" ca="1">_FV(EE252,"Fechamento anterior",TRUE)</f>
        <v>6.29</v>
      </c>
      <c r="DQ252" s="28">
        <f t="shared" ca="1" si="235"/>
        <v>8.1158844266258703E-2</v>
      </c>
      <c r="DR252" s="15">
        <f t="shared" ca="1" si="263"/>
        <v>6.2064361010830327</v>
      </c>
      <c r="DS252" s="15">
        <f t="shared" ca="1" si="264"/>
        <v>6.3735638989169674</v>
      </c>
      <c r="DT252" s="9"/>
      <c r="DU252" s="9"/>
      <c r="DV252" s="9"/>
      <c r="DW252" s="89">
        <v>2.6627218934911236E-2</v>
      </c>
      <c r="DX252" s="89">
        <f t="shared" ca="1" si="236"/>
        <v>2.6570397111913353E-2</v>
      </c>
      <c r="DY252" s="72">
        <f t="shared" ca="1" si="237"/>
        <v>4.3585502734738518E-2</v>
      </c>
      <c r="DZ252" s="37"/>
      <c r="EA252" s="35">
        <f t="shared" si="247"/>
        <v>0.11471704319760004</v>
      </c>
      <c r="EB252" s="56"/>
      <c r="EC252" s="56"/>
      <c r="EE252" s="2" t="e" vm="254">
        <v>#VALUE!</v>
      </c>
      <c r="EG252" s="10" cm="1">
        <f t="array" aca="1" ref="EG252" ca="1">_FV(EE252,"Ações em circulação",TRUE)</f>
        <v>67412640</v>
      </c>
      <c r="EH252" s="18">
        <f>VLOOKUP(BR252,Fundamentus!A:U,5,FALSE)</f>
        <v>0.29199999999999998</v>
      </c>
      <c r="EI252" s="2">
        <f t="shared" ca="1" si="238"/>
        <v>1435981578.0821919</v>
      </c>
      <c r="EJ252" s="17">
        <v>-716985601.93643844</v>
      </c>
      <c r="EK252" s="17">
        <f t="shared" ca="1" si="239"/>
        <v>-716985601.93643844</v>
      </c>
      <c r="EM252" s="16">
        <f t="shared" ca="1" si="226"/>
        <v>0</v>
      </c>
      <c r="EN252" s="32" t="str">
        <f>IF(VLOOKUP(BR252,Fundamentus!A:U,3,FALSE)&lt;15,"Bom",IF(VLOOKUP(BR252,Fundamentus!A:U,3,FALSE)&gt;15,"Ruim","n/a"))</f>
        <v>Bom</v>
      </c>
      <c r="EO252" s="28" t="str">
        <f>IF(VLOOKUP(BR252,Fundamentus!A:U,4,FALSE)&lt;1,"Baixo",IF(VLOOKUP(BR252,Fundamentus!A:U,4,FALSE)&lt;1.5,"Moderado",IF(VLOOKUP(BR252,Fundamentus!A:U,4,FALSE)&gt;1.5,"Alto","n/a")))</f>
        <v>Baixo</v>
      </c>
      <c r="EP252" s="17" t="str">
        <f>IF(VLOOKUP(BR252,Fundamentus!A:U,8,FALSE)&lt;0,"Risco elevado",IF(VLOOKUP(BR252,Fundamentus!A:U,8,FALSE)&lt;1,"Saudável",IF(VLOOKUP(BR252,Fundamentus!A:U,8,FALSE)&lt;3,"Estável",IF(VLOOKUP(BR252,Fundamentus!A:U,8,FALSE)&gt;3,"Alerta","n/a"))))</f>
        <v>Saudável</v>
      </c>
      <c r="EQ252" s="28" t="str">
        <f t="shared" si="240"/>
        <v>Ruim</v>
      </c>
      <c r="ER252" s="17" t="str">
        <f>IF(VLOOKUP(BR252,Fundamentus!A:U,12,FALSE)&lt;2,"Subvalorizada",IF(VLOOKUP(BR252,Fundamentus!A:U,12,FALSE)&lt;6,"Muita barata",IF(VLOOKUP(BR252,Fundamentus!A:U,12,FALSE)&lt;6,"Barata",IF(VLOOKUP(BR252,Fundamentus!A:U,12,FALSE)&lt;8,"Atrativa",IF(VLOOKUP(BR252,Fundamentus!A:U,12,FALSE)&gt;8,"Supervalorizada","n/a")))))</f>
        <v>Subvalorizada</v>
      </c>
      <c r="ET252" s="17" t="str">
        <f>IF(VLOOKUP(BR252,Fundamentus!A:U,17,FALSE)&lt;0.1,"Fraco retorno",IF(VLOOKUP(BR252,Fundamentus!A:U,17,FALSE)&gt;0.1,"Bom retorno","n/a"))</f>
        <v>Fraco retorno</v>
      </c>
      <c r="EU252" s="17" t="str">
        <f>IF(VLOOKUP(BR252,Fundamentus!A:U,16,FALSE)&lt;0.1,"Ineficiente",IF(VLOOKUP(BR252,Fundamentus!A:U,16,FALSE)&gt;0.1,"Eficiente","n/a"))</f>
        <v>Ineficiente</v>
      </c>
      <c r="EV252" s="33" t="str">
        <f>IF(VLOOKUP(BR252,Fundamentus!A:U,16,FALSE)&lt;0.1,"Oper. Ineficiente",IF(VLOOKUP(BR252,Fundamentus!A:U,16,FALSE)&gt;0.1,"Oper.Eficiente","n/a"))</f>
        <v>Oper. Ineficiente</v>
      </c>
      <c r="EW252" s="34">
        <f>VLOOKUP(BR252,Fundamentus!A:U,14,FALSE)</f>
        <v>-0.49930000000000002</v>
      </c>
      <c r="EX252" s="17" t="str">
        <f>IF(VLOOKUP(BR252,Fundamentus!A:U,21,FALSE)&lt;0,"Negativo",IF(VLOOKUP(BR252,Fundamentus!A:U,21,FALSE)&lt;0.05,"Fraco",IF(VLOOKUP(BR252,Fundamentus!A:U,21,FALSE)&lt;0.1,"Bom",IF(VLOOKUP(BR252,Fundamentus!A:U,21,FALSE)&gt;0.1,"Muito bom","n/a"))))</f>
        <v>Muito bom</v>
      </c>
      <c r="EZ252" s="29" t="str">
        <f>IF(VLOOKUP(BR252,Fundamentus!A:U,15,FALSE)&gt;1,"Bom",IF(VLOOKUP(BR252,Fundamentus!A:U,15,FALSE)&lt;1,"Ruim","n/a"))</f>
        <v>Bom</v>
      </c>
      <c r="FA252" s="17" t="str">
        <f>IF(VLOOKUP(BR252,Fundamentus!A:U,20,FALSE)&lt;0.5,"Baixa",IF(VLOOKUP(BR252,Fundamentus!A:U,20,FALSE)&lt;1,"Moderada",IF(VLOOKUP(BR252,Fundamentus!A:U,20,FALSE)&lt;2,"Alerta",IF(VLOOKUP(BR252,Fundamentus!A:U,20,FALSE)&gt;2,"Alta","n/a"))))</f>
        <v>Moderada</v>
      </c>
    </row>
    <row r="253" spans="1:157" s="2" customFormat="1" ht="11.25"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5">
        <v>0.74</v>
      </c>
      <c r="BC253" s="52">
        <v>0.71</v>
      </c>
      <c r="BD253" s="52">
        <v>0.59</v>
      </c>
      <c r="BE253" s="52">
        <v>0.56000000000000005</v>
      </c>
      <c r="BF253" s="52">
        <v>0.56999999999999995</v>
      </c>
      <c r="BG253" s="67">
        <v>0.5</v>
      </c>
      <c r="BH253" s="52">
        <v>0.46</v>
      </c>
      <c r="BI253" s="52">
        <v>0.46</v>
      </c>
      <c r="BJ253" s="52">
        <v>0.46</v>
      </c>
      <c r="BK253" s="52">
        <v>0.61</v>
      </c>
      <c r="BL253" s="52">
        <v>0.55000000000000004</v>
      </c>
      <c r="BM253" s="52">
        <v>0.52</v>
      </c>
      <c r="BN253" s="52">
        <v>0.54</v>
      </c>
      <c r="BO253" s="52">
        <v>0.53</v>
      </c>
      <c r="BP253" s="52">
        <v>0.55000000000000004</v>
      </c>
      <c r="BQ253" s="52" cm="1">
        <f t="array" aca="1" ref="BQ253" ca="1">_FV(EE253,"Preço")</f>
        <v>0.55000000000000004</v>
      </c>
      <c r="BR253" s="69" t="s">
        <v>249</v>
      </c>
      <c r="BS253" s="36" cm="1">
        <f t="array" aca="1" ref="BS253" ca="1">_FV(EE253,"Média de volume",TRUE)</f>
        <v>1519960</v>
      </c>
      <c r="BT253" s="36">
        <v>2857700</v>
      </c>
      <c r="BU253" s="36" cm="1">
        <f t="array" aca="1" ref="BU253" ca="1">_FV(EE253,"Volume")</f>
        <v>2857700</v>
      </c>
      <c r="BV253" s="24" cm="1">
        <f t="array" aca="1" ref="BV253" ca="1">_FV(EE253,"Beta")</f>
        <v>1.0609999999999999</v>
      </c>
      <c r="BW253" s="71" cm="1">
        <f t="array" aca="1" ref="BW253" ca="1">_FV(EE253,"Variação (%)",TRUE)</f>
        <v>-8.333299999999999E-2</v>
      </c>
      <c r="BY253" s="17" cm="1">
        <f t="array" aca="1" ref="BY253" ca="1">_FV(EE253,"Baixo")</f>
        <v>0.55000000000000004</v>
      </c>
      <c r="BZ253" s="17" cm="1">
        <f t="array" aca="1" ref="BZ253" ca="1">_FV(EE253,"Alto")</f>
        <v>0.64</v>
      </c>
      <c r="CA253" s="24"/>
      <c r="CB253" s="63" t="e">
        <f ca="1">SQRT(22.5*(BQ253/VLOOKUP(BR253,Fundamentus!A:U,3,FALSE))*(BQ253/VLOOKUP(BR253,Fundamentus!A:U,4,FALSE)))</f>
        <v>#NUM!</v>
      </c>
      <c r="CD253" s="62">
        <f t="shared" ca="1" si="241"/>
        <v>0</v>
      </c>
      <c r="CE253" s="8"/>
      <c r="CF253" s="61">
        <f t="shared" si="242"/>
        <v>0.46</v>
      </c>
      <c r="CG253" s="61">
        <f t="shared" si="243"/>
        <v>1.69</v>
      </c>
      <c r="CH253" s="61">
        <f t="shared" si="244"/>
        <v>1.0501470588235289</v>
      </c>
      <c r="CI253" s="14"/>
      <c r="CJ253" s="35">
        <f t="shared" si="227"/>
        <v>0.49175444679662506</v>
      </c>
      <c r="CK253" s="15">
        <f t="shared" si="245"/>
        <v>0.55499999999999261</v>
      </c>
      <c r="CL253" s="35">
        <f t="shared" si="228"/>
        <v>0.61824555320336017</v>
      </c>
      <c r="CN253" s="14"/>
      <c r="CO253" s="17">
        <f t="shared" si="229"/>
        <v>-1.1199999999999999</v>
      </c>
      <c r="CP253" s="17">
        <f t="shared" si="230"/>
        <v>-0.32999999999999996</v>
      </c>
      <c r="CQ253" s="17">
        <f t="shared" si="231"/>
        <v>0.1100000000000001</v>
      </c>
      <c r="CR253" s="38">
        <f t="shared" si="246"/>
        <v>0.9</v>
      </c>
      <c r="CS253" s="17">
        <f t="shared" si="232"/>
        <v>1.34</v>
      </c>
      <c r="CT253" s="17">
        <f t="shared" si="233"/>
        <v>2.13</v>
      </c>
      <c r="CU253" s="17">
        <f t="shared" si="234"/>
        <v>2.57</v>
      </c>
      <c r="CV253" s="2" cm="1">
        <f t="array" aca="1" ref="CV253" ca="1">MAX(_xlfn._xlws.FILTER(CO253:CU253,CO253:CU253&lt;BQ253))</f>
        <v>0.1100000000000001</v>
      </c>
      <c r="CW253" s="2" cm="1">
        <f t="array" aca="1" ref="CW253" ca="1">MIN(_xlfn._xlws.FILTER($CO253:$CU253,$CO253:$CU253&gt;BQ253))</f>
        <v>0.9</v>
      </c>
      <c r="CX253" s="16">
        <f t="shared" ca="1" si="248"/>
        <v>7.1818181818181746</v>
      </c>
      <c r="CY253" s="20">
        <f t="shared" ca="1" si="249"/>
        <v>-3.5909090909090873</v>
      </c>
      <c r="CZ253" s="20">
        <f t="shared" ca="1" si="250"/>
        <v>-2.3939393939393914</v>
      </c>
      <c r="DA253" s="20">
        <f t="shared" ca="1" si="251"/>
        <v>-1.436363636363635</v>
      </c>
      <c r="DB253" s="20">
        <f t="shared" ca="1" si="252"/>
        <v>-0.79797979797979712</v>
      </c>
      <c r="DC253" s="20">
        <f t="shared" ca="1" si="253"/>
        <v>-0.42245989304812792</v>
      </c>
      <c r="DD253" s="20">
        <f t="shared" ca="1" si="254"/>
        <v>-0.21763085399449014</v>
      </c>
      <c r="DE253" s="20">
        <f t="shared" ca="1" si="255"/>
        <v>-0.11048951048951038</v>
      </c>
      <c r="DF253" s="21">
        <f t="shared" ca="1" si="256"/>
        <v>0.11048951048951038</v>
      </c>
      <c r="DG253" s="21">
        <f t="shared" ca="1" si="257"/>
        <v>0.21763085399449014</v>
      </c>
      <c r="DH253" s="21">
        <f t="shared" ca="1" si="258"/>
        <v>0.42245989304812792</v>
      </c>
      <c r="DI253" s="21">
        <f t="shared" ca="1" si="259"/>
        <v>0.79797979797979712</v>
      </c>
      <c r="DJ253" s="21">
        <f t="shared" ca="1" si="260"/>
        <v>1.436363636363635</v>
      </c>
      <c r="DK253" s="21">
        <f t="shared" ca="1" si="261"/>
        <v>2.3939393939393914</v>
      </c>
      <c r="DL253" s="21">
        <f t="shared" ca="1" si="262"/>
        <v>3.5909090909090873</v>
      </c>
      <c r="DN253" s="16" cm="1">
        <f t="array" aca="1" ref="DN253" ca="1">MAX(_xlfn._xlws.FILTER(CY253:DL253,CY253:DL253&lt;BW253))</f>
        <v>-0.11048951048951038</v>
      </c>
      <c r="DO253" s="16" cm="1">
        <f t="array" aca="1" ref="DO253" ca="1">MIN(_xlfn._xlws.FILTER(CY253:DL253,CY253:DL253&gt;BW253))</f>
        <v>0.11048951048951038</v>
      </c>
      <c r="DP253" s="2" cm="1">
        <f t="array" aca="1" ref="DP253" ca="1">_FV(EE253,"Fechamento anterior",TRUE)</f>
        <v>0.6</v>
      </c>
      <c r="DQ253" s="28">
        <f t="shared" ca="1" si="235"/>
        <v>0.12289029535864995</v>
      </c>
      <c r="DR253" s="15">
        <f t="shared" ca="1" si="263"/>
        <v>0.53370629370629374</v>
      </c>
      <c r="DS253" s="15">
        <f t="shared" ca="1" si="264"/>
        <v>0.66629370629370621</v>
      </c>
      <c r="DT253" s="9"/>
      <c r="DU253" s="9"/>
      <c r="DV253" s="9"/>
      <c r="DW253" s="89">
        <v>0.25358090185676452</v>
      </c>
      <c r="DX253" s="89">
        <f t="shared" ca="1" si="236"/>
        <v>0.22097902097902075</v>
      </c>
      <c r="DY253" s="72">
        <f t="shared" ca="1" si="237"/>
        <v>-7.9056941504091982E-2</v>
      </c>
      <c r="DZ253" s="37"/>
      <c r="EA253" s="35">
        <f t="shared" si="247"/>
        <v>3.1622776601683777E-2</v>
      </c>
      <c r="EB253" s="56"/>
      <c r="EC253" s="56"/>
      <c r="EE253" s="2" t="e" vm="255">
        <v>#VALUE!</v>
      </c>
      <c r="EG253" s="10" cm="1">
        <f t="array" aca="1" ref="EG253" ca="1">_FV(EE253,"Ações em circulação",TRUE)</f>
        <v>592753700</v>
      </c>
      <c r="EH253" s="18">
        <f>VLOOKUP(BR253,Fundamentus!A:U,5,FALSE)</f>
        <v>2.044</v>
      </c>
      <c r="EI253" s="2">
        <f t="shared" ca="1" si="238"/>
        <v>159498304.79452056</v>
      </c>
      <c r="EJ253" s="17">
        <v>-273077047.63869864</v>
      </c>
      <c r="EK253" s="17">
        <f t="shared" ca="1" si="239"/>
        <v>-273077047.63869864</v>
      </c>
      <c r="EM253" s="16">
        <f t="shared" ca="1" si="226"/>
        <v>0</v>
      </c>
      <c r="EN253" s="32" t="str">
        <f>IF(VLOOKUP(BR253,Fundamentus!A:U,3,FALSE)&lt;15,"Bom",IF(VLOOKUP(BR253,Fundamentus!A:U,3,FALSE)&gt;15,"Ruim","n/a"))</f>
        <v>Bom</v>
      </c>
      <c r="EO253" s="28" t="str">
        <f>IF(VLOOKUP(BR253,Fundamentus!A:U,4,FALSE)&lt;1,"Baixo",IF(VLOOKUP(BR253,Fundamentus!A:U,4,FALSE)&lt;1.5,"Moderado",IF(VLOOKUP(BR253,Fundamentus!A:U,4,FALSE)&gt;1.5,"Alto","n/a")))</f>
        <v>Baixo</v>
      </c>
      <c r="EP253" s="17" t="str">
        <f>IF(VLOOKUP(BR253,Fundamentus!A:U,8,FALSE)&lt;0,"Risco elevado",IF(VLOOKUP(BR253,Fundamentus!A:U,8,FALSE)&lt;1,"Saudável",IF(VLOOKUP(BR253,Fundamentus!A:U,8,FALSE)&lt;3,"Estável",IF(VLOOKUP(BR253,Fundamentus!A:U,8,FALSE)&gt;3,"Alerta","n/a"))))</f>
        <v>Risco elevado</v>
      </c>
      <c r="EQ253" s="28" t="str">
        <f t="shared" si="240"/>
        <v>Bom</v>
      </c>
      <c r="ER253" s="17" t="str">
        <f>IF(VLOOKUP(BR253,Fundamentus!A:U,12,FALSE)&lt;2,"Subvalorizada",IF(VLOOKUP(BR253,Fundamentus!A:U,12,FALSE)&lt;6,"Muita barata",IF(VLOOKUP(BR253,Fundamentus!A:U,12,FALSE)&lt;6,"Barata",IF(VLOOKUP(BR253,Fundamentus!A:U,12,FALSE)&lt;8,"Atrativa",IF(VLOOKUP(BR253,Fundamentus!A:U,12,FALSE)&gt;8,"Supervalorizada","n/a")))))</f>
        <v>Subvalorizada</v>
      </c>
      <c r="ET253" s="17" t="str">
        <f>IF(VLOOKUP(BR253,Fundamentus!A:U,17,FALSE)&lt;0.1,"Fraco retorno",IF(VLOOKUP(BR253,Fundamentus!A:U,17,FALSE)&gt;0.1,"Bom retorno","n/a"))</f>
        <v>Fraco retorno</v>
      </c>
      <c r="EU253" s="17" t="str">
        <f>IF(VLOOKUP(BR253,Fundamentus!A:U,16,FALSE)&lt;0.1,"Ineficiente",IF(VLOOKUP(BR253,Fundamentus!A:U,16,FALSE)&gt;0.1,"Eficiente","n/a"))</f>
        <v>Ineficiente</v>
      </c>
      <c r="EV253" s="33" t="str">
        <f>IF(VLOOKUP(BR253,Fundamentus!A:U,16,FALSE)&lt;0.1,"Oper. Ineficiente",IF(VLOOKUP(BR253,Fundamentus!A:U,16,FALSE)&gt;0.1,"Oper.Eficiente","n/a"))</f>
        <v>Oper. Ineficiente</v>
      </c>
      <c r="EW253" s="34">
        <f>VLOOKUP(BR253,Fundamentus!A:U,14,FALSE)</f>
        <v>-1.7121</v>
      </c>
      <c r="EX253" s="17" t="str">
        <f>IF(VLOOKUP(BR253,Fundamentus!A:U,21,FALSE)&lt;0,"Negativo",IF(VLOOKUP(BR253,Fundamentus!A:U,21,FALSE)&lt;0.05,"Fraco",IF(VLOOKUP(BR253,Fundamentus!A:U,21,FALSE)&lt;0.1,"Bom",IF(VLOOKUP(BR253,Fundamentus!A:U,21,FALSE)&gt;0.1,"Muito bom","n/a"))))</f>
        <v>Muito bom</v>
      </c>
      <c r="EZ253" s="29" t="str">
        <f>IF(VLOOKUP(BR253,Fundamentus!A:U,15,FALSE)&gt;1,"Bom",IF(VLOOKUP(BR253,Fundamentus!A:U,15,FALSE)&lt;1,"Ruim","n/a"))</f>
        <v>Ruim</v>
      </c>
      <c r="FA253" s="17" t="str">
        <f>IF(VLOOKUP(BR253,Fundamentus!A:U,20,FALSE)&lt;0.5,"Baixa",IF(VLOOKUP(BR253,Fundamentus!A:U,20,FALSE)&lt;1,"Moderada",IF(VLOOKUP(BR253,Fundamentus!A:U,20,FALSE)&lt;2,"Alerta",IF(VLOOKUP(BR253,Fundamentus!A:U,20,FALSE)&gt;2,"Alta","n/a"))))</f>
        <v>Baixa</v>
      </c>
    </row>
    <row r="254" spans="1:157" s="2" customFormat="1" ht="11.25"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5">
        <v>1.19</v>
      </c>
      <c r="BC254" s="52">
        <v>0.95</v>
      </c>
      <c r="BD254" s="52">
        <v>1.3</v>
      </c>
      <c r="BE254" s="52">
        <v>1.47</v>
      </c>
      <c r="BF254" s="52">
        <v>1.1000000000000001</v>
      </c>
      <c r="BG254" s="67">
        <v>701</v>
      </c>
      <c r="BH254" s="52">
        <v>162.16</v>
      </c>
      <c r="BI254" s="52">
        <v>118</v>
      </c>
      <c r="BJ254" s="52">
        <v>151.31</v>
      </c>
      <c r="BK254" s="52">
        <v>40.380000000000003</v>
      </c>
      <c r="BL254" s="52">
        <v>3.57</v>
      </c>
      <c r="BM254" s="52">
        <v>6.8</v>
      </c>
      <c r="BN254" s="52">
        <v>6.57</v>
      </c>
      <c r="BO254" s="52">
        <v>5.37</v>
      </c>
      <c r="BP254" s="52">
        <v>4.92</v>
      </c>
      <c r="BQ254" s="52" cm="1">
        <f t="array" aca="1" ref="BQ254" ca="1">_FV(EE254,"Preço")</f>
        <v>4.92</v>
      </c>
      <c r="BR254" s="69" t="s">
        <v>250</v>
      </c>
      <c r="BS254" s="36" cm="1">
        <f t="array" aca="1" ref="BS254" ca="1">_FV(EE254,"Média de volume",TRUE)</f>
        <v>2045290320</v>
      </c>
      <c r="BT254" s="36">
        <v>575347</v>
      </c>
      <c r="BU254" s="36" cm="1">
        <f t="array" aca="1" ref="BU254" ca="1">_FV(EE254,"Volume")</f>
        <v>575347</v>
      </c>
      <c r="BV254" s="24" cm="1">
        <f t="array" aca="1" ref="BV254" ca="1">_FV(EE254,"Beta")</f>
        <v>2.0024999999999999</v>
      </c>
      <c r="BW254" s="71" cm="1">
        <f t="array" aca="1" ref="BW254" ca="1">_FV(EE254,"Variação (%)",TRUE)</f>
        <v>-5.3845999999999998E-2</v>
      </c>
      <c r="BY254" s="17" cm="1">
        <f t="array" aca="1" ref="BY254" ca="1">_FV(EE254,"Baixo")</f>
        <v>4.8499999999999996</v>
      </c>
      <c r="BZ254" s="17" cm="1">
        <f t="array" aca="1" ref="BZ254" ca="1">_FV(EE254,"Alto")</f>
        <v>5.44</v>
      </c>
      <c r="CA254" s="24"/>
      <c r="CB254" s="63">
        <f ca="1">SQRT(22.5*(BQ254/VLOOKUP(BR254,Fundamentus!A:U,3,FALSE))*(BQ254/VLOOKUP(BR254,Fundamentus!A:U,4,FALSE)))</f>
        <v>0.37609304772193808</v>
      </c>
      <c r="CD254" s="62">
        <f t="shared" ca="1" si="241"/>
        <v>0</v>
      </c>
      <c r="CE254" s="8"/>
      <c r="CF254" s="61">
        <f t="shared" si="242"/>
        <v>0.95</v>
      </c>
      <c r="CG254" s="61">
        <f t="shared" si="243"/>
        <v>701</v>
      </c>
      <c r="CH254" s="61">
        <f t="shared" si="244"/>
        <v>18.724338235294116</v>
      </c>
      <c r="CI254" s="14"/>
      <c r="CJ254" s="35">
        <f t="shared" si="227"/>
        <v>-23.730982245126164</v>
      </c>
      <c r="CK254" s="15">
        <f t="shared" si="245"/>
        <v>4.2049999999999272</v>
      </c>
      <c r="CL254" s="35">
        <f t="shared" si="228"/>
        <v>32.140982245126018</v>
      </c>
      <c r="CN254" s="14"/>
      <c r="CO254" s="17">
        <f t="shared" si="229"/>
        <v>-929.80333333333328</v>
      </c>
      <c r="CP254" s="17">
        <f t="shared" si="230"/>
        <v>-464.42666666666662</v>
      </c>
      <c r="CQ254" s="17">
        <f t="shared" si="231"/>
        <v>-229.75333333333333</v>
      </c>
      <c r="CR254" s="38">
        <f t="shared" si="246"/>
        <v>235.62333333333333</v>
      </c>
      <c r="CS254" s="17">
        <f t="shared" si="232"/>
        <v>470.29666666666668</v>
      </c>
      <c r="CT254" s="17">
        <f t="shared" si="233"/>
        <v>935.67333333333329</v>
      </c>
      <c r="CU254" s="17">
        <f t="shared" si="234"/>
        <v>1170.3466666666668</v>
      </c>
      <c r="CV254" s="2" cm="1">
        <f t="array" aca="1" ref="CV254" ca="1">MAX(_xlfn._xlws.FILTER(CO254:CU254,CO254:CU254&lt;BQ254))</f>
        <v>-229.75333333333333</v>
      </c>
      <c r="CW254" s="2" cm="1">
        <f t="array" aca="1" ref="CW254" ca="1">MIN(_xlfn._xlws.FILTER($CO254:$CU254,$CO254:$CU254&gt;BQ254))</f>
        <v>235.62333333333333</v>
      </c>
      <c r="CX254" s="16">
        <f t="shared" ca="1" si="248"/>
        <v>-2.0255491396570235</v>
      </c>
      <c r="CY254" s="20">
        <f t="shared" ca="1" si="249"/>
        <v>1.0127745698285118</v>
      </c>
      <c r="CZ254" s="20">
        <f t="shared" ca="1" si="250"/>
        <v>0.67518304655234118</v>
      </c>
      <c r="DA254" s="20">
        <f t="shared" ca="1" si="251"/>
        <v>0.40510982793140471</v>
      </c>
      <c r="DB254" s="20">
        <f t="shared" ca="1" si="252"/>
        <v>0.22506101551744706</v>
      </c>
      <c r="DC254" s="20">
        <f t="shared" ca="1" si="253"/>
        <v>0.11914994939158963</v>
      </c>
      <c r="DD254" s="20">
        <f t="shared" ca="1" si="254"/>
        <v>6.1380276959303745E-2</v>
      </c>
      <c r="DE254" s="20">
        <f t="shared" ca="1" si="255"/>
        <v>3.11622944562619E-2</v>
      </c>
      <c r="DF254" s="21">
        <f t="shared" ca="1" si="256"/>
        <v>-3.11622944562619E-2</v>
      </c>
      <c r="DG254" s="21">
        <f t="shared" ca="1" si="257"/>
        <v>-6.1380276959303745E-2</v>
      </c>
      <c r="DH254" s="21">
        <f t="shared" ca="1" si="258"/>
        <v>-0.11914994939158963</v>
      </c>
      <c r="DI254" s="21">
        <f t="shared" ca="1" si="259"/>
        <v>-0.22506101551744706</v>
      </c>
      <c r="DJ254" s="21">
        <f t="shared" ca="1" si="260"/>
        <v>-0.40510982793140471</v>
      </c>
      <c r="DK254" s="21">
        <f t="shared" ca="1" si="261"/>
        <v>-0.67518304655234118</v>
      </c>
      <c r="DL254" s="21">
        <f t="shared" ca="1" si="262"/>
        <v>-1.0127745698285118</v>
      </c>
      <c r="DN254" s="16" cm="1">
        <f t="array" aca="1" ref="DN254" ca="1">MAX(_xlfn._xlws.FILTER(CY254:DL254,CY254:DL254&lt;BW254))</f>
        <v>-6.1380276959303745E-2</v>
      </c>
      <c r="DO254" s="16" cm="1">
        <f t="array" aca="1" ref="DO254" ca="1">MIN(_xlfn._xlws.FILTER(CY254:DL254,CY254:DL254&gt;BW254))</f>
        <v>-3.11622944562619E-2</v>
      </c>
      <c r="DP254" s="2" cm="1">
        <f t="array" aca="1" ref="DP254" ca="1">_FV(EE254,"Fechamento anterior",TRUE)</f>
        <v>5.2</v>
      </c>
      <c r="DQ254" s="28">
        <f t="shared" ca="1" si="235"/>
        <v>0.24932581493127434</v>
      </c>
      <c r="DR254" s="15">
        <f t="shared" ca="1" si="263"/>
        <v>4.8808225598116204</v>
      </c>
      <c r="DS254" s="15">
        <f t="shared" ca="1" si="264"/>
        <v>5.0379560688274383</v>
      </c>
      <c r="DT254" s="9"/>
      <c r="DU254" s="9"/>
      <c r="DV254" s="9"/>
      <c r="DW254" s="89">
        <v>5.7826559062232594E-2</v>
      </c>
      <c r="DX254" s="89">
        <f t="shared" ca="1" si="236"/>
        <v>3.0217982503041845E-2</v>
      </c>
      <c r="DY254" s="72">
        <f t="shared" ca="1" si="237"/>
        <v>2.5594231615923103E-2</v>
      </c>
      <c r="DZ254" s="37"/>
      <c r="EA254" s="35">
        <f t="shared" si="247"/>
        <v>13.967991122563046</v>
      </c>
      <c r="EB254" s="56"/>
      <c r="EC254" s="56"/>
      <c r="EE254" s="2" t="e" vm="256">
        <v>#VALUE!</v>
      </c>
      <c r="EG254" s="10" cm="1">
        <f t="array" aca="1" ref="EG254" ca="1">_FV(EE254,"Ações em circulação",TRUE)</f>
        <v>3202277000000</v>
      </c>
      <c r="EH254" s="18">
        <f>VLOOKUP(BR254,Fundamentus!A:U,5,FALSE)</f>
        <v>47.427</v>
      </c>
      <c r="EI254" s="2">
        <f t="shared" ca="1" si="238"/>
        <v>332199018280.7262</v>
      </c>
      <c r="EJ254" s="17">
        <v>-140520184732.74716</v>
      </c>
      <c r="EK254" s="17">
        <f t="shared" ca="1" si="239"/>
        <v>-140520184732.74716</v>
      </c>
      <c r="EM254" s="16">
        <f t="shared" ca="1" si="226"/>
        <v>0</v>
      </c>
      <c r="EN254" s="32" t="str">
        <f>IF(VLOOKUP(BR254,Fundamentus!A:U,3,FALSE)&lt;15,"Bom",IF(VLOOKUP(BR254,Fundamentus!A:U,3,FALSE)&gt;15,"Ruim","n/a"))</f>
        <v>Bom</v>
      </c>
      <c r="EO254" s="28" t="str">
        <f>IF(VLOOKUP(BR254,Fundamentus!A:U,4,FALSE)&lt;1,"Baixo",IF(VLOOKUP(BR254,Fundamentus!A:U,4,FALSE)&lt;1.5,"Moderado",IF(VLOOKUP(BR254,Fundamentus!A:U,4,FALSE)&gt;1.5,"Alto","n/a")))</f>
        <v>Baixo</v>
      </c>
      <c r="EP254" s="17" t="str">
        <f>IF(VLOOKUP(BR254,Fundamentus!A:U,8,FALSE)&lt;0,"Risco elevado",IF(VLOOKUP(BR254,Fundamentus!A:U,8,FALSE)&lt;1,"Saudável",IF(VLOOKUP(BR254,Fundamentus!A:U,8,FALSE)&lt;3,"Estável",IF(VLOOKUP(BR254,Fundamentus!A:U,8,FALSE)&gt;3,"Alerta","n/a"))))</f>
        <v>Risco elevado</v>
      </c>
      <c r="EQ254" s="28" t="str">
        <f t="shared" si="240"/>
        <v>Bom</v>
      </c>
      <c r="ER254" s="17" t="str">
        <f>IF(VLOOKUP(BR254,Fundamentus!A:U,12,FALSE)&lt;2,"Subvalorizada",IF(VLOOKUP(BR254,Fundamentus!A:U,12,FALSE)&lt;6,"Muita barata",IF(VLOOKUP(BR254,Fundamentus!A:U,12,FALSE)&lt;6,"Barata",IF(VLOOKUP(BR254,Fundamentus!A:U,12,FALSE)&lt;8,"Atrativa",IF(VLOOKUP(BR254,Fundamentus!A:U,12,FALSE)&gt;8,"Supervalorizada","n/a")))))</f>
        <v>Supervalorizada</v>
      </c>
      <c r="ET254" s="17" t="str">
        <f>IF(VLOOKUP(BR254,Fundamentus!A:U,17,FALSE)&lt;0.1,"Fraco retorno",IF(VLOOKUP(BR254,Fundamentus!A:U,17,FALSE)&gt;0.1,"Bom retorno","n/a"))</f>
        <v>Bom retorno</v>
      </c>
      <c r="EU254" s="17" t="str">
        <f>IF(VLOOKUP(BR254,Fundamentus!A:U,16,FALSE)&lt;0.1,"Ineficiente",IF(VLOOKUP(BR254,Fundamentus!A:U,16,FALSE)&gt;0.1,"Eficiente","n/a"))</f>
        <v>Ineficiente</v>
      </c>
      <c r="EV254" s="33" t="str">
        <f>IF(VLOOKUP(BR254,Fundamentus!A:U,16,FALSE)&lt;0.1,"Oper. Ineficiente",IF(VLOOKUP(BR254,Fundamentus!A:U,16,FALSE)&gt;0.1,"Oper.Eficiente","n/a"))</f>
        <v>Oper. Ineficiente</v>
      </c>
      <c r="EW254" s="34">
        <f>VLOOKUP(BR254,Fundamentus!A:U,14,FALSE)</f>
        <v>-0.42299999999999999</v>
      </c>
      <c r="EX254" s="17" t="str">
        <f>IF(VLOOKUP(BR254,Fundamentus!A:U,21,FALSE)&lt;0,"Negativo",IF(VLOOKUP(BR254,Fundamentus!A:U,21,FALSE)&lt;0.05,"Fraco",IF(VLOOKUP(BR254,Fundamentus!A:U,21,FALSE)&lt;0.1,"Bom",IF(VLOOKUP(BR254,Fundamentus!A:U,21,FALSE)&gt;0.1,"Muito bom","n/a"))))</f>
        <v>Muito bom</v>
      </c>
      <c r="EZ254" s="29" t="str">
        <f>IF(VLOOKUP(BR254,Fundamentus!A:U,15,FALSE)&gt;1,"Bom",IF(VLOOKUP(BR254,Fundamentus!A:U,15,FALSE)&lt;1,"Ruim","n/a"))</f>
        <v>Ruim</v>
      </c>
      <c r="FA254" s="17" t="str">
        <f>IF(VLOOKUP(BR254,Fundamentus!A:U,20,FALSE)&lt;0.5,"Baixa",IF(VLOOKUP(BR254,Fundamentus!A:U,20,FALSE)&lt;1,"Moderada",IF(VLOOKUP(BR254,Fundamentus!A:U,20,FALSE)&lt;2,"Alerta",IF(VLOOKUP(BR254,Fundamentus!A:U,20,FALSE)&gt;2,"Alta","n/a"))))</f>
        <v>Baixa</v>
      </c>
    </row>
    <row r="255" spans="1:157" s="2" customFormat="1" ht="11.25"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5">
        <v>6.69</v>
      </c>
      <c r="BC255" s="52">
        <v>8.5</v>
      </c>
      <c r="BD255" s="52">
        <v>10</v>
      </c>
      <c r="BE255" s="52">
        <v>10.119999999999999</v>
      </c>
      <c r="BF255" s="52">
        <v>9.58</v>
      </c>
      <c r="BG255" s="67">
        <v>10.38</v>
      </c>
      <c r="BH255" s="52">
        <v>10.119999999999999</v>
      </c>
      <c r="BI255" s="52">
        <v>9.01</v>
      </c>
      <c r="BJ255" s="52">
        <v>9.42</v>
      </c>
      <c r="BK255" s="52">
        <v>8.69</v>
      </c>
      <c r="BL255" s="52">
        <v>8.4</v>
      </c>
      <c r="BM255" s="52">
        <v>7.96</v>
      </c>
      <c r="BN255" s="52">
        <v>8.02</v>
      </c>
      <c r="BO255" s="52">
        <v>8.83</v>
      </c>
      <c r="BP255" s="52">
        <v>8.4</v>
      </c>
      <c r="BQ255" s="52" cm="1">
        <f t="array" aca="1" ref="BQ255" ca="1">_FV(EE255,"Preço")</f>
        <v>8.4</v>
      </c>
      <c r="BR255" s="69" t="s">
        <v>198</v>
      </c>
      <c r="BS255" s="36" cm="1">
        <f t="array" aca="1" ref="BS255" ca="1">_FV(EE255,"Média de volume",TRUE)</f>
        <v>729790</v>
      </c>
      <c r="BT255" s="36">
        <v>1739700</v>
      </c>
      <c r="BU255" s="36" cm="1">
        <f t="array" aca="1" ref="BU255" ca="1">_FV(EE255,"Volume")</f>
        <v>1739700</v>
      </c>
      <c r="BV255" s="24" cm="1">
        <f t="array" aca="1" ref="BV255" ca="1">_FV(EE255,"Beta")</f>
        <v>1.8151999999999999</v>
      </c>
      <c r="BW255" s="71" cm="1">
        <f t="array" aca="1" ref="BW255" ca="1">_FV(EE255,"Variação (%)",TRUE)</f>
        <v>-5.9351000000000001E-2</v>
      </c>
      <c r="BY255" s="17" cm="1">
        <f t="array" aca="1" ref="BY255" ca="1">_FV(EE255,"Baixo")</f>
        <v>8.07</v>
      </c>
      <c r="BZ255" s="17" cm="1">
        <f t="array" aca="1" ref="BZ255" ca="1">_FV(EE255,"Alto")</f>
        <v>9.34</v>
      </c>
      <c r="CA255" s="24"/>
      <c r="CB255" s="63">
        <f ca="1">SQRT(22.5*(BQ255/VLOOKUP(BR255,Fundamentus!A:U,3,FALSE))*(BQ255/VLOOKUP(BR255,Fundamentus!A:U,4,FALSE)))</f>
        <v>10.278268341820423</v>
      </c>
      <c r="CD255" s="62">
        <f t="shared" ca="1" si="241"/>
        <v>0</v>
      </c>
      <c r="CE255" s="8"/>
      <c r="CF255" s="61">
        <f t="shared" si="242"/>
        <v>4.21</v>
      </c>
      <c r="CG255" s="61">
        <f t="shared" si="243"/>
        <v>10.38</v>
      </c>
      <c r="CH255" s="61">
        <f t="shared" si="244"/>
        <v>6.199264705882352</v>
      </c>
      <c r="CI255" s="14"/>
      <c r="CJ255" s="35">
        <f t="shared" si="227"/>
        <v>8.1392989147629926</v>
      </c>
      <c r="CK255" s="15">
        <f t="shared" si="245"/>
        <v>8.8350000000000364</v>
      </c>
      <c r="CL255" s="35">
        <f t="shared" si="228"/>
        <v>9.5307010852370802</v>
      </c>
      <c r="CN255" s="14"/>
      <c r="CO255" s="17">
        <f t="shared" si="229"/>
        <v>-1.2233333333333336</v>
      </c>
      <c r="CP255" s="17">
        <f t="shared" si="230"/>
        <v>1.4933333333333332</v>
      </c>
      <c r="CQ255" s="17">
        <f t="shared" si="231"/>
        <v>4.9466666666666672</v>
      </c>
      <c r="CR255" s="38">
        <f t="shared" si="246"/>
        <v>7.663333333333334</v>
      </c>
      <c r="CS255" s="17">
        <f t="shared" si="232"/>
        <v>11.116666666666667</v>
      </c>
      <c r="CT255" s="17">
        <f t="shared" si="233"/>
        <v>13.833333333333336</v>
      </c>
      <c r="CU255" s="17">
        <f t="shared" si="234"/>
        <v>17.286666666666669</v>
      </c>
      <c r="CV255" s="2" cm="1">
        <f t="array" aca="1" ref="CV255" ca="1">MAX(_xlfn._xlws.FILTER(CO255:CU255,CO255:CU255&lt;BQ255))</f>
        <v>7.663333333333334</v>
      </c>
      <c r="CW255" s="2" cm="1">
        <f t="array" aca="1" ref="CW255" ca="1">MIN(_xlfn._xlws.FILTER($CO255:$CU255,$CO255:$CU255&gt;BQ255))</f>
        <v>11.116666666666667</v>
      </c>
      <c r="CX255" s="16">
        <f t="shared" ca="1" si="248"/>
        <v>0.45063070900391478</v>
      </c>
      <c r="CY255" s="20">
        <f t="shared" ca="1" si="249"/>
        <v>-0.22531535450195739</v>
      </c>
      <c r="CZ255" s="20">
        <f t="shared" ca="1" si="250"/>
        <v>-0.15021023633463826</v>
      </c>
      <c r="DA255" s="20">
        <f t="shared" ca="1" si="251"/>
        <v>-9.0126141800782961E-2</v>
      </c>
      <c r="DB255" s="20">
        <f t="shared" ca="1" si="252"/>
        <v>-5.0070078778212755E-2</v>
      </c>
      <c r="DC255" s="20">
        <f t="shared" ca="1" si="253"/>
        <v>-2.6507688764936164E-2</v>
      </c>
      <c r="DD255" s="20">
        <f t="shared" ca="1" si="254"/>
        <v>-1.365547603042166E-2</v>
      </c>
      <c r="DE255" s="20">
        <f t="shared" ca="1" si="255"/>
        <v>-6.9327801385217656E-3</v>
      </c>
      <c r="DF255" s="21">
        <f t="shared" ca="1" si="256"/>
        <v>6.9327801385217656E-3</v>
      </c>
      <c r="DG255" s="21">
        <f t="shared" ca="1" si="257"/>
        <v>1.365547603042166E-2</v>
      </c>
      <c r="DH255" s="21">
        <f t="shared" ca="1" si="258"/>
        <v>2.6507688764936164E-2</v>
      </c>
      <c r="DI255" s="21">
        <f t="shared" ca="1" si="259"/>
        <v>5.0070078778212755E-2</v>
      </c>
      <c r="DJ255" s="21">
        <f t="shared" ca="1" si="260"/>
        <v>9.0126141800782961E-2</v>
      </c>
      <c r="DK255" s="21">
        <f t="shared" ca="1" si="261"/>
        <v>0.15021023633463826</v>
      </c>
      <c r="DL255" s="21">
        <f t="shared" ca="1" si="262"/>
        <v>0.22531535450195739</v>
      </c>
      <c r="DN255" s="16" cm="1">
        <f t="array" aca="1" ref="DN255" ca="1">MAX(_xlfn._xlws.FILTER(CY255:DL255,CY255:DL255&lt;BW255))</f>
        <v>-9.0126141800782961E-2</v>
      </c>
      <c r="DO255" s="16" cm="1">
        <f t="array" aca="1" ref="DO255" ca="1">MIN(_xlfn._xlws.FILTER(CY255:DL255,CY255:DL255&gt;BW255))</f>
        <v>-5.0070078778212755E-2</v>
      </c>
      <c r="DP255" s="2" cm="1">
        <f t="array" aca="1" ref="DP255" ca="1">_FV(EE255,"Fechamento anterior",TRUE)</f>
        <v>8.93</v>
      </c>
      <c r="DQ255" s="28">
        <f t="shared" ca="1" si="235"/>
        <v>0.7683140967715455</v>
      </c>
      <c r="DR255" s="15">
        <f t="shared" ca="1" si="263"/>
        <v>8.1251735537190086</v>
      </c>
      <c r="DS255" s="15">
        <f t="shared" ca="1" si="264"/>
        <v>8.4828741965105596</v>
      </c>
      <c r="DT255" s="9"/>
      <c r="DU255" s="9"/>
      <c r="DV255" s="9"/>
      <c r="DW255" s="89">
        <v>1.4175918018787365E-2</v>
      </c>
      <c r="DX255" s="89">
        <f t="shared" ca="1" si="236"/>
        <v>4.0056063022570206E-2</v>
      </c>
      <c r="DY255" s="72">
        <f t="shared" ca="1" si="237"/>
        <v>-0.62526853735152654</v>
      </c>
      <c r="DZ255" s="37"/>
      <c r="EA255" s="35">
        <f t="shared" si="247"/>
        <v>0.34785054261852177</v>
      </c>
      <c r="EB255" s="56"/>
      <c r="EC255" s="56"/>
      <c r="EE255" s="2" t="e" vm="257">
        <v>#VALUE!</v>
      </c>
      <c r="EG255" s="10" cm="1">
        <f t="array" aca="1" ref="EG255" ca="1">_FV(EE255,"Ações em circulação",TRUE)</f>
        <v>128721600</v>
      </c>
      <c r="EH255" s="18">
        <f>VLOOKUP(BR255,Fundamentus!A:U,5,FALSE)</f>
        <v>0.51200000000000001</v>
      </c>
      <c r="EI255" s="2">
        <f t="shared" ca="1" si="238"/>
        <v>2111838750</v>
      </c>
      <c r="EJ255" s="17">
        <v>61243323.75</v>
      </c>
      <c r="EK255" s="17">
        <f t="shared" ca="1" si="239"/>
        <v>61243323.75</v>
      </c>
      <c r="EM255" s="16">
        <f t="shared" ca="1" si="226"/>
        <v>0</v>
      </c>
      <c r="EN255" s="32" t="str">
        <f>IF(VLOOKUP(BR255,Fundamentus!A:U,3,FALSE)&lt;15,"Bom",IF(VLOOKUP(BR255,Fundamentus!A:U,3,FALSE)&gt;15,"Ruim","n/a"))</f>
        <v>Ruim</v>
      </c>
      <c r="EO255" s="28" t="str">
        <f>IF(VLOOKUP(BR255,Fundamentus!A:U,4,FALSE)&lt;1,"Baixo",IF(VLOOKUP(BR255,Fundamentus!A:U,4,FALSE)&lt;1.5,"Moderado",IF(VLOOKUP(BR255,Fundamentus!A:U,4,FALSE)&gt;1.5,"Alto","n/a")))</f>
        <v>Baixo</v>
      </c>
      <c r="EP255" s="17" t="str">
        <f>IF(VLOOKUP(BR255,Fundamentus!A:U,8,FALSE)&lt;0,"Risco elevado",IF(VLOOKUP(BR255,Fundamentus!A:U,8,FALSE)&lt;1,"Saudável",IF(VLOOKUP(BR255,Fundamentus!A:U,8,FALSE)&lt;3,"Estável",IF(VLOOKUP(BR255,Fundamentus!A:U,8,FALSE)&gt;3,"Alerta","n/a"))))</f>
        <v>Alerta</v>
      </c>
      <c r="EQ255" s="28" t="str">
        <f t="shared" si="240"/>
        <v>Ruim</v>
      </c>
      <c r="ER255" s="17" t="str">
        <f>IF(VLOOKUP(BR255,Fundamentus!A:U,12,FALSE)&lt;2,"Subvalorizada",IF(VLOOKUP(BR255,Fundamentus!A:U,12,FALSE)&lt;6,"Muita barata",IF(VLOOKUP(BR255,Fundamentus!A:U,12,FALSE)&lt;6,"Barata",IF(VLOOKUP(BR255,Fundamentus!A:U,12,FALSE)&lt;8,"Atrativa",IF(VLOOKUP(BR255,Fundamentus!A:U,12,FALSE)&gt;8,"Supervalorizada","n/a")))))</f>
        <v>Muita barata</v>
      </c>
      <c r="ET255" s="17" t="str">
        <f>IF(VLOOKUP(BR255,Fundamentus!A:U,17,FALSE)&lt;0.1,"Fraco retorno",IF(VLOOKUP(BR255,Fundamentus!A:U,17,FALSE)&gt;0.1,"Bom retorno","n/a"))</f>
        <v>Fraco retorno</v>
      </c>
      <c r="EU255" s="17" t="str">
        <f>IF(VLOOKUP(BR255,Fundamentus!A:U,16,FALSE)&lt;0.1,"Ineficiente",IF(VLOOKUP(BR255,Fundamentus!A:U,16,FALSE)&gt;0.1,"Eficiente","n/a"))</f>
        <v>Eficiente</v>
      </c>
      <c r="EV255" s="33" t="str">
        <f>IF(VLOOKUP(BR255,Fundamentus!A:U,16,FALSE)&lt;0.1,"Oper. Ineficiente",IF(VLOOKUP(BR255,Fundamentus!A:U,16,FALSE)&gt;0.1,"Oper.Eficiente","n/a"))</f>
        <v>Oper.Eficiente</v>
      </c>
      <c r="EW255" s="34">
        <f>VLOOKUP(BR255,Fundamentus!A:U,14,FALSE)</f>
        <v>2.9000000000000001E-2</v>
      </c>
      <c r="EX255" s="17" t="str">
        <f>IF(VLOOKUP(BR255,Fundamentus!A:U,21,FALSE)&lt;0,"Negativo",IF(VLOOKUP(BR255,Fundamentus!A:U,21,FALSE)&lt;0.05,"Fraco",IF(VLOOKUP(BR255,Fundamentus!A:U,21,FALSE)&lt;0.1,"Bom",IF(VLOOKUP(BR255,Fundamentus!A:U,21,FALSE)&gt;0.1,"Muito bom","n/a"))))</f>
        <v>Muito bom</v>
      </c>
      <c r="EZ255" s="29" t="str">
        <f>IF(VLOOKUP(BR255,Fundamentus!A:U,15,FALSE)&gt;1,"Bom",IF(VLOOKUP(BR255,Fundamentus!A:U,15,FALSE)&lt;1,"Ruim","n/a"))</f>
        <v>Bom</v>
      </c>
      <c r="FA255" s="17" t="str">
        <f>IF(VLOOKUP(BR255,Fundamentus!A:U,20,FALSE)&lt;0.5,"Baixa",IF(VLOOKUP(BR255,Fundamentus!A:U,20,FALSE)&lt;1,"Moderada",IF(VLOOKUP(BR255,Fundamentus!A:U,20,FALSE)&lt;2,"Alerta",IF(VLOOKUP(BR255,Fundamentus!A:U,20,FALSE)&gt;2,"Alta","n/a"))))</f>
        <v>Moderada</v>
      </c>
    </row>
    <row r="256" spans="1:157" s="2" customFormat="1" ht="11.25"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5">
        <v>7.15</v>
      </c>
      <c r="BC256" s="52">
        <v>7.08</v>
      </c>
      <c r="BD256" s="52">
        <v>6.92</v>
      </c>
      <c r="BE256" s="52">
        <v>7.02</v>
      </c>
      <c r="BF256" s="52">
        <v>7.06</v>
      </c>
      <c r="BG256" s="67">
        <v>7.02</v>
      </c>
      <c r="BH256" s="52">
        <v>6.79</v>
      </c>
      <c r="BI256" s="52">
        <v>6.8</v>
      </c>
      <c r="BJ256" s="52">
        <v>6.94</v>
      </c>
      <c r="BK256" s="52">
        <v>6.83</v>
      </c>
      <c r="BL256" s="52">
        <v>6.6</v>
      </c>
      <c r="BM256" s="52">
        <v>6.73</v>
      </c>
      <c r="BN256" s="52">
        <v>6.5</v>
      </c>
      <c r="BO256" s="52">
        <v>6.35</v>
      </c>
      <c r="BP256" s="52">
        <v>6.14</v>
      </c>
      <c r="BQ256" s="52" cm="1">
        <f t="array" aca="1" ref="BQ256" ca="1">_FV(EE256,"Preço")</f>
        <v>6.14</v>
      </c>
      <c r="BR256" s="69" t="s">
        <v>252</v>
      </c>
      <c r="BS256" s="36" cm="1">
        <f t="array" aca="1" ref="BS256" ca="1">_FV(EE256,"Média de volume",TRUE)</f>
        <v>623300</v>
      </c>
      <c r="BT256" s="36">
        <v>637700</v>
      </c>
      <c r="BU256" s="36" cm="1">
        <f t="array" aca="1" ref="BU256" ca="1">_FV(EE256,"Volume")</f>
        <v>637700</v>
      </c>
      <c r="BV256" s="24" cm="1">
        <f t="array" aca="1" ref="BV256" ca="1">_FV(EE256,"Beta")</f>
        <v>0.33760000000000001</v>
      </c>
      <c r="BW256" s="71" cm="1">
        <f t="array" aca="1" ref="BW256" ca="1">_FV(EE256,"Variação (%)",TRUE)</f>
        <v>-8.0780000000000001E-3</v>
      </c>
      <c r="BY256" s="17" cm="1">
        <f t="array" aca="1" ref="BY256" ca="1">_FV(EE256,"Baixo")</f>
        <v>6.05</v>
      </c>
      <c r="BZ256" s="17" cm="1">
        <f t="array" aca="1" ref="BZ256" ca="1">_FV(EE256,"Alto")</f>
        <v>6.22</v>
      </c>
      <c r="CA256" s="24"/>
      <c r="CB256" s="63">
        <f ca="1">SQRT(22.5*(BQ256/VLOOKUP(BR256,Fundamentus!A:U,3,FALSE))*(BQ256/VLOOKUP(BR256,Fundamentus!A:U,4,FALSE)))</f>
        <v>12.44004082700563</v>
      </c>
      <c r="CD256" s="62">
        <f t="shared" ca="1" si="241"/>
        <v>0</v>
      </c>
      <c r="CE256" s="8"/>
      <c r="CF256" s="61">
        <f t="shared" si="242"/>
        <v>6.14</v>
      </c>
      <c r="CG256" s="61">
        <f t="shared" si="243"/>
        <v>8.9</v>
      </c>
      <c r="CH256" s="61">
        <f t="shared" si="244"/>
        <v>7.5904411764705877</v>
      </c>
      <c r="CI256" s="14"/>
      <c r="CJ256" s="35">
        <f t="shared" si="227"/>
        <v>5.6126218738566926</v>
      </c>
      <c r="CK256" s="15">
        <f t="shared" si="245"/>
        <v>5.9500000000000455</v>
      </c>
      <c r="CL256" s="35">
        <f t="shared" si="228"/>
        <v>6.2873781261433983</v>
      </c>
      <c r="CN256" s="14"/>
      <c r="CO256" s="17">
        <f t="shared" si="229"/>
        <v>2.4599999999999982</v>
      </c>
      <c r="CP256" s="17">
        <f t="shared" si="230"/>
        <v>4.2999999999999989</v>
      </c>
      <c r="CQ256" s="17">
        <f t="shared" si="231"/>
        <v>5.2199999999999989</v>
      </c>
      <c r="CR256" s="38">
        <f t="shared" si="246"/>
        <v>7.06</v>
      </c>
      <c r="CS256" s="17">
        <f t="shared" si="232"/>
        <v>7.9799999999999995</v>
      </c>
      <c r="CT256" s="17">
        <f t="shared" si="233"/>
        <v>9.82</v>
      </c>
      <c r="CU256" s="17">
        <f t="shared" si="234"/>
        <v>10.74</v>
      </c>
      <c r="CV256" s="2" cm="1">
        <f t="array" aca="1" ref="CV256" ca="1">MAX(_xlfn._xlws.FILTER(CO256:CU256,CO256:CU256&lt;BQ256))</f>
        <v>5.2199999999999989</v>
      </c>
      <c r="CW256" s="2" cm="1">
        <f t="array" aca="1" ref="CW256" ca="1">MIN(_xlfn._xlws.FILTER($CO256:$CU256,$CO256:$CU256&gt;BQ256))</f>
        <v>7.06</v>
      </c>
      <c r="CX256" s="16">
        <f t="shared" ref="CX256:CX261" ca="1" si="265">(CW256/CV256)-1</f>
        <v>0.35249042145593901</v>
      </c>
      <c r="CY256" s="20">
        <f t="shared" ref="CY256:CY261" ca="1" si="266">-$CX256/2</f>
        <v>-0.1762452107279695</v>
      </c>
      <c r="CZ256" s="20">
        <f t="shared" ref="CZ256:CZ261" ca="1" si="267">-$CX256/3</f>
        <v>-0.11749680715197967</v>
      </c>
      <c r="DA256" s="20">
        <f t="shared" ref="DA256:DA261" ca="1" si="268">-$CX256/5</f>
        <v>-7.0498084291187799E-2</v>
      </c>
      <c r="DB256" s="20">
        <f t="shared" ref="DB256:DB261" ca="1" si="269">-$CX256/9</f>
        <v>-3.916560238399322E-2</v>
      </c>
      <c r="DC256" s="20">
        <f t="shared" ref="DC256:DC263" ca="1" si="270">-$CX256/17</f>
        <v>-2.0734730673878765E-2</v>
      </c>
      <c r="DD256" s="20">
        <f t="shared" ref="DD256:DD263" ca="1" si="271">-$CX256/33</f>
        <v>-1.0681527922907243E-2</v>
      </c>
      <c r="DE256" s="20">
        <f t="shared" ref="DE256:DE263" ca="1" si="272">-$CX256/65</f>
        <v>-5.4229295608606001E-3</v>
      </c>
      <c r="DF256" s="21">
        <f t="shared" ref="DF256:DF263" ca="1" si="273">-$CX256/65*-1</f>
        <v>5.4229295608606001E-3</v>
      </c>
      <c r="DG256" s="21">
        <f t="shared" ref="DG256:DG263" ca="1" si="274">-$CX256/33*-1</f>
        <v>1.0681527922907243E-2</v>
      </c>
      <c r="DH256" s="21">
        <f t="shared" ref="DH256:DH263" ca="1" si="275">-$CX256/17*-1</f>
        <v>2.0734730673878765E-2</v>
      </c>
      <c r="DI256" s="21">
        <f t="shared" ref="DI256:DI261" ca="1" si="276">-$CX256/9*-1</f>
        <v>3.916560238399322E-2</v>
      </c>
      <c r="DJ256" s="21">
        <f t="shared" ref="DJ256:DJ261" ca="1" si="277">-$CX256/5*-1</f>
        <v>7.0498084291187799E-2</v>
      </c>
      <c r="DK256" s="21">
        <f t="shared" ref="DK256:DK261" ca="1" si="278">-$CX256/3*-1</f>
        <v>0.11749680715197967</v>
      </c>
      <c r="DL256" s="21">
        <f t="shared" ref="DL256:DL261" ca="1" si="279">-$CX256/2*-1</f>
        <v>0.1762452107279695</v>
      </c>
      <c r="DN256" s="16" cm="1">
        <f t="array" aca="1" ref="DN256" ca="1">MAX(_xlfn._xlws.FILTER(CY256:DL256,CY256:DL256&lt;BW256))</f>
        <v>-1.0681527922907243E-2</v>
      </c>
      <c r="DO256" s="16" cm="1">
        <f t="array" aca="1" ref="DO256" ca="1">MIN(_xlfn._xlws.FILTER(CY256:DL256,CY256:DL256&gt;BW256))</f>
        <v>-5.4229295608606001E-3</v>
      </c>
      <c r="DP256" s="2" cm="1">
        <f t="array" aca="1" ref="DP256" ca="1">_FV(EE256,"Fechamento anterior",TRUE)</f>
        <v>6.19</v>
      </c>
      <c r="DQ256" s="28">
        <f t="shared" ca="1" si="235"/>
        <v>0.49518584937133486</v>
      </c>
      <c r="DR256" s="15">
        <f t="shared" ref="DR256:DR260" ca="1" si="280">DP256+(DP256*DN256)</f>
        <v>6.1238813421572047</v>
      </c>
      <c r="DS256" s="15">
        <f t="shared" ref="DS256:DS260" ca="1" si="281">DP256+(DP256*DO256)</f>
        <v>6.1564320660182732</v>
      </c>
      <c r="DT256" s="9"/>
      <c r="DU256" s="9"/>
      <c r="DV256" s="9"/>
      <c r="DW256" s="89">
        <v>8.8154269972451783E-3</v>
      </c>
      <c r="DX256" s="89">
        <f t="shared" ca="1" si="236"/>
        <v>5.2585983620466433E-3</v>
      </c>
      <c r="DY256" s="72">
        <f t="shared" ca="1" si="237"/>
        <v>0.56316632667294708</v>
      </c>
      <c r="DZ256" s="37"/>
      <c r="EA256" s="35">
        <f t="shared" si="247"/>
        <v>0.16868906307167653</v>
      </c>
      <c r="EB256" s="56"/>
      <c r="EC256" s="56"/>
      <c r="EE256" s="2" t="e" vm="258">
        <v>#VALUE!</v>
      </c>
      <c r="EG256" s="10" cm="1">
        <f t="array" aca="1" ref="EG256" ca="1">_FV(EE256,"Ações em circulação",TRUE)</f>
        <v>353175000</v>
      </c>
      <c r="EH256" s="18">
        <f>VLOOKUP(BR256,Fundamentus!A:U,5,FALSE)</f>
        <v>1.0529999999999999</v>
      </c>
      <c r="EI256" s="2">
        <f t="shared" ca="1" si="238"/>
        <v>2059349002.8490031</v>
      </c>
      <c r="EJ256" s="17">
        <v>281101138.88888896</v>
      </c>
      <c r="EK256" s="17">
        <f t="shared" ca="1" si="239"/>
        <v>281101138.88888896</v>
      </c>
      <c r="EM256" s="16">
        <f t="shared" ca="1" si="226"/>
        <v>0</v>
      </c>
      <c r="EN256" s="32" t="str">
        <f>IF(VLOOKUP(BR256,Fundamentus!A:U,3,FALSE)&lt;15,"Bom",IF(VLOOKUP(BR256,Fundamentus!A:U,3,FALSE)&gt;15,"Ruim","n/a"))</f>
        <v>Bom</v>
      </c>
      <c r="EO256" s="28" t="str">
        <f>IF(VLOOKUP(BR256,Fundamentus!A:U,4,FALSE)&lt;1,"Baixo",IF(VLOOKUP(BR256,Fundamentus!A:U,4,FALSE)&lt;1.5,"Moderado",IF(VLOOKUP(BR256,Fundamentus!A:U,4,FALSE)&gt;1.5,"Alto","n/a")))</f>
        <v>Baixo</v>
      </c>
      <c r="EP256" s="17" t="str">
        <f>IF(VLOOKUP(BR256,Fundamentus!A:U,8,FALSE)&lt;0,"Risco elevado",IF(VLOOKUP(BR256,Fundamentus!A:U,8,FALSE)&lt;1,"Saudável",IF(VLOOKUP(BR256,Fundamentus!A:U,8,FALSE)&lt;3,"Estável",IF(VLOOKUP(BR256,Fundamentus!A:U,8,FALSE)&gt;3,"Alerta","n/a"))))</f>
        <v>Estável</v>
      </c>
      <c r="EQ256" s="28" t="str">
        <f t="shared" si="240"/>
        <v>Bom</v>
      </c>
      <c r="ER256" s="17" t="str">
        <f>IF(VLOOKUP(BR256,Fundamentus!A:U,12,FALSE)&lt;2,"Subvalorizada",IF(VLOOKUP(BR256,Fundamentus!A:U,12,FALSE)&lt;6,"Muita barata",IF(VLOOKUP(BR256,Fundamentus!A:U,12,FALSE)&lt;6,"Barata",IF(VLOOKUP(BR256,Fundamentus!A:U,12,FALSE)&lt;8,"Atrativa",IF(VLOOKUP(BR256,Fundamentus!A:U,12,FALSE)&gt;8,"Supervalorizada","n/a")))))</f>
        <v>Muita barata</v>
      </c>
      <c r="ET256" s="17" t="str">
        <f>IF(VLOOKUP(BR256,Fundamentus!A:U,17,FALSE)&lt;0.1,"Fraco retorno",IF(VLOOKUP(BR256,Fundamentus!A:U,17,FALSE)&gt;0.1,"Bom retorno","n/a"))</f>
        <v>Fraco retorno</v>
      </c>
      <c r="EU256" s="17" t="str">
        <f>IF(VLOOKUP(BR256,Fundamentus!A:U,16,FALSE)&lt;0.1,"Ineficiente",IF(VLOOKUP(BR256,Fundamentus!A:U,16,FALSE)&gt;0.1,"Eficiente","n/a"))</f>
        <v>Ineficiente</v>
      </c>
      <c r="EV256" s="33" t="str">
        <f>IF(VLOOKUP(BR256,Fundamentus!A:U,16,FALSE)&lt;0.1,"Oper. Ineficiente",IF(VLOOKUP(BR256,Fundamentus!A:U,16,FALSE)&gt;0.1,"Oper.Eficiente","n/a"))</f>
        <v>Oper. Ineficiente</v>
      </c>
      <c r="EW256" s="34">
        <f>VLOOKUP(BR256,Fundamentus!A:U,14,FALSE)</f>
        <v>0.13650000000000001</v>
      </c>
      <c r="EX256" s="17" t="str">
        <f>IF(VLOOKUP(BR256,Fundamentus!A:U,21,FALSE)&lt;0,"Negativo",IF(VLOOKUP(BR256,Fundamentus!A:U,21,FALSE)&lt;0.05,"Fraco",IF(VLOOKUP(BR256,Fundamentus!A:U,21,FALSE)&lt;0.1,"Bom",IF(VLOOKUP(BR256,Fundamentus!A:U,21,FALSE)&gt;0.1,"Muito bom","n/a"))))</f>
        <v>Fraco</v>
      </c>
      <c r="EZ256" s="29" t="str">
        <f>IF(VLOOKUP(BR256,Fundamentus!A:U,15,FALSE)&gt;1,"Bom",IF(VLOOKUP(BR256,Fundamentus!A:U,15,FALSE)&lt;1,"Ruim","n/a"))</f>
        <v>Bom</v>
      </c>
      <c r="FA256" s="17" t="str">
        <f>IF(VLOOKUP(BR256,Fundamentus!A:U,20,FALSE)&lt;0.5,"Baixa",IF(VLOOKUP(BR256,Fundamentus!A:U,20,FALSE)&lt;1,"Moderada",IF(VLOOKUP(BR256,Fundamentus!A:U,20,FALSE)&lt;2,"Alerta",IF(VLOOKUP(BR256,Fundamentus!A:U,20,FALSE)&gt;2,"Alta","n/a"))))</f>
        <v>Baixa</v>
      </c>
    </row>
    <row r="257" spans="1:157" s="2" customFormat="1" ht="11.25"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5">
        <v>2.75</v>
      </c>
      <c r="BC257" s="52">
        <v>3.02</v>
      </c>
      <c r="BD257" s="52">
        <v>3.08</v>
      </c>
      <c r="BE257" s="52">
        <v>2.88</v>
      </c>
      <c r="BF257" s="52">
        <v>2.71</v>
      </c>
      <c r="BG257" s="67">
        <v>2.5099999999999998</v>
      </c>
      <c r="BH257" s="52">
        <v>2.5299999999999998</v>
      </c>
      <c r="BI257" s="52">
        <v>2.54</v>
      </c>
      <c r="BJ257" s="52">
        <v>2.6</v>
      </c>
      <c r="BK257" s="52">
        <v>2.39</v>
      </c>
      <c r="BL257" s="52">
        <v>2.37</v>
      </c>
      <c r="BM257" s="52">
        <v>2.48</v>
      </c>
      <c r="BN257" s="52">
        <v>2.5</v>
      </c>
      <c r="BO257" s="52">
        <v>2.58</v>
      </c>
      <c r="BP257" s="52">
        <v>2.2400000000000002</v>
      </c>
      <c r="BQ257" s="52" cm="1">
        <f t="array" aca="1" ref="BQ257" ca="1">_FV(EE257,"Preço")</f>
        <v>2.2400000000000002</v>
      </c>
      <c r="BR257" s="69" t="s">
        <v>253</v>
      </c>
      <c r="BS257" s="36" cm="1">
        <f t="array" aca="1" ref="BS257" ca="1">_FV(EE257,"Média de volume",TRUE)</f>
        <v>2480210</v>
      </c>
      <c r="BT257" s="36">
        <v>2227600</v>
      </c>
      <c r="BU257" s="36" cm="1">
        <f t="array" aca="1" ref="BU257" ca="1">_FV(EE257,"Volume")</f>
        <v>2227600</v>
      </c>
      <c r="BV257" s="24" cm="1">
        <f t="array" aca="1" ref="BV257" ca="1">_FV(EE257,"Beta")</f>
        <v>1.7932999999999999</v>
      </c>
      <c r="BW257" s="71" cm="1">
        <f t="array" aca="1" ref="BW257" ca="1">_FV(EE257,"Variação (%)",TRUE)</f>
        <v>4.1860000000000001E-2</v>
      </c>
      <c r="BY257" s="17" cm="1">
        <f t="array" aca="1" ref="BY257" ca="1">_FV(EE257,"Baixo")</f>
        <v>2.13</v>
      </c>
      <c r="BZ257" s="17" cm="1">
        <f t="array" aca="1" ref="BZ257" ca="1">_FV(EE257,"Alto")</f>
        <v>2.2400000000000002</v>
      </c>
      <c r="CA257" s="24"/>
      <c r="CB257" s="63" t="e">
        <f ca="1">SQRT(22.5*(BQ257/VLOOKUP(BR257,Fundamentus!A:U,3,FALSE))*(BQ257/VLOOKUP(BR257,Fundamentus!A:U,4,FALSE)))</f>
        <v>#NUM!</v>
      </c>
      <c r="CD257" s="62">
        <f t="shared" ca="1" si="241"/>
        <v>0</v>
      </c>
      <c r="CE257" s="8"/>
      <c r="CF257" s="61">
        <f t="shared" si="242"/>
        <v>2.06</v>
      </c>
      <c r="CG257" s="61">
        <f t="shared" si="243"/>
        <v>5.27</v>
      </c>
      <c r="CH257" s="61">
        <f t="shared" si="244"/>
        <v>3.0883088235294114</v>
      </c>
      <c r="CI257" s="14"/>
      <c r="CJ257" s="35">
        <f t="shared" si="227"/>
        <v>2.1368464822474071</v>
      </c>
      <c r="CK257" s="15">
        <f t="shared" si="245"/>
        <v>2.2900000000000205</v>
      </c>
      <c r="CL257" s="35">
        <f t="shared" si="228"/>
        <v>2.4431535177526338</v>
      </c>
      <c r="CN257" s="14"/>
      <c r="CO257" s="17">
        <f t="shared" si="229"/>
        <v>-2.0999999999999992</v>
      </c>
      <c r="CP257" s="17">
        <f t="shared" si="230"/>
        <v>-1.9999999999999574E-2</v>
      </c>
      <c r="CQ257" s="17">
        <f t="shared" si="231"/>
        <v>1.1100000000000003</v>
      </c>
      <c r="CR257" s="38">
        <f t="shared" si="246"/>
        <v>3.19</v>
      </c>
      <c r="CS257" s="17">
        <f t="shared" si="232"/>
        <v>4.32</v>
      </c>
      <c r="CT257" s="17">
        <f t="shared" si="233"/>
        <v>6.3999999999999995</v>
      </c>
      <c r="CU257" s="17">
        <f t="shared" si="234"/>
        <v>7.5299999999999994</v>
      </c>
      <c r="CV257" s="2" cm="1">
        <f t="array" aca="1" ref="CV257" ca="1">MAX(_xlfn._xlws.FILTER(CO257:CU257,CO257:CU257&lt;BQ257))</f>
        <v>1.1100000000000003</v>
      </c>
      <c r="CW257" s="2" cm="1">
        <f t="array" aca="1" ref="CW257" ca="1">MIN(_xlfn._xlws.FILTER($CO257:$CU257,$CO257:$CU257&gt;BQ257))</f>
        <v>3.19</v>
      </c>
      <c r="CX257" s="16">
        <f t="shared" ca="1" si="265"/>
        <v>1.8738738738738729</v>
      </c>
      <c r="CY257" s="20">
        <f t="shared" ca="1" si="266"/>
        <v>-0.93693693693693647</v>
      </c>
      <c r="CZ257" s="20">
        <f t="shared" ca="1" si="267"/>
        <v>-0.62462462462462431</v>
      </c>
      <c r="DA257" s="20">
        <f t="shared" ca="1" si="268"/>
        <v>-0.37477477477477461</v>
      </c>
      <c r="DB257" s="20">
        <f t="shared" ca="1" si="269"/>
        <v>-0.2082082082082081</v>
      </c>
      <c r="DC257" s="20">
        <f t="shared" ca="1" si="270"/>
        <v>-0.11022787493375723</v>
      </c>
      <c r="DD257" s="20">
        <f t="shared" ca="1" si="271"/>
        <v>-5.6784056784056756E-2</v>
      </c>
      <c r="DE257" s="20">
        <f t="shared" ca="1" si="272"/>
        <v>-2.8828828828828815E-2</v>
      </c>
      <c r="DF257" s="21">
        <f t="shared" ca="1" si="273"/>
        <v>2.8828828828828815E-2</v>
      </c>
      <c r="DG257" s="21">
        <f t="shared" ca="1" si="274"/>
        <v>5.6784056784056756E-2</v>
      </c>
      <c r="DH257" s="21">
        <f t="shared" ca="1" si="275"/>
        <v>0.11022787493375723</v>
      </c>
      <c r="DI257" s="21">
        <f t="shared" ca="1" si="276"/>
        <v>0.2082082082082081</v>
      </c>
      <c r="DJ257" s="21">
        <f t="shared" ca="1" si="277"/>
        <v>0.37477477477477461</v>
      </c>
      <c r="DK257" s="21">
        <f t="shared" ca="1" si="278"/>
        <v>0.62462462462462431</v>
      </c>
      <c r="DL257" s="21">
        <f t="shared" ca="1" si="279"/>
        <v>0.93693693693693647</v>
      </c>
      <c r="DN257" s="16" cm="1">
        <f t="array" aca="1" ref="DN257" ca="1">MAX(_xlfn._xlws.FILTER(CY257:DL257,CY257:DL257&lt;BW257))</f>
        <v>2.8828828828828815E-2</v>
      </c>
      <c r="DO257" s="16" cm="1">
        <f t="array" aca="1" ref="DO257" ca="1">MIN(_xlfn._xlws.FILTER(CY257:DL257,CY257:DL257&gt;BW257))</f>
        <v>5.6784056784056756E-2</v>
      </c>
      <c r="DP257" s="2" cm="1">
        <f t="array" aca="1" ref="DP257" ca="1">_FV(EE257,"Fechamento anterior",TRUE)</f>
        <v>2.15</v>
      </c>
      <c r="DQ257" s="28">
        <f t="shared" ca="1" si="235"/>
        <v>0.46616097383721589</v>
      </c>
      <c r="DR257" s="15">
        <f t="shared" ca="1" si="280"/>
        <v>2.2119819819819817</v>
      </c>
      <c r="DS257" s="15">
        <f t="shared" ca="1" si="281"/>
        <v>2.272085722085722</v>
      </c>
      <c r="DT257" s="9"/>
      <c r="DU257" s="9"/>
      <c r="DV257" s="9"/>
      <c r="DW257" s="89">
        <v>4.527143679263379E-2</v>
      </c>
      <c r="DX257" s="89">
        <f t="shared" ca="1" si="236"/>
        <v>2.7955227955227941E-2</v>
      </c>
      <c r="DY257" s="72">
        <f t="shared" ca="1" si="237"/>
        <v>-0.32646981103486328</v>
      </c>
      <c r="DZ257" s="37"/>
      <c r="EA257" s="35">
        <f t="shared" si="247"/>
        <v>7.6576758876306564E-2</v>
      </c>
      <c r="EB257" s="56"/>
      <c r="EC257" s="56"/>
      <c r="EE257" s="2" t="e" vm="259">
        <v>#VALUE!</v>
      </c>
      <c r="EG257" s="10" cm="1">
        <f t="array" aca="1" ref="EG257" ca="1">_FV(EE257,"Ações em circulação",TRUE)</f>
        <v>206917300</v>
      </c>
      <c r="EH257" s="18">
        <f>VLOOKUP(BR257,Fundamentus!A:U,5,FALSE)</f>
        <v>0.17899999999999999</v>
      </c>
      <c r="EI257" s="2">
        <f t="shared" ca="1" si="238"/>
        <v>2589356156.4245815</v>
      </c>
      <c r="EJ257" s="17">
        <v>-80011105.233519569</v>
      </c>
      <c r="EK257" s="17">
        <f t="shared" ca="1" si="239"/>
        <v>-80011105.233519569</v>
      </c>
      <c r="EM257" s="16">
        <f t="shared" ca="1" si="226"/>
        <v>0</v>
      </c>
      <c r="EN257" s="32" t="str">
        <f>IF(VLOOKUP(BR257,Fundamentus!A:U,3,FALSE)&lt;15,"Bom",IF(VLOOKUP(BR257,Fundamentus!A:U,3,FALSE)&gt;15,"Ruim","n/a"))</f>
        <v>Bom</v>
      </c>
      <c r="EO257" s="28" t="str">
        <f>IF(VLOOKUP(BR257,Fundamentus!A:U,4,FALSE)&lt;1,"Baixo",IF(VLOOKUP(BR257,Fundamentus!A:U,4,FALSE)&lt;1.5,"Moderado",IF(VLOOKUP(BR257,Fundamentus!A:U,4,FALSE)&gt;1.5,"Alto","n/a")))</f>
        <v>Baixo</v>
      </c>
      <c r="EP257" s="17" t="str">
        <f>IF(VLOOKUP(BR257,Fundamentus!A:U,8,FALSE)&lt;0,"Risco elevado",IF(VLOOKUP(BR257,Fundamentus!A:U,8,FALSE)&lt;1,"Saudável",IF(VLOOKUP(BR257,Fundamentus!A:U,8,FALSE)&lt;3,"Estável",IF(VLOOKUP(BR257,Fundamentus!A:U,8,FALSE)&gt;3,"Alerta","n/a"))))</f>
        <v>Saudável</v>
      </c>
      <c r="EQ257" s="28" t="str">
        <f t="shared" si="240"/>
        <v>Ruim</v>
      </c>
      <c r="ER257" s="17" t="str">
        <f>IF(VLOOKUP(BR257,Fundamentus!A:U,12,FALSE)&lt;2,"Subvalorizada",IF(VLOOKUP(BR257,Fundamentus!A:U,12,FALSE)&lt;6,"Muita barata",IF(VLOOKUP(BR257,Fundamentus!A:U,12,FALSE)&lt;6,"Barata",IF(VLOOKUP(BR257,Fundamentus!A:U,12,FALSE)&lt;8,"Atrativa",IF(VLOOKUP(BR257,Fundamentus!A:U,12,FALSE)&gt;8,"Supervalorizada","n/a")))))</f>
        <v>Muita barata</v>
      </c>
      <c r="ET257" s="17" t="str">
        <f>IF(VLOOKUP(BR257,Fundamentus!A:U,17,FALSE)&lt;0.1,"Fraco retorno",IF(VLOOKUP(BR257,Fundamentus!A:U,17,FALSE)&gt;0.1,"Bom retorno","n/a"))</f>
        <v>Fraco retorno</v>
      </c>
      <c r="EU257" s="17" t="str">
        <f>IF(VLOOKUP(BR257,Fundamentus!A:U,16,FALSE)&lt;0.1,"Ineficiente",IF(VLOOKUP(BR257,Fundamentus!A:U,16,FALSE)&gt;0.1,"Eficiente","n/a"))</f>
        <v>Ineficiente</v>
      </c>
      <c r="EV257" s="33" t="str">
        <f>IF(VLOOKUP(BR257,Fundamentus!A:U,16,FALSE)&lt;0.1,"Oper. Ineficiente",IF(VLOOKUP(BR257,Fundamentus!A:U,16,FALSE)&gt;0.1,"Oper.Eficiente","n/a"))</f>
        <v>Oper. Ineficiente</v>
      </c>
      <c r="EW257" s="34">
        <f>VLOOKUP(BR257,Fundamentus!A:U,14,FALSE)</f>
        <v>-3.09E-2</v>
      </c>
      <c r="EX257" s="17" t="str">
        <f>IF(VLOOKUP(BR257,Fundamentus!A:U,21,FALSE)&lt;0,"Negativo",IF(VLOOKUP(BR257,Fundamentus!A:U,21,FALSE)&lt;0.05,"Fraco",IF(VLOOKUP(BR257,Fundamentus!A:U,21,FALSE)&lt;0.1,"Bom",IF(VLOOKUP(BR257,Fundamentus!A:U,21,FALSE)&gt;0.1,"Muito bom","n/a"))))</f>
        <v>Muito bom</v>
      </c>
      <c r="EZ257" s="29" t="str">
        <f>IF(VLOOKUP(BR257,Fundamentus!A:U,15,FALSE)&gt;1,"Bom",IF(VLOOKUP(BR257,Fundamentus!A:U,15,FALSE)&lt;1,"Ruim","n/a"))</f>
        <v>Bom</v>
      </c>
      <c r="FA257" s="17" t="str">
        <f>IF(VLOOKUP(BR257,Fundamentus!A:U,20,FALSE)&lt;0.5,"Baixa",IF(VLOOKUP(BR257,Fundamentus!A:U,20,FALSE)&lt;1,"Moderada",IF(VLOOKUP(BR257,Fundamentus!A:U,20,FALSE)&lt;2,"Alerta",IF(VLOOKUP(BR257,Fundamentus!A:U,20,FALSE)&gt;2,"Alta","n/a"))))</f>
        <v>Moderada</v>
      </c>
    </row>
    <row r="258" spans="1:157" s="2" customFormat="1" ht="11.25"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5">
        <v>0.94</v>
      </c>
      <c r="BC258" s="52">
        <v>0.91</v>
      </c>
      <c r="BD258" s="52">
        <v>0.92</v>
      </c>
      <c r="BE258" s="52">
        <v>0.91</v>
      </c>
      <c r="BF258" s="52">
        <v>0.89</v>
      </c>
      <c r="BG258" s="67">
        <v>0.88</v>
      </c>
      <c r="BH258" s="52">
        <v>0.88</v>
      </c>
      <c r="BI258" s="52">
        <v>0.87</v>
      </c>
      <c r="BJ258" s="52">
        <v>0.88</v>
      </c>
      <c r="BK258" s="52">
        <v>0.85</v>
      </c>
      <c r="BL258" s="52">
        <v>0.83</v>
      </c>
      <c r="BM258" s="52">
        <v>0.82</v>
      </c>
      <c r="BN258" s="52">
        <v>0.8</v>
      </c>
      <c r="BO258" s="52">
        <v>0.82</v>
      </c>
      <c r="BP258" s="52">
        <v>0.75</v>
      </c>
      <c r="BQ258" s="52" cm="1">
        <f t="array" aca="1" ref="BQ258" ca="1">_FV(EE258,"Preço")</f>
        <v>0.75</v>
      </c>
      <c r="BR258" s="69" t="s">
        <v>254</v>
      </c>
      <c r="BS258" s="36" cm="1">
        <f t="array" aca="1" ref="BS258" ca="1">_FV(EE258,"Média de volume",TRUE)</f>
        <v>26780</v>
      </c>
      <c r="BT258" s="36">
        <v>16500</v>
      </c>
      <c r="BU258" s="36" cm="1">
        <f t="array" aca="1" ref="BU258" ca="1">_FV(EE258,"Volume")</f>
        <v>16500</v>
      </c>
      <c r="BV258" s="24" cm="1">
        <f t="array" aca="1" ref="BV258" ca="1">_FV(EE258,"Beta")</f>
        <v>1.6641999999999999</v>
      </c>
      <c r="BW258" s="71" cm="1">
        <f t="array" aca="1" ref="BW258" ca="1">_FV(EE258,"Variação (%)",TRUE)</f>
        <v>-2.5974000000000001E-2</v>
      </c>
      <c r="BY258" s="17" cm="1">
        <f t="array" aca="1" ref="BY258" ca="1">_FV(EE258,"Baixo")</f>
        <v>0.71</v>
      </c>
      <c r="BZ258" s="17" cm="1">
        <f t="array" aca="1" ref="BZ258" ca="1">_FV(EE258,"Alto")</f>
        <v>0.77</v>
      </c>
      <c r="CA258" s="24"/>
      <c r="CB258" s="63" t="e">
        <f ca="1">SQRT(22.5*(BQ258/VLOOKUP(BR258,Fundamentus!A:U,3,FALSE))*(BQ258/VLOOKUP(BR258,Fundamentus!A:U,4,FALSE)))</f>
        <v>#NUM!</v>
      </c>
      <c r="CD258" s="62">
        <f t="shared" ca="1" si="241"/>
        <v>0</v>
      </c>
      <c r="CE258" s="8"/>
      <c r="CF258" s="61">
        <f t="shared" si="242"/>
        <v>0.75</v>
      </c>
      <c r="CG258" s="61">
        <f t="shared" si="243"/>
        <v>2.98</v>
      </c>
      <c r="CH258" s="61">
        <f t="shared" si="244"/>
        <v>1.5216176470588225</v>
      </c>
      <c r="CI258" s="14"/>
      <c r="CJ258" s="35">
        <f t="shared" si="227"/>
        <v>0.71750384638145626</v>
      </c>
      <c r="CK258" s="15">
        <f t="shared" si="245"/>
        <v>0.75</v>
      </c>
      <c r="CL258" s="35">
        <f t="shared" si="228"/>
        <v>0.78249615361854374</v>
      </c>
      <c r="CN258" s="14"/>
      <c r="CO258" s="17">
        <f t="shared" si="229"/>
        <v>-2.2233333333333332</v>
      </c>
      <c r="CP258" s="17">
        <f t="shared" si="230"/>
        <v>-0.73666666666666658</v>
      </c>
      <c r="CQ258" s="17">
        <f t="shared" si="231"/>
        <v>6.6666666666668206E-3</v>
      </c>
      <c r="CR258" s="38">
        <f t="shared" si="246"/>
        <v>1.4933333333333334</v>
      </c>
      <c r="CS258" s="17">
        <f t="shared" si="232"/>
        <v>2.2366666666666668</v>
      </c>
      <c r="CT258" s="17">
        <f t="shared" si="233"/>
        <v>3.7233333333333336</v>
      </c>
      <c r="CU258" s="17">
        <f t="shared" si="234"/>
        <v>4.4666666666666668</v>
      </c>
      <c r="CV258" s="2" cm="1">
        <f t="array" aca="1" ref="CV258" ca="1">MAX(_xlfn._xlws.FILTER(CO258:CU258,CO258:CU258&lt;BQ258))</f>
        <v>6.6666666666668206E-3</v>
      </c>
      <c r="CW258" s="2" cm="1">
        <f t="array" aca="1" ref="CW258" ca="1">MIN(_xlfn._xlws.FILTER($CO258:$CU258,$CO258:$CU258&gt;BQ258))</f>
        <v>1.4933333333333334</v>
      </c>
      <c r="CX258" s="16">
        <f t="shared" ca="1" si="265"/>
        <v>222.99999999999483</v>
      </c>
      <c r="CY258" s="20">
        <f t="shared" ca="1" si="266"/>
        <v>-111.49999999999741</v>
      </c>
      <c r="CZ258" s="20">
        <f t="shared" ca="1" si="267"/>
        <v>-74.333333333331609</v>
      </c>
      <c r="DA258" s="20">
        <f t="shared" ca="1" si="268"/>
        <v>-44.599999999998964</v>
      </c>
      <c r="DB258" s="20">
        <f t="shared" ca="1" si="269"/>
        <v>-24.777777777777203</v>
      </c>
      <c r="DC258" s="20">
        <f t="shared" ca="1" si="270"/>
        <v>-13.117647058823225</v>
      </c>
      <c r="DD258" s="20">
        <f t="shared" ca="1" si="271"/>
        <v>-6.7575757575756006</v>
      </c>
      <c r="DE258" s="20">
        <f t="shared" ca="1" si="272"/>
        <v>-3.4307692307691511</v>
      </c>
      <c r="DF258" s="21">
        <f t="shared" ca="1" si="273"/>
        <v>3.4307692307691511</v>
      </c>
      <c r="DG258" s="21">
        <f t="shared" ca="1" si="274"/>
        <v>6.7575757575756006</v>
      </c>
      <c r="DH258" s="21">
        <f t="shared" ca="1" si="275"/>
        <v>13.117647058823225</v>
      </c>
      <c r="DI258" s="21">
        <f t="shared" ca="1" si="276"/>
        <v>24.777777777777203</v>
      </c>
      <c r="DJ258" s="21">
        <f t="shared" ca="1" si="277"/>
        <v>44.599999999998964</v>
      </c>
      <c r="DK258" s="21">
        <f t="shared" ca="1" si="278"/>
        <v>74.333333333331609</v>
      </c>
      <c r="DL258" s="21">
        <f t="shared" ca="1" si="279"/>
        <v>111.49999999999741</v>
      </c>
      <c r="DN258" s="16" cm="1">
        <f t="array" aca="1" ref="DN258" ca="1">MAX(_xlfn._xlws.FILTER(CY258:DL258,CY258:DL258&lt;BW258))</f>
        <v>-3.4307692307691511</v>
      </c>
      <c r="DO258" s="16" cm="1">
        <f t="array" aca="1" ref="DO258" ca="1">MIN(_xlfn._xlws.FILTER(CY258:DL258,CY258:DL258&gt;BW258))</f>
        <v>3.4307692307691511</v>
      </c>
      <c r="DP258" s="2" cm="1">
        <f t="array" aca="1" ref="DP258" ca="1">_FV(EE258,"Fechamento anterior",TRUE)</f>
        <v>0.77</v>
      </c>
      <c r="DQ258" s="28">
        <f t="shared" ca="1" si="235"/>
        <v>0.49621454778405444</v>
      </c>
      <c r="DR258" s="15">
        <f t="shared" ca="1" si="280"/>
        <v>-1.8716923076922463</v>
      </c>
      <c r="DS258" s="15">
        <f t="shared" ca="1" si="281"/>
        <v>3.4116923076922463</v>
      </c>
      <c r="DT258" s="9"/>
      <c r="DU258" s="9"/>
      <c r="DV258" s="9"/>
      <c r="DW258" s="89">
        <v>0.51360946745561986</v>
      </c>
      <c r="DX258" s="89">
        <f t="shared" ca="1" si="236"/>
        <v>6.8615384615383022</v>
      </c>
      <c r="DY258" s="72">
        <f t="shared" ca="1" si="237"/>
        <v>0</v>
      </c>
      <c r="DZ258" s="37"/>
      <c r="EA258" s="35">
        <f t="shared" si="247"/>
        <v>1.62480768092719E-2</v>
      </c>
      <c r="EB258" s="56"/>
      <c r="EC258" s="56"/>
      <c r="EE258" s="2" t="e" vm="260">
        <v>#VALUE!</v>
      </c>
      <c r="EG258" s="10" cm="1">
        <f t="array" aca="1" ref="EG258" ca="1">_FV(EE258,"Ações em circulação",TRUE)</f>
        <v>38366080</v>
      </c>
      <c r="EH258" s="18">
        <f>VLOOKUP(BR258,Fundamentus!A:U,5,FALSE)</f>
        <v>0.28199999999999997</v>
      </c>
      <c r="EI258" s="2">
        <f t="shared" ca="1" si="238"/>
        <v>102037446.80851065</v>
      </c>
      <c r="EJ258" s="17">
        <v>-39131360.851063833</v>
      </c>
      <c r="EK258" s="17">
        <f t="shared" ca="1" si="239"/>
        <v>-39131360.851063833</v>
      </c>
      <c r="EM258" s="16">
        <f t="shared" ca="1" si="226"/>
        <v>0</v>
      </c>
      <c r="EN258" s="32" t="str">
        <f>IF(VLOOKUP(BR258,Fundamentus!A:U,3,FALSE)&lt;15,"Bom",IF(VLOOKUP(BR258,Fundamentus!A:U,3,FALSE)&gt;15,"Ruim","n/a"))</f>
        <v>Bom</v>
      </c>
      <c r="EO258" s="28" t="str">
        <f>IF(VLOOKUP(BR258,Fundamentus!A:U,4,FALSE)&lt;1,"Baixo",IF(VLOOKUP(BR258,Fundamentus!A:U,4,FALSE)&lt;1.5,"Moderado",IF(VLOOKUP(BR258,Fundamentus!A:U,4,FALSE)&gt;1.5,"Alto","n/a")))</f>
        <v>Baixo</v>
      </c>
      <c r="EP258" s="17" t="str">
        <f>IF(VLOOKUP(BR258,Fundamentus!A:U,8,FALSE)&lt;0,"Risco elevado",IF(VLOOKUP(BR258,Fundamentus!A:U,8,FALSE)&lt;1,"Saudável",IF(VLOOKUP(BR258,Fundamentus!A:U,8,FALSE)&lt;3,"Estável",IF(VLOOKUP(BR258,Fundamentus!A:U,8,FALSE)&gt;3,"Alerta","n/a"))))</f>
        <v>Saudável</v>
      </c>
      <c r="EQ258" s="28" t="str">
        <f t="shared" si="240"/>
        <v>Ruim</v>
      </c>
      <c r="ER258" s="17" t="str">
        <f>IF(VLOOKUP(BR258,Fundamentus!A:U,12,FALSE)&lt;2,"Subvalorizada",IF(VLOOKUP(BR258,Fundamentus!A:U,12,FALSE)&lt;6,"Muita barata",IF(VLOOKUP(BR258,Fundamentus!A:U,12,FALSE)&lt;6,"Barata",IF(VLOOKUP(BR258,Fundamentus!A:U,12,FALSE)&lt;8,"Atrativa",IF(VLOOKUP(BR258,Fundamentus!A:U,12,FALSE)&gt;8,"Supervalorizada","n/a")))))</f>
        <v>Supervalorizada</v>
      </c>
      <c r="ET258" s="17" t="str">
        <f>IF(VLOOKUP(BR258,Fundamentus!A:U,17,FALSE)&lt;0.1,"Fraco retorno",IF(VLOOKUP(BR258,Fundamentus!A:U,17,FALSE)&gt;0.1,"Bom retorno","n/a"))</f>
        <v>Fraco retorno</v>
      </c>
      <c r="EU258" s="17" t="str">
        <f>IF(VLOOKUP(BR258,Fundamentus!A:U,16,FALSE)&lt;0.1,"Ineficiente",IF(VLOOKUP(BR258,Fundamentus!A:U,16,FALSE)&gt;0.1,"Eficiente","n/a"))</f>
        <v>Ineficiente</v>
      </c>
      <c r="EV258" s="33" t="str">
        <f>IF(VLOOKUP(BR258,Fundamentus!A:U,16,FALSE)&lt;0.1,"Oper. Ineficiente",IF(VLOOKUP(BR258,Fundamentus!A:U,16,FALSE)&gt;0.1,"Oper.Eficiente","n/a"))</f>
        <v>Oper. Ineficiente</v>
      </c>
      <c r="EW258" s="34">
        <f>VLOOKUP(BR258,Fundamentus!A:U,14,FALSE)</f>
        <v>-0.38350000000000001</v>
      </c>
      <c r="EX258" s="17" t="str">
        <f>IF(VLOOKUP(BR258,Fundamentus!A:U,21,FALSE)&lt;0,"Negativo",IF(VLOOKUP(BR258,Fundamentus!A:U,21,FALSE)&lt;0.05,"Fraco",IF(VLOOKUP(BR258,Fundamentus!A:U,21,FALSE)&lt;0.1,"Bom",IF(VLOOKUP(BR258,Fundamentus!A:U,21,FALSE)&gt;0.1,"Muito bom","n/a"))))</f>
        <v>Muito bom</v>
      </c>
      <c r="EZ258" s="29" t="str">
        <f>IF(VLOOKUP(BR258,Fundamentus!A:U,15,FALSE)&gt;1,"Bom",IF(VLOOKUP(BR258,Fundamentus!A:U,15,FALSE)&lt;1,"Ruim","n/a"))</f>
        <v>Bom</v>
      </c>
      <c r="FA258" s="17" t="str">
        <f>IF(VLOOKUP(BR258,Fundamentus!A:U,20,FALSE)&lt;0.5,"Baixa",IF(VLOOKUP(BR258,Fundamentus!A:U,20,FALSE)&lt;1,"Moderada",IF(VLOOKUP(BR258,Fundamentus!A:U,20,FALSE)&lt;2,"Alerta",IF(VLOOKUP(BR258,Fundamentus!A:U,20,FALSE)&gt;2,"Alta","n/a"))))</f>
        <v>Baixa</v>
      </c>
    </row>
    <row r="259" spans="1:157" s="2" customFormat="1" ht="11.25"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5">
        <v>1.76</v>
      </c>
      <c r="BC259" s="52">
        <v>1.86</v>
      </c>
      <c r="BD259" s="52">
        <v>1.7</v>
      </c>
      <c r="BE259" s="52">
        <v>1.59</v>
      </c>
      <c r="BF259" s="52">
        <v>1.53</v>
      </c>
      <c r="BG259" s="67">
        <v>1.5</v>
      </c>
      <c r="BH259" s="52">
        <v>1.33</v>
      </c>
      <c r="BI259" s="52">
        <v>1.29</v>
      </c>
      <c r="BJ259" s="52">
        <v>1.37</v>
      </c>
      <c r="BK259" s="52">
        <v>1.31</v>
      </c>
      <c r="BL259" s="52">
        <v>1.24</v>
      </c>
      <c r="BM259" s="52">
        <v>1.24</v>
      </c>
      <c r="BN259" s="52">
        <v>1.28</v>
      </c>
      <c r="BO259" s="52">
        <v>1.35</v>
      </c>
      <c r="BP259" s="52">
        <v>1.44</v>
      </c>
      <c r="BQ259" s="52" cm="1">
        <f t="array" aca="1" ref="BQ259" ca="1">_FV(EE259,"Preço")</f>
        <v>1.44</v>
      </c>
      <c r="BR259" s="69" t="s">
        <v>255</v>
      </c>
      <c r="BS259" s="36" cm="1">
        <f t="array" aca="1" ref="BS259" ca="1">_FV(EE259,"Média de volume",TRUE)</f>
        <v>1140160</v>
      </c>
      <c r="BT259" s="36">
        <v>2493700</v>
      </c>
      <c r="BU259" s="36" cm="1">
        <f t="array" aca="1" ref="BU259" ca="1">_FV(EE259,"Volume")</f>
        <v>2493700</v>
      </c>
      <c r="BV259" s="24" cm="1">
        <f t="array" aca="1" ref="BV259" ca="1">_FV(EE259,"Beta")</f>
        <v>1.0522</v>
      </c>
      <c r="BW259" s="71" cm="1">
        <f t="array" aca="1" ref="BW259" ca="1">_FV(EE259,"Variação (%)",TRUE)</f>
        <v>0</v>
      </c>
      <c r="BY259" s="17" cm="1">
        <f t="array" aca="1" ref="BY259" ca="1">_FV(EE259,"Baixo")</f>
        <v>1.32</v>
      </c>
      <c r="BZ259" s="17" cm="1">
        <f t="array" aca="1" ref="BZ259" ca="1">_FV(EE259,"Alto")</f>
        <v>1.5</v>
      </c>
      <c r="CA259" s="24"/>
      <c r="CB259" s="63" t="e">
        <f ca="1">SQRT(22.5*(BQ259/VLOOKUP(BR259,Fundamentus!A:U,3,FALSE))*(BQ259/VLOOKUP(BR259,Fundamentus!A:U,4,FALSE)))</f>
        <v>#NUM!</v>
      </c>
      <c r="CD259" s="62">
        <f t="shared" ca="1" si="241"/>
        <v>0</v>
      </c>
      <c r="CE259" s="8"/>
      <c r="CF259" s="61">
        <f t="shared" si="242"/>
        <v>1.24</v>
      </c>
      <c r="CG259" s="61">
        <f t="shared" si="243"/>
        <v>4.6900000000000004</v>
      </c>
      <c r="CH259" s="61">
        <f t="shared" si="244"/>
        <v>2.3439705882352948</v>
      </c>
      <c r="CI259" s="14"/>
      <c r="CJ259" s="35">
        <f t="shared" si="227"/>
        <v>1.410525151672233</v>
      </c>
      <c r="CK259" s="15">
        <f t="shared" si="245"/>
        <v>1.4950000000000045</v>
      </c>
      <c r="CL259" s="35">
        <f t="shared" si="228"/>
        <v>1.5794748483277761</v>
      </c>
      <c r="CN259" s="14"/>
      <c r="CO259" s="17">
        <f t="shared" si="229"/>
        <v>-3.2266666666666666</v>
      </c>
      <c r="CP259" s="17">
        <f t="shared" si="230"/>
        <v>-0.99333333333333318</v>
      </c>
      <c r="CQ259" s="17">
        <f t="shared" si="231"/>
        <v>0.22333333333333361</v>
      </c>
      <c r="CR259" s="38">
        <f t="shared" si="246"/>
        <v>2.456666666666667</v>
      </c>
      <c r="CS259" s="17">
        <f t="shared" si="232"/>
        <v>3.6733333333333338</v>
      </c>
      <c r="CT259" s="17">
        <f t="shared" si="233"/>
        <v>5.9066666666666672</v>
      </c>
      <c r="CU259" s="17">
        <f t="shared" si="234"/>
        <v>7.1233333333333348</v>
      </c>
      <c r="CV259" s="2" cm="1">
        <f t="array" aca="1" ref="CV259" ca="1">MAX(_xlfn._xlws.FILTER(CO259:CU259,CO259:CU259&lt;BQ259))</f>
        <v>0.22333333333333361</v>
      </c>
      <c r="CW259" s="2" cm="1">
        <f t="array" aca="1" ref="CW259" ca="1">MIN(_xlfn._xlws.FILTER($CO259:$CU259,$CO259:$CU259&gt;BQ259))</f>
        <v>2.456666666666667</v>
      </c>
      <c r="CX259" s="16">
        <f t="shared" ca="1" si="265"/>
        <v>9.9999999999999876</v>
      </c>
      <c r="CY259" s="20">
        <f t="shared" ca="1" si="266"/>
        <v>-4.9999999999999938</v>
      </c>
      <c r="CZ259" s="20">
        <f t="shared" ca="1" si="267"/>
        <v>-3.333333333333329</v>
      </c>
      <c r="DA259" s="20">
        <f t="shared" ca="1" si="268"/>
        <v>-1.9999999999999976</v>
      </c>
      <c r="DB259" s="20">
        <f t="shared" ca="1" si="269"/>
        <v>-1.1111111111111098</v>
      </c>
      <c r="DC259" s="20">
        <f t="shared" ca="1" si="270"/>
        <v>-0.5882352941176463</v>
      </c>
      <c r="DD259" s="20">
        <f t="shared" ca="1" si="271"/>
        <v>-0.30303030303030265</v>
      </c>
      <c r="DE259" s="20">
        <f t="shared" ca="1" si="272"/>
        <v>-0.15384615384615366</v>
      </c>
      <c r="DF259" s="21">
        <f t="shared" ca="1" si="273"/>
        <v>0.15384615384615366</v>
      </c>
      <c r="DG259" s="21">
        <f t="shared" ca="1" si="274"/>
        <v>0.30303030303030265</v>
      </c>
      <c r="DH259" s="21">
        <f t="shared" ca="1" si="275"/>
        <v>0.5882352941176463</v>
      </c>
      <c r="DI259" s="21">
        <f t="shared" ca="1" si="276"/>
        <v>1.1111111111111098</v>
      </c>
      <c r="DJ259" s="21">
        <f t="shared" ca="1" si="277"/>
        <v>1.9999999999999976</v>
      </c>
      <c r="DK259" s="21">
        <f t="shared" ca="1" si="278"/>
        <v>3.333333333333329</v>
      </c>
      <c r="DL259" s="21">
        <f t="shared" ca="1" si="279"/>
        <v>4.9999999999999938</v>
      </c>
      <c r="DN259" s="16" cm="1">
        <f t="array" aca="1" ref="DN259" ca="1">MAX(_xlfn._xlws.FILTER(CY259:DL259,CY259:DL259&lt;BW259))</f>
        <v>-0.15384615384615366</v>
      </c>
      <c r="DO259" s="16" cm="1">
        <f t="array" aca="1" ref="DO259" ca="1">MIN(_xlfn._xlws.FILTER(CY259:DL259,CY259:DL259&gt;BW259))</f>
        <v>0.15384615384615366</v>
      </c>
      <c r="DP259" s="2" cm="1">
        <f t="array" aca="1" ref="DP259" ca="1">_FV(EE259,"Fechamento anterior",TRUE)</f>
        <v>1.44</v>
      </c>
      <c r="DQ259" s="28">
        <f t="shared" ca="1" si="235"/>
        <v>0.5</v>
      </c>
      <c r="DR259" s="15">
        <f t="shared" ca="1" si="280"/>
        <v>1.2184615384615387</v>
      </c>
      <c r="DS259" s="15">
        <f t="shared" ca="1" si="281"/>
        <v>1.6615384615384612</v>
      </c>
      <c r="DT259" s="9"/>
      <c r="DU259" s="9"/>
      <c r="DV259" s="9"/>
      <c r="DW259" s="89">
        <v>0.42637362637362464</v>
      </c>
      <c r="DX259" s="89">
        <f t="shared" ca="1" si="236"/>
        <v>0.30769230769230732</v>
      </c>
      <c r="DY259" s="72">
        <f t="shared" ca="1" si="237"/>
        <v>-0.65108137023932455</v>
      </c>
      <c r="DZ259" s="37"/>
      <c r="EA259" s="35">
        <f t="shared" si="247"/>
        <v>4.2237424163885789E-2</v>
      </c>
      <c r="EB259" s="56"/>
      <c r="EC259" s="56"/>
      <c r="EE259" s="2" t="e" vm="261">
        <v>#VALUE!</v>
      </c>
      <c r="EG259" s="10" cm="1">
        <f t="array" aca="1" ref="EG259" ca="1">_FV(EE259,"Ações em circulação",TRUE)</f>
        <v>1255007000</v>
      </c>
      <c r="EH259" s="18">
        <f>VLOOKUP(BR259,Fundamentus!A:U,5,FALSE)</f>
        <v>9.9000000000000005E-2</v>
      </c>
      <c r="EI259" s="2">
        <f t="shared" ca="1" si="238"/>
        <v>18254647272.727272</v>
      </c>
      <c r="EJ259" s="17">
        <v>-1339891109.818182</v>
      </c>
      <c r="EK259" s="17">
        <f t="shared" ca="1" si="239"/>
        <v>-1339891109.818182</v>
      </c>
      <c r="EM259" s="16">
        <f t="shared" ref="EM259:EM271" ca="1" si="282">(EK259/EJ259)-1</f>
        <v>0</v>
      </c>
      <c r="EN259" s="32" t="str">
        <f>IF(VLOOKUP(BR259,Fundamentus!A:U,3,FALSE)&lt;15,"Bom",IF(VLOOKUP(BR259,Fundamentus!A:U,3,FALSE)&gt;15,"Ruim","n/a"))</f>
        <v>Bom</v>
      </c>
      <c r="EO259" s="28" t="str">
        <f>IF(VLOOKUP(BR259,Fundamentus!A:U,4,FALSE)&lt;1,"Baixo",IF(VLOOKUP(BR259,Fundamentus!A:U,4,FALSE)&lt;1.5,"Moderado",IF(VLOOKUP(BR259,Fundamentus!A:U,4,FALSE)&gt;1.5,"Alto","n/a")))</f>
        <v>Baixo</v>
      </c>
      <c r="EP259" s="17" t="str">
        <f>IF(VLOOKUP(BR259,Fundamentus!A:U,8,FALSE)&lt;0,"Risco elevado",IF(VLOOKUP(BR259,Fundamentus!A:U,8,FALSE)&lt;1,"Saudável",IF(VLOOKUP(BR259,Fundamentus!A:U,8,FALSE)&lt;3,"Estável",IF(VLOOKUP(BR259,Fundamentus!A:U,8,FALSE)&gt;3,"Alerta","n/a"))))</f>
        <v>Saudável</v>
      </c>
      <c r="EQ259" s="28" t="str">
        <f t="shared" si="240"/>
        <v>Ruim</v>
      </c>
      <c r="ER259" s="17" t="str">
        <f>IF(VLOOKUP(BR259,Fundamentus!A:U,12,FALSE)&lt;2,"Subvalorizada",IF(VLOOKUP(BR259,Fundamentus!A:U,12,FALSE)&lt;6,"Muita barata",IF(VLOOKUP(BR259,Fundamentus!A:U,12,FALSE)&lt;6,"Barata",IF(VLOOKUP(BR259,Fundamentus!A:U,12,FALSE)&lt;8,"Atrativa",IF(VLOOKUP(BR259,Fundamentus!A:U,12,FALSE)&gt;8,"Supervalorizada","n/a")))))</f>
        <v>Muita barata</v>
      </c>
      <c r="ET259" s="17" t="str">
        <f>IF(VLOOKUP(BR259,Fundamentus!A:U,17,FALSE)&lt;0.1,"Fraco retorno",IF(VLOOKUP(BR259,Fundamentus!A:U,17,FALSE)&gt;0.1,"Bom retorno","n/a"))</f>
        <v>Fraco retorno</v>
      </c>
      <c r="EU259" s="17" t="str">
        <f>IF(VLOOKUP(BR259,Fundamentus!A:U,16,FALSE)&lt;0.1,"Ineficiente",IF(VLOOKUP(BR259,Fundamentus!A:U,16,FALSE)&gt;0.1,"Eficiente","n/a"))</f>
        <v>Ineficiente</v>
      </c>
      <c r="EV259" s="33" t="str">
        <f>IF(VLOOKUP(BR259,Fundamentus!A:U,16,FALSE)&lt;0.1,"Oper. Ineficiente",IF(VLOOKUP(BR259,Fundamentus!A:U,16,FALSE)&gt;0.1,"Oper.Eficiente","n/a"))</f>
        <v>Oper. Ineficiente</v>
      </c>
      <c r="EW259" s="34">
        <f>VLOOKUP(BR259,Fundamentus!A:U,14,FALSE)</f>
        <v>-7.3400000000000007E-2</v>
      </c>
      <c r="EX259" s="17" t="str">
        <f>IF(VLOOKUP(BR259,Fundamentus!A:U,21,FALSE)&lt;0,"Negativo",IF(VLOOKUP(BR259,Fundamentus!A:U,21,FALSE)&lt;0.05,"Fraco",IF(VLOOKUP(BR259,Fundamentus!A:U,21,FALSE)&lt;0.1,"Bom",IF(VLOOKUP(BR259,Fundamentus!A:U,21,FALSE)&gt;0.1,"Muito bom","n/a"))))</f>
        <v>Muito bom</v>
      </c>
      <c r="EZ259" s="29" t="str">
        <f>IF(VLOOKUP(BR259,Fundamentus!A:U,15,FALSE)&gt;1,"Bom",IF(VLOOKUP(BR259,Fundamentus!A:U,15,FALSE)&lt;1,"Ruim","n/a"))</f>
        <v>Bom</v>
      </c>
      <c r="FA259" s="17" t="str">
        <f>IF(VLOOKUP(BR259,Fundamentus!A:U,20,FALSE)&lt;0.5,"Baixa",IF(VLOOKUP(BR259,Fundamentus!A:U,20,FALSE)&lt;1,"Moderada",IF(VLOOKUP(BR259,Fundamentus!A:U,20,FALSE)&lt;2,"Alerta",IF(VLOOKUP(BR259,Fundamentus!A:U,20,FALSE)&gt;2,"Alta","n/a"))))</f>
        <v>Alerta</v>
      </c>
    </row>
    <row r="260" spans="1:157" s="2" customFormat="1" ht="11.25"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5">
        <v>2.17</v>
      </c>
      <c r="BC260" s="52">
        <v>1.97</v>
      </c>
      <c r="BD260" s="52">
        <v>1.92</v>
      </c>
      <c r="BE260" s="52">
        <v>1.86</v>
      </c>
      <c r="BF260" s="52">
        <v>1.97</v>
      </c>
      <c r="BG260" s="67">
        <v>2.14</v>
      </c>
      <c r="BH260" s="52">
        <v>2.09</v>
      </c>
      <c r="BI260" s="52">
        <v>2.04</v>
      </c>
      <c r="BJ260" s="52">
        <v>2.06</v>
      </c>
      <c r="BK260" s="52">
        <v>2.06</v>
      </c>
      <c r="BL260" s="52">
        <v>2.06</v>
      </c>
      <c r="BM260" s="52">
        <v>1.99</v>
      </c>
      <c r="BN260" s="52">
        <v>2.06</v>
      </c>
      <c r="BO260" s="52">
        <v>1.93</v>
      </c>
      <c r="BP260" s="52">
        <v>1.99</v>
      </c>
      <c r="BQ260" s="52" cm="1">
        <f t="array" aca="1" ref="BQ260" ca="1">_FV(EE260,"Preço")</f>
        <v>1.99</v>
      </c>
      <c r="BR260" s="69" t="s">
        <v>256</v>
      </c>
      <c r="BS260" s="36" cm="1">
        <f t="array" aca="1" ref="BS260" ca="1">_FV(EE260,"Média de volume",TRUE)</f>
        <v>8100</v>
      </c>
      <c r="BT260" s="36">
        <v>2200</v>
      </c>
      <c r="BU260" s="36" cm="1">
        <f t="array" aca="1" ref="BU260" ca="1">_FV(EE260,"Volume")</f>
        <v>2200</v>
      </c>
      <c r="BV260" s="24" cm="1">
        <f t="array" aca="1" ref="BV260" ca="1">_FV(EE260,"Beta")</f>
        <v>0.73980000000000001</v>
      </c>
      <c r="BW260" s="71" cm="1">
        <f t="array" aca="1" ref="BW260" ca="1">_FV(EE260,"Variação (%)",TRUE)</f>
        <v>3.6457999999999997E-2</v>
      </c>
      <c r="BY260" s="17" cm="1">
        <f t="array" aca="1" ref="BY260" ca="1">_FV(EE260,"Baixo")</f>
        <v>1.93</v>
      </c>
      <c r="BZ260" s="17" cm="1">
        <f t="array" aca="1" ref="BZ260" ca="1">_FV(EE260,"Alto")</f>
        <v>1.99</v>
      </c>
      <c r="CA260" s="24"/>
      <c r="CB260" s="63" t="e">
        <f ca="1">SQRT(22.5*(BQ260/VLOOKUP(BR260,Fundamentus!A:U,3,FALSE))*(BQ260/VLOOKUP(BR260,Fundamentus!A:U,4,FALSE)))</f>
        <v>#NUM!</v>
      </c>
      <c r="CD260" s="62">
        <f t="shared" ca="1" si="241"/>
        <v>0</v>
      </c>
      <c r="CE260" s="8"/>
      <c r="CF260" s="61">
        <f t="shared" si="242"/>
        <v>1.86</v>
      </c>
      <c r="CG260" s="61">
        <f t="shared" si="243"/>
        <v>5.86</v>
      </c>
      <c r="CH260" s="61">
        <f t="shared" si="244"/>
        <v>3.218161764705882</v>
      </c>
      <c r="CI260" s="14"/>
      <c r="CJ260" s="35">
        <f t="shared" si="227"/>
        <v>1.8549285957074984</v>
      </c>
      <c r="CK260" s="15">
        <f t="shared" si="245"/>
        <v>1.960000000000008</v>
      </c>
      <c r="CL260" s="35">
        <f t="shared" si="228"/>
        <v>2.0650714042925178</v>
      </c>
      <c r="CN260" s="14"/>
      <c r="CO260" s="17">
        <f t="shared" si="229"/>
        <v>-3.3866666666666667</v>
      </c>
      <c r="CP260" s="17">
        <f t="shared" si="230"/>
        <v>-0.7633333333333332</v>
      </c>
      <c r="CQ260" s="17">
        <f t="shared" si="231"/>
        <v>0.61333333333333329</v>
      </c>
      <c r="CR260" s="38">
        <f t="shared" si="246"/>
        <v>3.2366666666666668</v>
      </c>
      <c r="CS260" s="17">
        <f t="shared" si="232"/>
        <v>4.6133333333333333</v>
      </c>
      <c r="CT260" s="17">
        <f t="shared" si="233"/>
        <v>7.2366666666666664</v>
      </c>
      <c r="CU260" s="17">
        <f t="shared" si="234"/>
        <v>8.6133333333333333</v>
      </c>
      <c r="CV260" s="2" cm="1">
        <f t="array" aca="1" ref="CV260" ca="1">MAX(_xlfn._xlws.FILTER(CO260:CU260,CO260:CU260&lt;BQ260))</f>
        <v>0.61333333333333329</v>
      </c>
      <c r="CW260" s="2" cm="1">
        <f t="array" aca="1" ref="CW260" ca="1">MIN(_xlfn._xlws.FILTER($CO260:$CU260,$CO260:$CU260&gt;BQ260))</f>
        <v>3.2366666666666668</v>
      </c>
      <c r="CX260" s="16">
        <f t="shared" ca="1" si="265"/>
        <v>4.2771739130434785</v>
      </c>
      <c r="CY260" s="20">
        <f t="shared" ca="1" si="266"/>
        <v>-2.1385869565217392</v>
      </c>
      <c r="CZ260" s="20">
        <f t="shared" ca="1" si="267"/>
        <v>-1.4257246376811594</v>
      </c>
      <c r="DA260" s="20">
        <f t="shared" ca="1" si="268"/>
        <v>-0.85543478260869565</v>
      </c>
      <c r="DB260" s="20">
        <f t="shared" ca="1" si="269"/>
        <v>-0.47524154589371981</v>
      </c>
      <c r="DC260" s="20">
        <f t="shared" ca="1" si="270"/>
        <v>-0.25159846547314579</v>
      </c>
      <c r="DD260" s="20">
        <f t="shared" ca="1" si="271"/>
        <v>-0.12961133069828723</v>
      </c>
      <c r="DE260" s="20">
        <f t="shared" ca="1" si="272"/>
        <v>-6.5802675585284284E-2</v>
      </c>
      <c r="DF260" s="21">
        <f t="shared" ca="1" si="273"/>
        <v>6.5802675585284284E-2</v>
      </c>
      <c r="DG260" s="21">
        <f t="shared" ca="1" si="274"/>
        <v>0.12961133069828723</v>
      </c>
      <c r="DH260" s="21">
        <f t="shared" ca="1" si="275"/>
        <v>0.25159846547314579</v>
      </c>
      <c r="DI260" s="21">
        <f t="shared" ca="1" si="276"/>
        <v>0.47524154589371981</v>
      </c>
      <c r="DJ260" s="21">
        <f t="shared" ca="1" si="277"/>
        <v>0.85543478260869565</v>
      </c>
      <c r="DK260" s="21">
        <f t="shared" ca="1" si="278"/>
        <v>1.4257246376811594</v>
      </c>
      <c r="DL260" s="21">
        <f t="shared" ca="1" si="279"/>
        <v>2.1385869565217392</v>
      </c>
      <c r="DN260" s="16" cm="1">
        <f t="array" aca="1" ref="DN260" ca="1">MAX(_xlfn._xlws.FILTER(CY260:DL260,CY260:DL260&lt;BW260))</f>
        <v>-6.5802675585284284E-2</v>
      </c>
      <c r="DO260" s="16" cm="1">
        <f t="array" aca="1" ref="DO260" ca="1">MIN(_xlfn._xlws.FILTER(CY260:DL260,CY260:DL260&gt;BW260))</f>
        <v>6.5802675585284284E-2</v>
      </c>
      <c r="DP260" s="2" cm="1">
        <f t="array" aca="1" ref="DP260" ca="1">_FV(EE260,"Fechamento anterior",TRUE)</f>
        <v>1.92</v>
      </c>
      <c r="DQ260" s="28">
        <f t="shared" ca="1" si="235"/>
        <v>0.77702774248199957</v>
      </c>
      <c r="DR260" s="15">
        <f t="shared" ca="1" si="280"/>
        <v>1.7936588628762542</v>
      </c>
      <c r="DS260" s="15">
        <f t="shared" ca="1" si="281"/>
        <v>2.0463411371237457</v>
      </c>
      <c r="DT260" s="9"/>
      <c r="DU260" s="9"/>
      <c r="DV260" s="9"/>
      <c r="DW260" s="89">
        <v>0.14186046511627909</v>
      </c>
      <c r="DX260" s="89">
        <f t="shared" ca="1" si="236"/>
        <v>0.13160535117056857</v>
      </c>
      <c r="DY260" s="72">
        <f t="shared" ca="1" si="237"/>
        <v>0.28552012036000446</v>
      </c>
      <c r="DZ260" s="37"/>
      <c r="EA260" s="35">
        <f t="shared" si="247"/>
        <v>5.2535702146254838E-2</v>
      </c>
      <c r="EB260" s="56"/>
      <c r="EC260" s="56"/>
      <c r="EE260" s="2" t="e" vm="262">
        <v>#VALUE!</v>
      </c>
      <c r="EG260" s="10" cm="1">
        <f t="array" aca="1" ref="EG260" ca="1">_FV(EE260,"Ações em circulação",TRUE)</f>
        <v>20272200</v>
      </c>
      <c r="EH260" s="18">
        <f>VLOOKUP(BR260,Fundamentus!A:U,5,FALSE)</f>
        <v>0.47099999999999997</v>
      </c>
      <c r="EI260" s="2">
        <f t="shared" ca="1" si="238"/>
        <v>85651121.019108281</v>
      </c>
      <c r="EJ260" s="17">
        <v>281338237.21146494</v>
      </c>
      <c r="EK260" s="17">
        <f t="shared" ca="1" si="239"/>
        <v>281338237.21146494</v>
      </c>
      <c r="EM260" s="16">
        <f t="shared" ca="1" si="282"/>
        <v>0</v>
      </c>
      <c r="EN260" s="32" t="str">
        <f>IF(VLOOKUP(BR260,Fundamentus!A:U,3,FALSE)&lt;15,"Bom",IF(VLOOKUP(BR260,Fundamentus!A:U,3,FALSE)&gt;15,"Ruim","n/a"))</f>
        <v>Bom</v>
      </c>
      <c r="EO260" s="28" t="str">
        <f>IF(VLOOKUP(BR260,Fundamentus!A:U,4,FALSE)&lt;1,"Baixo",IF(VLOOKUP(BR260,Fundamentus!A:U,4,FALSE)&lt;1.5,"Moderado",IF(VLOOKUP(BR260,Fundamentus!A:U,4,FALSE)&gt;1.5,"Alto","n/a")))</f>
        <v>Baixo</v>
      </c>
      <c r="EP260" s="17" t="str">
        <f>IF(VLOOKUP(BR260,Fundamentus!A:U,8,FALSE)&lt;0,"Risco elevado",IF(VLOOKUP(BR260,Fundamentus!A:U,8,FALSE)&lt;1,"Saudável",IF(VLOOKUP(BR260,Fundamentus!A:U,8,FALSE)&lt;3,"Estável",IF(VLOOKUP(BR260,Fundamentus!A:U,8,FALSE)&gt;3,"Alerta","n/a"))))</f>
        <v>Risco elevado</v>
      </c>
      <c r="EQ260" s="28" t="str">
        <f t="shared" si="240"/>
        <v>Ruim</v>
      </c>
      <c r="ER260" s="17" t="str">
        <f>IF(VLOOKUP(BR260,Fundamentus!A:U,12,FALSE)&lt;2,"Subvalorizada",IF(VLOOKUP(BR260,Fundamentus!A:U,12,FALSE)&lt;6,"Muita barata",IF(VLOOKUP(BR260,Fundamentus!A:U,12,FALSE)&lt;6,"Barata",IF(VLOOKUP(BR260,Fundamentus!A:U,12,FALSE)&lt;8,"Atrativa",IF(VLOOKUP(BR260,Fundamentus!A:U,12,FALSE)&gt;8,"Supervalorizada","n/a")))))</f>
        <v>Subvalorizada</v>
      </c>
      <c r="ET260" s="17" t="str">
        <f>IF(VLOOKUP(BR260,Fundamentus!A:U,17,FALSE)&lt;0.1,"Fraco retorno",IF(VLOOKUP(BR260,Fundamentus!A:U,17,FALSE)&gt;0.1,"Bom retorno","n/a"))</f>
        <v>Fraco retorno</v>
      </c>
      <c r="EU260" s="17" t="str">
        <f>IF(VLOOKUP(BR260,Fundamentus!A:U,16,FALSE)&lt;0.1,"Ineficiente",IF(VLOOKUP(BR260,Fundamentus!A:U,16,FALSE)&gt;0.1,"Eficiente","n/a"))</f>
        <v>Ineficiente</v>
      </c>
      <c r="EV260" s="33" t="str">
        <f>IF(VLOOKUP(BR260,Fundamentus!A:U,16,FALSE)&lt;0.1,"Oper. Ineficiente",IF(VLOOKUP(BR260,Fundamentus!A:U,16,FALSE)&gt;0.1,"Oper.Eficiente","n/a"))</f>
        <v>Oper. Ineficiente</v>
      </c>
      <c r="EW260" s="34">
        <f>VLOOKUP(BR260,Fundamentus!A:U,14,FALSE)</f>
        <v>3.2847</v>
      </c>
      <c r="EX260" s="17" t="str">
        <f>IF(VLOOKUP(BR260,Fundamentus!A:U,21,FALSE)&lt;0,"Negativo",IF(VLOOKUP(BR260,Fundamentus!A:U,21,FALSE)&lt;0.05,"Fraco",IF(VLOOKUP(BR260,Fundamentus!A:U,21,FALSE)&lt;0.1,"Bom",IF(VLOOKUP(BR260,Fundamentus!A:U,21,FALSE)&gt;0.1,"Muito bom","n/a"))))</f>
        <v>Fraco</v>
      </c>
      <c r="EZ260" s="29" t="str">
        <f>IF(VLOOKUP(BR260,Fundamentus!A:U,15,FALSE)&gt;1,"Bom",IF(VLOOKUP(BR260,Fundamentus!A:U,15,FALSE)&lt;1,"Ruim","n/a"))</f>
        <v>Ruim</v>
      </c>
      <c r="FA260" s="17" t="str">
        <f>IF(VLOOKUP(BR260,Fundamentus!A:U,20,FALSE)&lt;0.5,"Baixa",IF(VLOOKUP(BR260,Fundamentus!A:U,20,FALSE)&lt;1,"Moderada",IF(VLOOKUP(BR260,Fundamentus!A:U,20,FALSE)&lt;2,"Alerta",IF(VLOOKUP(BR260,Fundamentus!A:U,20,FALSE)&gt;2,"Alta","n/a"))))</f>
        <v>Baixa</v>
      </c>
    </row>
    <row r="261" spans="1:157" s="2" customFormat="1" ht="11.25"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5">
        <v>1.29</v>
      </c>
      <c r="BC261" s="52">
        <v>1.26</v>
      </c>
      <c r="BD261" s="52">
        <v>1.25</v>
      </c>
      <c r="BE261" s="52">
        <v>1.2</v>
      </c>
      <c r="BF261" s="52">
        <v>1.19</v>
      </c>
      <c r="BG261" s="67">
        <v>1.18</v>
      </c>
      <c r="BH261" s="52">
        <v>1.17</v>
      </c>
      <c r="BI261" s="52">
        <v>1.22</v>
      </c>
      <c r="BJ261" s="52">
        <v>1.61</v>
      </c>
      <c r="BK261" s="52">
        <v>1.94</v>
      </c>
      <c r="BL261" s="52">
        <v>1.8</v>
      </c>
      <c r="BM261" s="52">
        <v>1.7</v>
      </c>
      <c r="BN261" s="52">
        <v>1.7</v>
      </c>
      <c r="BO261" s="52">
        <v>1.71</v>
      </c>
      <c r="BP261" s="52">
        <v>1.64</v>
      </c>
      <c r="BQ261" s="52" cm="1">
        <f t="array" aca="1" ref="BQ261" ca="1">_FV(EE261,"Preço")</f>
        <v>1.64</v>
      </c>
      <c r="BR261" s="69" t="s">
        <v>257</v>
      </c>
      <c r="BS261" s="36" cm="1">
        <f t="array" aca="1" ref="BS261" ca="1">_FV(EE261,"Média de volume",TRUE)</f>
        <v>82100</v>
      </c>
      <c r="BT261" s="36">
        <v>45300</v>
      </c>
      <c r="BU261" s="36" cm="1">
        <f t="array" aca="1" ref="BU261" ca="1">_FV(EE261,"Volume")</f>
        <v>45300</v>
      </c>
      <c r="BV261" s="24" cm="1">
        <f t="array" aca="1" ref="BV261" ca="1">_FV(EE261,"Beta")</f>
        <v>1.6240000000000001</v>
      </c>
      <c r="BW261" s="71" cm="1">
        <f t="array" aca="1" ref="BW261" ca="1">_FV(EE261,"Variação (%)",TRUE)</f>
        <v>1.2345999999999999E-2</v>
      </c>
      <c r="BY261" s="17" cm="1">
        <f t="array" aca="1" ref="BY261" ca="1">_FV(EE261,"Baixo")</f>
        <v>1.62</v>
      </c>
      <c r="BZ261" s="17" cm="1">
        <f t="array" aca="1" ref="BZ261" ca="1">_FV(EE261,"Alto")</f>
        <v>1.7</v>
      </c>
      <c r="CA261" s="24"/>
      <c r="CB261" s="63" t="e">
        <f ca="1">SQRT(22.5*(BQ261/VLOOKUP(BR261,Fundamentus!A:U,3,FALSE))*(BQ261/VLOOKUP(BR261,Fundamentus!A:U,4,FALSE)))</f>
        <v>#NUM!</v>
      </c>
      <c r="CD261" s="62">
        <f t="shared" ca="1" si="241"/>
        <v>0</v>
      </c>
      <c r="CE261" s="8"/>
      <c r="CF261" s="61">
        <f t="shared" si="242"/>
        <v>1.17</v>
      </c>
      <c r="CG261" s="61">
        <f t="shared" si="243"/>
        <v>2.64</v>
      </c>
      <c r="CH261" s="61">
        <f t="shared" si="244"/>
        <v>1.6560294117647063</v>
      </c>
      <c r="CI261" s="14"/>
      <c r="CJ261" s="35">
        <f t="shared" si="227"/>
        <v>1.4590967993820401</v>
      </c>
      <c r="CK261" s="15">
        <f t="shared" si="245"/>
        <v>1.644999999999996</v>
      </c>
      <c r="CL261" s="35">
        <f t="shared" si="228"/>
        <v>1.830903200617952</v>
      </c>
      <c r="CN261" s="14"/>
      <c r="CO261" s="17">
        <f t="shared" si="229"/>
        <v>-0.47666666666666702</v>
      </c>
      <c r="CP261" s="17">
        <f t="shared" si="230"/>
        <v>0.34666666666666646</v>
      </c>
      <c r="CQ261" s="17">
        <f t="shared" si="231"/>
        <v>0.99333333333333318</v>
      </c>
      <c r="CR261" s="38">
        <f t="shared" si="246"/>
        <v>1.8166666666666667</v>
      </c>
      <c r="CS261" s="17">
        <f t="shared" si="232"/>
        <v>2.4633333333333334</v>
      </c>
      <c r="CT261" s="17">
        <f t="shared" si="233"/>
        <v>3.2866666666666671</v>
      </c>
      <c r="CU261" s="17">
        <f t="shared" si="234"/>
        <v>3.9333333333333336</v>
      </c>
      <c r="CV261" s="2" cm="1">
        <f t="array" aca="1" ref="CV261" ca="1">MAX(_xlfn._xlws.FILTER(CO261:CU261,CO261:CU261&lt;BQ261))</f>
        <v>0.99333333333333318</v>
      </c>
      <c r="CW261" s="2" cm="1">
        <f t="array" aca="1" ref="CW261" ca="1">MIN(_xlfn._xlws.FILTER($CO261:$CU261,$CO261:$CU261&gt;BQ261))</f>
        <v>1.8166666666666667</v>
      </c>
      <c r="CX261" s="16">
        <f t="shared" ca="1" si="265"/>
        <v>0.82885906040268487</v>
      </c>
      <c r="CY261" s="20">
        <f t="shared" ca="1" si="266"/>
        <v>-0.41442953020134243</v>
      </c>
      <c r="CZ261" s="20">
        <f t="shared" ca="1" si="267"/>
        <v>-0.27628635346756164</v>
      </c>
      <c r="DA261" s="20">
        <f t="shared" ca="1" si="268"/>
        <v>-0.16577181208053698</v>
      </c>
      <c r="DB261" s="20">
        <f t="shared" ca="1" si="269"/>
        <v>-9.209545115585388E-2</v>
      </c>
      <c r="DC261" s="20">
        <f t="shared" ca="1" si="270"/>
        <v>-4.8756415317804995E-2</v>
      </c>
      <c r="DD261" s="20">
        <f t="shared" ca="1" si="271"/>
        <v>-2.5116941224323786E-2</v>
      </c>
      <c r="DE261" s="20">
        <f t="shared" ca="1" si="272"/>
        <v>-1.2751677852348998E-2</v>
      </c>
      <c r="DF261" s="21">
        <f t="shared" ca="1" si="273"/>
        <v>1.2751677852348998E-2</v>
      </c>
      <c r="DG261" s="21">
        <f t="shared" ca="1" si="274"/>
        <v>2.5116941224323786E-2</v>
      </c>
      <c r="DH261" s="21">
        <f t="shared" ca="1" si="275"/>
        <v>4.8756415317804995E-2</v>
      </c>
      <c r="DI261" s="21">
        <f t="shared" ca="1" si="276"/>
        <v>9.209545115585388E-2</v>
      </c>
      <c r="DJ261" s="21">
        <f t="shared" ca="1" si="277"/>
        <v>0.16577181208053698</v>
      </c>
      <c r="DK261" s="21">
        <f t="shared" ca="1" si="278"/>
        <v>0.27628635346756164</v>
      </c>
      <c r="DL261" s="21">
        <f t="shared" ca="1" si="279"/>
        <v>0.41442953020134243</v>
      </c>
      <c r="DN261" s="16" cm="1">
        <f t="array" aca="1" ref="DN261" ca="1">MAX(_xlfn._xlws.FILTER(CY261:DL261,CY261:DL261&lt;BW261))</f>
        <v>-1.2751677852348998E-2</v>
      </c>
      <c r="DO261" s="16" cm="1">
        <f t="array" aca="1" ref="DO261" ca="1">MIN(_xlfn._xlws.FILTER(CY261:DL261,CY261:DL261&gt;BW261))</f>
        <v>1.2751677852348998E-2</v>
      </c>
      <c r="DP261" s="2" cm="1">
        <f t="array" aca="1" ref="DP261" ca="1">_FV(EE261,"Fechamento anterior",TRUE)</f>
        <v>1.62</v>
      </c>
      <c r="DQ261" s="28">
        <f t="shared" ca="1" si="235"/>
        <v>0.98408057179986408</v>
      </c>
      <c r="DR261" s="15">
        <f t="shared" ref="DR261:DR271" ca="1" si="283">DP261+(DP261*DN261)</f>
        <v>1.5993422818791947</v>
      </c>
      <c r="DS261" s="15">
        <f t="shared" ref="DS261:DS271" ca="1" si="284">DP261+(DP261*DO261)</f>
        <v>1.6406577181208055</v>
      </c>
      <c r="DT261" s="9"/>
      <c r="DU261" s="9"/>
      <c r="DV261" s="9"/>
      <c r="DW261" s="89">
        <v>2.3668639053254455E-2</v>
      </c>
      <c r="DX261" s="89">
        <f t="shared" ca="1" si="236"/>
        <v>2.5503355704697996E-2</v>
      </c>
      <c r="DY261" s="72">
        <f t="shared" ca="1" si="237"/>
        <v>-2.689571768197508E-2</v>
      </c>
      <c r="DZ261" s="37"/>
      <c r="EA261" s="35">
        <f t="shared" si="247"/>
        <v>9.2951600308978005E-2</v>
      </c>
      <c r="EB261" s="56"/>
      <c r="EC261" s="56"/>
      <c r="EE261" s="2" t="e" vm="263">
        <v>#VALUE!</v>
      </c>
      <c r="EG261" s="10" cm="1">
        <f t="array" aca="1" ref="EG261" ca="1">_FV(EE261,"Ações em circulação",TRUE)</f>
        <v>90511120</v>
      </c>
      <c r="EH261" s="18">
        <f>VLOOKUP(BR261,Fundamentus!A:U,5,FALSE)</f>
        <v>0.3</v>
      </c>
      <c r="EI261" s="2">
        <f t="shared" ca="1" si="238"/>
        <v>494794122.66666663</v>
      </c>
      <c r="EJ261" s="17">
        <v>-159422666.32319999</v>
      </c>
      <c r="EK261" s="17">
        <f t="shared" ca="1" si="239"/>
        <v>-159422666.32319999</v>
      </c>
      <c r="EM261" s="16">
        <f t="shared" ca="1" si="282"/>
        <v>0</v>
      </c>
      <c r="EN261" s="32" t="str">
        <f>IF(VLOOKUP(BR261,Fundamentus!A:U,3,FALSE)&lt;15,"Bom",IF(VLOOKUP(BR261,Fundamentus!A:U,3,FALSE)&gt;15,"Ruim","n/a"))</f>
        <v>Bom</v>
      </c>
      <c r="EO261" s="28" t="str">
        <f>IF(VLOOKUP(BR261,Fundamentus!A:U,4,FALSE)&lt;1,"Baixo",IF(VLOOKUP(BR261,Fundamentus!A:U,4,FALSE)&lt;1.5,"Moderado",IF(VLOOKUP(BR261,Fundamentus!A:U,4,FALSE)&gt;1.5,"Alto","n/a")))</f>
        <v>Baixo</v>
      </c>
      <c r="EP261" s="17" t="str">
        <f>IF(VLOOKUP(BR261,Fundamentus!A:U,8,FALSE)&lt;0,"Risco elevado",IF(VLOOKUP(BR261,Fundamentus!A:U,8,FALSE)&lt;1,"Saudável",IF(VLOOKUP(BR261,Fundamentus!A:U,8,FALSE)&lt;3,"Estável",IF(VLOOKUP(BR261,Fundamentus!A:U,8,FALSE)&gt;3,"Alerta","n/a"))))</f>
        <v>Alerta</v>
      </c>
      <c r="EQ261" s="28" t="str">
        <f t="shared" si="240"/>
        <v>Ruim</v>
      </c>
      <c r="ER261" s="17" t="str">
        <f>IF(VLOOKUP(BR261,Fundamentus!A:U,12,FALSE)&lt;2,"Subvalorizada",IF(VLOOKUP(BR261,Fundamentus!A:U,12,FALSE)&lt;6,"Muita barata",IF(VLOOKUP(BR261,Fundamentus!A:U,12,FALSE)&lt;6,"Barata",IF(VLOOKUP(BR261,Fundamentus!A:U,12,FALSE)&lt;8,"Atrativa",IF(VLOOKUP(BR261,Fundamentus!A:U,12,FALSE)&gt;8,"Supervalorizada","n/a")))))</f>
        <v>Subvalorizada</v>
      </c>
      <c r="ET261" s="17" t="str">
        <f>IF(VLOOKUP(BR261,Fundamentus!A:U,17,FALSE)&lt;0.1,"Fraco retorno",IF(VLOOKUP(BR261,Fundamentus!A:U,17,FALSE)&gt;0.1,"Bom retorno","n/a"))</f>
        <v>Fraco retorno</v>
      </c>
      <c r="EU261" s="17" t="str">
        <f>IF(VLOOKUP(BR261,Fundamentus!A:U,16,FALSE)&lt;0.1,"Ineficiente",IF(VLOOKUP(BR261,Fundamentus!A:U,16,FALSE)&gt;0.1,"Eficiente","n/a"))</f>
        <v>Ineficiente</v>
      </c>
      <c r="EV261" s="33" t="str">
        <f>IF(VLOOKUP(BR261,Fundamentus!A:U,16,FALSE)&lt;0.1,"Oper. Ineficiente",IF(VLOOKUP(BR261,Fundamentus!A:U,16,FALSE)&gt;0.1,"Oper.Eficiente","n/a"))</f>
        <v>Oper. Ineficiente</v>
      </c>
      <c r="EW261" s="34">
        <f>VLOOKUP(BR261,Fundamentus!A:U,14,FALSE)</f>
        <v>-0.32219999999999999</v>
      </c>
      <c r="EX261" s="17" t="str">
        <f>IF(VLOOKUP(BR261,Fundamentus!A:U,21,FALSE)&lt;0,"Negativo",IF(VLOOKUP(BR261,Fundamentus!A:U,21,FALSE)&lt;0.05,"Fraco",IF(VLOOKUP(BR261,Fundamentus!A:U,21,FALSE)&lt;0.1,"Bom",IF(VLOOKUP(BR261,Fundamentus!A:U,21,FALSE)&gt;0.1,"Muito bom","n/a"))))</f>
        <v>Muito bom</v>
      </c>
      <c r="EZ261" s="29" t="str">
        <f>IF(VLOOKUP(BR261,Fundamentus!A:U,15,FALSE)&gt;1,"Bom",IF(VLOOKUP(BR261,Fundamentus!A:U,15,FALSE)&lt;1,"Ruim","n/a"))</f>
        <v>Bom</v>
      </c>
      <c r="FA261" s="17" t="str">
        <f>IF(VLOOKUP(BR261,Fundamentus!A:U,20,FALSE)&lt;0.5,"Baixa",IF(VLOOKUP(BR261,Fundamentus!A:U,20,FALSE)&lt;1,"Moderada",IF(VLOOKUP(BR261,Fundamentus!A:U,20,FALSE)&lt;2,"Alerta",IF(VLOOKUP(BR261,Fundamentus!A:U,20,FALSE)&gt;2,"Alta","n/a"))))</f>
        <v>Alerta</v>
      </c>
    </row>
    <row r="262" spans="1:157" s="2" customFormat="1" ht="11.25"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5">
        <v>1.43</v>
      </c>
      <c r="BC262" s="52">
        <v>1.1399999999999999</v>
      </c>
      <c r="BD262" s="52">
        <v>1.04</v>
      </c>
      <c r="BE262" s="52">
        <v>0.9</v>
      </c>
      <c r="BF262" s="52">
        <v>0.96</v>
      </c>
      <c r="BG262" s="67">
        <v>0.99</v>
      </c>
      <c r="BH262" s="52">
        <v>0.98</v>
      </c>
      <c r="BI262" s="52">
        <v>0.94</v>
      </c>
      <c r="BJ262" s="52">
        <v>0.93</v>
      </c>
      <c r="BK262" s="52">
        <v>0.8</v>
      </c>
      <c r="BL262" s="52">
        <v>0.63</v>
      </c>
      <c r="BM262" s="52">
        <v>0.73</v>
      </c>
      <c r="BN262" s="52">
        <v>0.67</v>
      </c>
      <c r="BO262" s="52">
        <v>0.6</v>
      </c>
      <c r="BP262" s="52">
        <v>0.57999999999999996</v>
      </c>
      <c r="BQ262" s="52" cm="1">
        <f t="array" aca="1" ref="BQ262" ca="1">_FV(EE262,"Preço")</f>
        <v>0.57999999999999996</v>
      </c>
      <c r="BR262" s="69" t="s">
        <v>258</v>
      </c>
      <c r="BS262" s="36" cm="1">
        <f t="array" aca="1" ref="BS262" ca="1">_FV(EE262,"Média de volume",TRUE)</f>
        <v>17357570</v>
      </c>
      <c r="BT262" s="36">
        <v>23196700</v>
      </c>
      <c r="BU262" s="36" cm="1">
        <f t="array" aca="1" ref="BU262" ca="1">_FV(EE262,"Volume")</f>
        <v>23196700</v>
      </c>
      <c r="BV262" s="24" cm="1">
        <f t="array" aca="1" ref="BV262" ca="1">_FV(EE262,"Beta")</f>
        <v>2.0958000000000001</v>
      </c>
      <c r="BW262" s="71" cm="1">
        <f t="array" aca="1" ref="BW262" ca="1">_FV(EE262,"Variação (%)",TRUE)</f>
        <v>-4.9180000000000001E-2</v>
      </c>
      <c r="BY262" s="17" cm="1">
        <f t="array" aca="1" ref="BY262" ca="1">_FV(EE262,"Baixo")</f>
        <v>0.57999999999999996</v>
      </c>
      <c r="BZ262" s="17" cm="1">
        <f t="array" aca="1" ref="BZ262" ca="1">_FV(EE262,"Alto")</f>
        <v>0.63</v>
      </c>
      <c r="CA262" s="24"/>
      <c r="CB262" s="63" t="e">
        <f ca="1">SQRT(22.5*(BQ262/VLOOKUP(BR262,Fundamentus!A:U,3,FALSE))*(BQ262/VLOOKUP(BR262,Fundamentus!A:U,4,FALSE)))</f>
        <v>#NUM!</v>
      </c>
      <c r="CD262" s="62">
        <f t="shared" ca="1" si="241"/>
        <v>0</v>
      </c>
      <c r="CE262" s="8"/>
      <c r="CF262" s="61">
        <f t="shared" si="242"/>
        <v>0.57999999999999996</v>
      </c>
      <c r="CG262" s="61">
        <f t="shared" si="243"/>
        <v>11.08</v>
      </c>
      <c r="CH262" s="61">
        <f t="shared" si="244"/>
        <v>4.6629411764705884</v>
      </c>
      <c r="CI262" s="14"/>
      <c r="CJ262" s="35">
        <f t="shared" ref="CJ262:CJ271" si="285">CK262-EA262*2</f>
        <v>0.37155663138365824</v>
      </c>
      <c r="CK262" s="15">
        <f t="shared" si="245"/>
        <v>0.51499999999998636</v>
      </c>
      <c r="CL262" s="35">
        <f t="shared" ref="CL262:CL271" si="286">CK262+EA262*2</f>
        <v>0.65844336861631447</v>
      </c>
      <c r="CN262" s="14"/>
      <c r="CO262" s="17">
        <f t="shared" ref="CO262:CO271" si="287">CF262-2*(CG262-CR262)</f>
        <v>-13.42</v>
      </c>
      <c r="CP262" s="17">
        <f t="shared" ref="CP262:CP271" si="288">CR262-(CG262-CF262)</f>
        <v>-6.42</v>
      </c>
      <c r="CQ262" s="17">
        <f t="shared" ref="CQ262:CQ271" si="289">2*CR262-CG262</f>
        <v>-2.92</v>
      </c>
      <c r="CR262" s="38">
        <f t="shared" si="246"/>
        <v>4.08</v>
      </c>
      <c r="CS262" s="17">
        <f t="shared" ref="CS262:CS271" si="290">2*CR262-CF262</f>
        <v>7.58</v>
      </c>
      <c r="CT262" s="17">
        <f t="shared" ref="CT262:CT271" si="291">CR262+(CG262-CF262)</f>
        <v>14.58</v>
      </c>
      <c r="CU262" s="17">
        <f t="shared" ref="CU262:CU271" si="292">CG262+2*(CR262-CF262)</f>
        <v>18.079999999999998</v>
      </c>
      <c r="CV262" s="2" cm="1">
        <f t="array" aca="1" ref="CV262" ca="1">MAX(_xlfn._xlws.FILTER(CO262:CU262,CO262:CU262&lt;BQ262))</f>
        <v>-2.92</v>
      </c>
      <c r="CW262" s="2" cm="1">
        <f t="array" aca="1" ref="CW262" ca="1">MIN(_xlfn._xlws.FILTER($CO262:$CU262,$CO262:$CU262&gt;BQ262))</f>
        <v>4.08</v>
      </c>
      <c r="CX262" s="16">
        <f t="shared" ref="CX262:CX271" ca="1" si="293">(CW262/CV262)-1</f>
        <v>-2.397260273972603</v>
      </c>
      <c r="CY262" s="20">
        <f t="shared" ref="CY262:CY271" ca="1" si="294">-$CX262/2</f>
        <v>1.1986301369863015</v>
      </c>
      <c r="CZ262" s="20">
        <f t="shared" ref="CZ262:CZ271" ca="1" si="295">-$CX262/3</f>
        <v>0.7990867579908677</v>
      </c>
      <c r="DA262" s="20">
        <f t="shared" ref="DA262:DA271" ca="1" si="296">-$CX262/5</f>
        <v>0.47945205479452058</v>
      </c>
      <c r="DB262" s="20">
        <f t="shared" ref="DB262:DB271" ca="1" si="297">-$CX262/9</f>
        <v>0.26636225266362257</v>
      </c>
      <c r="DC262" s="20">
        <f t="shared" ca="1" si="270"/>
        <v>0.14101531023368252</v>
      </c>
      <c r="DD262" s="20">
        <f t="shared" ca="1" si="271"/>
        <v>7.2644250726442511E-2</v>
      </c>
      <c r="DE262" s="20">
        <f t="shared" ca="1" si="272"/>
        <v>3.6880927291886197E-2</v>
      </c>
      <c r="DF262" s="21">
        <f t="shared" ca="1" si="273"/>
        <v>-3.6880927291886197E-2</v>
      </c>
      <c r="DG262" s="21">
        <f t="shared" ca="1" si="274"/>
        <v>-7.2644250726442511E-2</v>
      </c>
      <c r="DH262" s="21">
        <f t="shared" ca="1" si="275"/>
        <v>-0.14101531023368252</v>
      </c>
      <c r="DI262" s="21">
        <f t="shared" ref="DI262:DI271" ca="1" si="298">-$CX262/9*-1</f>
        <v>-0.26636225266362257</v>
      </c>
      <c r="DJ262" s="21">
        <f t="shared" ref="DJ262:DJ271" ca="1" si="299">-$CX262/5*-1</f>
        <v>-0.47945205479452058</v>
      </c>
      <c r="DK262" s="21">
        <f t="shared" ref="DK262:DK271" ca="1" si="300">-$CX262/3*-1</f>
        <v>-0.7990867579908677</v>
      </c>
      <c r="DL262" s="21">
        <f t="shared" ref="DL262:DL271" ca="1" si="301">-$CX262/2*-1</f>
        <v>-1.1986301369863015</v>
      </c>
      <c r="DN262" s="16" cm="1">
        <f t="array" aca="1" ref="DN262" ca="1">MAX(_xlfn._xlws.FILTER(CY262:DL262,CY262:DL262&lt;BW262))</f>
        <v>-7.2644250726442511E-2</v>
      </c>
      <c r="DO262" s="16" cm="1">
        <f t="array" aca="1" ref="DO262" ca="1">MIN(_xlfn._xlws.FILTER(CY262:DL262,CY262:DL262&gt;BW262))</f>
        <v>-3.6880927291886197E-2</v>
      </c>
      <c r="DP262" s="2" cm="1">
        <f t="array" aca="1" ref="DP262" ca="1">_FV(EE262,"Fechamento anterior",TRUE)</f>
        <v>0.61</v>
      </c>
      <c r="DQ262" s="28">
        <f t="shared" ref="DQ262:DQ271" ca="1" si="302">(BQ262-DR262)/(DS262-DR262)</f>
        <v>0.65608899297423884</v>
      </c>
      <c r="DR262" s="15">
        <f t="shared" ca="1" si="283"/>
        <v>0.56568700705687003</v>
      </c>
      <c r="DS262" s="15">
        <f t="shared" ca="1" si="284"/>
        <v>0.58750263435194938</v>
      </c>
      <c r="DT262" s="9"/>
      <c r="DU262" s="9"/>
      <c r="DV262" s="9"/>
      <c r="DW262" s="89">
        <v>7.4299893654732344E-2</v>
      </c>
      <c r="DX262" s="89">
        <f t="shared" ref="DX262:DX271" ca="1" si="303">DO262-DN262</f>
        <v>3.5763323434556314E-2</v>
      </c>
      <c r="DY262" s="72">
        <f t="shared" ref="DY262:DY271" ca="1" si="304">(BQ262-CK262)/(CK262-CJ262)</f>
        <v>0.45314050155829005</v>
      </c>
      <c r="DZ262" s="37"/>
      <c r="EA262" s="35">
        <f t="shared" si="247"/>
        <v>7.1721684308164071E-2</v>
      </c>
      <c r="EB262" s="56"/>
      <c r="EC262" s="56"/>
      <c r="EE262" s="2" t="e" vm="264">
        <v>#VALUE!</v>
      </c>
      <c r="EG262" s="10" cm="1">
        <f t="array" aca="1" ref="EG262" ca="1">_FV(EE262,"Ações em circulação",TRUE)</f>
        <v>896039700</v>
      </c>
      <c r="EH262" s="18">
        <f>VLOOKUP(BR262,Fundamentus!A:U,5,FALSE)</f>
        <v>3.1E-2</v>
      </c>
      <c r="EI262" s="2">
        <f t="shared" ref="EI262:EI271" ca="1" si="305">(BQ262*EG262)/EH262</f>
        <v>16764613741.935482</v>
      </c>
      <c r="EJ262" s="17">
        <v>9850887034.7612896</v>
      </c>
      <c r="EK262" s="17">
        <f t="shared" ref="EK262:EK271" ca="1" si="306">EI262*EW262</f>
        <v>9850887034.7612896</v>
      </c>
      <c r="EM262" s="16">
        <f t="shared" ca="1" si="282"/>
        <v>0</v>
      </c>
      <c r="EN262" s="32" t="str">
        <f>IF(VLOOKUP(BR262,Fundamentus!A:U,3,FALSE)&lt;15,"Bom",IF(VLOOKUP(BR262,Fundamentus!A:U,3,FALSE)&gt;15,"Ruim","n/a"))</f>
        <v>Bom</v>
      </c>
      <c r="EO262" s="28" t="str">
        <f>IF(VLOOKUP(BR262,Fundamentus!A:U,4,FALSE)&lt;1,"Baixo",IF(VLOOKUP(BR262,Fundamentus!A:U,4,FALSE)&lt;1.5,"Moderado",IF(VLOOKUP(BR262,Fundamentus!A:U,4,FALSE)&gt;1.5,"Alto","n/a")))</f>
        <v>Baixo</v>
      </c>
      <c r="EP262" s="17" t="str">
        <f>IF(VLOOKUP(BR262,Fundamentus!A:U,8,FALSE)&lt;0,"Risco elevado",IF(VLOOKUP(BR262,Fundamentus!A:U,8,FALSE)&lt;1,"Saudável",IF(VLOOKUP(BR262,Fundamentus!A:U,8,FALSE)&lt;3,"Estável",IF(VLOOKUP(BR262,Fundamentus!A:U,8,FALSE)&gt;3,"Alerta","n/a"))))</f>
        <v>Risco elevado</v>
      </c>
      <c r="EQ262" s="28" t="str">
        <f t="shared" ref="EQ262:EQ271" si="307">IF(EH262&gt;1,"Bom","Ruim")</f>
        <v>Ruim</v>
      </c>
      <c r="ER262" s="17" t="str">
        <f>IF(VLOOKUP(BR262,Fundamentus!A:U,12,FALSE)&lt;2,"Subvalorizada",IF(VLOOKUP(BR262,Fundamentus!A:U,12,FALSE)&lt;6,"Muita barata",IF(VLOOKUP(BR262,Fundamentus!A:U,12,FALSE)&lt;6,"Barata",IF(VLOOKUP(BR262,Fundamentus!A:U,12,FALSE)&lt;8,"Atrativa",IF(VLOOKUP(BR262,Fundamentus!A:U,12,FALSE)&gt;8,"Supervalorizada","n/a")))))</f>
        <v>Muita barata</v>
      </c>
      <c r="ET262" s="17" t="str">
        <f>IF(VLOOKUP(BR262,Fundamentus!A:U,17,FALSE)&lt;0.1,"Fraco retorno",IF(VLOOKUP(BR262,Fundamentus!A:U,17,FALSE)&gt;0.1,"Bom retorno","n/a"))</f>
        <v>Fraco retorno</v>
      </c>
      <c r="EU262" s="17" t="str">
        <f>IF(VLOOKUP(BR262,Fundamentus!A:U,16,FALSE)&lt;0.1,"Ineficiente",IF(VLOOKUP(BR262,Fundamentus!A:U,16,FALSE)&gt;0.1,"Eficiente","n/a"))</f>
        <v>Eficiente</v>
      </c>
      <c r="EV262" s="33" t="str">
        <f>IF(VLOOKUP(BR262,Fundamentus!A:U,16,FALSE)&lt;0.1,"Oper. Ineficiente",IF(VLOOKUP(BR262,Fundamentus!A:U,16,FALSE)&gt;0.1,"Oper.Eficiente","n/a"))</f>
        <v>Oper.Eficiente</v>
      </c>
      <c r="EW262" s="34">
        <f>VLOOKUP(BR262,Fundamentus!A:U,14,FALSE)</f>
        <v>0.58760000000000001</v>
      </c>
      <c r="EX262" s="17" t="str">
        <f>IF(VLOOKUP(BR262,Fundamentus!A:U,21,FALSE)&lt;0,"Negativo",IF(VLOOKUP(BR262,Fundamentus!A:U,21,FALSE)&lt;0.05,"Fraco",IF(VLOOKUP(BR262,Fundamentus!A:U,21,FALSE)&lt;0.1,"Bom",IF(VLOOKUP(BR262,Fundamentus!A:U,21,FALSE)&gt;0.1,"Muito bom","n/a"))))</f>
        <v>Muito bom</v>
      </c>
      <c r="EZ262" s="29" t="str">
        <f>IF(VLOOKUP(BR262,Fundamentus!A:U,15,FALSE)&gt;1,"Bom",IF(VLOOKUP(BR262,Fundamentus!A:U,15,FALSE)&lt;1,"Ruim","n/a"))</f>
        <v>Ruim</v>
      </c>
      <c r="FA262" s="17" t="str">
        <f>IF(VLOOKUP(BR262,Fundamentus!A:U,20,FALSE)&lt;0.5,"Baixa",IF(VLOOKUP(BR262,Fundamentus!A:U,20,FALSE)&lt;1,"Moderada",IF(VLOOKUP(BR262,Fundamentus!A:U,20,FALSE)&lt;2,"Alerta",IF(VLOOKUP(BR262,Fundamentus!A:U,20,FALSE)&gt;2,"Alta","n/a"))))</f>
        <v>Baixa</v>
      </c>
    </row>
    <row r="263" spans="1:157" s="2" customFormat="1" ht="11.25"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5">
        <v>5.01</v>
      </c>
      <c r="BC263" s="52">
        <v>4.96</v>
      </c>
      <c r="BD263" s="52">
        <v>6.74</v>
      </c>
      <c r="BE263" s="52">
        <v>7.97</v>
      </c>
      <c r="BF263" s="52">
        <v>7.93</v>
      </c>
      <c r="BG263" s="67">
        <v>7.76</v>
      </c>
      <c r="BH263" s="52">
        <v>7.36</v>
      </c>
      <c r="BI263" s="52">
        <v>7.01</v>
      </c>
      <c r="BJ263" s="52">
        <v>6.62</v>
      </c>
      <c r="BK263" s="52">
        <v>5.16</v>
      </c>
      <c r="BL263" s="52">
        <v>4.9800000000000004</v>
      </c>
      <c r="BM263" s="52">
        <v>5.04</v>
      </c>
      <c r="BN263" s="52">
        <v>5.88</v>
      </c>
      <c r="BO263" s="52">
        <v>6.32</v>
      </c>
      <c r="BP263" s="52">
        <v>7.7</v>
      </c>
      <c r="BQ263" s="52" cm="1">
        <f t="array" aca="1" ref="BQ263" ca="1">_FV(EE263,"Preço")</f>
        <v>7.7</v>
      </c>
      <c r="BR263" s="69" t="s">
        <v>259</v>
      </c>
      <c r="BS263" s="36" cm="1">
        <f t="array" aca="1" ref="BS263" ca="1">_FV(EE263,"Média de volume",TRUE)</f>
        <v>21710</v>
      </c>
      <c r="BT263" s="36">
        <v>12600</v>
      </c>
      <c r="BU263" s="36" cm="1">
        <f t="array" aca="1" ref="BU263" ca="1">_FV(EE263,"Volume")</f>
        <v>12600</v>
      </c>
      <c r="BV263" s="24" cm="1">
        <f t="array" aca="1" ref="BV263" ca="1">_FV(EE263,"Beta")</f>
        <v>1.7293000000000001</v>
      </c>
      <c r="BW263" s="71" cm="1">
        <f t="array" aca="1" ref="BW263" ca="1">_FV(EE263,"Variação (%)",TRUE)</f>
        <v>3.6339000000000003E-2</v>
      </c>
      <c r="BY263" s="17" cm="1">
        <f t="array" aca="1" ref="BY263" ca="1">_FV(EE263,"Baixo")</f>
        <v>7.37</v>
      </c>
      <c r="BZ263" s="17" cm="1">
        <f t="array" aca="1" ref="BZ263" ca="1">_FV(EE263,"Alto")</f>
        <v>7.7</v>
      </c>
      <c r="CA263" s="24"/>
      <c r="CB263" s="63">
        <f ca="1">SQRT(22.5*(BQ263/VLOOKUP(BR263,Fundamentus!A:U,3,FALSE))*(BQ263/VLOOKUP(BR263,Fundamentus!A:U,4,FALSE)))</f>
        <v>23.23750815091309</v>
      </c>
      <c r="CD263" s="62">
        <f t="shared" ref="CD263:CD271" ca="1" si="308">(BQ263 - BP263) / BP263</f>
        <v>0</v>
      </c>
      <c r="CE263" s="8"/>
      <c r="CF263" s="61">
        <f t="shared" ref="CF263:CF271" si="309">MIN(A263:BP263)</f>
        <v>2.85</v>
      </c>
      <c r="CG263" s="61">
        <f t="shared" ref="CG263:CG271" si="310">MAX(A263:BP263)</f>
        <v>8.83</v>
      </c>
      <c r="CH263" s="61">
        <f t="shared" ref="CH263:CH271" si="311">AVERAGE(A263:BP263)</f>
        <v>5.5706617647058829</v>
      </c>
      <c r="CI263" s="14"/>
      <c r="CJ263" s="35">
        <f t="shared" si="285"/>
        <v>7.2773542452907352</v>
      </c>
      <c r="CK263" s="15">
        <f t="shared" ref="CK263:CK271" si="312">FORECAST("22/08/2025", BM263:BP263, $BM$5:$BP$5)</f>
        <v>8.339999999999236</v>
      </c>
      <c r="CL263" s="35">
        <f t="shared" si="286"/>
        <v>9.4026457547077378</v>
      </c>
      <c r="CN263" s="14"/>
      <c r="CO263" s="17">
        <f t="shared" si="287"/>
        <v>-1.8900000000000001</v>
      </c>
      <c r="CP263" s="17">
        <f t="shared" si="288"/>
        <v>0.47999999999999954</v>
      </c>
      <c r="CQ263" s="17">
        <f t="shared" si="289"/>
        <v>4.09</v>
      </c>
      <c r="CR263" s="38">
        <f t="shared" ref="CR263:CR271" si="313">(CG263+CF263+BP263)/3</f>
        <v>6.46</v>
      </c>
      <c r="CS263" s="17">
        <f t="shared" si="290"/>
        <v>10.07</v>
      </c>
      <c r="CT263" s="17">
        <f t="shared" si="291"/>
        <v>12.440000000000001</v>
      </c>
      <c r="CU263" s="17">
        <f t="shared" si="292"/>
        <v>16.05</v>
      </c>
      <c r="CV263" s="2" cm="1">
        <f t="array" aca="1" ref="CV263" ca="1">MAX(_xlfn._xlws.FILTER(CO263:CU263,CO263:CU263&lt;BQ263))</f>
        <v>6.46</v>
      </c>
      <c r="CW263" s="2" cm="1">
        <f t="array" aca="1" ref="CW263" ca="1">MIN(_xlfn._xlws.FILTER($CO263:$CU263,$CO263:$CU263&gt;BQ263))</f>
        <v>10.07</v>
      </c>
      <c r="CX263" s="16">
        <f t="shared" ca="1" si="293"/>
        <v>0.55882352941176472</v>
      </c>
      <c r="CY263" s="20">
        <f t="shared" ca="1" si="294"/>
        <v>-0.27941176470588236</v>
      </c>
      <c r="CZ263" s="20">
        <f t="shared" ca="1" si="295"/>
        <v>-0.18627450980392157</v>
      </c>
      <c r="DA263" s="20">
        <f t="shared" ca="1" si="296"/>
        <v>-0.11176470588235295</v>
      </c>
      <c r="DB263" s="20">
        <f t="shared" ca="1" si="297"/>
        <v>-6.2091503267973858E-2</v>
      </c>
      <c r="DC263" s="20">
        <f t="shared" ca="1" si="270"/>
        <v>-3.2871972318339104E-2</v>
      </c>
      <c r="DD263" s="20">
        <f t="shared" ca="1" si="271"/>
        <v>-1.6934046345811051E-2</v>
      </c>
      <c r="DE263" s="20">
        <f t="shared" ca="1" si="272"/>
        <v>-8.5972850678733038E-3</v>
      </c>
      <c r="DF263" s="21">
        <f t="shared" ca="1" si="273"/>
        <v>8.5972850678733038E-3</v>
      </c>
      <c r="DG263" s="21">
        <f t="shared" ca="1" si="274"/>
        <v>1.6934046345811051E-2</v>
      </c>
      <c r="DH263" s="21">
        <f t="shared" ca="1" si="275"/>
        <v>3.2871972318339104E-2</v>
      </c>
      <c r="DI263" s="21">
        <f t="shared" ca="1" si="298"/>
        <v>6.2091503267973858E-2</v>
      </c>
      <c r="DJ263" s="21">
        <f t="shared" ca="1" si="299"/>
        <v>0.11176470588235295</v>
      </c>
      <c r="DK263" s="21">
        <f t="shared" ca="1" si="300"/>
        <v>0.18627450980392157</v>
      </c>
      <c r="DL263" s="21">
        <f t="shared" ca="1" si="301"/>
        <v>0.27941176470588236</v>
      </c>
      <c r="DN263" s="16" cm="1">
        <f t="array" aca="1" ref="DN263" ca="1">MAX(_xlfn._xlws.FILTER(CY263:DL263,CY263:DL263&lt;BW263))</f>
        <v>3.2871972318339104E-2</v>
      </c>
      <c r="DO263" s="16" cm="1">
        <f t="array" aca="1" ref="DO263" ca="1">MIN(_xlfn._xlws.FILTER(CY263:DL263,CY263:DL263&gt;BW263))</f>
        <v>6.2091503267973858E-2</v>
      </c>
      <c r="DP263" s="2" cm="1">
        <f t="array" aca="1" ref="DP263" ca="1">_FV(EE263,"Fechamento anterior",TRUE)</f>
        <v>7.43</v>
      </c>
      <c r="DQ263" s="28">
        <f t="shared" ca="1" si="302"/>
        <v>0.11866012608911521</v>
      </c>
      <c r="DR263" s="15">
        <f t="shared" ca="1" si="283"/>
        <v>7.674238754325259</v>
      </c>
      <c r="DS263" s="15">
        <f t="shared" ca="1" si="284"/>
        <v>7.8913398692810457</v>
      </c>
      <c r="DT263" s="9"/>
      <c r="DU263" s="9"/>
      <c r="DV263" s="9"/>
      <c r="DW263" s="89">
        <v>1.4973262032085564E-2</v>
      </c>
      <c r="DX263" s="89">
        <f t="shared" ca="1" si="303"/>
        <v>2.9219530949634753E-2</v>
      </c>
      <c r="DY263" s="72">
        <f t="shared" ca="1" si="304"/>
        <v>-0.60227032118977142</v>
      </c>
      <c r="DZ263" s="37"/>
      <c r="EA263" s="35">
        <f t="shared" ref="EA263:EA271" si="314">_xlfn.STDEV.P(BK263:BO263)</f>
        <v>0.53132287735425054</v>
      </c>
      <c r="EB263" s="56"/>
      <c r="EC263" s="56"/>
      <c r="EE263" s="2" t="e" vm="265">
        <v>#VALUE!</v>
      </c>
      <c r="EG263" s="10" cm="1">
        <f t="array" aca="1" ref="EG263" ca="1">_FV(EE263,"Ações em circulação",TRUE)</f>
        <v>13321980</v>
      </c>
      <c r="EH263" s="18">
        <f>VLOOKUP(BR263,Fundamentus!A:U,5,FALSE)</f>
        <v>0.41</v>
      </c>
      <c r="EI263" s="2">
        <f t="shared" ca="1" si="305"/>
        <v>250193282.92682928</v>
      </c>
      <c r="EJ263" s="17">
        <v>-11208659.075121952</v>
      </c>
      <c r="EK263" s="17">
        <f t="shared" ca="1" si="306"/>
        <v>-11208659.075121952</v>
      </c>
      <c r="EM263" s="16">
        <f t="shared" ca="1" si="282"/>
        <v>0</v>
      </c>
      <c r="EN263" s="32" t="str">
        <f>IF(VLOOKUP(BR263,Fundamentus!A:U,3,FALSE)&lt;15,"Bom",IF(VLOOKUP(BR263,Fundamentus!A:U,3,FALSE)&gt;15,"Ruim","n/a"))</f>
        <v>Bom</v>
      </c>
      <c r="EO263" s="28" t="str">
        <f>IF(VLOOKUP(BR263,Fundamentus!A:U,4,FALSE)&lt;1,"Baixo",IF(VLOOKUP(BR263,Fundamentus!A:U,4,FALSE)&lt;1.5,"Moderado",IF(VLOOKUP(BR263,Fundamentus!A:U,4,FALSE)&gt;1.5,"Alto","n/a")))</f>
        <v>Baixo</v>
      </c>
      <c r="EP263" s="17" t="str">
        <f>IF(VLOOKUP(BR263,Fundamentus!A:U,8,FALSE)&lt;0,"Risco elevado",IF(VLOOKUP(BR263,Fundamentus!A:U,8,FALSE)&lt;1,"Saudável",IF(VLOOKUP(BR263,Fundamentus!A:U,8,FALSE)&lt;3,"Estável",IF(VLOOKUP(BR263,Fundamentus!A:U,8,FALSE)&gt;3,"Alerta","n/a"))))</f>
        <v>Risco elevado</v>
      </c>
      <c r="EQ263" s="28" t="str">
        <f t="shared" si="307"/>
        <v>Ruim</v>
      </c>
      <c r="ER263" s="17" t="str">
        <f>IF(VLOOKUP(BR263,Fundamentus!A:U,12,FALSE)&lt;2,"Subvalorizada",IF(VLOOKUP(BR263,Fundamentus!A:U,12,FALSE)&lt;6,"Muita barata",IF(VLOOKUP(BR263,Fundamentus!A:U,12,FALSE)&lt;6,"Barata",IF(VLOOKUP(BR263,Fundamentus!A:U,12,FALSE)&lt;8,"Atrativa",IF(VLOOKUP(BR263,Fundamentus!A:U,12,FALSE)&gt;8,"Supervalorizada","n/a")))))</f>
        <v>Muita barata</v>
      </c>
      <c r="ET263" s="17" t="str">
        <f>IF(VLOOKUP(BR263,Fundamentus!A:U,17,FALSE)&lt;0.1,"Fraco retorno",IF(VLOOKUP(BR263,Fundamentus!A:U,17,FALSE)&gt;0.1,"Bom retorno","n/a"))</f>
        <v>Fraco retorno</v>
      </c>
      <c r="EU263" s="17" t="str">
        <f>IF(VLOOKUP(BR263,Fundamentus!A:U,16,FALSE)&lt;0.1,"Ineficiente",IF(VLOOKUP(BR263,Fundamentus!A:U,16,FALSE)&gt;0.1,"Eficiente","n/a"))</f>
        <v>Ineficiente</v>
      </c>
      <c r="EV263" s="33" t="str">
        <f>IF(VLOOKUP(BR263,Fundamentus!A:U,16,FALSE)&lt;0.1,"Oper. Ineficiente",IF(VLOOKUP(BR263,Fundamentus!A:U,16,FALSE)&gt;0.1,"Oper.Eficiente","n/a"))</f>
        <v>Oper. Ineficiente</v>
      </c>
      <c r="EW263" s="34">
        <f>VLOOKUP(BR263,Fundamentus!A:U,14,FALSE)</f>
        <v>-4.48E-2</v>
      </c>
      <c r="EX263" s="17" t="str">
        <f>IF(VLOOKUP(BR263,Fundamentus!A:U,21,FALSE)&lt;0,"Negativo",IF(VLOOKUP(BR263,Fundamentus!A:U,21,FALSE)&lt;0.05,"Fraco",IF(VLOOKUP(BR263,Fundamentus!A:U,21,FALSE)&lt;0.1,"Bom",IF(VLOOKUP(BR263,Fundamentus!A:U,21,FALSE)&gt;0.1,"Muito bom","n/a"))))</f>
        <v>Bom</v>
      </c>
      <c r="EZ263" s="29" t="str">
        <f>IF(VLOOKUP(BR263,Fundamentus!A:U,15,FALSE)&gt;1,"Bom",IF(VLOOKUP(BR263,Fundamentus!A:U,15,FALSE)&lt;1,"Ruim","n/a"))</f>
        <v>Ruim</v>
      </c>
      <c r="FA263" s="17" t="str">
        <f>IF(VLOOKUP(BR263,Fundamentus!A:U,20,FALSE)&lt;0.5,"Baixa",IF(VLOOKUP(BR263,Fundamentus!A:U,20,FALSE)&lt;1,"Moderada",IF(VLOOKUP(BR263,Fundamentus!A:U,20,FALSE)&lt;2,"Alerta",IF(VLOOKUP(BR263,Fundamentus!A:U,20,FALSE)&gt;2,"Alta","n/a"))))</f>
        <v>Baixa</v>
      </c>
    </row>
    <row r="264" spans="1:157" s="2" customFormat="1" ht="11.25"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5">
        <v>2.12</v>
      </c>
      <c r="BC264" s="52">
        <v>2.16</v>
      </c>
      <c r="BD264" s="52">
        <v>2.11</v>
      </c>
      <c r="BE264" s="52">
        <v>2.2200000000000002</v>
      </c>
      <c r="BF264" s="52">
        <v>2.15</v>
      </c>
      <c r="BG264" s="67">
        <v>1.92</v>
      </c>
      <c r="BH264" s="52">
        <v>1.88</v>
      </c>
      <c r="BI264" s="52">
        <v>1.82</v>
      </c>
      <c r="BJ264" s="52">
        <v>1.7</v>
      </c>
      <c r="BK264" s="52">
        <v>1.67</v>
      </c>
      <c r="BL264" s="52">
        <v>1.64</v>
      </c>
      <c r="BM264" s="52">
        <v>1.71</v>
      </c>
      <c r="BN264" s="52">
        <v>1.63</v>
      </c>
      <c r="BO264" s="52">
        <v>1.57</v>
      </c>
      <c r="BP264" s="52">
        <v>1.43</v>
      </c>
      <c r="BQ264" s="52" cm="1">
        <f t="array" aca="1" ref="BQ264" ca="1">_FV(EE264,"Preço")</f>
        <v>1.43</v>
      </c>
      <c r="BR264" s="69" t="s">
        <v>260</v>
      </c>
      <c r="BS264" s="36" cm="1">
        <f t="array" aca="1" ref="BS264" ca="1">_FV(EE264,"Média de volume",TRUE)</f>
        <v>186710</v>
      </c>
      <c r="BT264" s="36">
        <v>150800</v>
      </c>
      <c r="BU264" s="36" cm="1">
        <f t="array" aca="1" ref="BU264" ca="1">_FV(EE264,"Volume")</f>
        <v>150800</v>
      </c>
      <c r="BV264" s="24" cm="1">
        <f t="array" aca="1" ref="BV264" ca="1">_FV(EE264,"Beta")</f>
        <v>1.2834000000000001</v>
      </c>
      <c r="BW264" s="71" cm="1">
        <f t="array" aca="1" ref="BW264" ca="1">_FV(EE264,"Variação (%)",TRUE)</f>
        <v>-1.3793E-2</v>
      </c>
      <c r="BY264" s="17" cm="1">
        <f t="array" aca="1" ref="BY264" ca="1">_FV(EE264,"Baixo")</f>
        <v>1.43</v>
      </c>
      <c r="BZ264" s="17" cm="1">
        <f t="array" aca="1" ref="BZ264" ca="1">_FV(EE264,"Alto")</f>
        <v>1.48</v>
      </c>
      <c r="CA264" s="24"/>
      <c r="CB264" s="63">
        <f ca="1">SQRT(22.5*(BQ264/VLOOKUP(BR264,Fundamentus!A:U,3,FALSE))*(BQ264/VLOOKUP(BR264,Fundamentus!A:U,4,FALSE)))</f>
        <v>181.28558763926679</v>
      </c>
      <c r="CD264" s="62">
        <f t="shared" ca="1" si="308"/>
        <v>0</v>
      </c>
      <c r="CE264" s="8"/>
      <c r="CF264" s="61">
        <f t="shared" si="309"/>
        <v>0.97</v>
      </c>
      <c r="CG264" s="61">
        <f t="shared" si="310"/>
        <v>2.73</v>
      </c>
      <c r="CH264" s="61">
        <f t="shared" si="311"/>
        <v>1.7164705882352942</v>
      </c>
      <c r="CI264" s="14"/>
      <c r="CJ264" s="35">
        <f t="shared" si="285"/>
        <v>1.267393304777692</v>
      </c>
      <c r="CK264" s="15">
        <f t="shared" si="312"/>
        <v>1.3600000000000136</v>
      </c>
      <c r="CL264" s="35">
        <f t="shared" si="286"/>
        <v>1.4526066952223353</v>
      </c>
      <c r="CN264" s="14"/>
      <c r="CO264" s="17">
        <f t="shared" si="287"/>
        <v>-1.07</v>
      </c>
      <c r="CP264" s="17">
        <f t="shared" si="288"/>
        <v>-5.0000000000000044E-2</v>
      </c>
      <c r="CQ264" s="17">
        <f t="shared" si="289"/>
        <v>0.69</v>
      </c>
      <c r="CR264" s="38">
        <f t="shared" si="313"/>
        <v>1.71</v>
      </c>
      <c r="CS264" s="17">
        <f t="shared" si="290"/>
        <v>2.4500000000000002</v>
      </c>
      <c r="CT264" s="17">
        <f t="shared" si="291"/>
        <v>3.4699999999999998</v>
      </c>
      <c r="CU264" s="17">
        <f t="shared" si="292"/>
        <v>4.21</v>
      </c>
      <c r="CV264" s="2" cm="1">
        <f t="array" aca="1" ref="CV264" ca="1">MAX(_xlfn._xlws.FILTER(CO264:CU264,CO264:CU264&lt;BQ264))</f>
        <v>0.69</v>
      </c>
      <c r="CW264" s="2" cm="1">
        <f t="array" aca="1" ref="CW264" ca="1">MIN(_xlfn._xlws.FILTER($CO264:$CU264,$CO264:$CU264&gt;BQ264))</f>
        <v>1.71</v>
      </c>
      <c r="CX264" s="16">
        <f t="shared" ca="1" si="293"/>
        <v>1.4782608695652177</v>
      </c>
      <c r="CY264" s="20">
        <f t="shared" ca="1" si="294"/>
        <v>-0.73913043478260887</v>
      </c>
      <c r="CZ264" s="20">
        <f t="shared" ca="1" si="295"/>
        <v>-0.49275362318840593</v>
      </c>
      <c r="DA264" s="20">
        <f t="shared" ca="1" si="296"/>
        <v>-0.29565217391304355</v>
      </c>
      <c r="DB264" s="20">
        <f t="shared" ca="1" si="297"/>
        <v>-0.16425120772946863</v>
      </c>
      <c r="DC264" s="20">
        <f t="shared" ref="DC264:DC271" ca="1" si="315">-$CX264/17</f>
        <v>-8.695652173913046E-2</v>
      </c>
      <c r="DD264" s="20">
        <f t="shared" ref="DD264:DD271" ca="1" si="316">-$CX264/33</f>
        <v>-4.4795783926218719E-2</v>
      </c>
      <c r="DE264" s="20">
        <f t="shared" ref="DE264:DE271" ca="1" si="317">-$CX264/65</f>
        <v>-2.2742474916387964E-2</v>
      </c>
      <c r="DF264" s="21">
        <f t="shared" ref="DF264:DF271" ca="1" si="318">-$CX264/65*-1</f>
        <v>2.2742474916387964E-2</v>
      </c>
      <c r="DG264" s="21">
        <f t="shared" ref="DG264:DG271" ca="1" si="319">-$CX264/33*-1</f>
        <v>4.4795783926218719E-2</v>
      </c>
      <c r="DH264" s="21">
        <f t="shared" ref="DH264:DH271" ca="1" si="320">-$CX264/17*-1</f>
        <v>8.695652173913046E-2</v>
      </c>
      <c r="DI264" s="21">
        <f t="shared" ca="1" si="298"/>
        <v>0.16425120772946863</v>
      </c>
      <c r="DJ264" s="21">
        <f t="shared" ca="1" si="299"/>
        <v>0.29565217391304355</v>
      </c>
      <c r="DK264" s="21">
        <f t="shared" ca="1" si="300"/>
        <v>0.49275362318840593</v>
      </c>
      <c r="DL264" s="21">
        <f t="shared" ca="1" si="301"/>
        <v>0.73913043478260887</v>
      </c>
      <c r="DN264" s="16" cm="1">
        <f t="array" aca="1" ref="DN264" ca="1">MAX(_xlfn._xlws.FILTER(CY264:DL264,CY264:DL264&lt;BW264))</f>
        <v>-2.2742474916387964E-2</v>
      </c>
      <c r="DO264" s="16" cm="1">
        <f t="array" aca="1" ref="DO264" ca="1">MIN(_xlfn._xlws.FILTER(CY264:DL264,CY264:DL264&gt;BW264))</f>
        <v>2.2742474916387964E-2</v>
      </c>
      <c r="DP264" s="2" cm="1">
        <f t="array" aca="1" ref="DP264" ca="1">_FV(EE264,"Fechamento anterior",TRUE)</f>
        <v>1.45</v>
      </c>
      <c r="DQ264" s="28">
        <f t="shared" ca="1" si="302"/>
        <v>0.19675456389452281</v>
      </c>
      <c r="DR264" s="15">
        <f t="shared" ca="1" si="283"/>
        <v>1.4170234113712374</v>
      </c>
      <c r="DS264" s="15">
        <f t="shared" ca="1" si="284"/>
        <v>1.4829765886287625</v>
      </c>
      <c r="DT264" s="9"/>
      <c r="DU264" s="9"/>
      <c r="DV264" s="9"/>
      <c r="DW264" s="89">
        <v>3.8232405891980334E-2</v>
      </c>
      <c r="DX264" s="89">
        <f t="shared" ca="1" si="303"/>
        <v>4.5484949832775928E-2</v>
      </c>
      <c r="DY264" s="72">
        <f t="shared" ca="1" si="304"/>
        <v>0.75588487238354318</v>
      </c>
      <c r="DZ264" s="37"/>
      <c r="EA264" s="35">
        <f t="shared" si="314"/>
        <v>4.6303347611160874E-2</v>
      </c>
      <c r="EB264" s="56"/>
      <c r="EC264" s="56"/>
      <c r="EE264" s="2" t="e" vm="266">
        <v>#VALUE!</v>
      </c>
      <c r="EG264" s="10" cm="1">
        <f t="array" aca="1" ref="EG264" ca="1">_FV(EE264,"Ações em circulação",TRUE)</f>
        <v>511363900</v>
      </c>
      <c r="EH264" s="18">
        <f>VLOOKUP(BR264,Fundamentus!A:U,5,FALSE)</f>
        <v>0.25600000000000001</v>
      </c>
      <c r="EI264" s="2">
        <f t="shared" ca="1" si="305"/>
        <v>2856446785.15625</v>
      </c>
      <c r="EJ264" s="17">
        <v>-10757949882.255468</v>
      </c>
      <c r="EK264" s="17">
        <f t="shared" ca="1" si="306"/>
        <v>-10757949882.255468</v>
      </c>
      <c r="EM264" s="16">
        <f t="shared" ca="1" si="282"/>
        <v>0</v>
      </c>
      <c r="EN264" s="32" t="str">
        <f>IF(VLOOKUP(BR264,Fundamentus!A:U,3,FALSE)&lt;15,"Bom",IF(VLOOKUP(BR264,Fundamentus!A:U,3,FALSE)&gt;15,"Ruim","n/a"))</f>
        <v>Bom</v>
      </c>
      <c r="EO264" s="28" t="str">
        <f>IF(VLOOKUP(BR264,Fundamentus!A:U,4,FALSE)&lt;1,"Baixo",IF(VLOOKUP(BR264,Fundamentus!A:U,4,FALSE)&lt;1.5,"Moderado",IF(VLOOKUP(BR264,Fundamentus!A:U,4,FALSE)&gt;1.5,"Alto","n/a")))</f>
        <v>Baixo</v>
      </c>
      <c r="EP264" s="17" t="str">
        <f>IF(VLOOKUP(BR264,Fundamentus!A:U,8,FALSE)&lt;0,"Risco elevado",IF(VLOOKUP(BR264,Fundamentus!A:U,8,FALSE)&lt;1,"Saudável",IF(VLOOKUP(BR264,Fundamentus!A:U,8,FALSE)&lt;3,"Estável",IF(VLOOKUP(BR264,Fundamentus!A:U,8,FALSE)&gt;3,"Alerta","n/a"))))</f>
        <v>Risco elevado</v>
      </c>
      <c r="EQ264" s="28" t="str">
        <f t="shared" si="307"/>
        <v>Ruim</v>
      </c>
      <c r="ER264" s="17" t="str">
        <f>IF(VLOOKUP(BR264,Fundamentus!A:U,12,FALSE)&lt;2,"Subvalorizada",IF(VLOOKUP(BR264,Fundamentus!A:U,12,FALSE)&lt;6,"Muita barata",IF(VLOOKUP(BR264,Fundamentus!A:U,12,FALSE)&lt;6,"Barata",IF(VLOOKUP(BR264,Fundamentus!A:U,12,FALSE)&lt;8,"Atrativa",IF(VLOOKUP(BR264,Fundamentus!A:U,12,FALSE)&gt;8,"Supervalorizada","n/a")))))</f>
        <v>Subvalorizada</v>
      </c>
      <c r="ET264" s="17" t="str">
        <f>IF(VLOOKUP(BR264,Fundamentus!A:U,17,FALSE)&lt;0.1,"Fraco retorno",IF(VLOOKUP(BR264,Fundamentus!A:U,17,FALSE)&gt;0.1,"Bom retorno","n/a"))</f>
        <v>Bom retorno</v>
      </c>
      <c r="EU264" s="17" t="str">
        <f>IF(VLOOKUP(BR264,Fundamentus!A:U,16,FALSE)&lt;0.1,"Ineficiente",IF(VLOOKUP(BR264,Fundamentus!A:U,16,FALSE)&gt;0.1,"Eficiente","n/a"))</f>
        <v>Ineficiente</v>
      </c>
      <c r="EV264" s="33" t="str">
        <f>IF(VLOOKUP(BR264,Fundamentus!A:U,16,FALSE)&lt;0.1,"Oper. Ineficiente",IF(VLOOKUP(BR264,Fundamentus!A:U,16,FALSE)&gt;0.1,"Oper.Eficiente","n/a"))</f>
        <v>Oper. Ineficiente</v>
      </c>
      <c r="EW264" s="34">
        <f>VLOOKUP(BR264,Fundamentus!A:U,14,FALSE)</f>
        <v>-3.7662</v>
      </c>
      <c r="EX264" s="17" t="str">
        <f>IF(VLOOKUP(BR264,Fundamentus!A:U,21,FALSE)&lt;0,"Negativo",IF(VLOOKUP(BR264,Fundamentus!A:U,21,FALSE)&lt;0.05,"Fraco",IF(VLOOKUP(BR264,Fundamentus!A:U,21,FALSE)&lt;0.1,"Bom",IF(VLOOKUP(BR264,Fundamentus!A:U,21,FALSE)&gt;0.1,"Muito bom","n/a"))))</f>
        <v>Negativo</v>
      </c>
      <c r="EZ264" s="29" t="str">
        <f>IF(VLOOKUP(BR264,Fundamentus!A:U,15,FALSE)&gt;1,"Bom",IF(VLOOKUP(BR264,Fundamentus!A:U,15,FALSE)&lt;1,"Ruim","n/a"))</f>
        <v>Ruim</v>
      </c>
      <c r="FA264" s="17" t="str">
        <f>IF(VLOOKUP(BR264,Fundamentus!A:U,20,FALSE)&lt;0.5,"Baixa",IF(VLOOKUP(BR264,Fundamentus!A:U,20,FALSE)&lt;1,"Moderada",IF(VLOOKUP(BR264,Fundamentus!A:U,20,FALSE)&lt;2,"Alerta",IF(VLOOKUP(BR264,Fundamentus!A:U,20,FALSE)&gt;2,"Alta","n/a"))))</f>
        <v>Baixa</v>
      </c>
    </row>
    <row r="265" spans="1:157" s="2" customFormat="1" ht="11.25"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5">
        <v>6.37</v>
      </c>
      <c r="BC265" s="52">
        <v>6.19</v>
      </c>
      <c r="BD265" s="52">
        <v>6.04</v>
      </c>
      <c r="BE265" s="52">
        <v>6.01</v>
      </c>
      <c r="BF265" s="52">
        <v>5.99</v>
      </c>
      <c r="BG265" s="67">
        <v>6.01</v>
      </c>
      <c r="BH265" s="52">
        <v>5.91</v>
      </c>
      <c r="BI265" s="52">
        <v>6.07</v>
      </c>
      <c r="BJ265" s="52">
        <v>6.07</v>
      </c>
      <c r="BK265" s="52">
        <v>6.07</v>
      </c>
      <c r="BL265" s="52">
        <v>6.03</v>
      </c>
      <c r="BM265" s="52">
        <v>5.98</v>
      </c>
      <c r="BN265" s="52">
        <v>5.7</v>
      </c>
      <c r="BO265" s="52">
        <v>5.91</v>
      </c>
      <c r="BP265" s="52">
        <v>5.94</v>
      </c>
      <c r="BQ265" s="52" cm="1">
        <f t="array" aca="1" ref="BQ265" ca="1">_FV(EE265,"Preço")</f>
        <v>5.94</v>
      </c>
      <c r="BR265" s="69" t="s">
        <v>261</v>
      </c>
      <c r="BS265" s="36" cm="1">
        <f t="array" aca="1" ref="BS265" ca="1">_FV(EE265,"Média de volume",TRUE)</f>
        <v>10990</v>
      </c>
      <c r="BT265" s="36">
        <v>7000</v>
      </c>
      <c r="BU265" s="36" cm="1">
        <f t="array" aca="1" ref="BU265" ca="1">_FV(EE265,"Volume")</f>
        <v>7000</v>
      </c>
      <c r="BV265" s="24" cm="1">
        <f t="array" aca="1" ref="BV265" ca="1">_FV(EE265,"Beta")</f>
        <v>1.4758</v>
      </c>
      <c r="BW265" s="71" cm="1">
        <f t="array" aca="1" ref="BW265" ca="1">_FV(EE265,"Variação (%)",TRUE)</f>
        <v>3.3779999999999999E-3</v>
      </c>
      <c r="BY265" s="17" cm="1">
        <f t="array" aca="1" ref="BY265" ca="1">_FV(EE265,"Baixo")</f>
        <v>5.94</v>
      </c>
      <c r="BZ265" s="17" cm="1">
        <f t="array" aca="1" ref="BZ265" ca="1">_FV(EE265,"Alto")</f>
        <v>5.94</v>
      </c>
      <c r="CA265" s="24"/>
      <c r="CB265" s="63" t="e">
        <f ca="1">SQRT(22.5*(BQ265/VLOOKUP(BR265,Fundamentus!A:U,3,FALSE))*(BQ265/VLOOKUP(BR265,Fundamentus!A:U,4,FALSE)))</f>
        <v>#NUM!</v>
      </c>
      <c r="CD265" s="62">
        <f t="shared" ca="1" si="308"/>
        <v>0</v>
      </c>
      <c r="CE265" s="8"/>
      <c r="CF265" s="61">
        <f t="shared" si="309"/>
        <v>5.53</v>
      </c>
      <c r="CG265" s="61">
        <f t="shared" si="310"/>
        <v>17.3</v>
      </c>
      <c r="CH265" s="61">
        <f t="shared" si="311"/>
        <v>9.3909558823529444</v>
      </c>
      <c r="CI265" s="14"/>
      <c r="CJ265" s="35">
        <f t="shared" si="285"/>
        <v>5.6441092182540755</v>
      </c>
      <c r="CK265" s="15">
        <f t="shared" si="312"/>
        <v>5.9050000000000011</v>
      </c>
      <c r="CL265" s="35">
        <f t="shared" si="286"/>
        <v>6.1658907817459268</v>
      </c>
      <c r="CN265" s="14"/>
      <c r="CO265" s="17">
        <f t="shared" si="287"/>
        <v>-9.889999999999997</v>
      </c>
      <c r="CP265" s="17">
        <f t="shared" si="288"/>
        <v>-2.1799999999999979</v>
      </c>
      <c r="CQ265" s="17">
        <f t="shared" si="289"/>
        <v>1.8800000000000026</v>
      </c>
      <c r="CR265" s="38">
        <f t="shared" si="313"/>
        <v>9.5900000000000016</v>
      </c>
      <c r="CS265" s="17">
        <f t="shared" si="290"/>
        <v>13.650000000000002</v>
      </c>
      <c r="CT265" s="17">
        <f t="shared" si="291"/>
        <v>21.36</v>
      </c>
      <c r="CU265" s="17">
        <f t="shared" si="292"/>
        <v>25.42</v>
      </c>
      <c r="CV265" s="2" cm="1">
        <f t="array" aca="1" ref="CV265" ca="1">MAX(_xlfn._xlws.FILTER(CO265:CU265,CO265:CU265&lt;BQ265))</f>
        <v>1.8800000000000026</v>
      </c>
      <c r="CW265" s="2" cm="1">
        <f t="array" aca="1" ref="CW265" ca="1">MIN(_xlfn._xlws.FILTER($CO265:$CU265,$CO265:$CU265&gt;BQ265))</f>
        <v>9.5900000000000016</v>
      </c>
      <c r="CX265" s="16">
        <f t="shared" ca="1" si="293"/>
        <v>4.1010638297872282</v>
      </c>
      <c r="CY265" s="20">
        <f t="shared" ca="1" si="294"/>
        <v>-2.0505319148936141</v>
      </c>
      <c r="CZ265" s="20">
        <f t="shared" ca="1" si="295"/>
        <v>-1.3670212765957428</v>
      </c>
      <c r="DA265" s="20">
        <f t="shared" ca="1" si="296"/>
        <v>-0.82021276595744563</v>
      </c>
      <c r="DB265" s="20">
        <f t="shared" ca="1" si="297"/>
        <v>-0.45567375886524758</v>
      </c>
      <c r="DC265" s="20">
        <f t="shared" ca="1" si="315"/>
        <v>-0.24123904881101343</v>
      </c>
      <c r="DD265" s="20">
        <f t="shared" ca="1" si="316"/>
        <v>-0.12427466150870388</v>
      </c>
      <c r="DE265" s="20">
        <f t="shared" ca="1" si="317"/>
        <v>-6.3093289689034285E-2</v>
      </c>
      <c r="DF265" s="21">
        <f t="shared" ca="1" si="318"/>
        <v>6.3093289689034285E-2</v>
      </c>
      <c r="DG265" s="21">
        <f t="shared" ca="1" si="319"/>
        <v>0.12427466150870388</v>
      </c>
      <c r="DH265" s="21">
        <f t="shared" ca="1" si="320"/>
        <v>0.24123904881101343</v>
      </c>
      <c r="DI265" s="21">
        <f t="shared" ca="1" si="298"/>
        <v>0.45567375886524758</v>
      </c>
      <c r="DJ265" s="21">
        <f t="shared" ca="1" si="299"/>
        <v>0.82021276595744563</v>
      </c>
      <c r="DK265" s="21">
        <f t="shared" ca="1" si="300"/>
        <v>1.3670212765957428</v>
      </c>
      <c r="DL265" s="21">
        <f t="shared" ca="1" si="301"/>
        <v>2.0505319148936141</v>
      </c>
      <c r="DN265" s="16" cm="1">
        <f t="array" aca="1" ref="DN265" ca="1">MAX(_xlfn._xlws.FILTER(CY265:DL265,CY265:DL265&lt;BW265))</f>
        <v>-6.3093289689034285E-2</v>
      </c>
      <c r="DO265" s="16" cm="1">
        <f t="array" aca="1" ref="DO265" ca="1">MIN(_xlfn._xlws.FILTER(CY265:DL265,CY265:DL265&gt;BW265))</f>
        <v>6.3093289689034285E-2</v>
      </c>
      <c r="DP265" s="2" cm="1">
        <f t="array" aca="1" ref="DP265" ca="1">_FV(EE265,"Fechamento anterior",TRUE)</f>
        <v>5.92</v>
      </c>
      <c r="DQ265" s="28">
        <f t="shared" ca="1" si="302"/>
        <v>0.52677288183124826</v>
      </c>
      <c r="DR265" s="15">
        <f t="shared" ca="1" si="283"/>
        <v>5.546487725040917</v>
      </c>
      <c r="DS265" s="15">
        <f t="shared" ca="1" si="284"/>
        <v>6.2935122749590828</v>
      </c>
      <c r="DT265" s="9"/>
      <c r="DU265" s="9"/>
      <c r="DV265" s="9"/>
      <c r="DW265" s="89">
        <v>0.1277088502894955</v>
      </c>
      <c r="DX265" s="89">
        <f t="shared" ca="1" si="303"/>
        <v>0.12618657937806857</v>
      </c>
      <c r="DY265" s="72">
        <f t="shared" ca="1" si="304"/>
        <v>0.13415575577555205</v>
      </c>
      <c r="DZ265" s="37"/>
      <c r="EA265" s="35">
        <f t="shared" si="314"/>
        <v>0.13044539087296267</v>
      </c>
      <c r="EB265" s="56"/>
      <c r="EC265" s="56"/>
      <c r="EE265" s="2" t="e" vm="267">
        <v>#VALUE!</v>
      </c>
      <c r="EG265" s="10" cm="1">
        <f t="array" aca="1" ref="EG265" ca="1">_FV(EE265,"Ações em circulação",TRUE)</f>
        <v>114333800</v>
      </c>
      <c r="EH265" s="18">
        <f>VLOOKUP(BR265,Fundamentus!A:U,5,FALSE)</f>
        <v>0.60599999999999998</v>
      </c>
      <c r="EI265" s="2">
        <f t="shared" ca="1" si="305"/>
        <v>1120697643.5643566</v>
      </c>
      <c r="EJ265" s="17">
        <v>-9301790.4415841587</v>
      </c>
      <c r="EK265" s="17">
        <f t="shared" ca="1" si="306"/>
        <v>-9301790.4415841587</v>
      </c>
      <c r="EM265" s="16">
        <f t="shared" ca="1" si="282"/>
        <v>0</v>
      </c>
      <c r="EN265" s="32" t="str">
        <f>IF(VLOOKUP(BR265,Fundamentus!A:U,3,FALSE)&lt;15,"Bom",IF(VLOOKUP(BR265,Fundamentus!A:U,3,FALSE)&gt;15,"Ruim","n/a"))</f>
        <v>Bom</v>
      </c>
      <c r="EO265" s="28" t="str">
        <f>IF(VLOOKUP(BR265,Fundamentus!A:U,4,FALSE)&lt;1,"Baixo",IF(VLOOKUP(BR265,Fundamentus!A:U,4,FALSE)&lt;1.5,"Moderado",IF(VLOOKUP(BR265,Fundamentus!A:U,4,FALSE)&gt;1.5,"Alto","n/a")))</f>
        <v>Baixo</v>
      </c>
      <c r="EP265" s="17" t="str">
        <f>IF(VLOOKUP(BR265,Fundamentus!A:U,8,FALSE)&lt;0,"Risco elevado",IF(VLOOKUP(BR265,Fundamentus!A:U,8,FALSE)&lt;1,"Saudável",IF(VLOOKUP(BR265,Fundamentus!A:U,8,FALSE)&lt;3,"Estável",IF(VLOOKUP(BR265,Fundamentus!A:U,8,FALSE)&gt;3,"Alerta","n/a"))))</f>
        <v>Alerta</v>
      </c>
      <c r="EQ265" s="28" t="str">
        <f t="shared" si="307"/>
        <v>Ruim</v>
      </c>
      <c r="ER265" s="17" t="str">
        <f>IF(VLOOKUP(BR265,Fundamentus!A:U,12,FALSE)&lt;2,"Subvalorizada",IF(VLOOKUP(BR265,Fundamentus!A:U,12,FALSE)&lt;6,"Muita barata",IF(VLOOKUP(BR265,Fundamentus!A:U,12,FALSE)&lt;6,"Barata",IF(VLOOKUP(BR265,Fundamentus!A:U,12,FALSE)&lt;8,"Atrativa",IF(VLOOKUP(BR265,Fundamentus!A:U,12,FALSE)&gt;8,"Supervalorizada","n/a")))))</f>
        <v>Muita barata</v>
      </c>
      <c r="ET265" s="17" t="str">
        <f>IF(VLOOKUP(BR265,Fundamentus!A:U,17,FALSE)&lt;0.1,"Fraco retorno",IF(VLOOKUP(BR265,Fundamentus!A:U,17,FALSE)&gt;0.1,"Bom retorno","n/a"))</f>
        <v>Fraco retorno</v>
      </c>
      <c r="EU265" s="17" t="str">
        <f>IF(VLOOKUP(BR265,Fundamentus!A:U,16,FALSE)&lt;0.1,"Ineficiente",IF(VLOOKUP(BR265,Fundamentus!A:U,16,FALSE)&gt;0.1,"Eficiente","n/a"))</f>
        <v>Ineficiente</v>
      </c>
      <c r="EV265" s="33" t="str">
        <f>IF(VLOOKUP(BR265,Fundamentus!A:U,16,FALSE)&lt;0.1,"Oper. Ineficiente",IF(VLOOKUP(BR265,Fundamentus!A:U,16,FALSE)&gt;0.1,"Oper.Eficiente","n/a"))</f>
        <v>Oper. Ineficiente</v>
      </c>
      <c r="EW265" s="34">
        <f>VLOOKUP(BR265,Fundamentus!A:U,14,FALSE)</f>
        <v>-8.3000000000000001E-3</v>
      </c>
      <c r="EX265" s="17" t="str">
        <f>IF(VLOOKUP(BR265,Fundamentus!A:U,21,FALSE)&lt;0,"Negativo",IF(VLOOKUP(BR265,Fundamentus!A:U,21,FALSE)&lt;0.05,"Fraco",IF(VLOOKUP(BR265,Fundamentus!A:U,21,FALSE)&lt;0.1,"Bom",IF(VLOOKUP(BR265,Fundamentus!A:U,21,FALSE)&gt;0.1,"Muito bom","n/a"))))</f>
        <v>Muito bom</v>
      </c>
      <c r="EZ265" s="29" t="str">
        <f>IF(VLOOKUP(BR265,Fundamentus!A:U,15,FALSE)&gt;1,"Bom",IF(VLOOKUP(BR265,Fundamentus!A:U,15,FALSE)&lt;1,"Ruim","n/a"))</f>
        <v>Bom</v>
      </c>
      <c r="FA265" s="17" t="str">
        <f>IF(VLOOKUP(BR265,Fundamentus!A:U,20,FALSE)&lt;0.5,"Baixa",IF(VLOOKUP(BR265,Fundamentus!A:U,20,FALSE)&lt;1,"Moderada",IF(VLOOKUP(BR265,Fundamentus!A:U,20,FALSE)&lt;2,"Alerta",IF(VLOOKUP(BR265,Fundamentus!A:U,20,FALSE)&gt;2,"Alta","n/a"))))</f>
        <v>Baixa</v>
      </c>
    </row>
    <row r="266" spans="1:157" s="2" customFormat="1" ht="11.25"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5">
        <v>5.97</v>
      </c>
      <c r="BC266" s="52">
        <v>5.95</v>
      </c>
      <c r="BD266" s="52">
        <v>5.13</v>
      </c>
      <c r="BE266" s="52">
        <v>5.21</v>
      </c>
      <c r="BF266" s="52">
        <v>5.0999999999999996</v>
      </c>
      <c r="BG266" s="67">
        <v>5.08</v>
      </c>
      <c r="BH266" s="52">
        <v>4.53</v>
      </c>
      <c r="BI266" s="52">
        <v>4.03</v>
      </c>
      <c r="BJ266" s="52">
        <v>3.99</v>
      </c>
      <c r="BK266" s="52">
        <v>4.05</v>
      </c>
      <c r="BL266" s="52">
        <v>4.0199999999999996</v>
      </c>
      <c r="BM266" s="52">
        <v>4.05</v>
      </c>
      <c r="BN266" s="52">
        <v>4.1100000000000003</v>
      </c>
      <c r="BO266" s="52">
        <v>4.26</v>
      </c>
      <c r="BP266" s="52">
        <v>4.5</v>
      </c>
      <c r="BQ266" s="52" cm="1">
        <f t="array" aca="1" ref="BQ266" ca="1">_FV(EE266,"Preço")</f>
        <v>4.5</v>
      </c>
      <c r="BR266" s="69" t="s">
        <v>262</v>
      </c>
      <c r="BS266" s="36" cm="1">
        <f t="array" aca="1" ref="BS266" ca="1">_FV(EE266,"Média de volume",TRUE)</f>
        <v>5530</v>
      </c>
      <c r="BT266" s="36">
        <v>8100</v>
      </c>
      <c r="BU266" s="36" cm="1">
        <f t="array" aca="1" ref="BU266" ca="1">_FV(EE266,"Volume")</f>
        <v>8100</v>
      </c>
      <c r="BV266" s="24" cm="1">
        <f t="array" aca="1" ref="BV266" ca="1">_FV(EE266,"Beta")</f>
        <v>1.2025999999999999</v>
      </c>
      <c r="BW266" s="71" cm="1">
        <f t="array" aca="1" ref="BW266" ca="1">_FV(EE266,"Variação (%)",TRUE)</f>
        <v>0</v>
      </c>
      <c r="BY266" s="17" cm="1">
        <f t="array" aca="1" ref="BY266" ca="1">_FV(EE266,"Baixo")</f>
        <v>4.42</v>
      </c>
      <c r="BZ266" s="17" cm="1">
        <f t="array" aca="1" ref="BZ266" ca="1">_FV(EE266,"Alto")</f>
        <v>4.9000000000000004</v>
      </c>
      <c r="CA266" s="24"/>
      <c r="CB266" s="63" t="e">
        <f ca="1">SQRT(22.5*(BQ266/VLOOKUP(BR266,Fundamentus!A:U,3,FALSE))*(BQ266/VLOOKUP(BR266,Fundamentus!A:U,4,FALSE)))</f>
        <v>#NUM!</v>
      </c>
      <c r="CD266" s="62">
        <f t="shared" ca="1" si="308"/>
        <v>0</v>
      </c>
      <c r="CE266" s="8"/>
      <c r="CF266" s="61">
        <f t="shared" si="309"/>
        <v>3.99</v>
      </c>
      <c r="CG266" s="61">
        <f t="shared" si="310"/>
        <v>17.399999999999999</v>
      </c>
      <c r="CH266" s="61">
        <f t="shared" si="311"/>
        <v>8.5612500000000011</v>
      </c>
      <c r="CI266" s="14"/>
      <c r="CJ266" s="35">
        <f t="shared" si="285"/>
        <v>4.4327675988671302</v>
      </c>
      <c r="CK266" s="15">
        <f t="shared" si="312"/>
        <v>4.6050000000000182</v>
      </c>
      <c r="CL266" s="35">
        <f t="shared" si="286"/>
        <v>4.7772324011329061</v>
      </c>
      <c r="CN266" s="14"/>
      <c r="CO266" s="17">
        <f t="shared" si="287"/>
        <v>-13.549999999999995</v>
      </c>
      <c r="CP266" s="17">
        <f t="shared" si="288"/>
        <v>-4.7799999999999976</v>
      </c>
      <c r="CQ266" s="17">
        <f t="shared" si="289"/>
        <v>-0.13999999999999702</v>
      </c>
      <c r="CR266" s="38">
        <f t="shared" si="313"/>
        <v>8.6300000000000008</v>
      </c>
      <c r="CS266" s="17">
        <f t="shared" si="290"/>
        <v>13.270000000000001</v>
      </c>
      <c r="CT266" s="17">
        <f t="shared" si="291"/>
        <v>22.04</v>
      </c>
      <c r="CU266" s="17">
        <f t="shared" si="292"/>
        <v>26.68</v>
      </c>
      <c r="CV266" s="2" cm="1">
        <f t="array" aca="1" ref="CV266" ca="1">MAX(_xlfn._xlws.FILTER(CO266:CU266,CO266:CU266&lt;BQ266))</f>
        <v>-0.13999999999999702</v>
      </c>
      <c r="CW266" s="2" cm="1">
        <f t="array" aca="1" ref="CW266" ca="1">MIN(_xlfn._xlws.FILTER($CO266:$CU266,$CO266:$CU266&gt;BQ266))</f>
        <v>8.6300000000000008</v>
      </c>
      <c r="CX266" s="16">
        <f t="shared" ca="1" si="293"/>
        <v>-62.64285714285846</v>
      </c>
      <c r="CY266" s="20">
        <f t="shared" ca="1" si="294"/>
        <v>31.32142857142923</v>
      </c>
      <c r="CZ266" s="20">
        <f t="shared" ca="1" si="295"/>
        <v>20.88095238095282</v>
      </c>
      <c r="DA266" s="20">
        <f t="shared" ca="1" si="296"/>
        <v>12.528571428571691</v>
      </c>
      <c r="DB266" s="20">
        <f t="shared" ca="1" si="297"/>
        <v>6.960317460317607</v>
      </c>
      <c r="DC266" s="20">
        <f t="shared" ca="1" si="315"/>
        <v>3.6848739495799094</v>
      </c>
      <c r="DD266" s="20">
        <f t="shared" ca="1" si="316"/>
        <v>1.8982683982684383</v>
      </c>
      <c r="DE266" s="20">
        <f t="shared" ca="1" si="317"/>
        <v>0.96373626373628396</v>
      </c>
      <c r="DF266" s="21">
        <f t="shared" ca="1" si="318"/>
        <v>-0.96373626373628396</v>
      </c>
      <c r="DG266" s="21">
        <f t="shared" ca="1" si="319"/>
        <v>-1.8982683982684383</v>
      </c>
      <c r="DH266" s="21">
        <f t="shared" ca="1" si="320"/>
        <v>-3.6848739495799094</v>
      </c>
      <c r="DI266" s="21">
        <f t="shared" ca="1" si="298"/>
        <v>-6.960317460317607</v>
      </c>
      <c r="DJ266" s="21">
        <f t="shared" ca="1" si="299"/>
        <v>-12.528571428571691</v>
      </c>
      <c r="DK266" s="21">
        <f t="shared" ca="1" si="300"/>
        <v>-20.88095238095282</v>
      </c>
      <c r="DL266" s="21">
        <f t="shared" ca="1" si="301"/>
        <v>-31.32142857142923</v>
      </c>
      <c r="DN266" s="16" cm="1">
        <f t="array" aca="1" ref="DN266" ca="1">MAX(_xlfn._xlws.FILTER(CY266:DL266,CY266:DL266&lt;BW266))</f>
        <v>-0.96373626373628396</v>
      </c>
      <c r="DO266" s="16" cm="1">
        <f t="array" aca="1" ref="DO266" ca="1">MIN(_xlfn._xlws.FILTER(CY266:DL266,CY266:DL266&gt;BW266))</f>
        <v>0.96373626373628396</v>
      </c>
      <c r="DP266" s="2" cm="1">
        <f t="array" aca="1" ref="DP266" ca="1">_FV(EE266,"Fechamento anterior",TRUE)</f>
        <v>4.5</v>
      </c>
      <c r="DQ266" s="28">
        <f t="shared" ca="1" si="302"/>
        <v>0.50000000000000011</v>
      </c>
      <c r="DR266" s="15">
        <f t="shared" ca="1" si="283"/>
        <v>0.16318681318672201</v>
      </c>
      <c r="DS266" s="15">
        <f t="shared" ca="1" si="284"/>
        <v>8.8368131868132771</v>
      </c>
      <c r="DT266" s="9"/>
      <c r="DU266" s="9"/>
      <c r="DV266" s="9"/>
      <c r="DW266" s="89">
        <v>0.90769230769230547</v>
      </c>
      <c r="DX266" s="89">
        <f t="shared" ca="1" si="303"/>
        <v>1.9274725274725679</v>
      </c>
      <c r="DY266" s="72">
        <f t="shared" ca="1" si="304"/>
        <v>-0.60964138750527086</v>
      </c>
      <c r="DZ266" s="37"/>
      <c r="EA266" s="35">
        <f t="shared" si="314"/>
        <v>8.6116200566443993E-2</v>
      </c>
      <c r="EB266" s="56"/>
      <c r="EC266" s="56"/>
      <c r="EE266" s="2" t="e" vm="268">
        <v>#VALUE!</v>
      </c>
      <c r="EG266" s="10" cm="1">
        <f t="array" aca="1" ref="EG266" ca="1">_FV(EE266,"Ações em circulação",TRUE)</f>
        <v>5783210</v>
      </c>
      <c r="EH266" s="18">
        <f>VLOOKUP(BR266,Fundamentus!A:U,5,FALSE)</f>
        <v>2.4E-2</v>
      </c>
      <c r="EI266" s="2">
        <f t="shared" ca="1" si="305"/>
        <v>1084351875</v>
      </c>
      <c r="EJ266" s="17">
        <v>-28084713.5625</v>
      </c>
      <c r="EK266" s="17">
        <f t="shared" ca="1" si="306"/>
        <v>-28084713.5625</v>
      </c>
      <c r="EM266" s="16">
        <f t="shared" ca="1" si="282"/>
        <v>0</v>
      </c>
      <c r="EN266" s="32" t="str">
        <f>IF(VLOOKUP(BR266,Fundamentus!A:U,3,FALSE)&lt;15,"Bom",IF(VLOOKUP(BR266,Fundamentus!A:U,3,FALSE)&gt;15,"Ruim","n/a"))</f>
        <v>Bom</v>
      </c>
      <c r="EO266" s="28" t="str">
        <f>IF(VLOOKUP(BR266,Fundamentus!A:U,4,FALSE)&lt;1,"Baixo",IF(VLOOKUP(BR266,Fundamentus!A:U,4,FALSE)&lt;1.5,"Moderado",IF(VLOOKUP(BR266,Fundamentus!A:U,4,FALSE)&gt;1.5,"Alto","n/a")))</f>
        <v>Alto</v>
      </c>
      <c r="EP266" s="17" t="str">
        <f>IF(VLOOKUP(BR266,Fundamentus!A:U,8,FALSE)&lt;0,"Risco elevado",IF(VLOOKUP(BR266,Fundamentus!A:U,8,FALSE)&lt;1,"Saudável",IF(VLOOKUP(BR266,Fundamentus!A:U,8,FALSE)&lt;3,"Estável",IF(VLOOKUP(BR266,Fundamentus!A:U,8,FALSE)&gt;3,"Alerta","n/a"))))</f>
        <v>Saudável</v>
      </c>
      <c r="EQ266" s="28" t="str">
        <f t="shared" si="307"/>
        <v>Ruim</v>
      </c>
      <c r="ER266" s="17" t="str">
        <f>IF(VLOOKUP(BR266,Fundamentus!A:U,12,FALSE)&lt;2,"Subvalorizada",IF(VLOOKUP(BR266,Fundamentus!A:U,12,FALSE)&lt;6,"Muita barata",IF(VLOOKUP(BR266,Fundamentus!A:U,12,FALSE)&lt;6,"Barata",IF(VLOOKUP(BR266,Fundamentus!A:U,12,FALSE)&lt;8,"Atrativa",IF(VLOOKUP(BR266,Fundamentus!A:U,12,FALSE)&gt;8,"Supervalorizada","n/a")))))</f>
        <v>Atrativa</v>
      </c>
      <c r="ET266" s="17" t="str">
        <f>IF(VLOOKUP(BR266,Fundamentus!A:U,17,FALSE)&lt;0.1,"Fraco retorno",IF(VLOOKUP(BR266,Fundamentus!A:U,17,FALSE)&gt;0.1,"Bom retorno","n/a"))</f>
        <v>Fraco retorno</v>
      </c>
      <c r="EU266" s="17" t="str">
        <f>IF(VLOOKUP(BR266,Fundamentus!A:U,16,FALSE)&lt;0.1,"Ineficiente",IF(VLOOKUP(BR266,Fundamentus!A:U,16,FALSE)&gt;0.1,"Eficiente","n/a"))</f>
        <v>Eficiente</v>
      </c>
      <c r="EV266" s="33" t="str">
        <f>IF(VLOOKUP(BR266,Fundamentus!A:U,16,FALSE)&lt;0.1,"Oper. Ineficiente",IF(VLOOKUP(BR266,Fundamentus!A:U,16,FALSE)&gt;0.1,"Oper.Eficiente","n/a"))</f>
        <v>Oper.Eficiente</v>
      </c>
      <c r="EW266" s="34">
        <f>VLOOKUP(BR266,Fundamentus!A:U,14,FALSE)</f>
        <v>-2.5899999999999999E-2</v>
      </c>
      <c r="EX266" s="17" t="str">
        <f>IF(VLOOKUP(BR266,Fundamentus!A:U,21,FALSE)&lt;0,"Negativo",IF(VLOOKUP(BR266,Fundamentus!A:U,21,FALSE)&lt;0.05,"Fraco",IF(VLOOKUP(BR266,Fundamentus!A:U,21,FALSE)&lt;0.1,"Bom",IF(VLOOKUP(BR266,Fundamentus!A:U,21,FALSE)&gt;0.1,"Muito bom","n/a"))))</f>
        <v>Bom</v>
      </c>
      <c r="EZ266" s="29" t="str">
        <f>IF(VLOOKUP(BR266,Fundamentus!A:U,15,FALSE)&gt;1,"Bom",IF(VLOOKUP(BR266,Fundamentus!A:U,15,FALSE)&lt;1,"Ruim","n/a"))</f>
        <v>Bom</v>
      </c>
      <c r="FA266" s="17" t="str">
        <f>IF(VLOOKUP(BR266,Fundamentus!A:U,20,FALSE)&lt;0.5,"Baixa",IF(VLOOKUP(BR266,Fundamentus!A:U,20,FALSE)&lt;1,"Moderada",IF(VLOOKUP(BR266,Fundamentus!A:U,20,FALSE)&lt;2,"Alerta",IF(VLOOKUP(BR266,Fundamentus!A:U,20,FALSE)&gt;2,"Alta","n/a"))))</f>
        <v>Alta</v>
      </c>
    </row>
    <row r="267" spans="1:157" s="2" customFormat="1" ht="11.25"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5">
        <v>2.63</v>
      </c>
      <c r="BC267" s="52">
        <v>2.88</v>
      </c>
      <c r="BD267" s="52">
        <v>2.79</v>
      </c>
      <c r="BE267" s="52">
        <v>2.72</v>
      </c>
      <c r="BF267" s="52">
        <v>2.6</v>
      </c>
      <c r="BG267" s="67">
        <v>2.5</v>
      </c>
      <c r="BH267" s="52">
        <v>2.41</v>
      </c>
      <c r="BI267" s="52">
        <v>2.33</v>
      </c>
      <c r="BJ267" s="52">
        <v>2.2999999999999998</v>
      </c>
      <c r="BK267" s="52">
        <v>2.12</v>
      </c>
      <c r="BL267" s="52">
        <v>2.0299999999999998</v>
      </c>
      <c r="BM267" s="52">
        <v>1.99</v>
      </c>
      <c r="BN267" s="52">
        <v>1.82</v>
      </c>
      <c r="BO267" s="52">
        <v>1.8</v>
      </c>
      <c r="BP267" s="52">
        <v>1.76</v>
      </c>
      <c r="BQ267" s="52" cm="1">
        <f t="array" aca="1" ref="BQ267" ca="1">_FV(EE267,"Preço")</f>
        <v>1.76</v>
      </c>
      <c r="BR267" s="69" t="s">
        <v>263</v>
      </c>
      <c r="BS267" s="36" cm="1">
        <f t="array" aca="1" ref="BS267" ca="1">_FV(EE267,"Média de volume",TRUE)</f>
        <v>2955130</v>
      </c>
      <c r="BT267" s="36">
        <v>50500</v>
      </c>
      <c r="BU267" s="36" cm="1">
        <f t="array" aca="1" ref="BU267" ca="1">_FV(EE267,"Volume")</f>
        <v>50500</v>
      </c>
      <c r="BV267" s="24" cm="1">
        <f t="array" aca="1" ref="BV267" ca="1">_FV(EE267,"Beta")</f>
        <v>1.4298</v>
      </c>
      <c r="BW267" s="71" cm="1">
        <f t="array" aca="1" ref="BW267" ca="1">_FV(EE267,"Variação (%)",TRUE)</f>
        <v>-5.6499999999999996E-3</v>
      </c>
      <c r="BY267" s="17" cm="1">
        <f t="array" aca="1" ref="BY267" ca="1">_FV(EE267,"Baixo")</f>
        <v>1.76</v>
      </c>
      <c r="BZ267" s="17" cm="1">
        <f t="array" aca="1" ref="BZ267" ca="1">_FV(EE267,"Alto")</f>
        <v>1.84</v>
      </c>
      <c r="CA267" s="24"/>
      <c r="CB267" s="63">
        <f ca="1">SQRT(22.5*(BQ267/VLOOKUP(BR267,Fundamentus!A:U,3,FALSE))*(BQ267/VLOOKUP(BR267,Fundamentus!A:U,4,FALSE)))</f>
        <v>2.5299266727192524</v>
      </c>
      <c r="CD267" s="62">
        <f t="shared" ca="1" si="308"/>
        <v>0</v>
      </c>
      <c r="CE267" s="8"/>
      <c r="CF267" s="61">
        <f t="shared" si="309"/>
        <v>1.61</v>
      </c>
      <c r="CG267" s="61">
        <f t="shared" si="310"/>
        <v>7.56</v>
      </c>
      <c r="CH267" s="61">
        <f t="shared" si="311"/>
        <v>3.4807352941176468</v>
      </c>
      <c r="CI267" s="14"/>
      <c r="CJ267" s="35">
        <f t="shared" si="285"/>
        <v>1.4179696374936515</v>
      </c>
      <c r="CK267" s="15">
        <f t="shared" si="312"/>
        <v>1.6649999999999636</v>
      </c>
      <c r="CL267" s="35">
        <f t="shared" si="286"/>
        <v>1.9120303625062758</v>
      </c>
      <c r="CN267" s="14"/>
      <c r="CO267" s="17">
        <f t="shared" si="287"/>
        <v>-6.2233333333333327</v>
      </c>
      <c r="CP267" s="17">
        <f t="shared" si="288"/>
        <v>-2.3066666666666662</v>
      </c>
      <c r="CQ267" s="17">
        <f t="shared" si="289"/>
        <v>-0.27333333333333343</v>
      </c>
      <c r="CR267" s="38">
        <f t="shared" si="313"/>
        <v>3.6433333333333331</v>
      </c>
      <c r="CS267" s="17">
        <f t="shared" si="290"/>
        <v>5.6766666666666659</v>
      </c>
      <c r="CT267" s="17">
        <f t="shared" si="291"/>
        <v>9.5933333333333319</v>
      </c>
      <c r="CU267" s="17">
        <f t="shared" si="292"/>
        <v>11.626666666666665</v>
      </c>
      <c r="CV267" s="2" cm="1">
        <f t="array" aca="1" ref="CV267" ca="1">MAX(_xlfn._xlws.FILTER(CO267:CU267,CO267:CU267&lt;BQ267))</f>
        <v>-0.27333333333333343</v>
      </c>
      <c r="CW267" s="2" cm="1">
        <f t="array" aca="1" ref="CW267" ca="1">MIN(_xlfn._xlws.FILTER($CO267:$CU267,$CO267:$CU267&gt;BQ267))</f>
        <v>3.6433333333333331</v>
      </c>
      <c r="CX267" s="16">
        <f t="shared" ca="1" si="293"/>
        <v>-14.32926829268292</v>
      </c>
      <c r="CY267" s="20">
        <f t="shared" ca="1" si="294"/>
        <v>7.1646341463414602</v>
      </c>
      <c r="CZ267" s="20">
        <f t="shared" ca="1" si="295"/>
        <v>4.7764227642276404</v>
      </c>
      <c r="DA267" s="20">
        <f t="shared" ca="1" si="296"/>
        <v>2.8658536585365839</v>
      </c>
      <c r="DB267" s="20">
        <f t="shared" ca="1" si="297"/>
        <v>1.5921409214092135</v>
      </c>
      <c r="DC267" s="20">
        <f t="shared" ca="1" si="315"/>
        <v>0.84289813486370124</v>
      </c>
      <c r="DD267" s="20">
        <f t="shared" ca="1" si="316"/>
        <v>0.43422025129342184</v>
      </c>
      <c r="DE267" s="20">
        <f t="shared" ca="1" si="317"/>
        <v>0.22045028142589107</v>
      </c>
      <c r="DF267" s="21">
        <f t="shared" ca="1" si="318"/>
        <v>-0.22045028142589107</v>
      </c>
      <c r="DG267" s="21">
        <f t="shared" ca="1" si="319"/>
        <v>-0.43422025129342184</v>
      </c>
      <c r="DH267" s="21">
        <f t="shared" ca="1" si="320"/>
        <v>-0.84289813486370124</v>
      </c>
      <c r="DI267" s="21">
        <f t="shared" ca="1" si="298"/>
        <v>-1.5921409214092135</v>
      </c>
      <c r="DJ267" s="21">
        <f t="shared" ca="1" si="299"/>
        <v>-2.8658536585365839</v>
      </c>
      <c r="DK267" s="21">
        <f t="shared" ca="1" si="300"/>
        <v>-4.7764227642276404</v>
      </c>
      <c r="DL267" s="21">
        <f t="shared" ca="1" si="301"/>
        <v>-7.1646341463414602</v>
      </c>
      <c r="DN267" s="16" cm="1">
        <f t="array" aca="1" ref="DN267" ca="1">MAX(_xlfn._xlws.FILTER(CY267:DL267,CY267:DL267&lt;BW267))</f>
        <v>-0.22045028142589107</v>
      </c>
      <c r="DO267" s="16" cm="1">
        <f t="array" aca="1" ref="DO267" ca="1">MIN(_xlfn._xlws.FILTER(CY267:DL267,CY267:DL267&gt;BW267))</f>
        <v>0.22045028142589107</v>
      </c>
      <c r="DP267" s="2" cm="1">
        <f t="array" aca="1" ref="DP267" ca="1">_FV(EE267,"Fechamento anterior",TRUE)</f>
        <v>1.77</v>
      </c>
      <c r="DQ267" s="28">
        <f t="shared" ca="1" si="302"/>
        <v>0.4871859598509436</v>
      </c>
      <c r="DR267" s="15">
        <f t="shared" ca="1" si="283"/>
        <v>1.3798030018761729</v>
      </c>
      <c r="DS267" s="15">
        <f t="shared" ca="1" si="284"/>
        <v>2.1601969981238272</v>
      </c>
      <c r="DT267" s="9"/>
      <c r="DU267" s="9"/>
      <c r="DV267" s="9"/>
      <c r="DW267" s="89">
        <v>0.48690228690228787</v>
      </c>
      <c r="DX267" s="89">
        <f t="shared" ca="1" si="303"/>
        <v>0.44090056285178214</v>
      </c>
      <c r="DY267" s="72">
        <f t="shared" ca="1" si="304"/>
        <v>0.38456811153167025</v>
      </c>
      <c r="DZ267" s="37"/>
      <c r="EA267" s="35">
        <f t="shared" si="314"/>
        <v>0.12351518125315607</v>
      </c>
      <c r="EB267" s="56"/>
      <c r="EC267" s="56"/>
      <c r="EE267" s="2" t="e" vm="269">
        <v>#VALUE!</v>
      </c>
      <c r="EG267" s="10" cm="1">
        <f t="array" aca="1" ref="EG267" ca="1">_FV(EE267,"Ações em circulação",TRUE)</f>
        <v>31822290</v>
      </c>
      <c r="EH267" s="18">
        <f>VLOOKUP(BR267,Fundamentus!A:U,5,FALSE)</f>
        <v>5.8079999999999998</v>
      </c>
      <c r="EI267" s="2">
        <f t="shared" ca="1" si="305"/>
        <v>9643118.1818181816</v>
      </c>
      <c r="EJ267" s="17">
        <v>-17996951.462727275</v>
      </c>
      <c r="EK267" s="17">
        <f t="shared" ca="1" si="306"/>
        <v>-17996951.462727275</v>
      </c>
      <c r="EM267" s="16">
        <f t="shared" ca="1" si="282"/>
        <v>0</v>
      </c>
      <c r="EN267" s="32" t="str">
        <f>IF(VLOOKUP(BR267,Fundamentus!A:U,3,FALSE)&lt;15,"Bom",IF(VLOOKUP(BR267,Fundamentus!A:U,3,FALSE)&gt;15,"Ruim","n/a"))</f>
        <v>Bom</v>
      </c>
      <c r="EO267" s="28" t="str">
        <f>IF(VLOOKUP(BR267,Fundamentus!A:U,4,FALSE)&lt;1,"Baixo",IF(VLOOKUP(BR267,Fundamentus!A:U,4,FALSE)&lt;1.5,"Moderado",IF(VLOOKUP(BR267,Fundamentus!A:U,4,FALSE)&gt;1.5,"Alto","n/a")))</f>
        <v>Baixo</v>
      </c>
      <c r="EP267" s="17" t="str">
        <f>IF(VLOOKUP(BR267,Fundamentus!A:U,8,FALSE)&lt;0,"Risco elevado",IF(VLOOKUP(BR267,Fundamentus!A:U,8,FALSE)&lt;1,"Saudável",IF(VLOOKUP(BR267,Fundamentus!A:U,8,FALSE)&lt;3,"Estável",IF(VLOOKUP(BR267,Fundamentus!A:U,8,FALSE)&gt;3,"Alerta","n/a"))))</f>
        <v>Risco elevado</v>
      </c>
      <c r="EQ267" s="28" t="str">
        <f t="shared" si="307"/>
        <v>Bom</v>
      </c>
      <c r="ER267" s="17" t="str">
        <f>IF(VLOOKUP(BR267,Fundamentus!A:U,12,FALSE)&lt;2,"Subvalorizada",IF(VLOOKUP(BR267,Fundamentus!A:U,12,FALSE)&lt;6,"Muita barata",IF(VLOOKUP(BR267,Fundamentus!A:U,12,FALSE)&lt;6,"Barata",IF(VLOOKUP(BR267,Fundamentus!A:U,12,FALSE)&lt;8,"Atrativa",IF(VLOOKUP(BR267,Fundamentus!A:U,12,FALSE)&gt;8,"Supervalorizada","n/a")))))</f>
        <v>Subvalorizada</v>
      </c>
      <c r="ET267" s="17" t="str">
        <f>IF(VLOOKUP(BR267,Fundamentus!A:U,17,FALSE)&lt;0.1,"Fraco retorno",IF(VLOOKUP(BR267,Fundamentus!A:U,17,FALSE)&gt;0.1,"Bom retorno","n/a"))</f>
        <v>Bom retorno</v>
      </c>
      <c r="EU267" s="17" t="str">
        <f>IF(VLOOKUP(BR267,Fundamentus!A:U,16,FALSE)&lt;0.1,"Ineficiente",IF(VLOOKUP(BR267,Fundamentus!A:U,16,FALSE)&gt;0.1,"Eficiente","n/a"))</f>
        <v>Ineficiente</v>
      </c>
      <c r="EV267" s="33" t="str">
        <f>IF(VLOOKUP(BR267,Fundamentus!A:U,16,FALSE)&lt;0.1,"Oper. Ineficiente",IF(VLOOKUP(BR267,Fundamentus!A:U,16,FALSE)&gt;0.1,"Oper.Eficiente","n/a"))</f>
        <v>Oper. Ineficiente</v>
      </c>
      <c r="EW267" s="34">
        <f>VLOOKUP(BR267,Fundamentus!A:U,14,FALSE)</f>
        <v>-1.8663000000000001</v>
      </c>
      <c r="EX267" s="17" t="str">
        <f>IF(VLOOKUP(BR267,Fundamentus!A:U,21,FALSE)&lt;0,"Negativo",IF(VLOOKUP(BR267,Fundamentus!A:U,21,FALSE)&lt;0.05,"Fraco",IF(VLOOKUP(BR267,Fundamentus!A:U,21,FALSE)&lt;0.1,"Bom",IF(VLOOKUP(BR267,Fundamentus!A:U,21,FALSE)&gt;0.1,"Muito bom","n/a"))))</f>
        <v>Negativo</v>
      </c>
      <c r="EZ267" s="29" t="str">
        <f>IF(VLOOKUP(BR267,Fundamentus!A:U,15,FALSE)&gt;1,"Bom",IF(VLOOKUP(BR267,Fundamentus!A:U,15,FALSE)&lt;1,"Ruim","n/a"))</f>
        <v>Ruim</v>
      </c>
      <c r="FA267" s="17" t="str">
        <f>IF(VLOOKUP(BR267,Fundamentus!A:U,20,FALSE)&lt;0.5,"Baixa",IF(VLOOKUP(BR267,Fundamentus!A:U,20,FALSE)&lt;1,"Moderada",IF(VLOOKUP(BR267,Fundamentus!A:U,20,FALSE)&lt;2,"Alerta",IF(VLOOKUP(BR267,Fundamentus!A:U,20,FALSE)&gt;2,"Alta","n/a"))))</f>
        <v>Baixa</v>
      </c>
    </row>
    <row r="268" spans="1:157" s="2" customFormat="1" ht="11.25"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5">
        <v>4.53</v>
      </c>
      <c r="BC268" s="52">
        <v>4.59</v>
      </c>
      <c r="BD268" s="52">
        <v>4.33</v>
      </c>
      <c r="BE268" s="52">
        <v>4.9000000000000004</v>
      </c>
      <c r="BF268" s="52">
        <v>5.04</v>
      </c>
      <c r="BG268" s="67">
        <v>5</v>
      </c>
      <c r="BH268" s="52">
        <v>4</v>
      </c>
      <c r="BI268" s="52">
        <v>3.64</v>
      </c>
      <c r="BJ268" s="52">
        <v>3.76</v>
      </c>
      <c r="BK268" s="52">
        <v>4.03</v>
      </c>
      <c r="BL268" s="52">
        <v>3.92</v>
      </c>
      <c r="BM268" s="52">
        <v>3.87</v>
      </c>
      <c r="BN268" s="52">
        <v>3.6</v>
      </c>
      <c r="BO268" s="52">
        <v>3.67</v>
      </c>
      <c r="BP268" s="52">
        <v>3.91</v>
      </c>
      <c r="BQ268" s="52" cm="1">
        <f t="array" aca="1" ref="BQ268" ca="1">_FV(EE268,"Preço")</f>
        <v>3.91</v>
      </c>
      <c r="BR268" s="69" t="s">
        <v>264</v>
      </c>
      <c r="BS268" s="36" cm="1">
        <f t="array" aca="1" ref="BS268" ca="1">_FV(EE268,"Média de volume",TRUE)</f>
        <v>1165500</v>
      </c>
      <c r="BT268" s="36">
        <v>1058700</v>
      </c>
      <c r="BU268" s="36" cm="1">
        <f t="array" aca="1" ref="BU268" ca="1">_FV(EE268,"Volume")</f>
        <v>1058700</v>
      </c>
      <c r="BV268" s="24" cm="1">
        <f t="array" aca="1" ref="BV268" ca="1">_FV(EE268,"Beta")</f>
        <v>1.3722000000000001</v>
      </c>
      <c r="BW268" s="71" cm="1">
        <f t="array" aca="1" ref="BW268" ca="1">_FV(EE268,"Variação (%)",TRUE)</f>
        <v>2.5640000000000003E-3</v>
      </c>
      <c r="BY268" s="17" cm="1">
        <f t="array" aca="1" ref="BY268" ca="1">_FV(EE268,"Baixo")</f>
        <v>3.77</v>
      </c>
      <c r="BZ268" s="17" cm="1">
        <f t="array" aca="1" ref="BZ268" ca="1">_FV(EE268,"Alto")</f>
        <v>4.04</v>
      </c>
      <c r="CA268" s="24"/>
      <c r="CB268" s="63">
        <f ca="1">SQRT(22.5*(BQ268/VLOOKUP(BR268,Fundamentus!A:U,3,FALSE))*(BQ268/VLOOKUP(BR268,Fundamentus!A:U,4,FALSE)))</f>
        <v>5.5181092735995723</v>
      </c>
      <c r="CD268" s="62">
        <f t="shared" ca="1" si="308"/>
        <v>0</v>
      </c>
      <c r="CE268" s="8"/>
      <c r="CF268" s="61">
        <f t="shared" si="309"/>
        <v>3.6</v>
      </c>
      <c r="CG268" s="61">
        <f t="shared" si="310"/>
        <v>11.07</v>
      </c>
      <c r="CH268" s="61">
        <f t="shared" si="311"/>
        <v>6.5972058823529407</v>
      </c>
      <c r="CI268" s="14"/>
      <c r="CJ268" s="35">
        <f t="shared" si="285"/>
        <v>3.490650661500609</v>
      </c>
      <c r="CK268" s="15">
        <f t="shared" si="312"/>
        <v>3.8100000000000023</v>
      </c>
      <c r="CL268" s="35">
        <f t="shared" si="286"/>
        <v>4.1293493384993951</v>
      </c>
      <c r="CN268" s="14"/>
      <c r="CO268" s="17">
        <f t="shared" si="287"/>
        <v>-6.153333333333336</v>
      </c>
      <c r="CP268" s="17">
        <f t="shared" si="288"/>
        <v>-1.2766666666666682</v>
      </c>
      <c r="CQ268" s="17">
        <f t="shared" si="289"/>
        <v>1.3166666666666647</v>
      </c>
      <c r="CR268" s="38">
        <f t="shared" si="313"/>
        <v>6.1933333333333325</v>
      </c>
      <c r="CS268" s="17">
        <f t="shared" si="290"/>
        <v>8.7866666666666653</v>
      </c>
      <c r="CT268" s="17">
        <f t="shared" si="291"/>
        <v>13.663333333333334</v>
      </c>
      <c r="CU268" s="17">
        <f t="shared" si="292"/>
        <v>16.256666666666664</v>
      </c>
      <c r="CV268" s="2" cm="1">
        <f t="array" aca="1" ref="CV268" ca="1">MAX(_xlfn._xlws.FILTER(CO268:CU268,CO268:CU268&lt;BQ268))</f>
        <v>1.3166666666666647</v>
      </c>
      <c r="CW268" s="2" cm="1">
        <f t="array" aca="1" ref="CW268" ca="1">MIN(_xlfn._xlws.FILTER($CO268:$CU268,$CO268:$CU268&gt;BQ268))</f>
        <v>6.1933333333333325</v>
      </c>
      <c r="CX268" s="16">
        <f t="shared" ca="1" si="293"/>
        <v>3.7037974683544368</v>
      </c>
      <c r="CY268" s="20">
        <f t="shared" ca="1" si="294"/>
        <v>-1.8518987341772184</v>
      </c>
      <c r="CZ268" s="20">
        <f t="shared" ca="1" si="295"/>
        <v>-1.2345991561181455</v>
      </c>
      <c r="DA268" s="20">
        <f t="shared" ca="1" si="296"/>
        <v>-0.74075949367088734</v>
      </c>
      <c r="DB268" s="20">
        <f t="shared" ca="1" si="297"/>
        <v>-0.41153305203938184</v>
      </c>
      <c r="DC268" s="20">
        <f t="shared" ca="1" si="315"/>
        <v>-0.21787043931496686</v>
      </c>
      <c r="DD268" s="20">
        <f t="shared" ca="1" si="316"/>
        <v>-0.11223628691983142</v>
      </c>
      <c r="DE268" s="20">
        <f t="shared" ca="1" si="317"/>
        <v>-5.6981499513145184E-2</v>
      </c>
      <c r="DF268" s="21">
        <f t="shared" ca="1" si="318"/>
        <v>5.6981499513145184E-2</v>
      </c>
      <c r="DG268" s="21">
        <f t="shared" ca="1" si="319"/>
        <v>0.11223628691983142</v>
      </c>
      <c r="DH268" s="21">
        <f t="shared" ca="1" si="320"/>
        <v>0.21787043931496686</v>
      </c>
      <c r="DI268" s="21">
        <f t="shared" ca="1" si="298"/>
        <v>0.41153305203938184</v>
      </c>
      <c r="DJ268" s="21">
        <f t="shared" ca="1" si="299"/>
        <v>0.74075949367088734</v>
      </c>
      <c r="DK268" s="21">
        <f t="shared" ca="1" si="300"/>
        <v>1.2345991561181455</v>
      </c>
      <c r="DL268" s="21">
        <f t="shared" ca="1" si="301"/>
        <v>1.8518987341772184</v>
      </c>
      <c r="DN268" s="16" cm="1">
        <f t="array" aca="1" ref="DN268" ca="1">MAX(_xlfn._xlws.FILTER(CY268:DL268,CY268:DL268&lt;BW268))</f>
        <v>-5.6981499513145184E-2</v>
      </c>
      <c r="DO268" s="16" cm="1">
        <f t="array" aca="1" ref="DO268" ca="1">MIN(_xlfn._xlws.FILTER(CY268:DL268,CY268:DL268&gt;BW268))</f>
        <v>5.6981499513145184E-2</v>
      </c>
      <c r="DP268" s="2" cm="1">
        <f t="array" aca="1" ref="DP268" ca="1">_FV(EE268,"Fechamento anterior",TRUE)</f>
        <v>3.9</v>
      </c>
      <c r="DQ268" s="28">
        <f t="shared" ca="1" si="302"/>
        <v>0.52249943039416769</v>
      </c>
      <c r="DR268" s="15">
        <f t="shared" ca="1" si="283"/>
        <v>3.6777721518987336</v>
      </c>
      <c r="DS268" s="15">
        <f t="shared" ca="1" si="284"/>
        <v>4.1222278481012662</v>
      </c>
      <c r="DT268" s="9"/>
      <c r="DU268" s="9"/>
      <c r="DV268" s="9"/>
      <c r="DW268" s="89">
        <v>0.13185546442030596</v>
      </c>
      <c r="DX268" s="89">
        <f t="shared" ca="1" si="303"/>
        <v>0.11396299902629037</v>
      </c>
      <c r="DY268" s="72">
        <f t="shared" ca="1" si="304"/>
        <v>0.31313670624743711</v>
      </c>
      <c r="DZ268" s="37"/>
      <c r="EA268" s="35">
        <f t="shared" si="314"/>
        <v>0.15967466924969664</v>
      </c>
      <c r="EB268" s="56"/>
      <c r="EC268" s="56"/>
      <c r="EE268" s="2" t="e" vm="270">
        <v>#VALUE!</v>
      </c>
      <c r="EG268" s="10" cm="1">
        <f t="array" aca="1" ref="EG268" ca="1">_FV(EE268,"Ações em circulação",TRUE)</f>
        <v>346494100</v>
      </c>
      <c r="EH268" s="18">
        <f>VLOOKUP(BR268,Fundamentus!A:U,5,FALSE)</f>
        <v>0.749</v>
      </c>
      <c r="EI268" s="2">
        <f t="shared" ca="1" si="305"/>
        <v>1808800975.9679573</v>
      </c>
      <c r="EJ268" s="17">
        <v>129510149.87930574</v>
      </c>
      <c r="EK268" s="17">
        <f t="shared" ca="1" si="306"/>
        <v>129510149.87930574</v>
      </c>
      <c r="EM268" s="16">
        <f t="shared" ca="1" si="282"/>
        <v>0</v>
      </c>
      <c r="EN268" s="32" t="str">
        <f>IF(VLOOKUP(BR268,Fundamentus!A:U,3,FALSE)&lt;15,"Bom",IF(VLOOKUP(BR268,Fundamentus!A:U,3,FALSE)&gt;15,"Ruim","n/a"))</f>
        <v>Bom</v>
      </c>
      <c r="EO268" s="28" t="str">
        <f>IF(VLOOKUP(BR268,Fundamentus!A:U,4,FALSE)&lt;1,"Baixo",IF(VLOOKUP(BR268,Fundamentus!A:U,4,FALSE)&lt;1.5,"Moderado",IF(VLOOKUP(BR268,Fundamentus!A:U,4,FALSE)&gt;1.5,"Alto","n/a")))</f>
        <v>Moderado</v>
      </c>
      <c r="EP268" s="17" t="str">
        <f>IF(VLOOKUP(BR268,Fundamentus!A:U,8,FALSE)&lt;0,"Risco elevado",IF(VLOOKUP(BR268,Fundamentus!A:U,8,FALSE)&lt;1,"Saudável",IF(VLOOKUP(BR268,Fundamentus!A:U,8,FALSE)&lt;3,"Estável",IF(VLOOKUP(BR268,Fundamentus!A:U,8,FALSE)&gt;3,"Alerta","n/a"))))</f>
        <v>Estável</v>
      </c>
      <c r="EQ268" s="28" t="str">
        <f t="shared" si="307"/>
        <v>Ruim</v>
      </c>
      <c r="ER268" s="17" t="str">
        <f>IF(VLOOKUP(BR268,Fundamentus!A:U,12,FALSE)&lt;2,"Subvalorizada",IF(VLOOKUP(BR268,Fundamentus!A:U,12,FALSE)&lt;6,"Muita barata",IF(VLOOKUP(BR268,Fundamentus!A:U,12,FALSE)&lt;6,"Barata",IF(VLOOKUP(BR268,Fundamentus!A:U,12,FALSE)&lt;8,"Atrativa",IF(VLOOKUP(BR268,Fundamentus!A:U,12,FALSE)&gt;8,"Supervalorizada","n/a")))))</f>
        <v>Muita barata</v>
      </c>
      <c r="ET268" s="17" t="str">
        <f>IF(VLOOKUP(BR268,Fundamentus!A:U,17,FALSE)&lt;0.1,"Fraco retorno",IF(VLOOKUP(BR268,Fundamentus!A:U,17,FALSE)&gt;0.1,"Bom retorno","n/a"))</f>
        <v>Bom retorno</v>
      </c>
      <c r="EU268" s="17" t="str">
        <f>IF(VLOOKUP(BR268,Fundamentus!A:U,16,FALSE)&lt;0.1,"Ineficiente",IF(VLOOKUP(BR268,Fundamentus!A:U,16,FALSE)&gt;0.1,"Eficiente","n/a"))</f>
        <v>Eficiente</v>
      </c>
      <c r="EV268" s="33" t="str">
        <f>IF(VLOOKUP(BR268,Fundamentus!A:U,16,FALSE)&lt;0.1,"Oper. Ineficiente",IF(VLOOKUP(BR268,Fundamentus!A:U,16,FALSE)&gt;0.1,"Oper.Eficiente","n/a"))</f>
        <v>Oper.Eficiente</v>
      </c>
      <c r="EW268" s="34">
        <f>VLOOKUP(BR268,Fundamentus!A:U,14,FALSE)</f>
        <v>7.1599999999999997E-2</v>
      </c>
      <c r="EX268" s="17" t="str">
        <f>IF(VLOOKUP(BR268,Fundamentus!A:U,21,FALSE)&lt;0,"Negativo",IF(VLOOKUP(BR268,Fundamentus!A:U,21,FALSE)&lt;0.05,"Fraco",IF(VLOOKUP(BR268,Fundamentus!A:U,21,FALSE)&lt;0.1,"Bom",IF(VLOOKUP(BR268,Fundamentus!A:U,21,FALSE)&gt;0.1,"Muito bom","n/a"))))</f>
        <v>Muito bom</v>
      </c>
      <c r="EZ268" s="29" t="str">
        <f>IF(VLOOKUP(BR268,Fundamentus!A:U,15,FALSE)&gt;1,"Bom",IF(VLOOKUP(BR268,Fundamentus!A:U,15,FALSE)&lt;1,"Ruim","n/a"))</f>
        <v>Bom</v>
      </c>
      <c r="FA268" s="17" t="str">
        <f>IF(VLOOKUP(BR268,Fundamentus!A:U,20,FALSE)&lt;0.5,"Baixa",IF(VLOOKUP(BR268,Fundamentus!A:U,20,FALSE)&lt;1,"Moderada",IF(VLOOKUP(BR268,Fundamentus!A:U,20,FALSE)&lt;2,"Alerta",IF(VLOOKUP(BR268,Fundamentus!A:U,20,FALSE)&gt;2,"Alta","n/a"))))</f>
        <v>Alerta</v>
      </c>
    </row>
    <row r="269" spans="1:157" s="5" customFormat="1" ht="11.25"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5">
        <v>1.18</v>
      </c>
      <c r="BC269" s="52">
        <v>1.2</v>
      </c>
      <c r="BD269" s="52">
        <v>1.27</v>
      </c>
      <c r="BE269" s="52">
        <v>1.26</v>
      </c>
      <c r="BF269" s="52">
        <v>1.25</v>
      </c>
      <c r="BG269" s="67">
        <v>1.19</v>
      </c>
      <c r="BH269" s="52">
        <v>1.18</v>
      </c>
      <c r="BI269" s="52">
        <v>1.17</v>
      </c>
      <c r="BJ269" s="52">
        <v>1.19</v>
      </c>
      <c r="BK269" s="52">
        <v>1.1200000000000001</v>
      </c>
      <c r="BL269" s="52">
        <v>1.1200000000000001</v>
      </c>
      <c r="BM269" s="52">
        <v>1.05</v>
      </c>
      <c r="BN269" s="52">
        <v>1.01</v>
      </c>
      <c r="BO269" s="52">
        <v>1.06</v>
      </c>
      <c r="BP269" s="52">
        <v>1.02</v>
      </c>
      <c r="BQ269" s="52" cm="1">
        <f t="array" aca="1" ref="BQ269" ca="1">_FV(EE269,"Preço")</f>
        <v>1.02</v>
      </c>
      <c r="BR269" s="69" t="s">
        <v>265</v>
      </c>
      <c r="BS269" s="36" cm="1">
        <f t="array" aca="1" ref="BS269" ca="1">_FV(EE269,"Média de volume",TRUE)</f>
        <v>2130</v>
      </c>
      <c r="BT269" s="36">
        <v>5100</v>
      </c>
      <c r="BU269" s="36" cm="1">
        <f t="array" aca="1" ref="BU269" ca="1">_FV(EE269,"Volume")</f>
        <v>5100</v>
      </c>
      <c r="BV269" s="24" cm="1">
        <f t="array" aca="1" ref="BV269" ca="1">_FV(EE269,"Beta")</f>
        <v>1.7182999999999999</v>
      </c>
      <c r="BW269" s="71" cm="1">
        <f t="array" aca="1" ref="BW269" ca="1">_FV(EE269,"Variação (%)",TRUE)</f>
        <v>9.9010000000000001E-3</v>
      </c>
      <c r="BY269" s="17" cm="1">
        <f t="array" aca="1" ref="BY269" ca="1">_FV(EE269,"Baixo")</f>
        <v>0.99</v>
      </c>
      <c r="BZ269" s="17" cm="1">
        <f t="array" aca="1" ref="BZ269" ca="1">_FV(EE269,"Alto")</f>
        <v>1.02</v>
      </c>
      <c r="CA269" s="24"/>
      <c r="CB269" s="63" t="e">
        <f ca="1">SQRT(22.5*(BQ269/VLOOKUP(BR269,Fundamentus!A:U,3,FALSE))*(BQ269/VLOOKUP(BR269,Fundamentus!A:U,4,FALSE)))</f>
        <v>#NUM!</v>
      </c>
      <c r="CD269" s="62">
        <f t="shared" ca="1" si="308"/>
        <v>0</v>
      </c>
      <c r="CE269" s="8"/>
      <c r="CF269" s="61">
        <f t="shared" si="309"/>
        <v>1.01</v>
      </c>
      <c r="CG269" s="61">
        <f t="shared" si="310"/>
        <v>2.38</v>
      </c>
      <c r="CH269" s="61">
        <f t="shared" si="311"/>
        <v>1.4165441176470592</v>
      </c>
      <c r="CI269" s="14"/>
      <c r="CJ269" s="35">
        <f t="shared" si="285"/>
        <v>0.93977089698935201</v>
      </c>
      <c r="CK269" s="15">
        <f t="shared" si="312"/>
        <v>1.0250000000000021</v>
      </c>
      <c r="CL269" s="35">
        <f t="shared" si="286"/>
        <v>1.1102291030106524</v>
      </c>
      <c r="CN269" s="14"/>
      <c r="CO269" s="17">
        <f t="shared" si="287"/>
        <v>-0.80999999999999983</v>
      </c>
      <c r="CP269" s="17">
        <f t="shared" si="288"/>
        <v>0.10000000000000009</v>
      </c>
      <c r="CQ269" s="17">
        <f t="shared" si="289"/>
        <v>0.56000000000000005</v>
      </c>
      <c r="CR269" s="38">
        <f t="shared" si="313"/>
        <v>1.47</v>
      </c>
      <c r="CS269" s="17">
        <f t="shared" si="290"/>
        <v>1.93</v>
      </c>
      <c r="CT269" s="17">
        <f t="shared" si="291"/>
        <v>2.84</v>
      </c>
      <c r="CU269" s="17">
        <f t="shared" si="292"/>
        <v>3.3</v>
      </c>
      <c r="CV269" s="2" cm="1">
        <f t="array" aca="1" ref="CV269" ca="1">MAX(_xlfn._xlws.FILTER(CO269:CU269,CO269:CU269&lt;BQ269))</f>
        <v>0.56000000000000005</v>
      </c>
      <c r="CW269" s="2" cm="1">
        <f t="array" aca="1" ref="CW269" ca="1">MIN(_xlfn._xlws.FILTER($CO269:$CU269,$CO269:$CU269&gt;BQ269))</f>
        <v>1.47</v>
      </c>
      <c r="CX269" s="16">
        <f t="shared" ca="1" si="293"/>
        <v>1.6249999999999996</v>
      </c>
      <c r="CY269" s="20">
        <f t="shared" ca="1" si="294"/>
        <v>-0.81249999999999978</v>
      </c>
      <c r="CZ269" s="20">
        <f t="shared" ca="1" si="295"/>
        <v>-0.54166666666666652</v>
      </c>
      <c r="DA269" s="20">
        <f t="shared" ca="1" si="296"/>
        <v>-0.3249999999999999</v>
      </c>
      <c r="DB269" s="20">
        <f t="shared" ca="1" si="297"/>
        <v>-0.1805555555555555</v>
      </c>
      <c r="DC269" s="20">
        <f t="shared" ca="1" si="315"/>
        <v>-9.5588235294117627E-2</v>
      </c>
      <c r="DD269" s="20">
        <f t="shared" ca="1" si="316"/>
        <v>-4.9242424242424226E-2</v>
      </c>
      <c r="DE269" s="20">
        <f t="shared" ca="1" si="317"/>
        <v>-2.4999999999999994E-2</v>
      </c>
      <c r="DF269" s="21">
        <f t="shared" ca="1" si="318"/>
        <v>2.4999999999999994E-2</v>
      </c>
      <c r="DG269" s="21">
        <f t="shared" ca="1" si="319"/>
        <v>4.9242424242424226E-2</v>
      </c>
      <c r="DH269" s="21">
        <f t="shared" ca="1" si="320"/>
        <v>9.5588235294117627E-2</v>
      </c>
      <c r="DI269" s="21">
        <f t="shared" ca="1" si="298"/>
        <v>0.1805555555555555</v>
      </c>
      <c r="DJ269" s="21">
        <f t="shared" ca="1" si="299"/>
        <v>0.3249999999999999</v>
      </c>
      <c r="DK269" s="21">
        <f t="shared" ca="1" si="300"/>
        <v>0.54166666666666652</v>
      </c>
      <c r="DL269" s="21">
        <f t="shared" ca="1" si="301"/>
        <v>0.81249999999999978</v>
      </c>
      <c r="DN269" s="16" cm="1">
        <f t="array" aca="1" ref="DN269" ca="1">MAX(_xlfn._xlws.FILTER(CY269:DL269,CY269:DL269&lt;BW269))</f>
        <v>-2.4999999999999994E-2</v>
      </c>
      <c r="DO269" s="16" cm="1">
        <f t="array" aca="1" ref="DO269" ca="1">MIN(_xlfn._xlws.FILTER(CY269:DL269,CY269:DL269&gt;BW269))</f>
        <v>2.4999999999999994E-2</v>
      </c>
      <c r="DP269" s="2" cm="1">
        <f t="array" aca="1" ref="DP269" ca="1">_FV(EE269,"Fechamento anterior",TRUE)</f>
        <v>1.01</v>
      </c>
      <c r="DQ269" s="28">
        <f t="shared" ca="1" si="302"/>
        <v>0.6980198019801982</v>
      </c>
      <c r="DR269" s="15">
        <f t="shared" ca="1" si="283"/>
        <v>0.98475000000000001</v>
      </c>
      <c r="DS269" s="15">
        <f t="shared" ca="1" si="284"/>
        <v>1.03525</v>
      </c>
      <c r="DT269" s="9"/>
      <c r="DU269" s="9"/>
      <c r="DV269" s="9"/>
      <c r="DW269" s="89">
        <v>4.702797202797205E-2</v>
      </c>
      <c r="DX269" s="89">
        <f t="shared" ca="1" si="303"/>
        <v>4.9999999999999989E-2</v>
      </c>
      <c r="DY269" s="72">
        <f t="shared" ca="1" si="304"/>
        <v>-5.8665406808016275E-2</v>
      </c>
      <c r="DZ269" s="37"/>
      <c r="EA269" s="35">
        <f t="shared" si="314"/>
        <v>4.2614551505325067E-2</v>
      </c>
      <c r="EB269" s="56"/>
      <c r="EC269" s="56"/>
      <c r="EE269" s="5" t="e" vm="271">
        <v>#VALUE!</v>
      </c>
      <c r="EG269" s="10" cm="1">
        <f t="array" aca="1" ref="EG269" ca="1">_FV(EE269,"Ações em circulação",TRUE)</f>
        <v>26710360</v>
      </c>
      <c r="EH269" s="18">
        <f>VLOOKUP(BR269,Fundamentus!A:U,5,FALSE)</f>
        <v>8.5000000000000006E-2</v>
      </c>
      <c r="EI269" s="2">
        <f t="shared" ca="1" si="305"/>
        <v>320524319.99999994</v>
      </c>
      <c r="EJ269" s="17">
        <v>-131863705.24799997</v>
      </c>
      <c r="EK269" s="17">
        <f t="shared" ca="1" si="306"/>
        <v>-131863705.24799997</v>
      </c>
      <c r="EL269" s="2"/>
      <c r="EM269" s="16">
        <f t="shared" ca="1" si="282"/>
        <v>0</v>
      </c>
      <c r="EN269" s="32" t="str">
        <f>IF(VLOOKUP(BR269,Fundamentus!A:U,3,FALSE)&lt;15,"Bom",IF(VLOOKUP(BR269,Fundamentus!A:U,3,FALSE)&gt;15,"Ruim","n/a"))</f>
        <v>Bom</v>
      </c>
      <c r="EO269" s="28" t="str">
        <f>IF(VLOOKUP(BR269,Fundamentus!A:U,4,FALSE)&lt;1,"Baixo",IF(VLOOKUP(BR269,Fundamentus!A:U,4,FALSE)&lt;1.5,"Moderado",IF(VLOOKUP(BR269,Fundamentus!A:U,4,FALSE)&gt;1.5,"Alto","n/a")))</f>
        <v>Baixo</v>
      </c>
      <c r="EP269" s="17" t="str">
        <f>IF(VLOOKUP(BR269,Fundamentus!A:U,8,FALSE)&lt;0,"Risco elevado",IF(VLOOKUP(BR269,Fundamentus!A:U,8,FALSE)&lt;1,"Saudável",IF(VLOOKUP(BR269,Fundamentus!A:U,8,FALSE)&lt;3,"Estável",IF(VLOOKUP(BR269,Fundamentus!A:U,8,FALSE)&gt;3,"Alerta","n/a"))))</f>
        <v>Risco elevado</v>
      </c>
      <c r="EQ269" s="28" t="str">
        <f t="shared" si="307"/>
        <v>Ruim</v>
      </c>
      <c r="ER269" s="17" t="str">
        <f>IF(VLOOKUP(BR269,Fundamentus!A:U,12,FALSE)&lt;2,"Subvalorizada",IF(VLOOKUP(BR269,Fundamentus!A:U,12,FALSE)&lt;6,"Muita barata",IF(VLOOKUP(BR269,Fundamentus!A:U,12,FALSE)&lt;6,"Barata",IF(VLOOKUP(BR269,Fundamentus!A:U,12,FALSE)&lt;8,"Atrativa",IF(VLOOKUP(BR269,Fundamentus!A:U,12,FALSE)&gt;8,"Supervalorizada","n/a")))))</f>
        <v>Subvalorizada</v>
      </c>
      <c r="ES269" s="2"/>
      <c r="ET269" s="17" t="str">
        <f>IF(VLOOKUP(BR269,Fundamentus!A:U,17,FALSE)&lt;0.1,"Fraco retorno",IF(VLOOKUP(BR269,Fundamentus!A:U,17,FALSE)&gt;0.1,"Bom retorno","n/a"))</f>
        <v>Fraco retorno</v>
      </c>
      <c r="EU269" s="17" t="str">
        <f>IF(VLOOKUP(BR269,Fundamentus!A:U,16,FALSE)&lt;0.1,"Ineficiente",IF(VLOOKUP(BR269,Fundamentus!A:U,16,FALSE)&gt;0.1,"Eficiente","n/a"))</f>
        <v>Ineficiente</v>
      </c>
      <c r="EV269" s="33" t="str">
        <f>IF(VLOOKUP(BR269,Fundamentus!A:U,16,FALSE)&lt;0.1,"Oper. Ineficiente",IF(VLOOKUP(BR269,Fundamentus!A:U,16,FALSE)&gt;0.1,"Oper.Eficiente","n/a"))</f>
        <v>Oper. Ineficiente</v>
      </c>
      <c r="EW269" s="34">
        <f>VLOOKUP(BR269,Fundamentus!A:U,14,FALSE)</f>
        <v>-0.41139999999999999</v>
      </c>
      <c r="EX269" s="17" t="str">
        <f>IF(VLOOKUP(BR269,Fundamentus!A:U,21,FALSE)&lt;0,"Negativo",IF(VLOOKUP(BR269,Fundamentus!A:U,21,FALSE)&lt;0.05,"Fraco",IF(VLOOKUP(BR269,Fundamentus!A:U,21,FALSE)&lt;0.1,"Bom",IF(VLOOKUP(BR269,Fundamentus!A:U,21,FALSE)&gt;0.1,"Muito bom","n/a"))))</f>
        <v>Negativo</v>
      </c>
      <c r="EZ269" s="29" t="str">
        <f>IF(VLOOKUP(BR269,Fundamentus!A:U,15,FALSE)&gt;1,"Bom",IF(VLOOKUP(BR269,Fundamentus!A:U,15,FALSE)&lt;1,"Ruim","n/a"))</f>
        <v>Ruim</v>
      </c>
      <c r="FA269" s="17" t="str">
        <f>IF(VLOOKUP(BR269,Fundamentus!A:U,20,FALSE)&lt;0.5,"Baixa",IF(VLOOKUP(BR269,Fundamentus!A:U,20,FALSE)&lt;1,"Moderada",IF(VLOOKUP(BR269,Fundamentus!A:U,20,FALSE)&lt;2,"Alerta",IF(VLOOKUP(BR269,Fundamentus!A:U,20,FALSE)&gt;2,"Alta","n/a"))))</f>
        <v>Alta</v>
      </c>
    </row>
    <row r="270" spans="1:157" s="2" customFormat="1" ht="11.25"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5" t="e" vm="272">
        <v>#VALUE!</v>
      </c>
      <c r="BC270" s="52" t="e" vm="272">
        <v>#VALUE!</v>
      </c>
      <c r="BD270" s="52" t="e" vm="272">
        <v>#VALUE!</v>
      </c>
      <c r="BE270" s="52" t="e" vm="272">
        <v>#VALUE!</v>
      </c>
      <c r="BF270" s="52" t="e" vm="272">
        <v>#VALUE!</v>
      </c>
      <c r="BG270" s="67" t="e" vm="272">
        <v>#VALUE!</v>
      </c>
      <c r="BH270" s="52" t="e" vm="272">
        <v>#VALUE!</v>
      </c>
      <c r="BI270" s="52" t="e" vm="272">
        <v>#VALUE!</v>
      </c>
      <c r="BJ270" s="52" t="e" vm="272">
        <v>#VALUE!</v>
      </c>
      <c r="BK270" s="52" t="e" vm="272">
        <v>#VALUE!</v>
      </c>
      <c r="BL270" s="52" t="e" vm="272">
        <v>#VALUE!</v>
      </c>
      <c r="BM270" s="52" t="e" vm="272">
        <v>#VALUE!</v>
      </c>
      <c r="BN270" s="52" t="e" vm="272">
        <v>#VALUE!</v>
      </c>
      <c r="BO270" s="52" t="e" vm="272">
        <v>#VALUE!</v>
      </c>
      <c r="BP270" s="52" t="e" vm="272">
        <v>#VALUE!</v>
      </c>
      <c r="BQ270" s="52" t="e" cm="1" vm="272">
        <f t="array" ref="BQ270">_FV(EE270,"Preço")</f>
        <v>#VALUE!</v>
      </c>
      <c r="BR270" s="69" t="s">
        <v>266</v>
      </c>
      <c r="BS270" s="36" t="e" cm="1" vm="3">
        <f t="array" ref="BS270">_FV(EE270,"Média de volume",TRUE)</f>
        <v>#VALUE!</v>
      </c>
      <c r="BT270" s="36" t="e" vm="273">
        <v>#VALUE!</v>
      </c>
      <c r="BU270" s="36" t="e" cm="1" vm="273">
        <f t="array" ref="BU270">_FV(EE270,"Volume")</f>
        <v>#VALUE!</v>
      </c>
      <c r="BV270" s="24" t="e" cm="1" vm="137">
        <f t="array" ref="BV270">_FV(EE270,"Beta")</f>
        <v>#VALUE!</v>
      </c>
      <c r="BW270" s="71" t="e" cm="1" vm="274">
        <f t="array" ref="BW270">_FV(EE270,"Variação (%)",TRUE)</f>
        <v>#VALUE!</v>
      </c>
      <c r="BY270" s="17" t="e" cm="1" vm="275">
        <f t="array" ref="BY270">_FV(EE270,"Baixo")</f>
        <v>#VALUE!</v>
      </c>
      <c r="BZ270" s="17" t="e" cm="1" vm="276">
        <f t="array" ref="BZ270">_FV(EE270,"Alto")</f>
        <v>#VALUE!</v>
      </c>
      <c r="CA270" s="24"/>
      <c r="CB270" s="63" t="e" vm="152">
        <f>SQRT(22.5*(BQ270/VLOOKUP(BR270,Fundamentus!A:U,3,FALSE))*(BQ270/VLOOKUP(BR270,Fundamentus!A:U,4,FALSE)))</f>
        <v>#VALUE!</v>
      </c>
      <c r="CD270" s="62" t="e" vm="152">
        <f t="shared" si="308"/>
        <v>#VALUE!</v>
      </c>
      <c r="CE270" s="8"/>
      <c r="CF270" s="61" t="e">
        <f t="shared" si="309"/>
        <v>#N/A</v>
      </c>
      <c r="CG270" s="61" t="e">
        <f t="shared" si="310"/>
        <v>#N/A</v>
      </c>
      <c r="CH270" s="61" t="e">
        <f t="shared" si="311"/>
        <v>#N/A</v>
      </c>
      <c r="CI270" s="14"/>
      <c r="CJ270" s="35" t="e">
        <f t="shared" si="285"/>
        <v>#VALUE!</v>
      </c>
      <c r="CK270" s="15" t="e">
        <f t="shared" si="312"/>
        <v>#VALUE!</v>
      </c>
      <c r="CL270" s="35" t="e">
        <f t="shared" si="286"/>
        <v>#VALUE!</v>
      </c>
      <c r="CN270" s="14"/>
      <c r="CO270" s="17" t="e">
        <f t="shared" si="287"/>
        <v>#N/A</v>
      </c>
      <c r="CP270" s="17" t="e">
        <f t="shared" si="288"/>
        <v>#N/A</v>
      </c>
      <c r="CQ270" s="17" t="e">
        <f t="shared" si="289"/>
        <v>#N/A</v>
      </c>
      <c r="CR270" s="38" t="e">
        <f t="shared" si="313"/>
        <v>#N/A</v>
      </c>
      <c r="CS270" s="17" t="e">
        <f t="shared" si="290"/>
        <v>#N/A</v>
      </c>
      <c r="CT270" s="17" t="e">
        <f t="shared" si="291"/>
        <v>#N/A</v>
      </c>
      <c r="CU270" s="17" t="e">
        <f t="shared" si="292"/>
        <v>#N/A</v>
      </c>
      <c r="CV270" s="2" t="e" cm="1">
        <f t="array" ref="CV270">MAX(_xlfn._xlws.FILTER(CO270:CU270,CO270:CU270&lt;BQ270))</f>
        <v>#N/A</v>
      </c>
      <c r="CW270" s="2" t="e" cm="1">
        <f t="array" ref="CW270">MIN(_xlfn._xlws.FILTER($CO270:$CU270,$CO270:$CU270&gt;BQ270))</f>
        <v>#N/A</v>
      </c>
      <c r="CX270" s="16" t="e">
        <f t="shared" si="293"/>
        <v>#N/A</v>
      </c>
      <c r="CY270" s="20" t="e">
        <f t="shared" si="294"/>
        <v>#N/A</v>
      </c>
      <c r="CZ270" s="20" t="e">
        <f t="shared" si="295"/>
        <v>#N/A</v>
      </c>
      <c r="DA270" s="20" t="e">
        <f t="shared" si="296"/>
        <v>#N/A</v>
      </c>
      <c r="DB270" s="20" t="e">
        <f t="shared" si="297"/>
        <v>#N/A</v>
      </c>
      <c r="DC270" s="20" t="e">
        <f t="shared" si="315"/>
        <v>#N/A</v>
      </c>
      <c r="DD270" s="20" t="e">
        <f t="shared" si="316"/>
        <v>#N/A</v>
      </c>
      <c r="DE270" s="20" t="e">
        <f t="shared" si="317"/>
        <v>#N/A</v>
      </c>
      <c r="DF270" s="21" t="e">
        <f t="shared" si="318"/>
        <v>#N/A</v>
      </c>
      <c r="DG270" s="21" t="e">
        <f t="shared" si="319"/>
        <v>#N/A</v>
      </c>
      <c r="DH270" s="21" t="e">
        <f t="shared" si="320"/>
        <v>#N/A</v>
      </c>
      <c r="DI270" s="21" t="e">
        <f t="shared" si="298"/>
        <v>#N/A</v>
      </c>
      <c r="DJ270" s="21" t="e">
        <f t="shared" si="299"/>
        <v>#N/A</v>
      </c>
      <c r="DK270" s="21" t="e">
        <f t="shared" si="300"/>
        <v>#N/A</v>
      </c>
      <c r="DL270" s="21" t="e">
        <f t="shared" si="301"/>
        <v>#N/A</v>
      </c>
      <c r="DN270" s="16" t="e" cm="1">
        <f t="array" ref="DN270">MAX(_xlfn._xlws.FILTER(CY270:DL270,CY270:DL270&lt;BW270))</f>
        <v>#N/A</v>
      </c>
      <c r="DO270" s="16" t="e" cm="1">
        <f t="array" ref="DO270">MIN(_xlfn._xlws.FILTER(CY270:DL270,CY270:DL270&gt;BW270))</f>
        <v>#N/A</v>
      </c>
      <c r="DP270" s="2" t="e" cm="1" vm="277">
        <f t="array" ref="DP270">_FV(EE270,"Fechamento anterior",TRUE)</f>
        <v>#VALUE!</v>
      </c>
      <c r="DQ270" s="28" t="e" vm="152">
        <f t="shared" si="302"/>
        <v>#VALUE!</v>
      </c>
      <c r="DR270" s="15" t="e" vm="152">
        <f t="shared" si="283"/>
        <v>#VALUE!</v>
      </c>
      <c r="DS270" s="15" t="e" vm="152">
        <f t="shared" si="284"/>
        <v>#VALUE!</v>
      </c>
      <c r="DT270" s="9"/>
      <c r="DU270" s="9"/>
      <c r="DV270" s="9"/>
      <c r="DW270" s="89" t="e">
        <v>#N/A</v>
      </c>
      <c r="DX270" s="89" t="e">
        <f t="shared" si="303"/>
        <v>#N/A</v>
      </c>
      <c r="DY270" s="72" t="e" vm="152">
        <f t="shared" si="304"/>
        <v>#VALUE!</v>
      </c>
      <c r="DZ270" s="37"/>
      <c r="EA270" s="35" t="e" vm="152">
        <f t="shared" si="314"/>
        <v>#VALUE!</v>
      </c>
      <c r="EB270" s="56"/>
      <c r="EC270" s="56"/>
      <c r="EE270" s="2" t="s">
        <v>266</v>
      </c>
      <c r="EG270" s="10" t="e" cm="1" vm="151">
        <f t="array" ref="EG270">_FV(EE270,"Ações em circulação",TRUE)</f>
        <v>#VALUE!</v>
      </c>
      <c r="EH270" s="18" t="e">
        <f>VLOOKUP(BR270,Fundamentus!A:U,5,FALSE)</f>
        <v>#N/A</v>
      </c>
      <c r="EI270" s="2" t="e" vm="152">
        <f t="shared" si="305"/>
        <v>#VALUE!</v>
      </c>
      <c r="EJ270" s="17" t="e" vm="152">
        <v>#VALUE!</v>
      </c>
      <c r="EK270" s="17" t="e" vm="152">
        <f t="shared" si="306"/>
        <v>#VALUE!</v>
      </c>
      <c r="EM270" s="16" t="e" vm="152">
        <f t="shared" si="282"/>
        <v>#VALUE!</v>
      </c>
      <c r="EN270" s="32" t="e">
        <f>IF(VLOOKUP(BR270,Fundamentus!A:U,3,FALSE)&lt;15,"Bom",IF(VLOOKUP(BR270,Fundamentus!A:U,3,FALSE)&gt;15,"Ruim","n/a"))</f>
        <v>#N/A</v>
      </c>
      <c r="EO270" s="28" t="e">
        <f>IF(VLOOKUP(BR270,Fundamentus!A:U,4,FALSE)&lt;1,"Baixo",IF(VLOOKUP(BR270,Fundamentus!A:U,4,FALSE)&lt;1.5,"Moderado",IF(VLOOKUP(BR270,Fundamentus!A:U,4,FALSE)&gt;1.5,"Alto","n/a")))</f>
        <v>#N/A</v>
      </c>
      <c r="EP270" s="17" t="e">
        <f>IF(VLOOKUP(BR270,Fundamentus!A:U,8,FALSE)&lt;0,"Risco elevado",IF(VLOOKUP(BR270,Fundamentus!A:U,8,FALSE)&lt;1,"Saudável",IF(VLOOKUP(BR270,Fundamentus!A:U,8,FALSE)&lt;3,"Estável",IF(VLOOKUP(BR270,Fundamentus!A:U,8,FALSE)&gt;3,"Alerta","n/a"))))</f>
        <v>#N/A</v>
      </c>
      <c r="EQ270" s="28" t="e">
        <f t="shared" si="307"/>
        <v>#N/A</v>
      </c>
      <c r="ER270" s="17" t="e">
        <f>IF(VLOOKUP(BR270,Fundamentus!A:U,12,FALSE)&lt;2,"Subvalorizada",IF(VLOOKUP(BR270,Fundamentus!A:U,12,FALSE)&lt;6,"Muita barata",IF(VLOOKUP(BR270,Fundamentus!A:U,12,FALSE)&lt;6,"Barata",IF(VLOOKUP(BR270,Fundamentus!A:U,12,FALSE)&lt;8,"Atrativa",IF(VLOOKUP(BR270,Fundamentus!A:U,12,FALSE)&gt;8,"Supervalorizada","n/a")))))</f>
        <v>#N/A</v>
      </c>
      <c r="ET270" s="17" t="e">
        <f>IF(VLOOKUP(BR270,Fundamentus!A:U,17,FALSE)&lt;0.1,"Fraco retorno",IF(VLOOKUP(BR270,Fundamentus!A:U,17,FALSE)&gt;0.1,"Bom retorno","n/a"))</f>
        <v>#N/A</v>
      </c>
      <c r="EU270" s="17" t="e">
        <f>IF(VLOOKUP(BR270,Fundamentus!A:U,16,FALSE)&lt;0.1,"Ineficiente",IF(VLOOKUP(BR270,Fundamentus!A:U,16,FALSE)&gt;0.1,"Eficiente","n/a"))</f>
        <v>#N/A</v>
      </c>
      <c r="EV270" s="33" t="e">
        <f>IF(VLOOKUP(BR270,Fundamentus!A:U,16,FALSE)&lt;0.1,"Oper. Ineficiente",IF(VLOOKUP(BR270,Fundamentus!A:U,16,FALSE)&gt;0.1,"Oper.Eficiente","n/a"))</f>
        <v>#N/A</v>
      </c>
      <c r="EW270" s="34" t="e">
        <f>VLOOKUP(BR270,Fundamentus!A:U,14,FALSE)</f>
        <v>#N/A</v>
      </c>
      <c r="EX270" s="17" t="e">
        <f>IF(VLOOKUP(BR270,Fundamentus!A:U,21,FALSE)&lt;0,"Negativo",IF(VLOOKUP(BR270,Fundamentus!A:U,21,FALSE)&lt;0.05,"Fraco",IF(VLOOKUP(BR270,Fundamentus!A:U,21,FALSE)&lt;0.1,"Bom",IF(VLOOKUP(BR270,Fundamentus!A:U,21,FALSE)&gt;0.1,"Muito bom","n/a"))))</f>
        <v>#N/A</v>
      </c>
      <c r="EZ270" s="29" t="e">
        <f>IF(VLOOKUP(BR270,Fundamentus!A:U,15,FALSE)&gt;1,"Bom",IF(VLOOKUP(BR270,Fundamentus!A:U,15,FALSE)&lt;1,"Ruim","n/a"))</f>
        <v>#N/A</v>
      </c>
      <c r="FA270" s="17" t="e">
        <f>IF(VLOOKUP(BR270,Fundamentus!A:U,20,FALSE)&lt;0.5,"Baixa",IF(VLOOKUP(BR270,Fundamentus!A:U,20,FALSE)&lt;1,"Moderada",IF(VLOOKUP(BR270,Fundamentus!A:U,20,FALSE)&lt;2,"Alerta",IF(VLOOKUP(BR270,Fundamentus!A:U,20,FALSE)&gt;2,"Alta","n/a"))))</f>
        <v>#N/A</v>
      </c>
    </row>
    <row r="271" spans="1:157" s="2" customFormat="1" ht="11.25"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5">
        <v>11.94</v>
      </c>
      <c r="BC271" s="52">
        <v>11.74</v>
      </c>
      <c r="BD271" s="52">
        <v>11.72</v>
      </c>
      <c r="BE271" s="52">
        <v>11.74</v>
      </c>
      <c r="BF271" s="52">
        <v>11.48</v>
      </c>
      <c r="BG271" s="67">
        <v>11.34</v>
      </c>
      <c r="BH271" s="52">
        <v>11.41</v>
      </c>
      <c r="BI271" s="52">
        <v>11.44</v>
      </c>
      <c r="BJ271" s="52">
        <v>11.62</v>
      </c>
      <c r="BK271" s="52">
        <v>11.3</v>
      </c>
      <c r="BL271" s="52">
        <v>11.17</v>
      </c>
      <c r="BM271" s="52">
        <v>11.05</v>
      </c>
      <c r="BN271" s="52">
        <v>11.12</v>
      </c>
      <c r="BO271" s="52">
        <v>11.19</v>
      </c>
      <c r="BP271" s="52">
        <v>11.19</v>
      </c>
      <c r="BQ271" s="52" cm="1">
        <f t="array" aca="1" ref="BQ271" ca="1">_FV(EE271,"Preço")</f>
        <v>11.19</v>
      </c>
      <c r="BR271" s="69" t="s">
        <v>267</v>
      </c>
      <c r="BS271" s="36" cm="1">
        <f t="array" aca="1" ref="BS271" ca="1">_FV(EE271,"Média de volume",TRUE)</f>
        <v>2357510</v>
      </c>
      <c r="BT271" s="36">
        <v>88500</v>
      </c>
      <c r="BU271" s="36" cm="1">
        <f t="array" aca="1" ref="BU271" ca="1">_FV(EE271,"Volume")</f>
        <v>88500</v>
      </c>
      <c r="BV271" s="24" cm="1">
        <f t="array" aca="1" ref="BV271" ca="1">_FV(EE271,"Beta")</f>
        <v>0.71309999999999996</v>
      </c>
      <c r="BW271" s="71" cm="1">
        <f t="array" aca="1" ref="BW271" ca="1">_FV(EE271,"Variação (%)",TRUE)</f>
        <v>3.5870000000000003E-3</v>
      </c>
      <c r="BY271" s="17" cm="1">
        <f t="array" aca="1" ref="BY271" ca="1">_FV(EE271,"Baixo")</f>
        <v>11.12</v>
      </c>
      <c r="BZ271" s="17" cm="1">
        <f t="array" aca="1" ref="BZ271" ca="1">_FV(EE271,"Alto")</f>
        <v>11.28</v>
      </c>
      <c r="CA271" s="24"/>
      <c r="CB271" s="63">
        <f ca="1">SQRT(22.5*(BQ271/VLOOKUP(BR271,Fundamentus!A:U,3,FALSE))*(BQ271/VLOOKUP(BR271,Fundamentus!A:U,4,FALSE)))</f>
        <v>16.036632336320135</v>
      </c>
      <c r="CD271" s="62">
        <f t="shared" ca="1" si="308"/>
        <v>0</v>
      </c>
      <c r="CE271" s="8"/>
      <c r="CF271" s="61">
        <f t="shared" si="309"/>
        <v>10.7</v>
      </c>
      <c r="CG271" s="61">
        <f t="shared" si="310"/>
        <v>12.17</v>
      </c>
      <c r="CH271" s="61">
        <f t="shared" si="311"/>
        <v>11.387573529411769</v>
      </c>
      <c r="CI271" s="14"/>
      <c r="CJ271" s="35">
        <f t="shared" si="285"/>
        <v>11.094784988575483</v>
      </c>
      <c r="CK271" s="15">
        <f t="shared" si="312"/>
        <v>11.259999999999991</v>
      </c>
      <c r="CL271" s="35">
        <f t="shared" si="286"/>
        <v>11.425215011424498</v>
      </c>
      <c r="CN271" s="14"/>
      <c r="CO271" s="17">
        <f t="shared" si="287"/>
        <v>9.0666666666666629</v>
      </c>
      <c r="CP271" s="17">
        <f t="shared" si="288"/>
        <v>9.8833333333333311</v>
      </c>
      <c r="CQ271" s="17">
        <f t="shared" si="289"/>
        <v>10.536666666666664</v>
      </c>
      <c r="CR271" s="38">
        <f t="shared" si="313"/>
        <v>11.353333333333332</v>
      </c>
      <c r="CS271" s="17">
        <f t="shared" si="290"/>
        <v>12.006666666666664</v>
      </c>
      <c r="CT271" s="17">
        <f t="shared" si="291"/>
        <v>12.823333333333332</v>
      </c>
      <c r="CU271" s="17">
        <f t="shared" si="292"/>
        <v>13.476666666666665</v>
      </c>
      <c r="CV271" s="2" cm="1">
        <f t="array" aca="1" ref="CV271" ca="1">MAX(_xlfn._xlws.FILTER(CO271:CU271,CO271:CU271&lt;BQ271))</f>
        <v>10.536666666666664</v>
      </c>
      <c r="CW271" s="2" cm="1">
        <f t="array" aca="1" ref="CW271" ca="1">MIN(_xlfn._xlws.FILTER($CO271:$CU271,$CO271:$CU271&gt;BQ271))</f>
        <v>11.353333333333332</v>
      </c>
      <c r="CX271" s="16">
        <f t="shared" ca="1" si="293"/>
        <v>7.7507118000632813E-2</v>
      </c>
      <c r="CY271" s="20">
        <f t="shared" ca="1" si="294"/>
        <v>-3.8753559000316407E-2</v>
      </c>
      <c r="CZ271" s="20">
        <f t="shared" ca="1" si="295"/>
        <v>-2.5835706000210939E-2</v>
      </c>
      <c r="DA271" s="20">
        <f t="shared" ca="1" si="296"/>
        <v>-1.5501423600126563E-2</v>
      </c>
      <c r="DB271" s="20">
        <f t="shared" ca="1" si="297"/>
        <v>-8.611902000070313E-3</v>
      </c>
      <c r="DC271" s="20">
        <f t="shared" ca="1" si="315"/>
        <v>-4.5592422353313419E-3</v>
      </c>
      <c r="DD271" s="20">
        <f t="shared" ca="1" si="316"/>
        <v>-2.3487005454737218E-3</v>
      </c>
      <c r="DE271" s="20">
        <f t="shared" ca="1" si="317"/>
        <v>-1.1924172000097356E-3</v>
      </c>
      <c r="DF271" s="21">
        <f t="shared" ca="1" si="318"/>
        <v>1.1924172000097356E-3</v>
      </c>
      <c r="DG271" s="21">
        <f t="shared" ca="1" si="319"/>
        <v>2.3487005454737218E-3</v>
      </c>
      <c r="DH271" s="21">
        <f t="shared" ca="1" si="320"/>
        <v>4.5592422353313419E-3</v>
      </c>
      <c r="DI271" s="21">
        <f t="shared" ca="1" si="298"/>
        <v>8.611902000070313E-3</v>
      </c>
      <c r="DJ271" s="21">
        <f t="shared" ca="1" si="299"/>
        <v>1.5501423600126563E-2</v>
      </c>
      <c r="DK271" s="21">
        <f t="shared" ca="1" si="300"/>
        <v>2.5835706000210939E-2</v>
      </c>
      <c r="DL271" s="21">
        <f t="shared" ca="1" si="301"/>
        <v>3.8753559000316407E-2</v>
      </c>
      <c r="DN271" s="16" cm="1">
        <f t="array" aca="1" ref="DN271" ca="1">MAX(_xlfn._xlws.FILTER(CY271:DL271,CY271:DL271&lt;BW271))</f>
        <v>2.3487005454737218E-3</v>
      </c>
      <c r="DO271" s="16" cm="1">
        <f t="array" aca="1" ref="DO271" ca="1">MIN(_xlfn._xlws.FILTER(CY271:DL271,CY271:DL271&gt;BW271))</f>
        <v>4.5592422353313419E-3</v>
      </c>
      <c r="DP271" s="2" cm="1">
        <f t="array" aca="1" ref="DP271" ca="1">_FV(EE271,"Fechamento anterior",TRUE)</f>
        <v>11.15</v>
      </c>
      <c r="DQ271" s="28">
        <f t="shared" ca="1" si="302"/>
        <v>0.56038002196390768</v>
      </c>
      <c r="DR271" s="15">
        <f t="shared" ca="1" si="283"/>
        <v>11.176188011082033</v>
      </c>
      <c r="DS271" s="15">
        <f t="shared" ca="1" si="284"/>
        <v>11.200835550923944</v>
      </c>
      <c r="DT271" s="9"/>
      <c r="DU271" s="9"/>
      <c r="DV271" s="9"/>
      <c r="DW271" s="89">
        <v>1.1562833454639861E-3</v>
      </c>
      <c r="DX271" s="89">
        <f t="shared" ca="1" si="303"/>
        <v>2.2105416898576201E-3</v>
      </c>
      <c r="DY271" s="72">
        <f t="shared" ca="1" si="304"/>
        <v>-0.42369031358858611</v>
      </c>
      <c r="DZ271" s="37"/>
      <c r="EA271" s="35">
        <f t="shared" si="314"/>
        <v>8.2607505712253629E-2</v>
      </c>
      <c r="EB271" s="56"/>
      <c r="EC271" s="56"/>
      <c r="EE271" s="2" t="e" vm="278">
        <v>#VALUE!</v>
      </c>
      <c r="EG271" s="10" cm="1">
        <f t="array" aca="1" ref="EG271" ca="1">_FV(EE271,"Ações em circulação",TRUE)</f>
        <v>344498900</v>
      </c>
      <c r="EH271" s="18">
        <f>VLOOKUP(BR271,Fundamentus!A:U,5,FALSE)</f>
        <v>2.9239999999999999</v>
      </c>
      <c r="EI271" s="2">
        <f t="shared" ca="1" si="305"/>
        <v>1318379853.2831738</v>
      </c>
      <c r="EJ271" s="17">
        <v>559652247.7187072</v>
      </c>
      <c r="EK271" s="17">
        <f t="shared" ca="1" si="306"/>
        <v>559652247.7187072</v>
      </c>
      <c r="EM271" s="16">
        <f t="shared" ca="1" si="282"/>
        <v>0</v>
      </c>
      <c r="EN271" s="32" t="str">
        <f>IF(VLOOKUP(BR271,Fundamentus!A:U,3,FALSE)&lt;15,"Bom",IF(VLOOKUP(BR271,Fundamentus!A:U,3,FALSE)&gt;15,"Ruim","n/a"))</f>
        <v>Bom</v>
      </c>
      <c r="EO271" s="28" t="str">
        <f>IF(VLOOKUP(BR271,Fundamentus!A:U,4,FALSE)&lt;1,"Baixo",IF(VLOOKUP(BR271,Fundamentus!A:U,4,FALSE)&lt;1.5,"Moderado",IF(VLOOKUP(BR271,Fundamentus!A:U,4,FALSE)&gt;1.5,"Alto","n/a")))</f>
        <v>Alto</v>
      </c>
      <c r="EP271" s="17" t="str">
        <f>IF(VLOOKUP(BR271,Fundamentus!A:U,8,FALSE)&lt;0,"Risco elevado",IF(VLOOKUP(BR271,Fundamentus!A:U,8,FALSE)&lt;1,"Saudável",IF(VLOOKUP(BR271,Fundamentus!A:U,8,FALSE)&lt;3,"Estável",IF(VLOOKUP(BR271,Fundamentus!A:U,8,FALSE)&gt;3,"Alerta","n/a"))))</f>
        <v>Alerta</v>
      </c>
      <c r="EQ271" s="28" t="str">
        <f t="shared" si="307"/>
        <v>Bom</v>
      </c>
      <c r="ER271" s="17" t="str">
        <f>IF(VLOOKUP(BR271,Fundamentus!A:U,12,FALSE)&lt;2,"Subvalorizada",IF(VLOOKUP(BR271,Fundamentus!A:U,12,FALSE)&lt;6,"Muita barata",IF(VLOOKUP(BR271,Fundamentus!A:U,12,FALSE)&lt;6,"Barata",IF(VLOOKUP(BR271,Fundamentus!A:U,12,FALSE)&lt;8,"Atrativa",IF(VLOOKUP(BR271,Fundamentus!A:U,12,FALSE)&gt;8,"Supervalorizada","n/a")))))</f>
        <v>Supervalorizada</v>
      </c>
      <c r="ET271" s="17" t="str">
        <f>IF(VLOOKUP(BR271,Fundamentus!A:U,17,FALSE)&lt;0.1,"Fraco retorno",IF(VLOOKUP(BR271,Fundamentus!A:U,17,FALSE)&gt;0.1,"Bom retorno","n/a"))</f>
        <v>Bom retorno</v>
      </c>
      <c r="EU271" s="17" t="str">
        <f>IF(VLOOKUP(BR271,Fundamentus!A:U,16,FALSE)&lt;0.1,"Ineficiente",IF(VLOOKUP(BR271,Fundamentus!A:U,16,FALSE)&gt;0.1,"Eficiente","n/a"))</f>
        <v>Eficiente</v>
      </c>
      <c r="EV271" s="33" t="str">
        <f>IF(VLOOKUP(BR271,Fundamentus!A:U,16,FALSE)&lt;0.1,"Oper. Ineficiente",IF(VLOOKUP(BR271,Fundamentus!A:U,16,FALSE)&gt;0.1,"Oper.Eficiente","n/a"))</f>
        <v>Oper.Eficiente</v>
      </c>
      <c r="EW271" s="34">
        <f>VLOOKUP(BR271,Fundamentus!A:U,14,FALSE)</f>
        <v>0.42449999999999999</v>
      </c>
      <c r="EX271" s="17" t="str">
        <f>IF(VLOOKUP(BR271,Fundamentus!A:U,21,FALSE)&lt;0,"Negativo",IF(VLOOKUP(BR271,Fundamentus!A:U,21,FALSE)&lt;0.05,"Fraco",IF(VLOOKUP(BR271,Fundamentus!A:U,21,FALSE)&lt;0.1,"Bom",IF(VLOOKUP(BR271,Fundamentus!A:U,21,FALSE)&gt;0.1,"Muito bom","n/a"))))</f>
        <v>Fraco</v>
      </c>
      <c r="EZ271" s="29" t="str">
        <f>IF(VLOOKUP(BR271,Fundamentus!A:U,15,FALSE)&gt;1,"Bom",IF(VLOOKUP(BR271,Fundamentus!A:U,15,FALSE)&lt;1,"Ruim","n/a"))</f>
        <v>Bom</v>
      </c>
      <c r="FA271" s="17" t="str">
        <f>IF(VLOOKUP(BR271,Fundamentus!A:U,20,FALSE)&lt;0.5,"Baixa",IF(VLOOKUP(BR271,Fundamentus!A:U,20,FALSE)&lt;1,"Moderada",IF(VLOOKUP(BR271,Fundamentus!A:U,20,FALSE)&lt;2,"Alerta",IF(VLOOKUP(BR271,Fundamentus!A:U,20,FALSE)&gt;2,"Alta","n/a"))))</f>
        <v>Alerta</v>
      </c>
    </row>
    <row r="273" spans="1:144" ht="11.25" customHeight="1" x14ac:dyDescent="0.25">
      <c r="EM273" s="16">
        <v>5.1817927712916045E-3</v>
      </c>
    </row>
    <row r="274" spans="1:144" ht="11.25" customHeight="1" x14ac:dyDescent="0.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7"/>
      <c r="AU274" s="57"/>
      <c r="AV274" s="57"/>
      <c r="AW274" s="57"/>
      <c r="AX274" s="57"/>
      <c r="AY274" s="57"/>
      <c r="AZ274" s="57"/>
      <c r="BA274" s="57"/>
      <c r="BB274" s="57"/>
      <c r="BC274" s="57"/>
      <c r="BD274" s="57"/>
      <c r="BE274" s="57"/>
      <c r="BF274" s="57"/>
      <c r="BG274" s="57"/>
      <c r="BH274" s="57"/>
      <c r="BI274" s="57"/>
      <c r="BJ274" s="57"/>
      <c r="BK274" s="57"/>
      <c r="BL274" s="57"/>
      <c r="BM274" s="57"/>
      <c r="BN274" s="57"/>
      <c r="BO274" s="57"/>
      <c r="BP274" s="57"/>
      <c r="BW274" s="1"/>
      <c r="CZ274" s="1" t="s">
        <v>275</v>
      </c>
      <c r="DA274" s="1" t="s">
        <v>269</v>
      </c>
      <c r="DB274" s="1" t="s">
        <v>271</v>
      </c>
      <c r="DC274" s="1" t="s">
        <v>270</v>
      </c>
      <c r="DD274" s="1" t="s">
        <v>279</v>
      </c>
      <c r="DE274" s="1" t="s">
        <v>280</v>
      </c>
      <c r="DF274" s="1" t="s">
        <v>281</v>
      </c>
      <c r="DG274" s="1" t="s">
        <v>283</v>
      </c>
      <c r="DX274" s="84"/>
      <c r="EM274" s="16">
        <v>1.3079483012150783E-2</v>
      </c>
    </row>
    <row r="275" spans="1:144" x14ac:dyDescent="0.25">
      <c r="BD275" s="37"/>
      <c r="BW275" s="1"/>
      <c r="CQ275" s="16"/>
      <c r="EM275" s="16">
        <v>7.6645501222152301E-3</v>
      </c>
    </row>
    <row r="276" spans="1:144" x14ac:dyDescent="0.25">
      <c r="BR276" s="78"/>
      <c r="BW276" s="1"/>
      <c r="BZ276" s="80"/>
      <c r="CB276" s="59"/>
      <c r="CP276" s="65"/>
      <c r="EM276" s="16">
        <v>6.1350601295095952E-3</v>
      </c>
    </row>
    <row r="277" spans="1:144" x14ac:dyDescent="0.25">
      <c r="BW277" s="1"/>
      <c r="CO277" s="19"/>
      <c r="CP277" s="19"/>
    </row>
    <row r="278" spans="1:144" x14ac:dyDescent="0.25">
      <c r="BW278" s="1"/>
      <c r="EN278" s="7"/>
    </row>
    <row r="279" spans="1:144" x14ac:dyDescent="0.25">
      <c r="BW279" s="1"/>
      <c r="BZ279" s="77"/>
    </row>
  </sheetData>
  <autoFilter ref="A5:FM271" xr:uid="{00000000-0001-0000-0000-000000000000}"/>
  <sortState xmlns:xlrd2="http://schemas.microsoft.com/office/spreadsheetml/2017/richdata2" ref="A19:FC186">
    <sortCondition descending="1" ref="CD19:CD186"/>
  </sortState>
  <conditionalFormatting sqref="AY6:AZ271">
    <cfRule type="expression" dxfId="53" priority="177">
      <formula>AY6&gt;AX6</formula>
    </cfRule>
  </conditionalFormatting>
  <conditionalFormatting sqref="BA6:BP271">
    <cfRule type="expression" dxfId="52" priority="111">
      <formula>BA6=AZ6</formula>
    </cfRule>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Q6:BQ271">
    <cfRule type="expression" dxfId="48" priority="179">
      <formula>BQ6&gt;=BJ6</formula>
    </cfRule>
  </conditionalFormatting>
  <conditionalFormatting sqref="BW2">
    <cfRule type="cellIs" dxfId="47" priority="1" operator="greaterThan">
      <formula>0</formula>
    </cfRule>
  </conditionalFormatting>
  <conditionalFormatting sqref="BW4">
    <cfRule type="cellIs" dxfId="46" priority="3" operator="greaterThan">
      <formula>0</formula>
    </cfRule>
  </conditionalFormatting>
  <conditionalFormatting sqref="BW6:BW271">
    <cfRule type="cellIs" dxfId="45" priority="19" operator="greaterThan">
      <formula>0</formula>
    </cfRule>
  </conditionalFormatting>
  <conditionalFormatting sqref="CD3 CD6:CD1048576">
    <cfRule type="cellIs" dxfId="44" priority="110" operator="between">
      <formula>0</formula>
      <formula>0.009</formula>
    </cfRule>
  </conditionalFormatting>
  <conditionalFormatting sqref="CD3 CD6:CE1048576 BQ272:BQ1048576 CB272:CB1048576">
    <cfRule type="cellIs" dxfId="43" priority="114" operator="greaterThan">
      <formula>0.009</formula>
    </cfRule>
  </conditionalFormatting>
  <conditionalFormatting sqref="CJ3">
    <cfRule type="cellIs" dxfId="42" priority="17" operator="between">
      <formula>0</formula>
      <formula>0.009</formula>
    </cfRule>
    <cfRule type="cellIs" dxfId="41" priority="18" operator="greaterThan">
      <formula>0.009</formula>
    </cfRule>
  </conditionalFormatting>
  <conditionalFormatting sqref="DQ6:DQ271">
    <cfRule type="cellIs" dxfId="40" priority="120" operator="greaterThan">
      <formula>0.9</formula>
    </cfRule>
    <cfRule type="cellIs" dxfId="39" priority="121" operator="lessThan">
      <formula>0.1</formula>
    </cfRule>
  </conditionalFormatting>
  <conditionalFormatting sqref="DW6:DX271">
    <cfRule type="cellIs" dxfId="38" priority="2" operator="lessThan">
      <formula>0.01</formula>
    </cfRule>
  </conditionalFormatting>
  <conditionalFormatting sqref="EN6:EN271">
    <cfRule type="containsText" dxfId="37" priority="69" operator="containsText" text="Bom">
      <formula>NOT(ISERROR(SEARCH("Bom",EN6)))</formula>
    </cfRule>
  </conditionalFormatting>
  <conditionalFormatting sqref="EO6:EP271">
    <cfRule type="containsText" dxfId="36" priority="66" operator="containsText" text="Baixo">
      <formula>NOT(ISERROR(SEARCH("Baixo",EO6)))</formula>
    </cfRule>
    <cfRule type="containsText" dxfId="35" priority="67" operator="containsText" text="Moderado">
      <formula>NOT(ISERROR(SEARCH("Moderado",EO6)))</formula>
    </cfRule>
    <cfRule type="containsText" dxfId="34" priority="68" operator="containsText" text="Alto">
      <formula>NOT(ISERROR(SEARCH("Alto",EO6)))</formula>
    </cfRule>
  </conditionalFormatting>
  <conditionalFormatting sqref="EP6:EP271">
    <cfRule type="containsText" dxfId="33" priority="52" operator="containsText" text="Risco elevado">
      <formula>NOT(ISERROR(SEARCH("Risco elevado",EP6)))</formula>
    </cfRule>
    <cfRule type="containsText" dxfId="32" priority="53" operator="containsText" text="Estável">
      <formula>NOT(ISERROR(SEARCH("Estável",EP6)))</formula>
    </cfRule>
    <cfRule type="containsText" dxfId="31" priority="54" operator="containsText" text="Alerta">
      <formula>NOT(ISERROR(SEARCH("Alerta",EP6)))</formula>
    </cfRule>
    <cfRule type="containsText" dxfId="30" priority="55" operator="containsText" text="Saudável">
      <formula>NOT(ISERROR(SEARCH("Saudável",EP6)))</formula>
    </cfRule>
  </conditionalFormatting>
  <conditionalFormatting sqref="EQ6:EQ271">
    <cfRule type="containsText" dxfId="29" priority="64" operator="containsText" text="Ruim">
      <formula>NOT(ISERROR(SEARCH("Ruim",EQ6)))</formula>
    </cfRule>
    <cfRule type="containsText" dxfId="28" priority="65" operator="containsText" text="Bom">
      <formula>NOT(ISERROR(SEARCH("Bom",EQ6)))</formula>
    </cfRule>
  </conditionalFormatting>
  <conditionalFormatting sqref="ER6:EX271">
    <cfRule type="containsText" dxfId="27" priority="79" operator="containsText" text="Supervalorizada">
      <formula>NOT(ISERROR(SEARCH("Supervalorizada",ER6)))</formula>
    </cfRule>
    <cfRule type="containsText" dxfId="26" priority="80" operator="containsText" text="Atrativa">
      <formula>NOT(ISERROR(SEARCH("Atrativa",ER6)))</formula>
    </cfRule>
    <cfRule type="containsText" dxfId="25" priority="81" operator="containsText" text="Barata">
      <formula>NOT(ISERROR(SEARCH("Barata",ER6)))</formula>
    </cfRule>
    <cfRule type="containsText" dxfId="24" priority="82" operator="containsText" text="Muito barata">
      <formula>NOT(ISERROR(SEARCH("Muito barata",ER6)))</formula>
    </cfRule>
    <cfRule type="containsText" dxfId="23" priority="83" operator="containsText" text="Subvalorizada">
      <formula>NOT(ISERROR(SEARCH("Subvalorizada",ER6)))</formula>
    </cfRule>
  </conditionalFormatting>
  <conditionalFormatting sqref="ET6:ET271">
    <cfRule type="containsText" dxfId="22" priority="62" operator="containsText" text="Fraco retorno">
      <formula>NOT(ISERROR(SEARCH("Fraco retorno",ET6)))</formula>
    </cfRule>
    <cfRule type="containsText" dxfId="21" priority="63" operator="containsText" text="Bom retorno">
      <formula>NOT(ISERROR(SEARCH("Bom retorno",ET6)))</formula>
    </cfRule>
  </conditionalFormatting>
  <conditionalFormatting sqref="EU6:EU271">
    <cfRule type="containsText" dxfId="20" priority="60" operator="containsText" text="Ineficiente">
      <formula>NOT(ISERROR(SEARCH("Ineficiente",EU6)))</formula>
    </cfRule>
    <cfRule type="containsText" dxfId="19" priority="61" operator="containsText" text="Eficiente">
      <formula>NOT(ISERROR(SEARCH("Eficiente",EU6)))</formula>
    </cfRule>
  </conditionalFormatting>
  <conditionalFormatting sqref="EV6:EV271">
    <cfRule type="containsText" dxfId="18" priority="58" operator="containsText" text="Oper.Ineficiente">
      <formula>NOT(ISERROR(SEARCH("Oper.Ineficiente",EV6)))</formula>
    </cfRule>
    <cfRule type="containsText" dxfId="17" priority="59" operator="containsText" text="Oper.Eficiente">
      <formula>NOT(ISERROR(SEARCH("Oper.Eficiente",EV6)))</formula>
    </cfRule>
  </conditionalFormatting>
  <conditionalFormatting sqref="EW6:EW271">
    <cfRule type="cellIs" dxfId="16" priority="57" operator="greaterThan">
      <formula>0</formula>
    </cfRule>
  </conditionalFormatting>
  <conditionalFormatting sqref="EW9">
    <cfRule type="containsText" dxfId="15" priority="56" operator="containsText" text="Risco elevado">
      <formula>NOT(ISERROR(SEARCH("Risco elevado",EW9)))</formula>
    </cfRule>
  </conditionalFormatting>
  <conditionalFormatting sqref="EX6:EX271">
    <cfRule type="containsText" dxfId="14" priority="70" operator="containsText" text="Muito Bom">
      <formula>NOT(ISERROR(SEARCH("Muito Bom",EX6)))</formula>
    </cfRule>
    <cfRule type="containsText" dxfId="13" priority="71" operator="containsText" text="Bom">
      <formula>NOT(ISERROR(SEARCH("Bom",EX6)))</formula>
    </cfRule>
    <cfRule type="containsText" dxfId="12" priority="72" operator="containsText" text="Fraco">
      <formula>NOT(ISERROR(SEARCH("Fraco",EX6)))</formula>
    </cfRule>
    <cfRule type="containsText" dxfId="11" priority="73" operator="containsText" text="Negativo">
      <formula>NOT(ISERROR(SEARCH("Negativo",EX6)))</formula>
    </cfRule>
    <cfRule type="containsText" dxfId="10" priority="74" operator="containsText" text="Supervalorizada">
      <formula>NOT(ISERROR(SEARCH("Supervalorizada",EX6)))</formula>
    </cfRule>
    <cfRule type="containsText" dxfId="9" priority="75" operator="containsText" text="Atrativa">
      <formula>NOT(ISERROR(SEARCH("Atrativa",EX6)))</formula>
    </cfRule>
    <cfRule type="containsText" dxfId="8" priority="76" operator="containsText" text="Barata">
      <formula>NOT(ISERROR(SEARCH("Barata",EX6)))</formula>
    </cfRule>
    <cfRule type="containsText" dxfId="7" priority="77" operator="containsText" text="Muito barata">
      <formula>NOT(ISERROR(SEARCH("Muito barata",EX6)))</formula>
    </cfRule>
    <cfRule type="containsText" dxfId="6" priority="78" operator="containsText" text="Subvalorizada">
      <formula>NOT(ISERROR(SEARCH("Subvalorizada",EX6)))</formula>
    </cfRule>
  </conditionalFormatting>
  <conditionalFormatting sqref="EZ6:EZ271">
    <cfRule type="containsText" dxfId="5" priority="88" operator="containsText" text="Ruim">
      <formula>NOT(ISERROR(SEARCH("Ruim",EZ6)))</formula>
    </cfRule>
    <cfRule type="containsText" dxfId="4" priority="89" operator="containsText" text="Bom">
      <formula>NOT(ISERROR(SEARCH("Bom",EZ6)))</formula>
    </cfRule>
  </conditionalFormatting>
  <conditionalFormatting sqref="FA6:FA271">
    <cfRule type="containsText" dxfId="3" priority="84" operator="containsText" text="Baixa">
      <formula>NOT(ISERROR(SEARCH("Baixa",FA6)))</formula>
    </cfRule>
    <cfRule type="containsText" dxfId="2" priority="85" operator="containsText" text="Moderada">
      <formula>NOT(ISERROR(SEARCH("Moderada",FA6)))</formula>
    </cfRule>
    <cfRule type="containsText" dxfId="1" priority="86" operator="containsText" text="Alta">
      <formula>NOT(ISERROR(SEARCH("Alta",FA6)))</formula>
    </cfRule>
    <cfRule type="containsText" dxfId="0" priority="87" operator="containsText" text="Alerta">
      <formula>NOT(ISERROR(SEARCH("Alerta",FA6)))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F267"/>
  <sheetViews>
    <sheetView tabSelected="1" zoomScale="110" zoomScaleNormal="110" workbookViewId="0">
      <selection activeCell="J4" sqref="J4"/>
    </sheetView>
  </sheetViews>
  <sheetFormatPr defaultRowHeight="15" x14ac:dyDescent="0.25"/>
  <cols>
    <col min="2" max="4" width="11.85546875" customWidth="1"/>
    <col min="5" max="6" width="10.85546875" bestFit="1" customWidth="1"/>
  </cols>
  <sheetData>
    <row r="1" spans="1:6" x14ac:dyDescent="0.25">
      <c r="A1" t="s">
        <v>475</v>
      </c>
      <c r="B1" s="79">
        <v>45857</v>
      </c>
      <c r="C1" s="79">
        <v>45864</v>
      </c>
      <c r="D1" s="79">
        <v>45871</v>
      </c>
      <c r="E1" s="79">
        <v>45878</v>
      </c>
      <c r="F1" s="79">
        <v>45885</v>
      </c>
    </row>
    <row r="2" spans="1:6" x14ac:dyDescent="0.25">
      <c r="A2" s="13" t="str">
        <f>Bovespa!BR6</f>
        <v>EQPA7</v>
      </c>
      <c r="B2" s="13">
        <v>8.0500000000000007</v>
      </c>
      <c r="C2" s="13">
        <f ca="1">Bovespa!BQ6</f>
        <v>6.52</v>
      </c>
      <c r="D2" s="13">
        <v>6.52</v>
      </c>
      <c r="E2">
        <v>6.52</v>
      </c>
      <c r="F2">
        <v>6.52</v>
      </c>
    </row>
    <row r="3" spans="1:6" x14ac:dyDescent="0.25">
      <c r="A3" s="13" t="str">
        <f>Bovespa!BR7</f>
        <v>CGRA4</v>
      </c>
      <c r="B3" s="13">
        <v>27.52</v>
      </c>
      <c r="C3" s="13">
        <f ca="1">Bovespa!BQ7</f>
        <v>26</v>
      </c>
      <c r="D3" s="13">
        <v>26.87</v>
      </c>
      <c r="E3">
        <v>27.08</v>
      </c>
      <c r="F3">
        <v>26</v>
      </c>
    </row>
    <row r="4" spans="1:6" x14ac:dyDescent="0.25">
      <c r="A4" s="13" t="str">
        <f>Bovespa!BR8</f>
        <v>ISAE4</v>
      </c>
      <c r="B4" s="13">
        <v>22.44</v>
      </c>
      <c r="C4" s="13">
        <f ca="1">Bovespa!BQ8</f>
        <v>22.13</v>
      </c>
      <c r="D4" s="13">
        <v>21.6</v>
      </c>
      <c r="E4">
        <v>21.82</v>
      </c>
      <c r="F4">
        <v>22.13</v>
      </c>
    </row>
    <row r="5" spans="1:6" x14ac:dyDescent="0.25">
      <c r="A5" s="13" t="str">
        <f>Bovespa!BR9</f>
        <v>BEES3</v>
      </c>
      <c r="B5" s="13">
        <v>8.49</v>
      </c>
      <c r="C5" s="13">
        <f ca="1">Bovespa!BQ9</f>
        <v>8.5399999999999991</v>
      </c>
      <c r="D5" s="13">
        <v>8.3800000000000008</v>
      </c>
      <c r="E5">
        <v>8.5</v>
      </c>
      <c r="F5">
        <v>8.5399999999999991</v>
      </c>
    </row>
    <row r="6" spans="1:6" x14ac:dyDescent="0.25">
      <c r="A6" s="13" t="str">
        <f>Bovespa!BR10</f>
        <v>ABEV3</v>
      </c>
      <c r="B6" s="13">
        <v>13.32</v>
      </c>
      <c r="C6" s="13">
        <f ca="1">Bovespa!BQ10</f>
        <v>12.04</v>
      </c>
      <c r="D6" s="13">
        <v>12.29</v>
      </c>
      <c r="E6">
        <v>12.4</v>
      </c>
      <c r="F6">
        <v>12.04</v>
      </c>
    </row>
    <row r="7" spans="1:6" x14ac:dyDescent="0.25">
      <c r="A7" s="13" t="str">
        <f>Bovespa!BR11</f>
        <v>RPMG3</v>
      </c>
      <c r="B7" s="13">
        <v>2.9</v>
      </c>
      <c r="C7" s="13">
        <f ca="1">Bovespa!BQ11</f>
        <v>2.9</v>
      </c>
      <c r="D7" s="13">
        <v>2.91</v>
      </c>
      <c r="E7">
        <v>2.92</v>
      </c>
      <c r="F7">
        <v>2.9</v>
      </c>
    </row>
    <row r="8" spans="1:6" x14ac:dyDescent="0.25">
      <c r="A8" s="13" t="str">
        <f>Bovespa!BR12</f>
        <v>DMVF3</v>
      </c>
      <c r="B8" s="13">
        <v>4.6900000000000004</v>
      </c>
      <c r="C8" s="13">
        <f ca="1">Bovespa!BQ12</f>
        <v>4.55</v>
      </c>
      <c r="D8" s="13">
        <v>4.67</v>
      </c>
      <c r="E8">
        <v>4.6100000000000003</v>
      </c>
      <c r="F8">
        <v>4.55</v>
      </c>
    </row>
    <row r="9" spans="1:6" x14ac:dyDescent="0.25">
      <c r="A9" s="13" t="str">
        <f>Bovespa!BR13</f>
        <v>SLCE3</v>
      </c>
      <c r="B9" s="13">
        <v>18.2</v>
      </c>
      <c r="C9" s="13">
        <f ca="1">Bovespa!BQ13</f>
        <v>16.899999999999999</v>
      </c>
      <c r="D9" s="13">
        <v>18.14</v>
      </c>
      <c r="E9">
        <v>17.32</v>
      </c>
      <c r="F9">
        <v>16.899999999999999</v>
      </c>
    </row>
    <row r="10" spans="1:6" x14ac:dyDescent="0.25">
      <c r="A10" s="13" t="str">
        <f>Bovespa!BR14</f>
        <v>OPCT3</v>
      </c>
      <c r="B10" s="13">
        <v>6.42</v>
      </c>
      <c r="C10" s="13">
        <f ca="1">Bovespa!BQ14</f>
        <v>6.36</v>
      </c>
      <c r="D10" s="13">
        <v>6.1</v>
      </c>
      <c r="E10">
        <v>6.38</v>
      </c>
      <c r="F10">
        <v>6.36</v>
      </c>
    </row>
    <row r="11" spans="1:6" x14ac:dyDescent="0.25">
      <c r="A11" s="13" t="str">
        <f>Bovespa!BR15</f>
        <v>SANB4</v>
      </c>
      <c r="B11" s="13">
        <v>13.79</v>
      </c>
      <c r="C11" s="13">
        <f ca="1">Bovespa!BQ15</f>
        <v>14.08</v>
      </c>
      <c r="D11" s="13">
        <v>13.64</v>
      </c>
      <c r="E11">
        <v>14.1</v>
      </c>
      <c r="F11">
        <v>14.08</v>
      </c>
    </row>
    <row r="12" spans="1:6" x14ac:dyDescent="0.25">
      <c r="A12" s="13" t="str">
        <f>Bovespa!BR16</f>
        <v>WHRL4</v>
      </c>
      <c r="B12" s="13">
        <v>4.17</v>
      </c>
      <c r="C12" s="13">
        <f ca="1">Bovespa!BQ16</f>
        <v>4.5</v>
      </c>
      <c r="D12" s="13">
        <v>4.4000000000000004</v>
      </c>
      <c r="E12">
        <v>4.76</v>
      </c>
      <c r="F12">
        <v>4.5</v>
      </c>
    </row>
    <row r="13" spans="1:6" x14ac:dyDescent="0.25">
      <c r="A13" s="13" t="str">
        <f>Bovespa!BR17</f>
        <v>TELB4</v>
      </c>
      <c r="B13" s="13">
        <v>7.3</v>
      </c>
      <c r="C13" s="13">
        <f ca="1">Bovespa!BQ17</f>
        <v>7.28</v>
      </c>
      <c r="D13" s="13">
        <v>7.6</v>
      </c>
      <c r="E13">
        <v>7.4</v>
      </c>
      <c r="F13">
        <v>7.28</v>
      </c>
    </row>
    <row r="14" spans="1:6" x14ac:dyDescent="0.25">
      <c r="A14" s="13" t="str">
        <f>Bovespa!BR18</f>
        <v>PETR4</v>
      </c>
      <c r="B14" s="13">
        <v>30.99</v>
      </c>
      <c r="C14" s="13">
        <f ca="1">Bovespa!BQ18</f>
        <v>30.17</v>
      </c>
      <c r="D14" s="13">
        <v>32.21</v>
      </c>
      <c r="E14">
        <v>30.53</v>
      </c>
      <c r="F14">
        <v>30.17</v>
      </c>
    </row>
    <row r="15" spans="1:6" x14ac:dyDescent="0.25">
      <c r="A15" s="13" t="str">
        <f>Bovespa!BR19</f>
        <v>ASAI3</v>
      </c>
      <c r="B15" s="13">
        <v>9.7200000000000006</v>
      </c>
      <c r="C15" s="13">
        <f ca="1">Bovespa!BQ19</f>
        <v>10.039999999999999</v>
      </c>
      <c r="D15" s="13">
        <v>9.6999999999999993</v>
      </c>
      <c r="E15">
        <v>9.92</v>
      </c>
      <c r="F15">
        <v>10.039999999999999</v>
      </c>
    </row>
    <row r="16" spans="1:6" x14ac:dyDescent="0.25">
      <c r="A16" s="13" t="str">
        <f>Bovespa!BR20</f>
        <v>SHUL4</v>
      </c>
      <c r="B16" s="13">
        <v>5.0999999999999996</v>
      </c>
      <c r="C16" s="13">
        <f ca="1">Bovespa!BQ20</f>
        <v>4.7300000000000004</v>
      </c>
      <c r="D16" s="13">
        <v>5</v>
      </c>
      <c r="E16">
        <v>4.79</v>
      </c>
      <c r="F16">
        <v>4.7300000000000004</v>
      </c>
    </row>
    <row r="17" spans="1:6" x14ac:dyDescent="0.25">
      <c r="A17" s="13" t="str">
        <f>Bovespa!BR21</f>
        <v>LEVE3</v>
      </c>
      <c r="B17" s="13">
        <v>28.7</v>
      </c>
      <c r="C17" s="13">
        <f ca="1">Bovespa!BQ21</f>
        <v>27.44</v>
      </c>
      <c r="D17" s="13">
        <v>28.29</v>
      </c>
      <c r="E17">
        <v>27.54</v>
      </c>
      <c r="F17">
        <v>27.44</v>
      </c>
    </row>
    <row r="18" spans="1:6" x14ac:dyDescent="0.25">
      <c r="A18" s="13" t="str">
        <f>Bovespa!BR22</f>
        <v>CPLE6</v>
      </c>
      <c r="B18" s="13">
        <v>11.88</v>
      </c>
      <c r="C18" s="13">
        <f ca="1">Bovespa!BQ22</f>
        <v>12.06</v>
      </c>
      <c r="D18" s="13">
        <v>11.93</v>
      </c>
      <c r="E18">
        <v>12.31</v>
      </c>
      <c r="F18">
        <v>12.06</v>
      </c>
    </row>
    <row r="19" spans="1:6" x14ac:dyDescent="0.25">
      <c r="A19" s="13" t="str">
        <f>Bovespa!BR23</f>
        <v>CEBR6</v>
      </c>
      <c r="B19" s="13">
        <v>21.15</v>
      </c>
      <c r="C19" s="13">
        <f ca="1">Bovespa!BQ23</f>
        <v>24</v>
      </c>
      <c r="D19" s="13">
        <v>20.9</v>
      </c>
      <c r="E19">
        <v>20.75</v>
      </c>
      <c r="F19">
        <v>24</v>
      </c>
    </row>
    <row r="20" spans="1:6" x14ac:dyDescent="0.25">
      <c r="A20" s="13" t="str">
        <f>Bovespa!BR24</f>
        <v>PRNR3</v>
      </c>
      <c r="B20" s="13">
        <v>15.25</v>
      </c>
      <c r="C20" s="13">
        <f ca="1">Bovespa!BQ24</f>
        <v>15.17</v>
      </c>
      <c r="D20" s="13">
        <v>14.95</v>
      </c>
      <c r="E20">
        <v>15.29</v>
      </c>
      <c r="F20">
        <v>15.17</v>
      </c>
    </row>
    <row r="21" spans="1:6" x14ac:dyDescent="0.25">
      <c r="A21" s="13" t="str">
        <f>Bovespa!BR25</f>
        <v>CMIG4</v>
      </c>
      <c r="B21" s="13">
        <v>10.38</v>
      </c>
      <c r="C21" s="13">
        <f ca="1">Bovespa!BQ25</f>
        <v>10.72</v>
      </c>
      <c r="D21" s="13">
        <v>10.34</v>
      </c>
      <c r="E21">
        <v>10.67</v>
      </c>
      <c r="F21">
        <v>10.72</v>
      </c>
    </row>
    <row r="22" spans="1:6" x14ac:dyDescent="0.25">
      <c r="A22" s="13" t="str">
        <f>Bovespa!BR26</f>
        <v>BEES4</v>
      </c>
      <c r="B22" s="13">
        <v>8.42</v>
      </c>
      <c r="C22" s="13">
        <f ca="1">Bovespa!BQ26</f>
        <v>8.5</v>
      </c>
      <c r="D22" s="13">
        <v>8.48</v>
      </c>
      <c r="E22">
        <v>8.5</v>
      </c>
      <c r="F22">
        <v>8.5</v>
      </c>
    </row>
    <row r="23" spans="1:6" x14ac:dyDescent="0.25">
      <c r="A23" s="13" t="str">
        <f>Bovespa!BR27</f>
        <v>POMO3</v>
      </c>
      <c r="B23" s="13">
        <v>6.44</v>
      </c>
      <c r="C23" s="13">
        <f ca="1">Bovespa!BQ27</f>
        <v>7.1</v>
      </c>
      <c r="D23" s="13">
        <v>7.01</v>
      </c>
      <c r="E23">
        <v>7.08</v>
      </c>
      <c r="F23">
        <v>7.1</v>
      </c>
    </row>
    <row r="24" spans="1:6" x14ac:dyDescent="0.25">
      <c r="A24" s="13" t="str">
        <f>Bovespa!BR28</f>
        <v>BMOB3</v>
      </c>
      <c r="B24" s="13">
        <v>21.6</v>
      </c>
      <c r="C24" s="13">
        <f ca="1">Bovespa!BQ28</f>
        <v>21.45</v>
      </c>
      <c r="D24" s="13">
        <v>20.23</v>
      </c>
      <c r="E24">
        <v>20.399999999999999</v>
      </c>
      <c r="F24">
        <v>21.45</v>
      </c>
    </row>
    <row r="25" spans="1:6" x14ac:dyDescent="0.25">
      <c r="A25" s="13" t="str">
        <f>Bovespa!BR29</f>
        <v>MTSA4</v>
      </c>
      <c r="B25" s="13">
        <v>43.67</v>
      </c>
      <c r="C25" s="13">
        <f ca="1">Bovespa!BQ29</f>
        <v>39.72</v>
      </c>
      <c r="D25" s="13">
        <v>43.98</v>
      </c>
      <c r="E25">
        <v>42.23</v>
      </c>
      <c r="F25">
        <v>39.72</v>
      </c>
    </row>
    <row r="26" spans="1:6" x14ac:dyDescent="0.25">
      <c r="A26" s="13" t="str">
        <f>Bovespa!BR30</f>
        <v>CAMB3</v>
      </c>
      <c r="B26" s="13">
        <v>9.5500000000000007</v>
      </c>
      <c r="C26" s="13">
        <f ca="1">Bovespa!BQ30</f>
        <v>9.25</v>
      </c>
      <c r="D26" s="13">
        <v>9.2799999999999994</v>
      </c>
      <c r="E26">
        <v>9.39</v>
      </c>
      <c r="F26">
        <v>9.25</v>
      </c>
    </row>
    <row r="27" spans="1:6" x14ac:dyDescent="0.25">
      <c r="A27" s="13" t="str">
        <f>Bovespa!BR31</f>
        <v>BRAP3</v>
      </c>
      <c r="B27" s="13">
        <v>14.99</v>
      </c>
      <c r="C27" s="13">
        <f ca="1">Bovespa!BQ31</f>
        <v>14.61</v>
      </c>
      <c r="D27" s="13">
        <v>14.49</v>
      </c>
      <c r="E27">
        <v>14.8</v>
      </c>
      <c r="F27">
        <v>14.61</v>
      </c>
    </row>
    <row r="28" spans="1:6" x14ac:dyDescent="0.25">
      <c r="A28" s="13" t="str">
        <f>Bovespa!BR32</f>
        <v>HAGA4</v>
      </c>
      <c r="B28" s="13">
        <v>1.19</v>
      </c>
      <c r="C28" s="13">
        <f ca="1">Bovespa!BQ32</f>
        <v>1.17</v>
      </c>
      <c r="D28" s="13">
        <v>1.1599999999999999</v>
      </c>
      <c r="E28">
        <v>1.17</v>
      </c>
      <c r="F28">
        <v>1.17</v>
      </c>
    </row>
    <row r="29" spans="1:6" x14ac:dyDescent="0.25">
      <c r="A29" s="13" t="str">
        <f>Bovespa!BR33</f>
        <v>SANB3</v>
      </c>
      <c r="B29" s="13">
        <v>12.5</v>
      </c>
      <c r="C29" s="13">
        <f ca="1">Bovespa!BQ33</f>
        <v>12.85</v>
      </c>
      <c r="D29" s="13">
        <v>12.31</v>
      </c>
      <c r="E29">
        <v>12.71</v>
      </c>
      <c r="F29">
        <v>12.85</v>
      </c>
    </row>
    <row r="30" spans="1:6" x14ac:dyDescent="0.25">
      <c r="A30" s="13" t="str">
        <f>Bovespa!BR34</f>
        <v>CSUD3</v>
      </c>
      <c r="B30" s="13">
        <v>17.5</v>
      </c>
      <c r="C30" s="13">
        <f ca="1">Bovespa!BQ34</f>
        <v>17.38</v>
      </c>
      <c r="D30" s="13">
        <v>18.100000000000001</v>
      </c>
      <c r="E30">
        <v>17.25</v>
      </c>
      <c r="F30">
        <v>17.38</v>
      </c>
    </row>
    <row r="31" spans="1:6" x14ac:dyDescent="0.25">
      <c r="A31" s="13" t="str">
        <f>Bovespa!BR35</f>
        <v>BLAU3</v>
      </c>
      <c r="B31" s="13">
        <v>12.18</v>
      </c>
      <c r="C31" s="13">
        <f ca="1">Bovespa!BQ35</f>
        <v>12.12</v>
      </c>
      <c r="D31" s="13">
        <v>12.3</v>
      </c>
      <c r="E31">
        <v>12.4</v>
      </c>
      <c r="F31">
        <v>12.12</v>
      </c>
    </row>
    <row r="32" spans="1:6" x14ac:dyDescent="0.25">
      <c r="A32" s="13" t="str">
        <f>Bovespa!BR36</f>
        <v>GGBR3</v>
      </c>
      <c r="B32" s="13">
        <v>14.65</v>
      </c>
      <c r="C32" s="13">
        <f ca="1">Bovespa!BQ36</f>
        <v>14.5</v>
      </c>
      <c r="D32" s="13">
        <v>14.37</v>
      </c>
      <c r="E32">
        <v>14.84</v>
      </c>
      <c r="F32">
        <v>14.5</v>
      </c>
    </row>
    <row r="33" spans="1:6" x14ac:dyDescent="0.25">
      <c r="A33" s="13" t="str">
        <f>Bovespa!BR37</f>
        <v>CRFB3</v>
      </c>
      <c r="B33" s="13">
        <v>8.48</v>
      </c>
      <c r="C33" s="13">
        <f ca="1">Bovespa!BQ37</f>
        <v>8.48</v>
      </c>
      <c r="D33" s="13">
        <v>8.48</v>
      </c>
      <c r="E33">
        <v>8.48</v>
      </c>
      <c r="F33">
        <v>8.48</v>
      </c>
    </row>
    <row r="34" spans="1:6" x14ac:dyDescent="0.25">
      <c r="A34" s="13" t="str">
        <f>Bovespa!BR38</f>
        <v>SAPR3</v>
      </c>
      <c r="B34" s="13">
        <v>7.83</v>
      </c>
      <c r="C34" s="13">
        <f ca="1">Bovespa!BQ38</f>
        <v>7.88</v>
      </c>
      <c r="D34" s="13">
        <v>7.54</v>
      </c>
      <c r="E34">
        <v>7.59</v>
      </c>
      <c r="F34">
        <v>7.88</v>
      </c>
    </row>
    <row r="35" spans="1:6" x14ac:dyDescent="0.25">
      <c r="A35" s="13" t="str">
        <f>Bovespa!BR39</f>
        <v>ABCB4</v>
      </c>
      <c r="B35" s="13">
        <v>20.8</v>
      </c>
      <c r="C35" s="13">
        <f ca="1">Bovespa!BQ39</f>
        <v>21.93</v>
      </c>
      <c r="D35" s="13">
        <v>21.24</v>
      </c>
      <c r="E35">
        <v>21.45</v>
      </c>
      <c r="F35">
        <v>21.93</v>
      </c>
    </row>
    <row r="36" spans="1:6" x14ac:dyDescent="0.25">
      <c r="A36" s="13" t="str">
        <f>Bovespa!BR40</f>
        <v>BRSR6</v>
      </c>
      <c r="B36" s="13">
        <v>10.61</v>
      </c>
      <c r="C36" s="13">
        <f ca="1">Bovespa!BQ40</f>
        <v>11.82</v>
      </c>
      <c r="D36" s="13">
        <v>10.78</v>
      </c>
      <c r="E36">
        <v>10.84</v>
      </c>
      <c r="F36">
        <v>11.82</v>
      </c>
    </row>
    <row r="37" spans="1:6" x14ac:dyDescent="0.25">
      <c r="A37" s="13" t="str">
        <f>Bovespa!BR41</f>
        <v>PORT3</v>
      </c>
      <c r="B37" s="13">
        <v>17.53</v>
      </c>
      <c r="C37" s="13">
        <f ca="1">Bovespa!BQ41</f>
        <v>17.809999999999999</v>
      </c>
      <c r="D37" s="13">
        <v>17.71</v>
      </c>
      <c r="E37">
        <v>17.7</v>
      </c>
      <c r="F37">
        <v>17.809999999999999</v>
      </c>
    </row>
    <row r="38" spans="1:6" x14ac:dyDescent="0.25">
      <c r="A38" s="13" t="str">
        <f>Bovespa!BR42</f>
        <v>PINE4</v>
      </c>
      <c r="B38" s="13">
        <v>5.74</v>
      </c>
      <c r="C38" s="13">
        <f ca="1">Bovespa!BQ42</f>
        <v>6.12</v>
      </c>
      <c r="D38" s="13">
        <v>5.87</v>
      </c>
      <c r="E38">
        <v>5.8</v>
      </c>
      <c r="F38">
        <v>6.12</v>
      </c>
    </row>
    <row r="39" spans="1:6" x14ac:dyDescent="0.25">
      <c r="A39" s="13" t="str">
        <f>Bovespa!BR43</f>
        <v>ITSA3</v>
      </c>
      <c r="B39" s="13">
        <v>10.41</v>
      </c>
      <c r="C39" s="13">
        <f ca="1">Bovespa!BQ43</f>
        <v>10.97</v>
      </c>
      <c r="D39" s="13">
        <v>10.34</v>
      </c>
      <c r="E39">
        <v>10.89</v>
      </c>
      <c r="F39">
        <v>10.97</v>
      </c>
    </row>
    <row r="40" spans="1:6" x14ac:dyDescent="0.25">
      <c r="A40" s="13" t="str">
        <f>Bovespa!BR44</f>
        <v>MEAL3</v>
      </c>
      <c r="B40" s="13">
        <v>1.35</v>
      </c>
      <c r="C40" s="13">
        <f ca="1">Bovespa!BQ44</f>
        <v>1.29</v>
      </c>
      <c r="D40" s="13">
        <v>1.34</v>
      </c>
      <c r="E40">
        <v>1.37</v>
      </c>
      <c r="F40">
        <v>1.29</v>
      </c>
    </row>
    <row r="41" spans="1:6" x14ac:dyDescent="0.25">
      <c r="A41" s="13" t="str">
        <f>Bovespa!BR45</f>
        <v>BBSE3</v>
      </c>
      <c r="B41" s="13">
        <v>34.32</v>
      </c>
      <c r="C41" s="13">
        <f ca="1">Bovespa!BQ45</f>
        <v>32.79</v>
      </c>
      <c r="D41" s="13">
        <v>33.44</v>
      </c>
      <c r="E41">
        <v>34.5</v>
      </c>
      <c r="F41">
        <v>32.79</v>
      </c>
    </row>
    <row r="42" spans="1:6" x14ac:dyDescent="0.25">
      <c r="A42" s="13" t="str">
        <f>Bovespa!BR46</f>
        <v>GOAU3</v>
      </c>
      <c r="B42" s="13">
        <v>9</v>
      </c>
      <c r="C42" s="13">
        <f ca="1">Bovespa!BQ46</f>
        <v>9.01</v>
      </c>
      <c r="D42" s="13">
        <v>9.09</v>
      </c>
      <c r="E42">
        <v>9.15</v>
      </c>
      <c r="F42">
        <v>9.01</v>
      </c>
    </row>
    <row r="43" spans="1:6" x14ac:dyDescent="0.25">
      <c r="A43" s="13" t="str">
        <f>Bovespa!BR47</f>
        <v>ITUB4</v>
      </c>
      <c r="B43" s="13">
        <v>35.07</v>
      </c>
      <c r="C43" s="13">
        <f ca="1">Bovespa!BQ47</f>
        <v>37.49</v>
      </c>
      <c r="D43" s="13">
        <v>34.93</v>
      </c>
      <c r="E43">
        <v>36.950000000000003</v>
      </c>
      <c r="F43">
        <v>37.49</v>
      </c>
    </row>
    <row r="44" spans="1:6" x14ac:dyDescent="0.25">
      <c r="A44" s="13" t="str">
        <f>Bovespa!BR48</f>
        <v>AGRO3</v>
      </c>
      <c r="B44" s="13">
        <v>20.49</v>
      </c>
      <c r="C44" s="13">
        <f ca="1">Bovespa!BQ48</f>
        <v>20.21</v>
      </c>
      <c r="D44" s="13">
        <v>20.48</v>
      </c>
      <c r="E44">
        <v>20.34</v>
      </c>
      <c r="F44">
        <v>20.21</v>
      </c>
    </row>
    <row r="45" spans="1:6" x14ac:dyDescent="0.25">
      <c r="A45" s="13" t="str">
        <f>Bovespa!BR49</f>
        <v>BMGB4</v>
      </c>
      <c r="B45" s="13">
        <v>3.68</v>
      </c>
      <c r="C45" s="13">
        <f ca="1">Bovespa!BQ49</f>
        <v>3.59</v>
      </c>
      <c r="D45" s="13">
        <v>3.43</v>
      </c>
      <c r="E45">
        <v>3.54</v>
      </c>
      <c r="F45">
        <v>3.59</v>
      </c>
    </row>
    <row r="46" spans="1:6" x14ac:dyDescent="0.25">
      <c r="A46" s="13" t="str">
        <f>Bovespa!BR50</f>
        <v>LAND3</v>
      </c>
      <c r="B46" s="13">
        <v>9.8800000000000008</v>
      </c>
      <c r="C46" s="13">
        <f ca="1">Bovespa!BQ50</f>
        <v>10.1</v>
      </c>
      <c r="D46" s="13">
        <v>10.99</v>
      </c>
      <c r="E46">
        <v>10.38</v>
      </c>
      <c r="F46">
        <v>10.1</v>
      </c>
    </row>
    <row r="47" spans="1:6" x14ac:dyDescent="0.25">
      <c r="A47" s="13" t="str">
        <f>Bovespa!BR51</f>
        <v>GGBR4</v>
      </c>
      <c r="B47" s="13">
        <v>16.11</v>
      </c>
      <c r="C47" s="13">
        <f ca="1">Bovespa!BQ51</f>
        <v>16.23</v>
      </c>
      <c r="D47" s="13">
        <v>16.05</v>
      </c>
      <c r="E47">
        <v>16.420000000000002</v>
      </c>
      <c r="F47">
        <v>16.23</v>
      </c>
    </row>
    <row r="48" spans="1:6" x14ac:dyDescent="0.25">
      <c r="A48" s="13" t="str">
        <f>Bovespa!BR52</f>
        <v>ITSA4</v>
      </c>
      <c r="B48" s="13">
        <v>10.45</v>
      </c>
      <c r="C48" s="13">
        <f ca="1">Bovespa!BQ52</f>
        <v>11.03</v>
      </c>
      <c r="D48" s="13">
        <v>10.34</v>
      </c>
      <c r="E48">
        <v>10.88</v>
      </c>
      <c r="F48">
        <v>11.03</v>
      </c>
    </row>
    <row r="49" spans="1:6" x14ac:dyDescent="0.25">
      <c r="A49" s="13" t="str">
        <f>Bovespa!BR53</f>
        <v>SMFT3</v>
      </c>
      <c r="B49" s="13">
        <v>21.95</v>
      </c>
      <c r="C49" s="13">
        <f ca="1">Bovespa!BQ53</f>
        <v>23.57</v>
      </c>
      <c r="D49" s="13">
        <v>20.95</v>
      </c>
      <c r="E49">
        <v>23.47</v>
      </c>
      <c r="F49">
        <v>23.57</v>
      </c>
    </row>
    <row r="50" spans="1:6" x14ac:dyDescent="0.25">
      <c r="A50" s="13" t="str">
        <f>Bovespa!BR54</f>
        <v>FLRY3</v>
      </c>
      <c r="B50" s="13">
        <v>12.63</v>
      </c>
      <c r="C50" s="13">
        <f ca="1">Bovespa!BQ54</f>
        <v>14.08</v>
      </c>
      <c r="D50" s="13">
        <v>14.24</v>
      </c>
      <c r="E50">
        <v>14.49</v>
      </c>
      <c r="F50">
        <v>14.08</v>
      </c>
    </row>
    <row r="51" spans="1:6" x14ac:dyDescent="0.25">
      <c r="A51" s="13" t="str">
        <f>Bovespa!BR55</f>
        <v>ROMI3</v>
      </c>
      <c r="B51" s="13">
        <v>8.4</v>
      </c>
      <c r="C51" s="13">
        <f ca="1">Bovespa!BQ55</f>
        <v>7.58</v>
      </c>
      <c r="D51" s="13">
        <v>7.88</v>
      </c>
      <c r="E51">
        <v>7.86</v>
      </c>
      <c r="F51">
        <v>7.58</v>
      </c>
    </row>
    <row r="52" spans="1:6" x14ac:dyDescent="0.25">
      <c r="A52" s="13" t="str">
        <f>Bovespa!BR56</f>
        <v>TAEE4</v>
      </c>
      <c r="B52" s="13">
        <v>11.24</v>
      </c>
      <c r="C52" s="13">
        <f ca="1">Bovespa!BQ56</f>
        <v>11.3</v>
      </c>
      <c r="D52" s="13">
        <v>11.14</v>
      </c>
      <c r="E52">
        <v>11.18</v>
      </c>
      <c r="F52">
        <v>11.3</v>
      </c>
    </row>
    <row r="53" spans="1:6" x14ac:dyDescent="0.25">
      <c r="A53" s="13" t="str">
        <f>Bovespa!BR57</f>
        <v>RAIL3</v>
      </c>
      <c r="B53" s="13">
        <v>16.579999999999998</v>
      </c>
      <c r="C53" s="13">
        <f ca="1">Bovespa!BQ57</f>
        <v>15.96</v>
      </c>
      <c r="D53" s="13">
        <v>16.329999999999998</v>
      </c>
      <c r="E53">
        <v>15.36</v>
      </c>
      <c r="F53">
        <v>15.96</v>
      </c>
    </row>
    <row r="54" spans="1:6" x14ac:dyDescent="0.25">
      <c r="A54" s="13" t="str">
        <f>Bovespa!BR58</f>
        <v>CYRE3</v>
      </c>
      <c r="B54" s="13">
        <v>26.58</v>
      </c>
      <c r="C54" s="13">
        <f ca="1">Bovespa!BQ58</f>
        <v>25.8</v>
      </c>
      <c r="D54" s="13">
        <v>24.51</v>
      </c>
      <c r="E54">
        <v>25.33</v>
      </c>
      <c r="F54">
        <v>25.8</v>
      </c>
    </row>
    <row r="55" spans="1:6" x14ac:dyDescent="0.25">
      <c r="A55" s="13" t="str">
        <f>Bovespa!BR59</f>
        <v>CXSE3</v>
      </c>
      <c r="B55" s="13">
        <v>13.97</v>
      </c>
      <c r="C55" s="13">
        <f ca="1">Bovespa!BQ59</f>
        <v>13.62</v>
      </c>
      <c r="D55" s="13">
        <v>13.69</v>
      </c>
      <c r="E55">
        <v>13.4</v>
      </c>
      <c r="F55">
        <v>13.62</v>
      </c>
    </row>
    <row r="56" spans="1:6" x14ac:dyDescent="0.25">
      <c r="A56" s="13" t="str">
        <f>Bovespa!BR60</f>
        <v>ALLD3</v>
      </c>
      <c r="B56" s="13">
        <v>6.91</v>
      </c>
      <c r="C56" s="13">
        <f ca="1">Bovespa!BQ60</f>
        <v>9.15</v>
      </c>
      <c r="D56" s="13">
        <v>7.96</v>
      </c>
      <c r="E56">
        <v>8.56</v>
      </c>
      <c r="F56">
        <v>9.15</v>
      </c>
    </row>
    <row r="57" spans="1:6" x14ac:dyDescent="0.25">
      <c r="A57" s="13" t="str">
        <f>Bovespa!BR61</f>
        <v>DEXP3</v>
      </c>
      <c r="B57" s="13">
        <v>8.67</v>
      </c>
      <c r="C57" s="13">
        <f ca="1">Bovespa!BQ61</f>
        <v>8.4</v>
      </c>
      <c r="D57" s="13">
        <v>8.27</v>
      </c>
      <c r="E57">
        <v>8.6199999999999992</v>
      </c>
      <c r="F57">
        <v>8.4</v>
      </c>
    </row>
    <row r="58" spans="1:6" x14ac:dyDescent="0.25">
      <c r="A58" s="13" t="str">
        <f>Bovespa!BR62</f>
        <v>VLID3</v>
      </c>
      <c r="B58" s="13">
        <v>22.18</v>
      </c>
      <c r="C58" s="13">
        <f ca="1">Bovespa!BQ62</f>
        <v>20.67</v>
      </c>
      <c r="D58" s="13">
        <v>22.02</v>
      </c>
      <c r="E58">
        <v>22</v>
      </c>
      <c r="F58">
        <v>20.67</v>
      </c>
    </row>
    <row r="59" spans="1:6" x14ac:dyDescent="0.25">
      <c r="A59" s="13" t="str">
        <f>Bovespa!BR63</f>
        <v>HAGA3</v>
      </c>
      <c r="B59" s="13">
        <v>1.94</v>
      </c>
      <c r="C59" s="13">
        <f ca="1">Bovespa!BQ63</f>
        <v>1.92</v>
      </c>
      <c r="D59" s="13">
        <v>2.04</v>
      </c>
      <c r="E59">
        <v>1.9</v>
      </c>
      <c r="F59">
        <v>1.92</v>
      </c>
    </row>
    <row r="60" spans="1:6" x14ac:dyDescent="0.25">
      <c r="A60" s="13" t="str">
        <f>Bovespa!BR64</f>
        <v>BRAV3</v>
      </c>
      <c r="B60" s="13">
        <v>18.739999999999998</v>
      </c>
      <c r="C60" s="13">
        <f ca="1">Bovespa!BQ64</f>
        <v>19.54</v>
      </c>
      <c r="D60" s="13">
        <v>19.39</v>
      </c>
      <c r="E60">
        <v>19.93</v>
      </c>
      <c r="F60">
        <v>19.54</v>
      </c>
    </row>
    <row r="61" spans="1:6" x14ac:dyDescent="0.25">
      <c r="A61" s="13" t="str">
        <f>Bovespa!BR65</f>
        <v>MILS3</v>
      </c>
      <c r="B61" s="13">
        <v>11.16</v>
      </c>
      <c r="C61" s="13">
        <f ca="1">Bovespa!BQ65</f>
        <v>12.19</v>
      </c>
      <c r="D61" s="13">
        <v>11.36</v>
      </c>
      <c r="E61">
        <v>11.62</v>
      </c>
      <c r="F61">
        <v>12.19</v>
      </c>
    </row>
    <row r="62" spans="1:6" x14ac:dyDescent="0.25">
      <c r="A62" s="13" t="str">
        <f>Bovespa!BR66</f>
        <v>STBP3</v>
      </c>
      <c r="B62" s="13">
        <v>13.86</v>
      </c>
      <c r="C62" s="13">
        <f ca="1">Bovespa!BQ66</f>
        <v>14.11</v>
      </c>
      <c r="D62" s="13">
        <v>13.96</v>
      </c>
      <c r="E62">
        <v>13.99</v>
      </c>
      <c r="F62">
        <v>14.11</v>
      </c>
    </row>
    <row r="63" spans="1:6" x14ac:dyDescent="0.25">
      <c r="A63" s="13" t="str">
        <f>Bovespa!BR67</f>
        <v>VBBR3</v>
      </c>
      <c r="B63" s="13">
        <v>20.239999999999998</v>
      </c>
      <c r="C63" s="13">
        <f ca="1">Bovespa!BQ67</f>
        <v>20.86</v>
      </c>
      <c r="D63" s="13">
        <v>21.2</v>
      </c>
      <c r="E63">
        <v>21.4</v>
      </c>
      <c r="F63">
        <v>20.86</v>
      </c>
    </row>
    <row r="64" spans="1:6" x14ac:dyDescent="0.25">
      <c r="A64" s="13" t="str">
        <f>Bovespa!BR68</f>
        <v>FRAS3</v>
      </c>
      <c r="B64" s="13">
        <v>23.75</v>
      </c>
      <c r="C64" s="13">
        <f ca="1">Bovespa!BQ68</f>
        <v>22.27</v>
      </c>
      <c r="D64" s="13">
        <v>23.65</v>
      </c>
      <c r="E64">
        <v>21.46</v>
      </c>
      <c r="F64">
        <v>22.27</v>
      </c>
    </row>
    <row r="65" spans="1:6" x14ac:dyDescent="0.25">
      <c r="A65" s="13" t="str">
        <f>Bovespa!BR69</f>
        <v>ALUP4</v>
      </c>
      <c r="B65" s="13">
        <v>9.5500000000000007</v>
      </c>
      <c r="C65" s="13">
        <f ca="1">Bovespa!BQ69</f>
        <v>9.52</v>
      </c>
      <c r="D65" s="13">
        <v>9.4600000000000009</v>
      </c>
      <c r="E65">
        <v>9.36</v>
      </c>
      <c r="F65">
        <v>9.52</v>
      </c>
    </row>
    <row r="66" spans="1:6" x14ac:dyDescent="0.25">
      <c r="A66" s="13" t="str">
        <f>Bovespa!BR70</f>
        <v>TRIS3</v>
      </c>
      <c r="B66" s="13">
        <v>6.3</v>
      </c>
      <c r="C66" s="13">
        <f ca="1">Bovespa!BQ70</f>
        <v>6.53</v>
      </c>
      <c r="D66" s="13">
        <v>6.4</v>
      </c>
      <c r="E66">
        <v>6.15</v>
      </c>
      <c r="F66">
        <v>6.53</v>
      </c>
    </row>
    <row r="67" spans="1:6" x14ac:dyDescent="0.25">
      <c r="A67" s="13" t="str">
        <f>Bovespa!BR71</f>
        <v>TGMA3</v>
      </c>
      <c r="B67" s="13">
        <v>33.82</v>
      </c>
      <c r="C67" s="13">
        <f ca="1">Bovespa!BQ71</f>
        <v>36.44</v>
      </c>
      <c r="D67" s="13">
        <v>37.229999999999997</v>
      </c>
      <c r="E67">
        <v>36.1</v>
      </c>
      <c r="F67">
        <v>36.44</v>
      </c>
    </row>
    <row r="68" spans="1:6" x14ac:dyDescent="0.25">
      <c r="A68" s="13" t="str">
        <f>Bovespa!BR72</f>
        <v>REDE3</v>
      </c>
      <c r="B68" s="13">
        <v>6.55</v>
      </c>
      <c r="C68" s="13">
        <f ca="1">Bovespa!BQ72</f>
        <v>6.61</v>
      </c>
      <c r="D68" s="13">
        <v>6.28</v>
      </c>
      <c r="E68">
        <v>6.59</v>
      </c>
      <c r="F68">
        <v>6.61</v>
      </c>
    </row>
    <row r="69" spans="1:6" x14ac:dyDescent="0.25">
      <c r="A69" s="13" t="str">
        <f>Bovespa!BR73</f>
        <v>RNEW3</v>
      </c>
      <c r="B69" s="13">
        <v>1.4</v>
      </c>
      <c r="C69" s="13">
        <f ca="1">Bovespa!BQ73</f>
        <v>1.04</v>
      </c>
      <c r="D69" s="13">
        <v>1.21</v>
      </c>
      <c r="E69">
        <v>1.04</v>
      </c>
      <c r="F69">
        <v>1.04</v>
      </c>
    </row>
    <row r="70" spans="1:6" x14ac:dyDescent="0.25">
      <c r="A70" s="13" t="str">
        <f>Bovespa!BR74</f>
        <v>CVCB3</v>
      </c>
      <c r="B70" s="13">
        <v>2.39</v>
      </c>
      <c r="C70" s="13">
        <f ca="1">Bovespa!BQ74</f>
        <v>2.0299999999999998</v>
      </c>
      <c r="D70" s="13">
        <v>2.35</v>
      </c>
      <c r="E70">
        <v>2.29</v>
      </c>
      <c r="F70">
        <v>2.0299999999999998</v>
      </c>
    </row>
    <row r="71" spans="1:6" x14ac:dyDescent="0.25">
      <c r="A71" s="13" t="str">
        <f>Bovespa!BR75</f>
        <v>ORVR3</v>
      </c>
      <c r="B71" s="13">
        <v>49</v>
      </c>
      <c r="C71" s="13">
        <f ca="1">Bovespa!BQ75</f>
        <v>51.89</v>
      </c>
      <c r="D71" s="13">
        <v>47.93</v>
      </c>
      <c r="E71">
        <v>48.3</v>
      </c>
      <c r="F71">
        <v>51.89</v>
      </c>
    </row>
    <row r="72" spans="1:6" x14ac:dyDescent="0.25">
      <c r="A72" s="13" t="str">
        <f>Bovespa!BR76</f>
        <v>IRBR3</v>
      </c>
      <c r="B72" s="13">
        <v>44.2</v>
      </c>
      <c r="C72" s="13">
        <f ca="1">Bovespa!BQ76</f>
        <v>47.03</v>
      </c>
      <c r="D72" s="13">
        <v>44.32</v>
      </c>
      <c r="E72">
        <v>46.38</v>
      </c>
      <c r="F72">
        <v>47.03</v>
      </c>
    </row>
    <row r="73" spans="1:6" x14ac:dyDescent="0.25">
      <c r="A73" s="13" t="str">
        <f>Bovespa!BR77</f>
        <v>EALT4</v>
      </c>
      <c r="B73" s="13">
        <v>14.14</v>
      </c>
      <c r="C73" s="13">
        <f ca="1">Bovespa!BQ77</f>
        <v>11.31</v>
      </c>
      <c r="D73" s="13">
        <v>12.98</v>
      </c>
      <c r="E73">
        <v>13.95</v>
      </c>
      <c r="F73">
        <v>11.31</v>
      </c>
    </row>
    <row r="74" spans="1:6" x14ac:dyDescent="0.25">
      <c r="A74" s="13" t="str">
        <f>Bovespa!BR78</f>
        <v>GRND3</v>
      </c>
      <c r="B74" s="13">
        <v>5.0999999999999996</v>
      </c>
      <c r="C74" s="13">
        <f ca="1">Bovespa!BQ78</f>
        <v>5.3</v>
      </c>
      <c r="D74" s="13">
        <v>5.03</v>
      </c>
      <c r="E74">
        <v>5.26</v>
      </c>
      <c r="F74">
        <v>5.3</v>
      </c>
    </row>
    <row r="75" spans="1:6" x14ac:dyDescent="0.25">
      <c r="A75" s="13" t="str">
        <f>Bovespa!BR79</f>
        <v>BPAN4</v>
      </c>
      <c r="B75" s="13">
        <v>7.6</v>
      </c>
      <c r="C75" s="13">
        <f ca="1">Bovespa!BQ79</f>
        <v>8.25</v>
      </c>
      <c r="D75" s="13">
        <v>7.73</v>
      </c>
      <c r="E75">
        <v>7.42</v>
      </c>
      <c r="F75">
        <v>8.25</v>
      </c>
    </row>
    <row r="76" spans="1:6" x14ac:dyDescent="0.25">
      <c r="A76" s="13" t="str">
        <f>Bovespa!BR80</f>
        <v>WEGE3</v>
      </c>
      <c r="B76" s="13">
        <v>42.37</v>
      </c>
      <c r="C76" s="13">
        <f ca="1">Bovespa!BQ80</f>
        <v>35.97</v>
      </c>
      <c r="D76" s="13">
        <v>37.18</v>
      </c>
      <c r="E76">
        <v>38.07</v>
      </c>
      <c r="F76">
        <v>35.97</v>
      </c>
    </row>
    <row r="77" spans="1:6" x14ac:dyDescent="0.25">
      <c r="A77" s="13" t="str">
        <f>Bovespa!BR81</f>
        <v>EGIE3</v>
      </c>
      <c r="B77" s="13">
        <v>41.71</v>
      </c>
      <c r="C77" s="13">
        <f ca="1">Bovespa!BQ81</f>
        <v>39.35</v>
      </c>
      <c r="D77" s="13">
        <v>40.200000000000003</v>
      </c>
      <c r="E77">
        <v>40.6</v>
      </c>
      <c r="F77">
        <v>39.35</v>
      </c>
    </row>
    <row r="78" spans="1:6" x14ac:dyDescent="0.25">
      <c r="A78" s="13" t="str">
        <f>Bovespa!BR82</f>
        <v>JBSS3</v>
      </c>
      <c r="B78" s="13">
        <v>39.03</v>
      </c>
      <c r="C78" s="13">
        <f ca="1">Bovespa!BQ82</f>
        <v>39.03</v>
      </c>
      <c r="D78" s="13">
        <v>39.03</v>
      </c>
      <c r="E78">
        <v>39.03</v>
      </c>
      <c r="F78">
        <v>39.03</v>
      </c>
    </row>
    <row r="79" spans="1:6" x14ac:dyDescent="0.25">
      <c r="A79" s="13" t="str">
        <f>Bovespa!BR83</f>
        <v>PFRM3</v>
      </c>
      <c r="B79" s="13">
        <v>8.02</v>
      </c>
      <c r="C79" s="13">
        <f ca="1">Bovespa!BQ83</f>
        <v>7.99</v>
      </c>
      <c r="D79" s="13">
        <v>7.39</v>
      </c>
      <c r="E79">
        <v>7.41</v>
      </c>
      <c r="F79">
        <v>7.99</v>
      </c>
    </row>
    <row r="80" spans="1:6" x14ac:dyDescent="0.25">
      <c r="A80" s="13" t="str">
        <f>Bovespa!BR84</f>
        <v>EQTL3</v>
      </c>
      <c r="B80" s="13">
        <v>34.22</v>
      </c>
      <c r="C80" s="13">
        <f ca="1">Bovespa!BQ84</f>
        <v>35.9</v>
      </c>
      <c r="D80" s="13">
        <v>34.33</v>
      </c>
      <c r="E80">
        <v>35.69</v>
      </c>
      <c r="F80">
        <v>35.9</v>
      </c>
    </row>
    <row r="81" spans="1:6" x14ac:dyDescent="0.25">
      <c r="A81" s="13" t="str">
        <f>Bovespa!BR85</f>
        <v>NEOE3</v>
      </c>
      <c r="B81" s="13">
        <v>23.5</v>
      </c>
      <c r="C81" s="13">
        <f ca="1">Bovespa!BQ85</f>
        <v>26.7</v>
      </c>
      <c r="D81" s="13">
        <v>24.76</v>
      </c>
      <c r="E81">
        <v>26.8</v>
      </c>
      <c r="F81">
        <v>26.7</v>
      </c>
    </row>
    <row r="82" spans="1:6" x14ac:dyDescent="0.25">
      <c r="A82" s="13" t="str">
        <f>Bovespa!BR86</f>
        <v>POSI3</v>
      </c>
      <c r="B82" s="13">
        <v>4.3899999999999997</v>
      </c>
      <c r="C82" s="13">
        <f ca="1">Bovespa!BQ86</f>
        <v>4.07</v>
      </c>
      <c r="D82" s="13">
        <v>3.97</v>
      </c>
      <c r="E82">
        <v>4.08</v>
      </c>
      <c r="F82">
        <v>4.07</v>
      </c>
    </row>
    <row r="83" spans="1:6" x14ac:dyDescent="0.25">
      <c r="A83" s="13" t="str">
        <f>Bovespa!BR87</f>
        <v>WEST3</v>
      </c>
      <c r="B83" s="13">
        <v>3.63</v>
      </c>
      <c r="C83" s="13">
        <f ca="1">Bovespa!BQ87</f>
        <v>4.43</v>
      </c>
      <c r="D83" s="13">
        <v>4.24</v>
      </c>
      <c r="E83">
        <v>4.8</v>
      </c>
      <c r="F83">
        <v>4.43</v>
      </c>
    </row>
    <row r="84" spans="1:6" x14ac:dyDescent="0.25">
      <c r="A84" s="13" t="str">
        <f>Bovespa!BR88</f>
        <v>MDIA3</v>
      </c>
      <c r="B84" s="13">
        <v>24.73</v>
      </c>
      <c r="C84" s="13">
        <f ca="1">Bovespa!BQ88</f>
        <v>28.98</v>
      </c>
      <c r="D84" s="13">
        <v>24.17</v>
      </c>
      <c r="E84">
        <v>24.8</v>
      </c>
      <c r="F84">
        <v>28.98</v>
      </c>
    </row>
    <row r="85" spans="1:6" x14ac:dyDescent="0.25">
      <c r="A85" s="13" t="str">
        <f>Bovespa!BR89</f>
        <v>BBDC4</v>
      </c>
      <c r="B85" s="13">
        <v>15.67</v>
      </c>
      <c r="C85" s="13">
        <f ca="1">Bovespa!BQ89</f>
        <v>16.03</v>
      </c>
      <c r="D85" s="13">
        <v>15.56</v>
      </c>
      <c r="E85">
        <v>15.97</v>
      </c>
      <c r="F85">
        <v>16.03</v>
      </c>
    </row>
    <row r="86" spans="1:6" x14ac:dyDescent="0.25">
      <c r="A86" s="13" t="str">
        <f>Bovespa!BR90</f>
        <v>PSSA3</v>
      </c>
      <c r="B86" s="13">
        <v>51.81</v>
      </c>
      <c r="C86" s="13">
        <f ca="1">Bovespa!BQ90</f>
        <v>52.36</v>
      </c>
      <c r="D86" s="13">
        <v>52.27</v>
      </c>
      <c r="E86">
        <v>53.55</v>
      </c>
      <c r="F86">
        <v>52.36</v>
      </c>
    </row>
    <row r="87" spans="1:6" x14ac:dyDescent="0.25">
      <c r="A87" s="13" t="str">
        <f>Bovespa!BR91</f>
        <v>RNEW4</v>
      </c>
      <c r="B87" s="13">
        <v>1.31</v>
      </c>
      <c r="C87" s="13">
        <f ca="1">Bovespa!BQ91</f>
        <v>1.01</v>
      </c>
      <c r="D87" s="13">
        <v>1.1499999999999999</v>
      </c>
      <c r="E87">
        <v>0.99</v>
      </c>
      <c r="F87">
        <v>1.01</v>
      </c>
    </row>
    <row r="88" spans="1:6" x14ac:dyDescent="0.25">
      <c r="A88" s="13" t="str">
        <f>Bovespa!BR92</f>
        <v>UNIP6</v>
      </c>
      <c r="B88" s="13">
        <v>56.17</v>
      </c>
      <c r="C88" s="13">
        <f ca="1">Bovespa!BQ92</f>
        <v>57.47</v>
      </c>
      <c r="D88" s="13">
        <v>55.13</v>
      </c>
      <c r="E88">
        <v>59.74</v>
      </c>
      <c r="F88">
        <v>57.47</v>
      </c>
    </row>
    <row r="89" spans="1:6" x14ac:dyDescent="0.25">
      <c r="A89" s="13" t="str">
        <f>Bovespa!BR93</f>
        <v>EZTC3</v>
      </c>
      <c r="B89" s="13">
        <v>13.09</v>
      </c>
      <c r="C89" s="13">
        <f ca="1">Bovespa!BQ93</f>
        <v>14.34</v>
      </c>
      <c r="D89" s="13">
        <v>14.13</v>
      </c>
      <c r="E89">
        <v>14.63</v>
      </c>
      <c r="F89">
        <v>14.34</v>
      </c>
    </row>
    <row r="90" spans="1:6" x14ac:dyDescent="0.25">
      <c r="A90" s="13" t="str">
        <f>Bovespa!BR94</f>
        <v>SUZB3</v>
      </c>
      <c r="B90" s="13">
        <v>50.61</v>
      </c>
      <c r="C90" s="13">
        <f ca="1">Bovespa!BQ94</f>
        <v>53.33</v>
      </c>
      <c r="D90" s="13">
        <v>51.74</v>
      </c>
      <c r="E90">
        <v>54.52</v>
      </c>
      <c r="F90">
        <v>53.33</v>
      </c>
    </row>
    <row r="91" spans="1:6" x14ac:dyDescent="0.25">
      <c r="A91" s="13" t="str">
        <f>Bovespa!BR95</f>
        <v>BMEB4</v>
      </c>
      <c r="B91" s="13">
        <v>38.61</v>
      </c>
      <c r="C91" s="13">
        <f ca="1">Bovespa!BQ95</f>
        <v>42.95</v>
      </c>
      <c r="D91" s="13">
        <v>41.5</v>
      </c>
      <c r="E91">
        <v>41.65</v>
      </c>
      <c r="F91">
        <v>42.95</v>
      </c>
    </row>
    <row r="92" spans="1:6" x14ac:dyDescent="0.25">
      <c r="A92" s="13" t="str">
        <f>Bovespa!BR96</f>
        <v>CPLE3</v>
      </c>
      <c r="B92" s="13">
        <v>11.11</v>
      </c>
      <c r="C92" s="13">
        <f ca="1">Bovespa!BQ96</f>
        <v>11.29</v>
      </c>
      <c r="D92" s="13">
        <v>11.18</v>
      </c>
      <c r="E92">
        <v>11.47</v>
      </c>
      <c r="F92">
        <v>11.29</v>
      </c>
    </row>
    <row r="93" spans="1:6" x14ac:dyDescent="0.25">
      <c r="A93" s="13" t="str">
        <f>Bovespa!BR97</f>
        <v>PETR3</v>
      </c>
      <c r="B93" s="13">
        <v>33.64</v>
      </c>
      <c r="C93" s="13">
        <f ca="1">Bovespa!BQ97</f>
        <v>32.6</v>
      </c>
      <c r="D93" s="13">
        <v>35.28</v>
      </c>
      <c r="E93">
        <v>32.840000000000003</v>
      </c>
      <c r="F93">
        <v>32.6</v>
      </c>
    </row>
    <row r="94" spans="1:6" x14ac:dyDescent="0.25">
      <c r="A94" s="13" t="str">
        <f>Bovespa!BR98</f>
        <v>BBDC3</v>
      </c>
      <c r="B94" s="13">
        <v>13.45</v>
      </c>
      <c r="C94" s="13">
        <f ca="1">Bovespa!BQ98</f>
        <v>13.79</v>
      </c>
      <c r="D94" s="13">
        <v>13.38</v>
      </c>
      <c r="E94">
        <v>13.73</v>
      </c>
      <c r="F94">
        <v>13.79</v>
      </c>
    </row>
    <row r="95" spans="1:6" x14ac:dyDescent="0.25">
      <c r="A95" s="13" t="str">
        <f>Bovespa!BR99</f>
        <v>POMO4</v>
      </c>
      <c r="B95" s="13">
        <v>8.15</v>
      </c>
      <c r="C95" s="13">
        <f ca="1">Bovespa!BQ99</f>
        <v>9.02</v>
      </c>
      <c r="D95" s="13">
        <v>8.89</v>
      </c>
      <c r="E95">
        <v>8.9</v>
      </c>
      <c r="F95">
        <v>9.02</v>
      </c>
    </row>
    <row r="96" spans="1:6" x14ac:dyDescent="0.25">
      <c r="A96" s="13" t="str">
        <f>Bovespa!BR100</f>
        <v>VALE3</v>
      </c>
      <c r="B96" s="13">
        <v>54.56</v>
      </c>
      <c r="C96" s="13">
        <f ca="1">Bovespa!BQ100</f>
        <v>53.32</v>
      </c>
      <c r="D96" s="13">
        <v>53.75</v>
      </c>
      <c r="E96">
        <v>55.4</v>
      </c>
      <c r="F96">
        <v>53.32</v>
      </c>
    </row>
    <row r="97" spans="1:6" x14ac:dyDescent="0.25">
      <c r="A97" s="13" t="str">
        <f>Bovespa!BR101</f>
        <v>RADL3</v>
      </c>
      <c r="B97" s="13">
        <v>13.53</v>
      </c>
      <c r="C97" s="13">
        <f ca="1">Bovespa!BQ101</f>
        <v>17.47</v>
      </c>
      <c r="D97" s="13">
        <v>13.7</v>
      </c>
      <c r="E97">
        <v>17.68</v>
      </c>
      <c r="F97">
        <v>17.47</v>
      </c>
    </row>
    <row r="98" spans="1:6" x14ac:dyDescent="0.25">
      <c r="A98" s="13" t="str">
        <f>Bovespa!BR102</f>
        <v>GGPS3</v>
      </c>
      <c r="B98" s="13">
        <v>15.13</v>
      </c>
      <c r="C98" s="13">
        <f ca="1">Bovespa!BQ102</f>
        <v>16.29</v>
      </c>
      <c r="D98" s="13">
        <v>14.33</v>
      </c>
      <c r="E98">
        <v>14.42</v>
      </c>
      <c r="F98">
        <v>16.29</v>
      </c>
    </row>
    <row r="99" spans="1:6" x14ac:dyDescent="0.25">
      <c r="A99" s="13" t="str">
        <f>Bovespa!BR103</f>
        <v>HBSA3</v>
      </c>
      <c r="B99" s="13">
        <v>3.62</v>
      </c>
      <c r="C99" s="13">
        <f ca="1">Bovespa!BQ103</f>
        <v>3.66</v>
      </c>
      <c r="D99" s="13">
        <v>3.59</v>
      </c>
      <c r="E99">
        <v>3.59</v>
      </c>
      <c r="F99">
        <v>3.66</v>
      </c>
    </row>
    <row r="100" spans="1:6" x14ac:dyDescent="0.25">
      <c r="A100" s="13" t="str">
        <f>Bovespa!BR104</f>
        <v>CCRO3</v>
      </c>
      <c r="B100" s="13">
        <v>12.55</v>
      </c>
      <c r="C100" s="13">
        <f ca="1">Bovespa!BQ104</f>
        <v>13.3</v>
      </c>
      <c r="D100" s="13">
        <v>12.5</v>
      </c>
      <c r="E100">
        <v>13</v>
      </c>
      <c r="F100">
        <v>13.3</v>
      </c>
    </row>
    <row r="101" spans="1:6" x14ac:dyDescent="0.25">
      <c r="A101" s="13" t="str">
        <f>Bovespa!BR105</f>
        <v>MELK3</v>
      </c>
      <c r="B101" s="13">
        <v>3.35</v>
      </c>
      <c r="C101" s="13">
        <f ca="1">Bovespa!BQ105</f>
        <v>3.75</v>
      </c>
      <c r="D101" s="13">
        <v>3.31</v>
      </c>
      <c r="E101">
        <v>3.37</v>
      </c>
      <c r="F101">
        <v>3.75</v>
      </c>
    </row>
    <row r="102" spans="1:6" x14ac:dyDescent="0.25">
      <c r="A102" s="13" t="str">
        <f>Bovespa!BR106</f>
        <v>CPFE3</v>
      </c>
      <c r="B102" s="13">
        <v>38.18</v>
      </c>
      <c r="C102" s="13">
        <f ca="1">Bovespa!BQ106</f>
        <v>39.479999999999997</v>
      </c>
      <c r="D102" s="13">
        <v>37.93</v>
      </c>
      <c r="E102">
        <v>39.770000000000003</v>
      </c>
      <c r="F102">
        <v>39.479999999999997</v>
      </c>
    </row>
    <row r="103" spans="1:6" x14ac:dyDescent="0.25">
      <c r="A103" s="13" t="str">
        <f>Bovespa!BR107</f>
        <v>SBSP3</v>
      </c>
      <c r="B103" s="13">
        <v>110.68</v>
      </c>
      <c r="C103" s="13">
        <f ca="1">Bovespa!BQ107</f>
        <v>116.45</v>
      </c>
      <c r="D103" s="13">
        <v>108.87</v>
      </c>
      <c r="E103">
        <v>111.9</v>
      </c>
      <c r="F103">
        <v>116.45</v>
      </c>
    </row>
    <row r="104" spans="1:6" x14ac:dyDescent="0.25">
      <c r="A104" s="13" t="str">
        <f>Bovespa!BR108</f>
        <v>SOJA3</v>
      </c>
      <c r="B104" s="13">
        <v>10.27</v>
      </c>
      <c r="C104" s="13">
        <f ca="1">Bovespa!BQ108</f>
        <v>10.119999999999999</v>
      </c>
      <c r="D104" s="13">
        <v>10.36</v>
      </c>
      <c r="E104">
        <v>10.59</v>
      </c>
      <c r="F104">
        <v>10.119999999999999</v>
      </c>
    </row>
    <row r="105" spans="1:6" x14ac:dyDescent="0.25">
      <c r="A105" s="13" t="str">
        <f>Bovespa!BR109</f>
        <v>PTNT4</v>
      </c>
      <c r="B105" s="13">
        <v>4.62</v>
      </c>
      <c r="C105" s="13">
        <f ca="1">Bovespa!BQ109</f>
        <v>4.59</v>
      </c>
      <c r="D105" s="13">
        <v>4.6100000000000003</v>
      </c>
      <c r="E105">
        <v>4.7699999999999996</v>
      </c>
      <c r="F105">
        <v>4.59</v>
      </c>
    </row>
    <row r="106" spans="1:6" x14ac:dyDescent="0.25">
      <c r="A106" s="13" t="str">
        <f>Bovespa!BR110</f>
        <v>DESK3</v>
      </c>
      <c r="B106" s="13">
        <v>8.1199999999999992</v>
      </c>
      <c r="C106" s="13">
        <f ca="1">Bovespa!BQ110</f>
        <v>7.82</v>
      </c>
      <c r="D106" s="13">
        <v>8.1199999999999992</v>
      </c>
      <c r="E106">
        <v>7.88</v>
      </c>
      <c r="F106">
        <v>7.82</v>
      </c>
    </row>
    <row r="107" spans="1:6" x14ac:dyDescent="0.25">
      <c r="A107" s="13" t="str">
        <f>Bovespa!BR111</f>
        <v>IGTI3</v>
      </c>
      <c r="B107" s="13">
        <v>2.48</v>
      </c>
      <c r="C107" s="13">
        <f ca="1">Bovespa!BQ111</f>
        <v>2.71</v>
      </c>
      <c r="D107" s="13">
        <v>2.44</v>
      </c>
      <c r="E107">
        <v>2.56</v>
      </c>
      <c r="F107">
        <v>2.71</v>
      </c>
    </row>
    <row r="108" spans="1:6" x14ac:dyDescent="0.25">
      <c r="A108" s="13" t="str">
        <f>Bovespa!BR112</f>
        <v>IGTI3</v>
      </c>
      <c r="B108" s="13">
        <v>2.48</v>
      </c>
      <c r="C108" s="13">
        <f ca="1">Bovespa!BQ112</f>
        <v>2.71</v>
      </c>
      <c r="D108" s="13">
        <v>2.44</v>
      </c>
      <c r="E108">
        <v>2.56</v>
      </c>
      <c r="F108">
        <v>2.71</v>
      </c>
    </row>
    <row r="109" spans="1:6" x14ac:dyDescent="0.25">
      <c r="A109" s="13" t="str">
        <f>Bovespa!BR113</f>
        <v>KEPL3</v>
      </c>
      <c r="B109" s="13">
        <v>7.56</v>
      </c>
      <c r="C109" s="13">
        <f>Bovespa!BQ113</f>
        <v>7.56</v>
      </c>
      <c r="D109" s="13">
        <v>7.56</v>
      </c>
      <c r="E109">
        <v>7.56</v>
      </c>
      <c r="F109">
        <v>7.56</v>
      </c>
    </row>
    <row r="110" spans="1:6" x14ac:dyDescent="0.25">
      <c r="A110" s="13" t="str">
        <f>Bovespa!BR114</f>
        <v>LREN3</v>
      </c>
      <c r="B110" s="13">
        <v>17.73</v>
      </c>
      <c r="C110" s="13">
        <f ca="1">Bovespa!BQ114</f>
        <v>16.13</v>
      </c>
      <c r="D110" s="13">
        <v>16.489999999999998</v>
      </c>
      <c r="E110">
        <v>16.68</v>
      </c>
      <c r="F110">
        <v>16.13</v>
      </c>
    </row>
    <row r="111" spans="1:6" x14ac:dyDescent="0.25">
      <c r="A111" s="13" t="str">
        <f>Bovespa!BR115</f>
        <v>MRFG3</v>
      </c>
      <c r="B111" s="13">
        <v>22.64</v>
      </c>
      <c r="C111" s="13">
        <f ca="1">Bovespa!BQ115</f>
        <v>23.36</v>
      </c>
      <c r="D111" s="13">
        <v>21.42</v>
      </c>
      <c r="E111">
        <v>22.31</v>
      </c>
      <c r="F111">
        <v>23.36</v>
      </c>
    </row>
    <row r="112" spans="1:6" x14ac:dyDescent="0.25">
      <c r="A112" s="13" t="str">
        <f>Bovespa!BR116</f>
        <v>JFEN3</v>
      </c>
      <c r="B112" s="13">
        <v>1.56</v>
      </c>
      <c r="C112" s="13">
        <f ca="1">Bovespa!BQ116</f>
        <v>1.49</v>
      </c>
      <c r="D112" s="13">
        <v>1.56</v>
      </c>
      <c r="E112">
        <v>1.51</v>
      </c>
      <c r="F112">
        <v>1.49</v>
      </c>
    </row>
    <row r="113" spans="1:6" x14ac:dyDescent="0.25">
      <c r="A113" s="13" t="str">
        <f>Bovespa!BR117</f>
        <v>USIM3</v>
      </c>
      <c r="B113" s="13">
        <v>4.0199999999999996</v>
      </c>
      <c r="C113" s="13">
        <f ca="1">Bovespa!BQ117</f>
        <v>4.18</v>
      </c>
      <c r="D113" s="13">
        <v>4.59</v>
      </c>
      <c r="E113">
        <v>4.68</v>
      </c>
      <c r="F113">
        <v>4.18</v>
      </c>
    </row>
    <row r="114" spans="1:6" x14ac:dyDescent="0.25">
      <c r="A114" s="13" t="str">
        <f>Bovespa!BR118</f>
        <v>CURY3</v>
      </c>
      <c r="B114" s="13">
        <v>29.81</v>
      </c>
      <c r="C114" s="13">
        <f ca="1">Bovespa!BQ118</f>
        <v>32</v>
      </c>
      <c r="D114" s="13">
        <v>30.1</v>
      </c>
      <c r="E114">
        <v>32</v>
      </c>
      <c r="F114">
        <v>32</v>
      </c>
    </row>
    <row r="115" spans="1:6" x14ac:dyDescent="0.25">
      <c r="A115" s="13" t="str">
        <f>Bovespa!BR119</f>
        <v>UGPA3</v>
      </c>
      <c r="B115" s="13">
        <v>15.7</v>
      </c>
      <c r="C115" s="13">
        <f ca="1">Bovespa!BQ119</f>
        <v>17.59</v>
      </c>
      <c r="D115" s="13">
        <v>16.920000000000002</v>
      </c>
      <c r="E115">
        <v>16.46</v>
      </c>
      <c r="F115">
        <v>17.59</v>
      </c>
    </row>
    <row r="116" spans="1:6" x14ac:dyDescent="0.25">
      <c r="A116" s="13" t="str">
        <f>Bovespa!BR120</f>
        <v>DXCO3</v>
      </c>
      <c r="B116" s="13">
        <v>5.14</v>
      </c>
      <c r="C116" s="13">
        <f ca="1">Bovespa!BQ120</f>
        <v>5.68</v>
      </c>
      <c r="D116" s="13">
        <v>5.61</v>
      </c>
      <c r="E116">
        <v>5.76</v>
      </c>
      <c r="F116">
        <v>5.68</v>
      </c>
    </row>
    <row r="117" spans="1:6" x14ac:dyDescent="0.25">
      <c r="A117" s="13" t="str">
        <f>Bovespa!BR121</f>
        <v>TEND3</v>
      </c>
      <c r="B117" s="13">
        <v>22.48</v>
      </c>
      <c r="C117" s="13">
        <f ca="1">Bovespa!BQ121</f>
        <v>21.4</v>
      </c>
      <c r="D117" s="13">
        <v>22.09</v>
      </c>
      <c r="E117">
        <v>21.25</v>
      </c>
      <c r="F117">
        <v>21.4</v>
      </c>
    </row>
    <row r="118" spans="1:6" x14ac:dyDescent="0.25">
      <c r="A118" s="13" t="str">
        <f>Bovespa!BR122</f>
        <v>ELET3</v>
      </c>
      <c r="B118" s="13">
        <v>38.96</v>
      </c>
      <c r="C118" s="13">
        <f ca="1">Bovespa!BQ122</f>
        <v>44.25</v>
      </c>
      <c r="D118" s="13">
        <v>37.880000000000003</v>
      </c>
      <c r="E118">
        <v>44.28</v>
      </c>
      <c r="F118">
        <v>44.25</v>
      </c>
    </row>
    <row r="119" spans="1:6" x14ac:dyDescent="0.25">
      <c r="A119" s="13" t="str">
        <f>Bovespa!BR123</f>
        <v>WIZC3</v>
      </c>
      <c r="B119" s="13">
        <v>7.37</v>
      </c>
      <c r="C119" s="13">
        <f ca="1">Bovespa!BQ123</f>
        <v>7.91</v>
      </c>
      <c r="D119" s="13">
        <v>7.44</v>
      </c>
      <c r="E119">
        <v>8.15</v>
      </c>
      <c r="F119">
        <v>7.91</v>
      </c>
    </row>
    <row r="120" spans="1:6" x14ac:dyDescent="0.25">
      <c r="A120" s="13" t="str">
        <f>Bovespa!BR124</f>
        <v>SAPR4</v>
      </c>
      <c r="B120" s="13">
        <v>6.98</v>
      </c>
      <c r="C120" s="13">
        <f ca="1">Bovespa!BQ124</f>
        <v>6.55</v>
      </c>
      <c r="D120" s="13">
        <v>6.58</v>
      </c>
      <c r="E120">
        <v>6.38</v>
      </c>
      <c r="F120">
        <v>6.55</v>
      </c>
    </row>
    <row r="121" spans="1:6" x14ac:dyDescent="0.25">
      <c r="A121" s="13" t="str">
        <f>Bovespa!BR125</f>
        <v>NTCO3</v>
      </c>
      <c r="B121" s="13">
        <v>9.51</v>
      </c>
      <c r="C121" s="13">
        <f ca="1">Bovespa!BQ125</f>
        <v>9.14</v>
      </c>
      <c r="D121" s="13">
        <v>8.91</v>
      </c>
      <c r="E121">
        <v>8.8000000000000007</v>
      </c>
      <c r="F121">
        <v>9.14</v>
      </c>
    </row>
    <row r="122" spans="1:6" x14ac:dyDescent="0.25">
      <c r="A122" s="13" t="str">
        <f>Bovespa!BR126</f>
        <v>EVEN3</v>
      </c>
      <c r="B122" s="13">
        <v>7.01</v>
      </c>
      <c r="C122" s="13">
        <f ca="1">Bovespa!BQ126</f>
        <v>7.22</v>
      </c>
      <c r="D122" s="13">
        <v>6.95</v>
      </c>
      <c r="E122">
        <v>7.07</v>
      </c>
      <c r="F122">
        <v>7.22</v>
      </c>
    </row>
    <row r="123" spans="1:6" x14ac:dyDescent="0.25">
      <c r="A123" s="13" t="str">
        <f>Bovespa!BR127</f>
        <v>ITUB3</v>
      </c>
      <c r="B123" s="13">
        <v>31.36</v>
      </c>
      <c r="C123" s="13">
        <f ca="1">Bovespa!BQ127</f>
        <v>33.5</v>
      </c>
      <c r="D123" s="13">
        <v>31.19</v>
      </c>
      <c r="E123">
        <v>33.090000000000003</v>
      </c>
      <c r="F123">
        <v>33.5</v>
      </c>
    </row>
    <row r="124" spans="1:6" x14ac:dyDescent="0.25">
      <c r="A124" s="13" t="str">
        <f>Bovespa!BR128</f>
        <v>UCAS3</v>
      </c>
      <c r="B124" s="13">
        <v>1.4</v>
      </c>
      <c r="C124" s="13">
        <f ca="1">Bovespa!BQ128</f>
        <v>1.37</v>
      </c>
      <c r="D124" s="13">
        <v>1.4</v>
      </c>
      <c r="E124">
        <v>1.33</v>
      </c>
      <c r="F124">
        <v>1.37</v>
      </c>
    </row>
    <row r="125" spans="1:6" x14ac:dyDescent="0.25">
      <c r="A125" s="13" t="str">
        <f>Bovespa!BR129</f>
        <v>USIM5</v>
      </c>
      <c r="B125" s="13">
        <v>3.92</v>
      </c>
      <c r="C125" s="13">
        <f ca="1">Bovespa!BQ129</f>
        <v>4</v>
      </c>
      <c r="D125" s="13">
        <v>4.3899999999999997</v>
      </c>
      <c r="E125">
        <v>4.45</v>
      </c>
      <c r="F125">
        <v>4</v>
      </c>
    </row>
    <row r="126" spans="1:6" x14ac:dyDescent="0.25">
      <c r="A126" s="13" t="str">
        <f>Bovespa!BR130</f>
        <v>JALL3</v>
      </c>
      <c r="B126" s="13">
        <v>3.57</v>
      </c>
      <c r="C126" s="13">
        <f ca="1">Bovespa!BQ130</f>
        <v>2.85</v>
      </c>
      <c r="D126" s="13">
        <v>3.22</v>
      </c>
      <c r="E126">
        <v>3.15</v>
      </c>
      <c r="F126">
        <v>2.85</v>
      </c>
    </row>
    <row r="127" spans="1:6" x14ac:dyDescent="0.25">
      <c r="A127" s="13" t="str">
        <f>Bovespa!BR131</f>
        <v>BRAP4</v>
      </c>
      <c r="B127" s="13">
        <v>16.190000000000001</v>
      </c>
      <c r="C127" s="13">
        <f ca="1">Bovespa!BQ131</f>
        <v>15.82</v>
      </c>
      <c r="D127" s="13">
        <v>15.7</v>
      </c>
      <c r="E127">
        <v>16.03</v>
      </c>
      <c r="F127">
        <v>15.82</v>
      </c>
    </row>
    <row r="128" spans="1:6" x14ac:dyDescent="0.25">
      <c r="A128" s="13" t="str">
        <f>Bovespa!BR132</f>
        <v>CSMG3</v>
      </c>
      <c r="B128" s="13">
        <v>26.12</v>
      </c>
      <c r="C128" s="13">
        <f ca="1">Bovespa!BQ132</f>
        <v>26.73</v>
      </c>
      <c r="D128" s="13">
        <v>25.83</v>
      </c>
      <c r="E128">
        <v>25.2</v>
      </c>
      <c r="F128">
        <v>26.73</v>
      </c>
    </row>
    <row r="129" spans="1:6" x14ac:dyDescent="0.25">
      <c r="A129" s="13" t="str">
        <f>Bovespa!BR133</f>
        <v>RENT3</v>
      </c>
      <c r="B129" s="13">
        <v>35.799999999999997</v>
      </c>
      <c r="C129" s="13">
        <f ca="1">Bovespa!BQ133</f>
        <v>34.22</v>
      </c>
      <c r="D129" s="13">
        <v>34.369999999999997</v>
      </c>
      <c r="E129">
        <v>35.4</v>
      </c>
      <c r="F129">
        <v>34.22</v>
      </c>
    </row>
    <row r="130" spans="1:6" x14ac:dyDescent="0.25">
      <c r="A130" s="13" t="str">
        <f>Bovespa!BR134</f>
        <v>RAPT4</v>
      </c>
      <c r="B130" s="13">
        <v>7.87</v>
      </c>
      <c r="C130" s="13">
        <f ca="1">Bovespa!BQ134</f>
        <v>6.61</v>
      </c>
      <c r="D130" s="13">
        <v>7.15</v>
      </c>
      <c r="E130">
        <v>6.31</v>
      </c>
      <c r="F130">
        <v>6.61</v>
      </c>
    </row>
    <row r="131" spans="1:6" x14ac:dyDescent="0.25">
      <c r="A131" s="13" t="str">
        <f>Bovespa!BR135</f>
        <v>RAPT3</v>
      </c>
      <c r="B131" s="13">
        <v>7.65</v>
      </c>
      <c r="C131" s="13">
        <f ca="1">Bovespa!BQ135</f>
        <v>6.27</v>
      </c>
      <c r="D131" s="13">
        <v>6.97</v>
      </c>
      <c r="E131">
        <v>6.26</v>
      </c>
      <c r="F131">
        <v>6.27</v>
      </c>
    </row>
    <row r="132" spans="1:6" x14ac:dyDescent="0.25">
      <c r="A132" s="13" t="str">
        <f>Bovespa!BR136</f>
        <v>MBLY3</v>
      </c>
      <c r="B132" s="13">
        <v>1</v>
      </c>
      <c r="C132" s="13">
        <f ca="1">Bovespa!BQ136</f>
        <v>1.01</v>
      </c>
      <c r="D132" s="13">
        <v>1.2</v>
      </c>
      <c r="E132">
        <v>1.18</v>
      </c>
      <c r="F132">
        <v>1.01</v>
      </c>
    </row>
    <row r="133" spans="1:6" x14ac:dyDescent="0.25">
      <c r="A133" s="13" t="str">
        <f>Bovespa!BR137</f>
        <v>GOAU4</v>
      </c>
      <c r="B133" s="13">
        <v>9</v>
      </c>
      <c r="C133" s="13">
        <f ca="1">Bovespa!BQ137</f>
        <v>9.09</v>
      </c>
      <c r="D133" s="13">
        <v>8.99</v>
      </c>
      <c r="E133">
        <v>9.1199999999999992</v>
      </c>
      <c r="F133">
        <v>9.09</v>
      </c>
    </row>
    <row r="134" spans="1:6" x14ac:dyDescent="0.25">
      <c r="A134" s="13" t="str">
        <f>Bovespa!BR138</f>
        <v>DOHL4</v>
      </c>
      <c r="B134" s="13">
        <v>4.25</v>
      </c>
      <c r="C134" s="13">
        <f ca="1">Bovespa!BQ138</f>
        <v>4</v>
      </c>
      <c r="D134" s="13">
        <v>4</v>
      </c>
      <c r="E134">
        <v>4.03</v>
      </c>
      <c r="F134">
        <v>4</v>
      </c>
    </row>
    <row r="135" spans="1:6" x14ac:dyDescent="0.25">
      <c r="A135" s="13" t="str">
        <f>Bovespa!BR139</f>
        <v>BRFS3</v>
      </c>
      <c r="B135" s="13">
        <v>20.399999999999999</v>
      </c>
      <c r="C135" s="13">
        <f ca="1">Bovespa!BQ139</f>
        <v>19.93</v>
      </c>
      <c r="D135" s="13">
        <v>20.32</v>
      </c>
      <c r="E135">
        <v>19.489999999999998</v>
      </c>
      <c r="F135">
        <v>19.93</v>
      </c>
    </row>
    <row r="136" spans="1:6" x14ac:dyDescent="0.25">
      <c r="A136" s="13" t="str">
        <f>Bovespa!BR140</f>
        <v>INTB3</v>
      </c>
      <c r="B136" s="13">
        <v>14.55</v>
      </c>
      <c r="C136" s="13">
        <f ca="1">Bovespa!BQ140</f>
        <v>12.52</v>
      </c>
      <c r="D136" s="13">
        <v>13.99</v>
      </c>
      <c r="E136">
        <v>12.86</v>
      </c>
      <c r="F136">
        <v>12.52</v>
      </c>
    </row>
    <row r="137" spans="1:6" x14ac:dyDescent="0.25">
      <c r="A137" s="13" t="str">
        <f>Bovespa!BR141</f>
        <v>CBAV3</v>
      </c>
      <c r="B137" s="13">
        <v>4.5</v>
      </c>
      <c r="C137" s="13">
        <f ca="1">Bovespa!BQ141</f>
        <v>3.09</v>
      </c>
      <c r="D137" s="13">
        <v>4.6500000000000004</v>
      </c>
      <c r="E137">
        <v>3.5</v>
      </c>
      <c r="F137">
        <v>3.09</v>
      </c>
    </row>
    <row r="138" spans="1:6" x14ac:dyDescent="0.25">
      <c r="A138" s="13" t="str">
        <f>Bovespa!BR142</f>
        <v>KLBN3</v>
      </c>
      <c r="B138" s="13">
        <v>3.84</v>
      </c>
      <c r="C138" s="13">
        <f ca="1">Bovespa!BQ142</f>
        <v>3.68</v>
      </c>
      <c r="D138" s="13">
        <v>3.75</v>
      </c>
      <c r="E138">
        <v>3.85</v>
      </c>
      <c r="F138">
        <v>3.68</v>
      </c>
    </row>
    <row r="139" spans="1:6" x14ac:dyDescent="0.25">
      <c r="A139" s="13" t="str">
        <f>Bovespa!BR143</f>
        <v>GMAT3</v>
      </c>
      <c r="B139" s="13">
        <v>7.71</v>
      </c>
      <c r="C139" s="13">
        <f ca="1">Bovespa!BQ143</f>
        <v>7.04</v>
      </c>
      <c r="D139" s="13">
        <v>7.37</v>
      </c>
      <c r="E139">
        <v>7.69</v>
      </c>
      <c r="F139">
        <v>7.04</v>
      </c>
    </row>
    <row r="140" spans="1:6" x14ac:dyDescent="0.25">
      <c r="A140" s="13" t="str">
        <f>Bovespa!BR144</f>
        <v>TIMS3</v>
      </c>
      <c r="B140" s="13">
        <v>20.37</v>
      </c>
      <c r="C140" s="13">
        <f ca="1">Bovespa!BQ144</f>
        <v>22.3</v>
      </c>
      <c r="D140" s="13">
        <v>20.72</v>
      </c>
      <c r="E140">
        <v>22.36</v>
      </c>
      <c r="F140">
        <v>22.3</v>
      </c>
    </row>
    <row r="141" spans="1:6" x14ac:dyDescent="0.25">
      <c r="A141" s="13" t="str">
        <f>Bovespa!BR145</f>
        <v>BPAC3</v>
      </c>
      <c r="B141" s="13">
        <v>22.64</v>
      </c>
      <c r="C141" s="13">
        <f ca="1">Bovespa!BQ145</f>
        <v>24.25</v>
      </c>
      <c r="D141" s="13">
        <v>21.19</v>
      </c>
      <c r="E141">
        <v>22.1</v>
      </c>
      <c r="F141">
        <v>24.25</v>
      </c>
    </row>
    <row r="142" spans="1:6" x14ac:dyDescent="0.25">
      <c r="A142" s="13" t="str">
        <f>Bovespa!BR146</f>
        <v>VIVA3</v>
      </c>
      <c r="B142" s="13">
        <v>25.58</v>
      </c>
      <c r="C142" s="13">
        <f ca="1">Bovespa!BQ146</f>
        <v>27.23</v>
      </c>
      <c r="D142" s="13">
        <v>25.72</v>
      </c>
      <c r="E142">
        <v>28.4</v>
      </c>
      <c r="F142">
        <v>27.23</v>
      </c>
    </row>
    <row r="143" spans="1:6" x14ac:dyDescent="0.25">
      <c r="A143" s="13" t="str">
        <f>Bovespa!BR147</f>
        <v>LOGG3</v>
      </c>
      <c r="B143" s="13">
        <v>19.79</v>
      </c>
      <c r="C143" s="13">
        <f ca="1">Bovespa!BQ147</f>
        <v>20.61</v>
      </c>
      <c r="D143" s="13">
        <v>20.420000000000002</v>
      </c>
      <c r="E143">
        <v>20.29</v>
      </c>
      <c r="F143">
        <v>20.61</v>
      </c>
    </row>
    <row r="144" spans="1:6" x14ac:dyDescent="0.25">
      <c r="A144" s="13" t="str">
        <f>Bovespa!BR148</f>
        <v>QUAL3</v>
      </c>
      <c r="B144" s="13">
        <v>1.67</v>
      </c>
      <c r="C144" s="13">
        <f ca="1">Bovespa!BQ148</f>
        <v>1.83</v>
      </c>
      <c r="D144" s="13">
        <v>1.64</v>
      </c>
      <c r="E144">
        <v>1.74</v>
      </c>
      <c r="F144">
        <v>1.83</v>
      </c>
    </row>
    <row r="145" spans="1:6" x14ac:dyDescent="0.25">
      <c r="A145" s="13" t="str">
        <f>Bovespa!BR149</f>
        <v>PNVL3</v>
      </c>
      <c r="B145" s="13">
        <v>9.09</v>
      </c>
      <c r="C145" s="13">
        <f ca="1">Bovespa!BQ149</f>
        <v>9.99</v>
      </c>
      <c r="D145" s="13">
        <v>9.1199999999999992</v>
      </c>
      <c r="E145">
        <v>10.210000000000001</v>
      </c>
      <c r="F145">
        <v>9.99</v>
      </c>
    </row>
    <row r="146" spans="1:6" x14ac:dyDescent="0.25">
      <c r="A146" s="13" t="str">
        <f>Bovespa!BR150</f>
        <v>CLSA3</v>
      </c>
      <c r="B146" s="13">
        <v>11.22</v>
      </c>
      <c r="C146" s="13">
        <f ca="1">Bovespa!BQ150</f>
        <v>11.32</v>
      </c>
      <c r="D146" s="13">
        <v>11.09</v>
      </c>
      <c r="E146">
        <v>11.33</v>
      </c>
      <c r="F146">
        <v>11.32</v>
      </c>
    </row>
    <row r="147" spans="1:6" x14ac:dyDescent="0.25">
      <c r="A147" s="13" t="str">
        <f>Bovespa!BR151</f>
        <v>KLBN4</v>
      </c>
      <c r="B147" s="13">
        <v>3.73</v>
      </c>
      <c r="C147" s="13">
        <f ca="1">Bovespa!BQ151</f>
        <v>3.61</v>
      </c>
      <c r="D147" s="13">
        <v>3.64</v>
      </c>
      <c r="E147">
        <v>3.77</v>
      </c>
      <c r="F147">
        <v>3.61</v>
      </c>
    </row>
    <row r="148" spans="1:6" x14ac:dyDescent="0.25">
      <c r="A148" s="13" t="str">
        <f>Bovespa!BR152</f>
        <v>BPAC5</v>
      </c>
      <c r="B148" s="13">
        <v>8.8699999999999992</v>
      </c>
      <c r="C148" s="13">
        <f ca="1">Bovespa!BQ152</f>
        <v>9.85</v>
      </c>
      <c r="D148" s="13">
        <v>8.8699999999999992</v>
      </c>
      <c r="E148">
        <v>9.32</v>
      </c>
      <c r="F148">
        <v>9.85</v>
      </c>
    </row>
    <row r="149" spans="1:6" x14ac:dyDescent="0.25">
      <c r="A149" s="13" t="str">
        <f>Bovespa!BR153</f>
        <v>DIRR3</v>
      </c>
      <c r="B149" s="13">
        <v>40.26</v>
      </c>
      <c r="C149" s="13">
        <f ca="1">Bovespa!BQ153</f>
        <v>14.23</v>
      </c>
      <c r="D149" s="13">
        <v>39.22</v>
      </c>
      <c r="E149">
        <v>41.08</v>
      </c>
      <c r="F149">
        <v>14.23</v>
      </c>
    </row>
    <row r="150" spans="1:6" x14ac:dyDescent="0.25">
      <c r="A150" s="13" t="str">
        <f>Bovespa!BR154</f>
        <v>MYPK3</v>
      </c>
      <c r="B150" s="13">
        <v>13.75</v>
      </c>
      <c r="C150" s="13">
        <f ca="1">Bovespa!BQ154</f>
        <v>14.17</v>
      </c>
      <c r="D150" s="13">
        <v>14.38</v>
      </c>
      <c r="E150">
        <v>13.91</v>
      </c>
      <c r="F150">
        <v>14.17</v>
      </c>
    </row>
    <row r="151" spans="1:6" x14ac:dyDescent="0.25">
      <c r="A151" s="13" t="str">
        <f>Bovespa!BR155</f>
        <v>RDOR3</v>
      </c>
      <c r="B151" s="13">
        <v>32.89</v>
      </c>
      <c r="C151" s="13">
        <f ca="1">Bovespa!BQ155</f>
        <v>37.53</v>
      </c>
      <c r="D151" s="13">
        <v>32.4</v>
      </c>
      <c r="E151">
        <v>36.25</v>
      </c>
      <c r="F151">
        <v>37.53</v>
      </c>
    </row>
    <row r="152" spans="1:6" x14ac:dyDescent="0.25">
      <c r="A152" s="13" t="str">
        <f>Bovespa!BR156</f>
        <v>VIVT3</v>
      </c>
      <c r="B152" s="13">
        <v>30.95</v>
      </c>
      <c r="C152" s="13">
        <f ca="1">Bovespa!BQ156</f>
        <v>33.43</v>
      </c>
      <c r="D152" s="13">
        <v>31.58</v>
      </c>
      <c r="E152">
        <v>32.950000000000003</v>
      </c>
      <c r="F152">
        <v>33.43</v>
      </c>
    </row>
    <row r="153" spans="1:6" x14ac:dyDescent="0.25">
      <c r="A153" s="13" t="str">
        <f>Bovespa!BR157</f>
        <v>PGMN3</v>
      </c>
      <c r="B153" s="13">
        <v>3.41</v>
      </c>
      <c r="C153" s="13">
        <f ca="1">Bovespa!BQ157</f>
        <v>3.63</v>
      </c>
      <c r="D153" s="13">
        <v>3.92</v>
      </c>
      <c r="E153">
        <v>3.82</v>
      </c>
      <c r="F153">
        <v>3.63</v>
      </c>
    </row>
    <row r="154" spans="1:6" x14ac:dyDescent="0.25">
      <c r="A154" s="13" t="str">
        <f>Bovespa!BR158</f>
        <v>TFCO4</v>
      </c>
      <c r="B154" s="13">
        <v>14.33</v>
      </c>
      <c r="C154" s="13">
        <f ca="1">Bovespa!BQ158</f>
        <v>15.81</v>
      </c>
      <c r="D154" s="13">
        <v>14.6</v>
      </c>
      <c r="E154">
        <v>15.09</v>
      </c>
      <c r="F154">
        <v>15.81</v>
      </c>
    </row>
    <row r="155" spans="1:6" x14ac:dyDescent="0.25">
      <c r="A155" s="13" t="str">
        <f>Bovespa!BR159</f>
        <v>ENEV3</v>
      </c>
      <c r="B155" s="13">
        <v>13.69</v>
      </c>
      <c r="C155" s="13">
        <f ca="1">Bovespa!BQ159</f>
        <v>14.08</v>
      </c>
      <c r="D155" s="13">
        <v>13.53</v>
      </c>
      <c r="E155">
        <v>14.11</v>
      </c>
      <c r="F155">
        <v>14.08</v>
      </c>
    </row>
    <row r="156" spans="1:6" x14ac:dyDescent="0.25">
      <c r="A156" s="13" t="str">
        <f>Bovespa!BR160</f>
        <v>LIGT3</v>
      </c>
      <c r="B156" s="13">
        <v>5.87</v>
      </c>
      <c r="C156" s="13">
        <f ca="1">Bovespa!BQ160</f>
        <v>6.1</v>
      </c>
      <c r="D156" s="13">
        <v>5.91</v>
      </c>
      <c r="E156">
        <v>6.64</v>
      </c>
      <c r="F156">
        <v>6.1</v>
      </c>
    </row>
    <row r="157" spans="1:6" x14ac:dyDescent="0.25">
      <c r="A157" s="13" t="str">
        <f>Bovespa!BR161</f>
        <v>CSED3</v>
      </c>
      <c r="B157" s="13">
        <v>4.8499999999999996</v>
      </c>
      <c r="C157" s="13">
        <f ca="1">Bovespa!BQ161</f>
        <v>4.63</v>
      </c>
      <c r="D157" s="13">
        <v>5.07</v>
      </c>
      <c r="E157">
        <v>5.05</v>
      </c>
      <c r="F157">
        <v>4.63</v>
      </c>
    </row>
    <row r="158" spans="1:6" x14ac:dyDescent="0.25">
      <c r="A158" s="13" t="str">
        <f>Bovespa!BR162</f>
        <v>MULT3</v>
      </c>
      <c r="B158" s="13">
        <v>25.24</v>
      </c>
      <c r="C158" s="13">
        <f ca="1">Bovespa!BQ162</f>
        <v>26.61</v>
      </c>
      <c r="D158" s="13">
        <v>25.65</v>
      </c>
      <c r="E158">
        <v>26.01</v>
      </c>
      <c r="F158">
        <v>26.61</v>
      </c>
    </row>
    <row r="159" spans="1:6" x14ac:dyDescent="0.25">
      <c r="A159" s="13" t="str">
        <f>Bovespa!BR163</f>
        <v>AURE3</v>
      </c>
      <c r="B159" s="13">
        <v>8.94</v>
      </c>
      <c r="C159" s="13">
        <f ca="1">Bovespa!BQ163</f>
        <v>9.9499999999999993</v>
      </c>
      <c r="D159" s="13">
        <v>9.65</v>
      </c>
      <c r="E159">
        <v>9.74</v>
      </c>
      <c r="F159">
        <v>9.9499999999999993</v>
      </c>
    </row>
    <row r="160" spans="1:6" x14ac:dyDescent="0.25">
      <c r="A160" s="13" t="str">
        <f>Bovespa!BR164</f>
        <v>TUPY3</v>
      </c>
      <c r="B160" s="13">
        <v>16.98</v>
      </c>
      <c r="C160" s="13">
        <f ca="1">Bovespa!BQ164</f>
        <v>15.88</v>
      </c>
      <c r="D160" s="13">
        <v>16.04</v>
      </c>
      <c r="E160">
        <v>15.72</v>
      </c>
      <c r="F160">
        <v>15.88</v>
      </c>
    </row>
    <row r="161" spans="1:6" x14ac:dyDescent="0.25">
      <c r="A161" s="13" t="str">
        <f>Bovespa!BR165</f>
        <v>SCAR3</v>
      </c>
      <c r="B161" s="13">
        <v>16.809999999999999</v>
      </c>
      <c r="C161" s="13">
        <f ca="1">Bovespa!BQ165</f>
        <v>19.760000000000002</v>
      </c>
      <c r="D161" s="13">
        <v>18</v>
      </c>
      <c r="E161">
        <v>18.149999999999999</v>
      </c>
      <c r="F161">
        <v>19.760000000000002</v>
      </c>
    </row>
    <row r="162" spans="1:6" x14ac:dyDescent="0.25">
      <c r="A162" s="13" t="str">
        <f>Bovespa!BR166</f>
        <v>LWSA3</v>
      </c>
      <c r="B162" s="13">
        <v>3.9</v>
      </c>
      <c r="C162" s="13">
        <f ca="1">Bovespa!BQ166</f>
        <v>4.12</v>
      </c>
      <c r="D162" s="13">
        <v>3.95</v>
      </c>
      <c r="E162">
        <v>4.0199999999999996</v>
      </c>
      <c r="F162">
        <v>4.12</v>
      </c>
    </row>
    <row r="163" spans="1:6" x14ac:dyDescent="0.25">
      <c r="A163" s="13" t="str">
        <f>Bovespa!BR167</f>
        <v>LPSB3</v>
      </c>
      <c r="B163" s="13">
        <v>1.45</v>
      </c>
      <c r="C163" s="13">
        <f ca="1">Bovespa!BQ167</f>
        <v>1.48</v>
      </c>
      <c r="D163" s="13">
        <v>1.42</v>
      </c>
      <c r="E163">
        <v>1.4</v>
      </c>
      <c r="F163">
        <v>1.48</v>
      </c>
    </row>
    <row r="164" spans="1:6" x14ac:dyDescent="0.25">
      <c r="A164" s="13" t="str">
        <f>Bovespa!BR168</f>
        <v>MTRE3</v>
      </c>
      <c r="B164" s="13">
        <v>3.75</v>
      </c>
      <c r="C164" s="13">
        <f ca="1">Bovespa!BQ168</f>
        <v>3.43</v>
      </c>
      <c r="D164" s="13">
        <v>3.66</v>
      </c>
      <c r="E164">
        <v>3.54</v>
      </c>
      <c r="F164">
        <v>3.43</v>
      </c>
    </row>
    <row r="165" spans="1:6" x14ac:dyDescent="0.25">
      <c r="A165" s="13" t="str">
        <f>Bovespa!BR169</f>
        <v>EMBR3</v>
      </c>
      <c r="B165" s="13">
        <v>68.3</v>
      </c>
      <c r="C165" s="13">
        <f ca="1">Bovespa!BQ169</f>
        <v>77.290000000000006</v>
      </c>
      <c r="D165" s="13">
        <v>79.05</v>
      </c>
      <c r="E165">
        <v>79.010000000000005</v>
      </c>
      <c r="F165">
        <v>77.290000000000006</v>
      </c>
    </row>
    <row r="166" spans="1:6" x14ac:dyDescent="0.25">
      <c r="A166" s="13" t="str">
        <f>Bovespa!BR170</f>
        <v>ENGI4</v>
      </c>
      <c r="B166" s="13">
        <v>8.6</v>
      </c>
      <c r="C166" s="13">
        <f ca="1">Bovespa!BQ170</f>
        <v>8.41</v>
      </c>
      <c r="D166" s="13">
        <v>8.6</v>
      </c>
      <c r="E166">
        <v>9.02</v>
      </c>
      <c r="F166">
        <v>8.41</v>
      </c>
    </row>
    <row r="167" spans="1:6" x14ac:dyDescent="0.25">
      <c r="A167" s="13" t="str">
        <f>Bovespa!BR171</f>
        <v>ANIM3</v>
      </c>
      <c r="B167" s="13">
        <v>3.66</v>
      </c>
      <c r="C167" s="13">
        <f ca="1">Bovespa!BQ171</f>
        <v>3.33</v>
      </c>
      <c r="D167" s="13">
        <v>3.7</v>
      </c>
      <c r="E167">
        <v>3.65</v>
      </c>
      <c r="F167">
        <v>3.33</v>
      </c>
    </row>
    <row r="168" spans="1:6" x14ac:dyDescent="0.25">
      <c r="A168" s="13" t="str">
        <f>Bovespa!BR172</f>
        <v>PRIO3</v>
      </c>
      <c r="B168" s="13">
        <v>43.29</v>
      </c>
      <c r="C168" s="13">
        <f ca="1">Bovespa!BQ172</f>
        <v>38.81</v>
      </c>
      <c r="D168" s="13">
        <v>40.99</v>
      </c>
      <c r="E168">
        <v>39.479999999999997</v>
      </c>
      <c r="F168">
        <v>38.81</v>
      </c>
    </row>
    <row r="169" spans="1:6" x14ac:dyDescent="0.25">
      <c r="A169" s="13" t="str">
        <f>Bovespa!BR173</f>
        <v>ODPV3</v>
      </c>
      <c r="B169" s="13">
        <v>11.3</v>
      </c>
      <c r="C169" s="13">
        <f ca="1">Bovespa!BQ173</f>
        <v>12.8</v>
      </c>
      <c r="D169" s="13">
        <v>12.15</v>
      </c>
      <c r="E169">
        <v>12.66</v>
      </c>
      <c r="F169">
        <v>12.8</v>
      </c>
    </row>
    <row r="170" spans="1:6" x14ac:dyDescent="0.25">
      <c r="A170" s="13" t="str">
        <f>Bovespa!BR174</f>
        <v>RECV3</v>
      </c>
      <c r="B170" s="13">
        <v>13.74</v>
      </c>
      <c r="C170" s="13">
        <f ca="1">Bovespa!BQ174</f>
        <v>12.68</v>
      </c>
      <c r="D170" s="13">
        <v>13.34</v>
      </c>
      <c r="E170">
        <v>13.28</v>
      </c>
      <c r="F170">
        <v>12.68</v>
      </c>
    </row>
    <row r="171" spans="1:6" x14ac:dyDescent="0.25">
      <c r="A171" s="13" t="str">
        <f>Bovespa!BR175</f>
        <v>MDNE3</v>
      </c>
      <c r="B171" s="13">
        <v>21.12</v>
      </c>
      <c r="C171" s="13">
        <f ca="1">Bovespa!BQ175</f>
        <v>23.51</v>
      </c>
      <c r="D171" s="13">
        <v>22.4</v>
      </c>
      <c r="E171">
        <v>23.1</v>
      </c>
      <c r="F171">
        <v>23.51</v>
      </c>
    </row>
    <row r="172" spans="1:6" x14ac:dyDescent="0.25">
      <c r="A172" s="13" t="str">
        <f>Bovespa!BR176</f>
        <v>RCSL4</v>
      </c>
      <c r="B172" s="13">
        <v>1.06</v>
      </c>
      <c r="C172" s="13">
        <f ca="1">Bovespa!BQ176</f>
        <v>1.1000000000000001</v>
      </c>
      <c r="D172" s="13">
        <v>1.05</v>
      </c>
      <c r="E172">
        <v>1.07</v>
      </c>
      <c r="F172">
        <v>1.1000000000000001</v>
      </c>
    </row>
    <row r="173" spans="1:6" x14ac:dyDescent="0.25">
      <c r="A173" s="13" t="str">
        <f>Bovespa!BR177</f>
        <v>TPIS3</v>
      </c>
      <c r="B173" s="13">
        <v>4.01</v>
      </c>
      <c r="C173" s="13">
        <f ca="1">Bovespa!BQ177</f>
        <v>3.59</v>
      </c>
      <c r="D173" s="13">
        <v>4.0199999999999996</v>
      </c>
      <c r="E173">
        <v>3.9</v>
      </c>
      <c r="F173">
        <v>3.59</v>
      </c>
    </row>
    <row r="174" spans="1:6" x14ac:dyDescent="0.25">
      <c r="A174" s="13" t="str">
        <f>Bovespa!BR178</f>
        <v>TASA4</v>
      </c>
      <c r="B174" s="13">
        <v>5.75</v>
      </c>
      <c r="C174" s="13">
        <f ca="1">Bovespa!BQ178</f>
        <v>4.6900000000000004</v>
      </c>
      <c r="D174" s="13">
        <v>4.9000000000000004</v>
      </c>
      <c r="E174">
        <v>4.5999999999999996</v>
      </c>
      <c r="F174">
        <v>4.6900000000000004</v>
      </c>
    </row>
    <row r="175" spans="1:6" x14ac:dyDescent="0.25">
      <c r="A175" s="13" t="str">
        <f>Bovespa!BR179</f>
        <v>SNSY5</v>
      </c>
      <c r="B175" s="13">
        <v>3.58</v>
      </c>
      <c r="C175" s="13">
        <f ca="1">Bovespa!BQ179</f>
        <v>3.53</v>
      </c>
      <c r="D175" s="13">
        <v>3.56</v>
      </c>
      <c r="E175">
        <v>3.37</v>
      </c>
      <c r="F175">
        <v>3.53</v>
      </c>
    </row>
    <row r="176" spans="1:6" x14ac:dyDescent="0.25">
      <c r="A176" s="13" t="str">
        <f>Bovespa!BR180</f>
        <v>LAVV3</v>
      </c>
      <c r="B176" s="13">
        <v>12.07</v>
      </c>
      <c r="C176" s="13">
        <f ca="1">Bovespa!BQ180</f>
        <v>12.12</v>
      </c>
      <c r="D176" s="13">
        <v>12.39</v>
      </c>
      <c r="E176">
        <v>12.54</v>
      </c>
      <c r="F176">
        <v>12.12</v>
      </c>
    </row>
    <row r="177" spans="1:6" x14ac:dyDescent="0.25">
      <c r="A177" s="13" t="str">
        <f>Bovespa!BR181</f>
        <v>ALPA3</v>
      </c>
      <c r="B177" s="13">
        <v>7.5</v>
      </c>
      <c r="C177" s="13">
        <f ca="1">Bovespa!BQ181</f>
        <v>8.58</v>
      </c>
      <c r="D177" s="13">
        <v>7.35</v>
      </c>
      <c r="E177">
        <v>8.4499999999999993</v>
      </c>
      <c r="F177">
        <v>8.58</v>
      </c>
    </row>
    <row r="178" spans="1:6" x14ac:dyDescent="0.25">
      <c r="A178" s="13" t="str">
        <f>Bovespa!BR182</f>
        <v>LVTC3</v>
      </c>
      <c r="B178" s="13">
        <v>3.6</v>
      </c>
      <c r="C178" s="13">
        <f ca="1">Bovespa!BQ182</f>
        <v>3.27</v>
      </c>
      <c r="D178" s="13">
        <v>3.45</v>
      </c>
      <c r="E178">
        <v>3.72</v>
      </c>
      <c r="F178">
        <v>3.27</v>
      </c>
    </row>
    <row r="179" spans="1:6" x14ac:dyDescent="0.25">
      <c r="A179" s="13" t="str">
        <f>Bovespa!BR183</f>
        <v>BEEF3</v>
      </c>
      <c r="B179" s="13">
        <v>5.12</v>
      </c>
      <c r="C179" s="13">
        <f ca="1">Bovespa!BQ183</f>
        <v>4.91</v>
      </c>
      <c r="D179" s="13">
        <v>4.9400000000000004</v>
      </c>
      <c r="E179">
        <v>5</v>
      </c>
      <c r="F179">
        <v>4.91</v>
      </c>
    </row>
    <row r="180" spans="1:6" x14ac:dyDescent="0.25">
      <c r="A180" s="13" t="str">
        <f>Bovespa!BR184</f>
        <v>ALPA4</v>
      </c>
      <c r="B180" s="13">
        <v>8.5299999999999994</v>
      </c>
      <c r="C180" s="13">
        <f ca="1">Bovespa!BQ184</f>
        <v>9.4</v>
      </c>
      <c r="D180" s="13">
        <v>8.64</v>
      </c>
      <c r="E180">
        <v>9.75</v>
      </c>
      <c r="F180">
        <v>9.4</v>
      </c>
    </row>
    <row r="181" spans="1:6" x14ac:dyDescent="0.25">
      <c r="A181" s="13" t="str">
        <f>Bovespa!BR185</f>
        <v>MLAS3</v>
      </c>
      <c r="B181" s="13">
        <v>1.05</v>
      </c>
      <c r="C181" s="13">
        <f ca="1">Bovespa!BQ185</f>
        <v>1.01</v>
      </c>
      <c r="D181" s="13">
        <v>1</v>
      </c>
      <c r="E181">
        <v>1.07</v>
      </c>
      <c r="F181">
        <v>1.01</v>
      </c>
    </row>
    <row r="182" spans="1:6" x14ac:dyDescent="0.25">
      <c r="A182" s="13" t="str">
        <f>Bovespa!BR186</f>
        <v>EUCA4</v>
      </c>
      <c r="B182" s="13">
        <v>17.18</v>
      </c>
      <c r="C182" s="13">
        <f ca="1">Bovespa!BQ186</f>
        <v>17.600000000000001</v>
      </c>
      <c r="D182" s="13">
        <v>17.399999999999999</v>
      </c>
      <c r="E182">
        <v>17.68</v>
      </c>
      <c r="F182">
        <v>17.600000000000001</v>
      </c>
    </row>
    <row r="183" spans="1:6" x14ac:dyDescent="0.25">
      <c r="A183" s="13" t="str">
        <f>Bovespa!BR187</f>
        <v>B3SA3</v>
      </c>
      <c r="B183" s="13">
        <v>12.97</v>
      </c>
      <c r="C183" s="13">
        <f ca="1">Bovespa!BQ187</f>
        <v>13.15</v>
      </c>
      <c r="D183" s="13">
        <v>12.59</v>
      </c>
      <c r="E183">
        <v>12.85</v>
      </c>
      <c r="F183">
        <v>13.15</v>
      </c>
    </row>
    <row r="184" spans="1:6" x14ac:dyDescent="0.25">
      <c r="A184" s="13" t="str">
        <f>Bovespa!BR188</f>
        <v>KRSA3</v>
      </c>
      <c r="B184" s="13">
        <v>8.8699999999999992</v>
      </c>
      <c r="C184" s="13">
        <f ca="1">Bovespa!BQ188</f>
        <v>8.8699999999999992</v>
      </c>
      <c r="D184" s="13">
        <v>8.8699999999999992</v>
      </c>
      <c r="E184">
        <v>8.8699999999999992</v>
      </c>
      <c r="F184">
        <v>8.8699999999999992</v>
      </c>
    </row>
    <row r="185" spans="1:6" x14ac:dyDescent="0.25">
      <c r="A185" s="13" t="str">
        <f>Bovespa!BR189</f>
        <v>BOBR4</v>
      </c>
      <c r="B185" s="13">
        <v>1.48</v>
      </c>
      <c r="C185" s="13">
        <f ca="1">Bovespa!BQ189</f>
        <v>1.33</v>
      </c>
      <c r="D185" s="13">
        <v>1.36</v>
      </c>
      <c r="E185">
        <v>1.41</v>
      </c>
      <c r="F185">
        <v>1.33</v>
      </c>
    </row>
    <row r="186" spans="1:6" x14ac:dyDescent="0.25">
      <c r="A186" s="13" t="str">
        <f>Bovespa!BR190</f>
        <v>ETER3</v>
      </c>
      <c r="B186" s="13">
        <v>3.75</v>
      </c>
      <c r="C186" s="13">
        <f ca="1">Bovespa!BQ190</f>
        <v>4.1900000000000004</v>
      </c>
      <c r="D186" s="13">
        <v>3.91</v>
      </c>
      <c r="E186">
        <v>4.4400000000000004</v>
      </c>
      <c r="F186">
        <v>4.1900000000000004</v>
      </c>
    </row>
    <row r="187" spans="1:6" x14ac:dyDescent="0.25">
      <c r="A187" s="13" t="str">
        <f>Bovespa!BR191</f>
        <v>ESPA3</v>
      </c>
      <c r="B187" s="13">
        <v>1.1200000000000001</v>
      </c>
      <c r="C187" s="13">
        <f ca="1">Bovespa!BQ191</f>
        <v>1</v>
      </c>
      <c r="D187" s="13">
        <v>1.05</v>
      </c>
      <c r="E187">
        <v>1.05</v>
      </c>
      <c r="F187">
        <v>1</v>
      </c>
    </row>
    <row r="188" spans="1:6" x14ac:dyDescent="0.25">
      <c r="A188" s="13" t="str">
        <f>Bovespa!BR192</f>
        <v>MATD3</v>
      </c>
      <c r="B188" s="13">
        <v>4.3099999999999996</v>
      </c>
      <c r="C188" s="13">
        <f ca="1">Bovespa!BQ192</f>
        <v>4.76</v>
      </c>
      <c r="D188" s="13">
        <v>4.2300000000000004</v>
      </c>
      <c r="E188">
        <v>4.58</v>
      </c>
      <c r="F188">
        <v>4.76</v>
      </c>
    </row>
    <row r="189" spans="1:6" x14ac:dyDescent="0.25">
      <c r="A189" s="13" t="str">
        <f>Bovespa!BR193</f>
        <v>TRAD3</v>
      </c>
      <c r="B189" s="13">
        <v>7.49</v>
      </c>
      <c r="C189" s="13">
        <f ca="1">Bovespa!BQ193</f>
        <v>7.8</v>
      </c>
      <c r="D189" s="13">
        <v>6.68</v>
      </c>
      <c r="E189">
        <v>7.24</v>
      </c>
      <c r="F189">
        <v>7.8</v>
      </c>
    </row>
    <row r="190" spans="1:6" x14ac:dyDescent="0.25">
      <c r="A190" s="13" t="str">
        <f>Bovespa!BR194</f>
        <v>VULC3</v>
      </c>
      <c r="B190" s="13">
        <v>18.829999999999998</v>
      </c>
      <c r="C190" s="13">
        <f ca="1">Bovespa!BQ194</f>
        <v>20.13</v>
      </c>
      <c r="D190" s="13">
        <v>18.579999999999998</v>
      </c>
      <c r="E190">
        <v>19.61</v>
      </c>
      <c r="F190">
        <v>20.13</v>
      </c>
    </row>
    <row r="191" spans="1:6" x14ac:dyDescent="0.25">
      <c r="A191" s="13" t="str">
        <f>Bovespa!BR195</f>
        <v>LUPA3</v>
      </c>
      <c r="B191" s="13">
        <v>1.1599999999999999</v>
      </c>
      <c r="C191" s="13">
        <f ca="1">Bovespa!BQ195</f>
        <v>1.1499999999999999</v>
      </c>
      <c r="D191" s="13">
        <v>1.17</v>
      </c>
      <c r="E191">
        <v>1.1499999999999999</v>
      </c>
      <c r="F191">
        <v>1.1499999999999999</v>
      </c>
    </row>
    <row r="192" spans="1:6" x14ac:dyDescent="0.25">
      <c r="A192" s="13" t="str">
        <f>Bovespa!BR196</f>
        <v>ECOR3</v>
      </c>
      <c r="B192" s="13">
        <v>6.79</v>
      </c>
      <c r="C192" s="13">
        <f ca="1">Bovespa!BQ196</f>
        <v>7.07</v>
      </c>
      <c r="D192" s="13">
        <v>6.74</v>
      </c>
      <c r="E192">
        <v>6.8</v>
      </c>
      <c r="F192">
        <v>7.07</v>
      </c>
    </row>
    <row r="193" spans="1:6" x14ac:dyDescent="0.25">
      <c r="A193" s="13" t="str">
        <f>Bovespa!BR197</f>
        <v>PDGR3</v>
      </c>
      <c r="B193" s="13">
        <v>0.22</v>
      </c>
      <c r="C193" s="13">
        <f ca="1">Bovespa!BQ197</f>
        <v>0.18</v>
      </c>
      <c r="D193" s="13">
        <v>0.22</v>
      </c>
      <c r="E193">
        <v>0.18</v>
      </c>
      <c r="F193">
        <v>0.18</v>
      </c>
    </row>
    <row r="194" spans="1:6" x14ac:dyDescent="0.25">
      <c r="A194" s="13" t="str">
        <f>Bovespa!BR198</f>
        <v>COCE5</v>
      </c>
      <c r="B194" s="13">
        <v>27.76</v>
      </c>
      <c r="C194" s="13">
        <f ca="1">Bovespa!BQ198</f>
        <v>29</v>
      </c>
      <c r="D194" s="13">
        <v>28.79</v>
      </c>
      <c r="E194">
        <v>28.33</v>
      </c>
      <c r="F194">
        <v>29</v>
      </c>
    </row>
    <row r="195" spans="1:6" x14ac:dyDescent="0.25">
      <c r="A195" s="13" t="str">
        <f>Bovespa!BR199</f>
        <v>CEAB3</v>
      </c>
      <c r="B195" s="13">
        <v>16.53</v>
      </c>
      <c r="C195" s="13">
        <f ca="1">Bovespa!BQ199</f>
        <v>14.95</v>
      </c>
      <c r="D195" s="13">
        <v>17.07</v>
      </c>
      <c r="E195">
        <v>16.5</v>
      </c>
      <c r="F195">
        <v>14.95</v>
      </c>
    </row>
    <row r="196" spans="1:6" x14ac:dyDescent="0.25">
      <c r="A196" s="13" t="str">
        <f>Bovespa!BR200</f>
        <v>AMBP3</v>
      </c>
      <c r="B196" s="13">
        <v>141.79</v>
      </c>
      <c r="C196" s="13">
        <f ca="1">Bovespa!BQ200</f>
        <v>14.01</v>
      </c>
      <c r="D196" s="13">
        <v>136</v>
      </c>
      <c r="E196">
        <v>15.25</v>
      </c>
      <c r="F196">
        <v>14.01</v>
      </c>
    </row>
    <row r="197" spans="1:6" x14ac:dyDescent="0.25">
      <c r="A197" s="13" t="str">
        <f>Bovespa!BR201</f>
        <v>NGRD3</v>
      </c>
      <c r="B197" s="13">
        <v>25</v>
      </c>
      <c r="C197" s="13">
        <f ca="1">Bovespa!BQ201</f>
        <v>26</v>
      </c>
      <c r="D197" s="13">
        <v>25.37</v>
      </c>
      <c r="E197">
        <v>25.1</v>
      </c>
      <c r="F197">
        <v>26</v>
      </c>
    </row>
    <row r="198" spans="1:6" x14ac:dyDescent="0.25">
      <c r="A198" s="13" t="str">
        <f>Bovespa!BR202</f>
        <v>CAML3</v>
      </c>
      <c r="B198" s="13">
        <v>4.9800000000000004</v>
      </c>
      <c r="C198" s="13">
        <f ca="1">Bovespa!BQ202</f>
        <v>4.43</v>
      </c>
      <c r="D198" s="13">
        <v>4.5199999999999996</v>
      </c>
      <c r="E198">
        <v>4.59</v>
      </c>
      <c r="F198">
        <v>4.43</v>
      </c>
    </row>
    <row r="199" spans="1:6" x14ac:dyDescent="0.25">
      <c r="A199" s="13" t="str">
        <f>Bovespa!BR203</f>
        <v>TASA3</v>
      </c>
      <c r="B199" s="13">
        <v>6.75</v>
      </c>
      <c r="C199" s="13">
        <f ca="1">Bovespa!BQ203</f>
        <v>5.16</v>
      </c>
      <c r="D199" s="13">
        <v>6.48</v>
      </c>
      <c r="E199">
        <v>5.86</v>
      </c>
      <c r="F199">
        <v>5.16</v>
      </c>
    </row>
    <row r="200" spans="1:6" x14ac:dyDescent="0.25">
      <c r="A200" s="13" t="str">
        <f>Bovespa!BR204</f>
        <v>SBFG3</v>
      </c>
      <c r="B200" s="13">
        <v>11.92</v>
      </c>
      <c r="C200" s="13">
        <f ca="1">Bovespa!BQ204</f>
        <v>10.029999999999999</v>
      </c>
      <c r="D200" s="13">
        <v>10.96</v>
      </c>
      <c r="E200">
        <v>10.9</v>
      </c>
      <c r="F200">
        <v>10.029999999999999</v>
      </c>
    </row>
    <row r="201" spans="1:6" x14ac:dyDescent="0.25">
      <c r="A201" s="13" t="str">
        <f>Bovespa!BR205</f>
        <v>TECN3</v>
      </c>
      <c r="B201" s="13">
        <v>6.36</v>
      </c>
      <c r="C201" s="13">
        <f ca="1">Bovespa!BQ205</f>
        <v>6.53</v>
      </c>
      <c r="D201" s="13">
        <v>6.02</v>
      </c>
      <c r="E201">
        <v>6.3</v>
      </c>
      <c r="F201">
        <v>6.53</v>
      </c>
    </row>
    <row r="202" spans="1:6" x14ac:dyDescent="0.25">
      <c r="A202" s="13" t="str">
        <f>Bovespa!BR206</f>
        <v>SMTO3</v>
      </c>
      <c r="B202" s="13">
        <v>17.78</v>
      </c>
      <c r="C202" s="13">
        <f ca="1">Bovespa!BQ206</f>
        <v>16.29</v>
      </c>
      <c r="D202" s="13">
        <v>17.05</v>
      </c>
      <c r="E202">
        <v>17.05</v>
      </c>
      <c r="F202">
        <v>16.29</v>
      </c>
    </row>
    <row r="203" spans="1:6" x14ac:dyDescent="0.25">
      <c r="A203" s="13" t="str">
        <f>Bovespa!BR207</f>
        <v>RANI3</v>
      </c>
      <c r="B203" s="13">
        <v>7.12</v>
      </c>
      <c r="C203" s="13">
        <f ca="1">Bovespa!BQ207</f>
        <v>7.41</v>
      </c>
      <c r="D203" s="13">
        <v>7.55</v>
      </c>
      <c r="E203">
        <v>7.79</v>
      </c>
      <c r="F203">
        <v>7.41</v>
      </c>
    </row>
    <row r="204" spans="1:6" x14ac:dyDescent="0.25">
      <c r="A204" s="13" t="str">
        <f>Bovespa!BR208</f>
        <v>PETZ3</v>
      </c>
      <c r="B204" s="13">
        <v>3.95</v>
      </c>
      <c r="C204" s="13">
        <f ca="1">Bovespa!BQ208</f>
        <v>3.9</v>
      </c>
      <c r="D204" s="13">
        <v>4.04</v>
      </c>
      <c r="E204">
        <v>4.2300000000000004</v>
      </c>
      <c r="F204">
        <v>3.9</v>
      </c>
    </row>
    <row r="205" spans="1:6" x14ac:dyDescent="0.25">
      <c r="A205" s="13" t="str">
        <f>Bovespa!BR209</f>
        <v>TOTS3</v>
      </c>
      <c r="B205" s="13">
        <v>41.7</v>
      </c>
      <c r="C205" s="13">
        <f ca="1">Bovespa!BQ209</f>
        <v>42.16</v>
      </c>
      <c r="D205" s="13">
        <v>43.8</v>
      </c>
      <c r="E205">
        <v>42.8</v>
      </c>
      <c r="F205">
        <v>42.16</v>
      </c>
    </row>
    <row r="206" spans="1:6" x14ac:dyDescent="0.25">
      <c r="A206" s="13" t="str">
        <f>Bovespa!BR210</f>
        <v>YDUQ3</v>
      </c>
      <c r="B206" s="13">
        <v>13.3</v>
      </c>
      <c r="C206" s="13">
        <f ca="1">Bovespa!BQ210</f>
        <v>13.05</v>
      </c>
      <c r="D206" s="13">
        <v>13.01</v>
      </c>
      <c r="E206">
        <v>13.53</v>
      </c>
      <c r="F206">
        <v>13.05</v>
      </c>
    </row>
    <row r="207" spans="1:6" x14ac:dyDescent="0.25">
      <c r="A207" s="13" t="str">
        <f>Bovespa!BR211</f>
        <v>JSLG3</v>
      </c>
      <c r="B207" s="13">
        <v>5.2</v>
      </c>
      <c r="C207" s="13">
        <f ca="1">Bovespa!BQ211</f>
        <v>5.3</v>
      </c>
      <c r="D207" s="13">
        <v>5.13</v>
      </c>
      <c r="E207">
        <v>5.54</v>
      </c>
      <c r="F207">
        <v>5.3</v>
      </c>
    </row>
    <row r="208" spans="1:6" x14ac:dyDescent="0.25">
      <c r="A208" s="13" t="str">
        <f>Bovespa!BR212</f>
        <v>ONCO3</v>
      </c>
      <c r="B208" s="13">
        <v>5.47</v>
      </c>
      <c r="C208" s="13">
        <f ca="1">Bovespa!BQ212</f>
        <v>5.37</v>
      </c>
      <c r="D208" s="13">
        <v>5.65</v>
      </c>
      <c r="E208">
        <v>5.61</v>
      </c>
      <c r="F208">
        <v>5.37</v>
      </c>
    </row>
    <row r="209" spans="1:6" x14ac:dyDescent="0.25">
      <c r="A209" s="13" t="str">
        <f>Bovespa!BR213</f>
        <v>AALR3</v>
      </c>
      <c r="B209" s="13">
        <v>5.07</v>
      </c>
      <c r="C209" s="13">
        <f ca="1">Bovespa!BQ213</f>
        <v>5.5</v>
      </c>
      <c r="D209" s="13">
        <v>5.05</v>
      </c>
      <c r="E209">
        <v>5.2</v>
      </c>
      <c r="F209">
        <v>5.5</v>
      </c>
    </row>
    <row r="210" spans="1:6" x14ac:dyDescent="0.25">
      <c r="A210" s="13" t="str">
        <f>Bovespa!BR214</f>
        <v>HBOR3</v>
      </c>
      <c r="B210" s="13">
        <v>2.2200000000000002</v>
      </c>
      <c r="C210" s="13">
        <f ca="1">Bovespa!BQ214</f>
        <v>2.88</v>
      </c>
      <c r="D210" s="13">
        <v>2.86</v>
      </c>
      <c r="E210">
        <v>2.84</v>
      </c>
      <c r="F210">
        <v>2.88</v>
      </c>
    </row>
    <row r="211" spans="1:6" x14ac:dyDescent="0.25">
      <c r="A211" s="13" t="str">
        <f>Bovespa!BR215</f>
        <v>CRPG5</v>
      </c>
      <c r="B211" s="13">
        <v>16</v>
      </c>
      <c r="C211" s="13">
        <f ca="1">Bovespa!BQ215</f>
        <v>14.87</v>
      </c>
      <c r="D211" s="13">
        <v>15.3</v>
      </c>
      <c r="E211">
        <v>15.2</v>
      </c>
      <c r="F211">
        <v>14.87</v>
      </c>
    </row>
    <row r="212" spans="1:6" x14ac:dyDescent="0.25">
      <c r="A212" s="13" t="str">
        <f>Bovespa!BR216</f>
        <v>LOGN3</v>
      </c>
      <c r="B212" s="13">
        <v>26.17</v>
      </c>
      <c r="C212" s="13">
        <f ca="1">Bovespa!BQ216</f>
        <v>25.09</v>
      </c>
      <c r="D212" s="13">
        <v>25.45</v>
      </c>
      <c r="E212">
        <v>26.24</v>
      </c>
      <c r="F212">
        <v>25.09</v>
      </c>
    </row>
    <row r="213" spans="1:6" x14ac:dyDescent="0.25">
      <c r="A213" s="13" t="str">
        <f>Bovespa!BR217</f>
        <v>VAMO3</v>
      </c>
      <c r="B213" s="13">
        <v>3.84</v>
      </c>
      <c r="C213" s="13">
        <f ca="1">Bovespa!BQ217</f>
        <v>3.83</v>
      </c>
      <c r="D213" s="13">
        <v>3.89</v>
      </c>
      <c r="E213">
        <v>4.1399999999999997</v>
      </c>
      <c r="F213">
        <v>3.83</v>
      </c>
    </row>
    <row r="214" spans="1:6" x14ac:dyDescent="0.25">
      <c r="A214" s="13" t="str">
        <f>Bovespa!BR218</f>
        <v>JHSF3</v>
      </c>
      <c r="B214" s="13">
        <v>5.04</v>
      </c>
      <c r="C214" s="13">
        <f ca="1">Bovespa!BQ218</f>
        <v>5.45</v>
      </c>
      <c r="D214" s="13">
        <v>5.16</v>
      </c>
      <c r="E214">
        <v>5.34</v>
      </c>
      <c r="F214">
        <v>5.45</v>
      </c>
    </row>
    <row r="215" spans="1:6" x14ac:dyDescent="0.25">
      <c r="A215" s="13" t="str">
        <f>Bovespa!BR219</f>
        <v>SIMH3</v>
      </c>
      <c r="B215" s="13">
        <v>4.25</v>
      </c>
      <c r="C215" s="13">
        <f ca="1">Bovespa!BQ219</f>
        <v>4.2699999999999996</v>
      </c>
      <c r="D215" s="13">
        <v>4.3</v>
      </c>
      <c r="E215">
        <v>4.87</v>
      </c>
      <c r="F215">
        <v>4.2699999999999996</v>
      </c>
    </row>
    <row r="216" spans="1:6" x14ac:dyDescent="0.25">
      <c r="A216" s="13" t="str">
        <f>Bovespa!BR220</f>
        <v>GUAR3</v>
      </c>
      <c r="B216" s="13">
        <v>7.69</v>
      </c>
      <c r="C216" s="13">
        <f ca="1">Bovespa!BQ220</f>
        <v>8.16</v>
      </c>
      <c r="D216" s="13">
        <v>7.67</v>
      </c>
      <c r="E216">
        <v>8.99</v>
      </c>
      <c r="F216">
        <v>8.16</v>
      </c>
    </row>
    <row r="217" spans="1:6" x14ac:dyDescent="0.25">
      <c r="A217" s="13" t="str">
        <f>Bovespa!BR221</f>
        <v>SGPS3</v>
      </c>
      <c r="B217" s="13">
        <v>1.64</v>
      </c>
      <c r="C217" s="13">
        <f ca="1">Bovespa!BQ221</f>
        <v>1.64</v>
      </c>
      <c r="D217" s="13">
        <v>1.64</v>
      </c>
      <c r="E217">
        <v>1.64</v>
      </c>
      <c r="F217">
        <v>1.64</v>
      </c>
    </row>
    <row r="218" spans="1:6" x14ac:dyDescent="0.25">
      <c r="A218" s="13" t="str">
        <f>Bovespa!BR222</f>
        <v>COGN3</v>
      </c>
      <c r="B218" s="13">
        <v>2.59</v>
      </c>
      <c r="C218" s="13">
        <f ca="1">Bovespa!BQ222</f>
        <v>2.83</v>
      </c>
      <c r="D218" s="13">
        <v>2.77</v>
      </c>
      <c r="E218">
        <v>3.07</v>
      </c>
      <c r="F218">
        <v>2.83</v>
      </c>
    </row>
    <row r="219" spans="1:6" x14ac:dyDescent="0.25">
      <c r="A219" s="13" t="str">
        <f>Bovespa!BR223</f>
        <v>OIBR4</v>
      </c>
      <c r="B219" s="13">
        <v>8.5500000000000007</v>
      </c>
      <c r="C219" s="13">
        <f ca="1">Bovespa!BQ223</f>
        <v>7.3</v>
      </c>
      <c r="D219" s="13">
        <v>7.01</v>
      </c>
      <c r="E219">
        <v>7.65</v>
      </c>
      <c r="F219">
        <v>7.3</v>
      </c>
    </row>
    <row r="220" spans="1:6" x14ac:dyDescent="0.25">
      <c r="A220" s="13" t="str">
        <f>Bovespa!BR224</f>
        <v>VITT3</v>
      </c>
      <c r="B220" s="13">
        <v>4.97</v>
      </c>
      <c r="C220" s="13">
        <f ca="1">Bovespa!BQ224</f>
        <v>4.6500000000000004</v>
      </c>
      <c r="D220" s="13">
        <v>4.75</v>
      </c>
      <c r="E220">
        <v>4.83</v>
      </c>
      <c r="F220">
        <v>4.6500000000000004</v>
      </c>
    </row>
    <row r="221" spans="1:6" x14ac:dyDescent="0.25">
      <c r="A221" s="13" t="str">
        <f>Bovespa!BR225</f>
        <v>PTBL3</v>
      </c>
      <c r="B221" s="13">
        <v>3.95</v>
      </c>
      <c r="C221" s="13">
        <f ca="1">Bovespa!BQ225</f>
        <v>3.77</v>
      </c>
      <c r="D221" s="13">
        <v>4.0599999999999996</v>
      </c>
      <c r="E221">
        <v>3.79</v>
      </c>
      <c r="F221">
        <v>3.77</v>
      </c>
    </row>
    <row r="222" spans="1:6" x14ac:dyDescent="0.25">
      <c r="A222" s="13" t="str">
        <f>Bovespa!BR226</f>
        <v>VVEO3</v>
      </c>
      <c r="B222" s="13">
        <v>1.1399999999999999</v>
      </c>
      <c r="C222" s="13">
        <f ca="1">Bovespa!BQ226</f>
        <v>0.93</v>
      </c>
      <c r="D222" s="13">
        <v>1.08</v>
      </c>
      <c r="E222">
        <v>1.05</v>
      </c>
      <c r="F222">
        <v>0.93</v>
      </c>
    </row>
    <row r="223" spans="1:6" x14ac:dyDescent="0.25">
      <c r="A223" s="13" t="str">
        <f>Bovespa!BR227</f>
        <v>HBRE3</v>
      </c>
      <c r="B223" s="13">
        <v>3.01</v>
      </c>
      <c r="C223" s="13">
        <f ca="1">Bovespa!BQ227</f>
        <v>3.7</v>
      </c>
      <c r="D223" s="13">
        <v>3.34</v>
      </c>
      <c r="E223">
        <v>3.61</v>
      </c>
      <c r="F223">
        <v>3.7</v>
      </c>
    </row>
    <row r="224" spans="1:6" x14ac:dyDescent="0.25">
      <c r="A224" s="13" t="str">
        <f>Bovespa!BR228</f>
        <v>RDNI3</v>
      </c>
      <c r="B224" s="13">
        <v>2.31</v>
      </c>
      <c r="C224" s="13">
        <f ca="1">Bovespa!BQ228</f>
        <v>2.1</v>
      </c>
      <c r="D224" s="13">
        <v>2.23</v>
      </c>
      <c r="E224">
        <v>2.2200000000000002</v>
      </c>
      <c r="F224">
        <v>2.1</v>
      </c>
    </row>
    <row r="225" spans="1:6" x14ac:dyDescent="0.25">
      <c r="A225" s="13" t="str">
        <f>Bovespa!BR229</f>
        <v>PCAR3</v>
      </c>
      <c r="B225" s="13">
        <v>3.62</v>
      </c>
      <c r="C225" s="13">
        <f ca="1">Bovespa!BQ229</f>
        <v>2.85</v>
      </c>
      <c r="D225" s="13">
        <v>3.49</v>
      </c>
      <c r="E225">
        <v>3.1</v>
      </c>
      <c r="F225">
        <v>2.85</v>
      </c>
    </row>
    <row r="226" spans="1:6" x14ac:dyDescent="0.25">
      <c r="A226" s="13" t="str">
        <f>Bovespa!BR230</f>
        <v>CASH3</v>
      </c>
      <c r="B226" s="13">
        <v>6.76</v>
      </c>
      <c r="C226" s="13">
        <f ca="1">Bovespa!BQ230</f>
        <v>5.42</v>
      </c>
      <c r="D226" s="13">
        <v>5.48</v>
      </c>
      <c r="E226">
        <v>5.42</v>
      </c>
      <c r="F226">
        <v>5.42</v>
      </c>
    </row>
    <row r="227" spans="1:6" x14ac:dyDescent="0.25">
      <c r="A227" s="13" t="str">
        <f>Bovespa!BR231</f>
        <v>FHER3</v>
      </c>
      <c r="B227" s="13">
        <v>4.0599999999999996</v>
      </c>
      <c r="C227" s="13">
        <f ca="1">Bovespa!BQ231</f>
        <v>4.0599999999999996</v>
      </c>
      <c r="D227" s="13">
        <v>4.08</v>
      </c>
      <c r="E227">
        <v>4.1500000000000004</v>
      </c>
      <c r="F227">
        <v>4.0599999999999996</v>
      </c>
    </row>
    <row r="228" spans="1:6" x14ac:dyDescent="0.25">
      <c r="A228" s="13" t="str">
        <f>Bovespa!BR232</f>
        <v>GFSA3</v>
      </c>
      <c r="B228" s="13">
        <v>17.84</v>
      </c>
      <c r="C228" s="13">
        <f ca="1">Bovespa!BQ232</f>
        <v>13.8</v>
      </c>
      <c r="D228" s="13">
        <v>15.15</v>
      </c>
      <c r="E228">
        <v>15.77</v>
      </c>
      <c r="F228">
        <v>13.8</v>
      </c>
    </row>
    <row r="229" spans="1:6" x14ac:dyDescent="0.25">
      <c r="A229" s="13" t="str">
        <f>Bovespa!BR233</f>
        <v>HYPE3</v>
      </c>
      <c r="B229" s="13">
        <v>26.42</v>
      </c>
      <c r="C229" s="13">
        <f ca="1">Bovespa!BQ233</f>
        <v>22.82</v>
      </c>
      <c r="D229" s="13">
        <v>25.88</v>
      </c>
      <c r="E229">
        <v>23.11</v>
      </c>
      <c r="F229">
        <v>22.82</v>
      </c>
    </row>
    <row r="230" spans="1:6" x14ac:dyDescent="0.25">
      <c r="A230" s="13" t="str">
        <f>Bovespa!BR234</f>
        <v>ENJU3</v>
      </c>
      <c r="B230" s="13">
        <v>1.02</v>
      </c>
      <c r="C230" s="13">
        <f ca="1">Bovespa!BQ234</f>
        <v>0.99</v>
      </c>
      <c r="D230" s="13">
        <v>1.01</v>
      </c>
      <c r="E230">
        <v>1</v>
      </c>
      <c r="F230">
        <v>0.99</v>
      </c>
    </row>
    <row r="231" spans="1:6" x14ac:dyDescent="0.25">
      <c r="A231" s="13" t="str">
        <f>Bovespa!BR235</f>
        <v>RAIZ4</v>
      </c>
      <c r="B231" s="13">
        <v>1.52</v>
      </c>
      <c r="C231" s="13">
        <f ca="1">Bovespa!BQ235</f>
        <v>1.04</v>
      </c>
      <c r="D231" s="13">
        <v>1.4</v>
      </c>
      <c r="E231">
        <v>1.24</v>
      </c>
      <c r="F231">
        <v>1.04</v>
      </c>
    </row>
    <row r="232" spans="1:6" x14ac:dyDescent="0.25">
      <c r="A232" s="13" t="str">
        <f>Bovespa!BR236</f>
        <v>BBAS3</v>
      </c>
      <c r="B232" s="13">
        <v>20.260000000000002</v>
      </c>
      <c r="C232" s="13">
        <f ca="1">Bovespa!BQ236</f>
        <v>20.65</v>
      </c>
      <c r="D232" s="13">
        <v>18.350000000000001</v>
      </c>
      <c r="E232">
        <v>18.93</v>
      </c>
      <c r="F232">
        <v>20.65</v>
      </c>
    </row>
    <row r="233" spans="1:6" x14ac:dyDescent="0.25">
      <c r="A233" s="13" t="str">
        <f>Bovespa!BR237</f>
        <v>EPAR3</v>
      </c>
      <c r="B233" s="13">
        <v>4.92</v>
      </c>
      <c r="C233" s="13">
        <f ca="1">Bovespa!BQ237</f>
        <v>4.3899999999999997</v>
      </c>
      <c r="D233" s="13">
        <v>4.21</v>
      </c>
      <c r="E233">
        <v>4.45</v>
      </c>
      <c r="F233">
        <v>4.3899999999999997</v>
      </c>
    </row>
    <row r="234" spans="1:6" x14ac:dyDescent="0.25">
      <c r="A234" s="13" t="str">
        <f>Bovespa!BR238</f>
        <v>SYNE3</v>
      </c>
      <c r="B234" s="13">
        <v>6.48</v>
      </c>
      <c r="C234" s="13">
        <f ca="1">Bovespa!BQ238</f>
        <v>6.97</v>
      </c>
      <c r="D234" s="13">
        <v>6.73</v>
      </c>
      <c r="E234">
        <v>6.9</v>
      </c>
      <c r="F234">
        <v>6.97</v>
      </c>
    </row>
    <row r="235" spans="1:6" x14ac:dyDescent="0.25">
      <c r="A235" s="13" t="str">
        <f>Bovespa!BR239</f>
        <v>MRVE3</v>
      </c>
      <c r="B235" s="13">
        <v>5.95</v>
      </c>
      <c r="C235" s="13">
        <f ca="1">Bovespa!BQ239</f>
        <v>7.16</v>
      </c>
      <c r="D235" s="13">
        <v>5.99</v>
      </c>
      <c r="E235">
        <v>6.51</v>
      </c>
      <c r="F235">
        <v>7.16</v>
      </c>
    </row>
    <row r="236" spans="1:6" x14ac:dyDescent="0.25">
      <c r="A236" s="13" t="str">
        <f>Bovespa!BR240</f>
        <v>MOVI3</v>
      </c>
      <c r="B236" s="13">
        <v>6.35</v>
      </c>
      <c r="C236" s="13">
        <f ca="1">Bovespa!BQ240</f>
        <v>7.24</v>
      </c>
      <c r="D236" s="13">
        <v>6.12</v>
      </c>
      <c r="E236">
        <v>7.45</v>
      </c>
      <c r="F236">
        <v>7.24</v>
      </c>
    </row>
    <row r="237" spans="1:6" x14ac:dyDescent="0.25">
      <c r="A237" s="13" t="str">
        <f>Bovespa!BR241</f>
        <v>AZEV4</v>
      </c>
      <c r="B237" s="13">
        <v>0.56000000000000005</v>
      </c>
      <c r="C237" s="13">
        <f ca="1">Bovespa!BQ241</f>
        <v>0.57999999999999996</v>
      </c>
      <c r="D237" s="13">
        <v>0.56000000000000005</v>
      </c>
      <c r="E237">
        <v>0.56000000000000005</v>
      </c>
      <c r="F237">
        <v>0.57999999999999996</v>
      </c>
    </row>
    <row r="238" spans="1:6" x14ac:dyDescent="0.25">
      <c r="A238" s="13" t="str">
        <f>Bovespa!BR242</f>
        <v>CSNA3</v>
      </c>
      <c r="B238" s="13">
        <v>7.82</v>
      </c>
      <c r="C238" s="13">
        <f ca="1">Bovespa!BQ242</f>
        <v>6.77</v>
      </c>
      <c r="D238" s="13">
        <v>7.62</v>
      </c>
      <c r="E238">
        <v>7.41</v>
      </c>
      <c r="F238">
        <v>6.77</v>
      </c>
    </row>
    <row r="239" spans="1:6" x14ac:dyDescent="0.25">
      <c r="A239" s="13" t="str">
        <f>Bovespa!BR243</f>
        <v>CTNM4</v>
      </c>
      <c r="B239" s="13">
        <v>0.86</v>
      </c>
      <c r="C239" s="13">
        <f ca="1">Bovespa!BQ243</f>
        <v>0.86</v>
      </c>
      <c r="D239" s="13">
        <v>0.86</v>
      </c>
      <c r="E239">
        <v>0.86</v>
      </c>
      <c r="F239">
        <v>0.86</v>
      </c>
    </row>
    <row r="240" spans="1:6" x14ac:dyDescent="0.25">
      <c r="A240" s="13" t="str">
        <f>Bovespa!BR244</f>
        <v>IFCM3</v>
      </c>
      <c r="B240" s="13">
        <v>0.04</v>
      </c>
      <c r="C240" s="13">
        <f ca="1">Bovespa!BQ244</f>
        <v>0.59</v>
      </c>
      <c r="D240" s="13">
        <v>0.79</v>
      </c>
      <c r="E240">
        <v>0.74</v>
      </c>
      <c r="F240">
        <v>0.59</v>
      </c>
    </row>
    <row r="241" spans="1:6" x14ac:dyDescent="0.25">
      <c r="A241" s="13" t="str">
        <f>Bovespa!BR245</f>
        <v>HAPV3</v>
      </c>
      <c r="B241" s="13">
        <v>32.19</v>
      </c>
      <c r="C241" s="13">
        <f ca="1">Bovespa!BQ245</f>
        <v>38.200000000000003</v>
      </c>
      <c r="D241" s="13">
        <v>32.659999999999997</v>
      </c>
      <c r="E241">
        <v>35.67</v>
      </c>
      <c r="F241">
        <v>38.200000000000003</v>
      </c>
    </row>
    <row r="242" spans="1:6" x14ac:dyDescent="0.25">
      <c r="A242" s="13" t="str">
        <f>Bovespa!BR246</f>
        <v>SEQL3</v>
      </c>
      <c r="B242" s="13">
        <v>0.96</v>
      </c>
      <c r="C242" s="13">
        <f ca="1">Bovespa!BQ246</f>
        <v>0.97</v>
      </c>
      <c r="D242" s="13">
        <v>0.97</v>
      </c>
      <c r="E242">
        <v>0.96</v>
      </c>
      <c r="F242">
        <v>0.97</v>
      </c>
    </row>
    <row r="243" spans="1:6" x14ac:dyDescent="0.25">
      <c r="A243" s="13" t="str">
        <f>Bovespa!BR247</f>
        <v>ZAMP3</v>
      </c>
      <c r="B243" s="13">
        <v>3.4</v>
      </c>
      <c r="C243" s="13">
        <f ca="1">Bovespa!BQ247</f>
        <v>3.47</v>
      </c>
      <c r="D243" s="13">
        <v>3.48</v>
      </c>
      <c r="E243">
        <v>3.46</v>
      </c>
      <c r="F243">
        <v>3.47</v>
      </c>
    </row>
    <row r="244" spans="1:6" x14ac:dyDescent="0.25">
      <c r="A244" s="13" t="str">
        <f>Bovespa!BR248</f>
        <v>INEP4</v>
      </c>
      <c r="B244" s="13">
        <v>1.59</v>
      </c>
      <c r="C244" s="13">
        <f ca="1">Bovespa!BQ248</f>
        <v>1.57</v>
      </c>
      <c r="D244" s="13">
        <v>1.4</v>
      </c>
      <c r="E244">
        <v>1.43</v>
      </c>
      <c r="F244">
        <v>1.57</v>
      </c>
    </row>
    <row r="245" spans="1:6" x14ac:dyDescent="0.25">
      <c r="A245" s="13" t="str">
        <f>Bovespa!BR249</f>
        <v>OIBR3</v>
      </c>
      <c r="B245" s="13">
        <v>0.56999999999999995</v>
      </c>
      <c r="C245" s="13">
        <f ca="1">Bovespa!BQ249</f>
        <v>0.56000000000000005</v>
      </c>
      <c r="D245" s="13">
        <v>0.51</v>
      </c>
      <c r="E245">
        <v>0.54</v>
      </c>
      <c r="F245">
        <v>0.56000000000000005</v>
      </c>
    </row>
    <row r="246" spans="1:6" x14ac:dyDescent="0.25">
      <c r="A246" s="13" t="str">
        <f>Bovespa!BR250</f>
        <v>CSAN3</v>
      </c>
      <c r="B246" s="13">
        <v>5.96</v>
      </c>
      <c r="C246" s="13">
        <f ca="1">Bovespa!BQ250</f>
        <v>5.48</v>
      </c>
      <c r="D246" s="13">
        <v>5.82</v>
      </c>
      <c r="E246">
        <v>5.83</v>
      </c>
      <c r="F246">
        <v>5.48</v>
      </c>
    </row>
    <row r="247" spans="1:6" x14ac:dyDescent="0.25">
      <c r="A247" s="13" t="str">
        <f>Bovespa!BR251</f>
        <v>BRKM3</v>
      </c>
      <c r="B247" s="13">
        <v>9</v>
      </c>
      <c r="C247" s="13">
        <f ca="1">Bovespa!BQ251</f>
        <v>8.57</v>
      </c>
      <c r="D247" s="13">
        <v>8.91</v>
      </c>
      <c r="E247">
        <v>9.26</v>
      </c>
      <c r="F247">
        <v>8.57</v>
      </c>
    </row>
    <row r="248" spans="1:6" x14ac:dyDescent="0.25">
      <c r="A248" s="13" t="str">
        <f>Bovespa!BR252</f>
        <v>SHOW3</v>
      </c>
      <c r="B248" s="13">
        <v>6.66</v>
      </c>
      <c r="C248" s="13">
        <f ca="1">Bovespa!BQ252</f>
        <v>6.22</v>
      </c>
      <c r="D248" s="13">
        <v>6.31</v>
      </c>
      <c r="E248">
        <v>6.41</v>
      </c>
      <c r="F248">
        <v>6.22</v>
      </c>
    </row>
    <row r="249" spans="1:6" x14ac:dyDescent="0.25">
      <c r="A249" s="13" t="str">
        <f>Bovespa!BR253</f>
        <v>AZEV3</v>
      </c>
      <c r="B249" s="13">
        <v>0.55000000000000004</v>
      </c>
      <c r="C249" s="13">
        <f ca="1">Bovespa!BQ253</f>
        <v>0.55000000000000004</v>
      </c>
      <c r="D249" s="13">
        <v>0.54</v>
      </c>
      <c r="E249">
        <v>0.53</v>
      </c>
      <c r="F249">
        <v>0.55000000000000004</v>
      </c>
    </row>
    <row r="250" spans="1:6" x14ac:dyDescent="0.25">
      <c r="A250" s="13" t="str">
        <f>Bovespa!BR254</f>
        <v>GOLL4</v>
      </c>
      <c r="B250" s="13">
        <v>3.57</v>
      </c>
      <c r="C250" s="13">
        <f ca="1">Bovespa!BQ254</f>
        <v>4.92</v>
      </c>
      <c r="D250" s="13">
        <v>6.57</v>
      </c>
      <c r="E250">
        <v>5.37</v>
      </c>
      <c r="F250">
        <v>4.92</v>
      </c>
    </row>
    <row r="251" spans="1:6" x14ac:dyDescent="0.25">
      <c r="A251" s="13" t="str">
        <f>Bovespa!BR255</f>
        <v>SEER3</v>
      </c>
      <c r="B251" s="13">
        <v>8.4</v>
      </c>
      <c r="C251" s="13">
        <f ca="1">Bovespa!BQ255</f>
        <v>8.4</v>
      </c>
      <c r="D251" s="13">
        <v>8.02</v>
      </c>
      <c r="E251">
        <v>8.83</v>
      </c>
      <c r="F251">
        <v>8.4</v>
      </c>
    </row>
    <row r="252" spans="1:6" x14ac:dyDescent="0.25">
      <c r="A252" s="13" t="str">
        <f>Bovespa!BR256</f>
        <v>FESA4</v>
      </c>
      <c r="B252" s="13">
        <v>6.6</v>
      </c>
      <c r="C252" s="13">
        <f ca="1">Bovespa!BQ256</f>
        <v>6.14</v>
      </c>
      <c r="D252" s="13">
        <v>6.5</v>
      </c>
      <c r="E252">
        <v>6.35</v>
      </c>
      <c r="F252">
        <v>6.14</v>
      </c>
    </row>
    <row r="253" spans="1:6" x14ac:dyDescent="0.25">
      <c r="A253" s="13" t="str">
        <f>Bovespa!BR257</f>
        <v>LJQQ3</v>
      </c>
      <c r="B253" s="13">
        <v>2.37</v>
      </c>
      <c r="C253" s="13">
        <f ca="1">Bovespa!BQ257</f>
        <v>2.2400000000000002</v>
      </c>
      <c r="D253" s="13">
        <v>2.5</v>
      </c>
      <c r="E253">
        <v>2.58</v>
      </c>
      <c r="F253">
        <v>2.2400000000000002</v>
      </c>
    </row>
    <row r="254" spans="1:6" x14ac:dyDescent="0.25">
      <c r="A254" s="13" t="str">
        <f>Bovespa!BR258</f>
        <v>VIVR3</v>
      </c>
      <c r="B254" s="13">
        <v>0.83</v>
      </c>
      <c r="C254" s="13">
        <f ca="1">Bovespa!BQ258</f>
        <v>0.75</v>
      </c>
      <c r="D254" s="13">
        <v>0.8</v>
      </c>
      <c r="E254">
        <v>0.82</v>
      </c>
      <c r="F254">
        <v>0.75</v>
      </c>
    </row>
    <row r="255" spans="1:6" x14ac:dyDescent="0.25">
      <c r="A255" s="13" t="str">
        <f>Bovespa!BR259</f>
        <v>DASA3</v>
      </c>
      <c r="B255" s="13">
        <v>1.24</v>
      </c>
      <c r="C255" s="13">
        <f ca="1">Bovespa!BQ259</f>
        <v>1.44</v>
      </c>
      <c r="D255" s="13">
        <v>1.28</v>
      </c>
      <c r="E255">
        <v>1.35</v>
      </c>
      <c r="F255">
        <v>1.44</v>
      </c>
    </row>
    <row r="256" spans="1:6" x14ac:dyDescent="0.25">
      <c r="A256" s="13" t="str">
        <f>Bovespa!BR260</f>
        <v>RSID3</v>
      </c>
      <c r="B256" s="13">
        <v>2.06</v>
      </c>
      <c r="C256" s="13">
        <f ca="1">Bovespa!BQ260</f>
        <v>1.99</v>
      </c>
      <c r="D256" s="13">
        <v>2.06</v>
      </c>
      <c r="E256">
        <v>1.93</v>
      </c>
      <c r="F256">
        <v>1.99</v>
      </c>
    </row>
    <row r="257" spans="1:6" x14ac:dyDescent="0.25">
      <c r="A257" s="13" t="str">
        <f>Bovespa!BR261</f>
        <v>TCSA3</v>
      </c>
      <c r="B257" s="13">
        <v>1.8</v>
      </c>
      <c r="C257" s="13">
        <f ca="1">Bovespa!BQ261</f>
        <v>1.64</v>
      </c>
      <c r="D257" s="13">
        <v>1.7</v>
      </c>
      <c r="E257">
        <v>1.71</v>
      </c>
      <c r="F257">
        <v>1.64</v>
      </c>
    </row>
    <row r="258" spans="1:6" x14ac:dyDescent="0.25">
      <c r="A258" s="13" t="str">
        <f>Bovespa!BR262</f>
        <v>AZUL4</v>
      </c>
      <c r="B258" s="13">
        <v>0.63</v>
      </c>
      <c r="C258" s="13">
        <f ca="1">Bovespa!BQ262</f>
        <v>0.57999999999999996</v>
      </c>
      <c r="D258" s="13">
        <v>0.67</v>
      </c>
      <c r="E258">
        <v>0.6</v>
      </c>
      <c r="F258">
        <v>0.57999999999999996</v>
      </c>
    </row>
    <row r="259" spans="1:6" x14ac:dyDescent="0.25">
      <c r="A259" s="13" t="str">
        <f>Bovespa!BR263</f>
        <v>DOTZ3</v>
      </c>
      <c r="B259" s="13">
        <v>4.9800000000000004</v>
      </c>
      <c r="C259" s="13">
        <f ca="1">Bovespa!BQ263</f>
        <v>7.7</v>
      </c>
      <c r="D259" s="13">
        <v>5.88</v>
      </c>
      <c r="E259">
        <v>6.32</v>
      </c>
      <c r="F259">
        <v>7.7</v>
      </c>
    </row>
    <row r="260" spans="1:6" x14ac:dyDescent="0.25">
      <c r="A260" s="13" t="str">
        <f>Bovespa!BR264</f>
        <v>PMAM3</v>
      </c>
      <c r="B260" s="13">
        <v>1.64</v>
      </c>
      <c r="C260" s="13">
        <f ca="1">Bovespa!BQ264</f>
        <v>1.43</v>
      </c>
      <c r="D260" s="13">
        <v>1.63</v>
      </c>
      <c r="E260">
        <v>1.57</v>
      </c>
      <c r="F260">
        <v>1.43</v>
      </c>
    </row>
    <row r="261" spans="1:6" x14ac:dyDescent="0.25">
      <c r="A261" s="13" t="str">
        <f>Bovespa!BR265</f>
        <v>VSTE3</v>
      </c>
      <c r="B261" s="13">
        <v>6.03</v>
      </c>
      <c r="C261" s="13">
        <f ca="1">Bovespa!BQ265</f>
        <v>5.94</v>
      </c>
      <c r="D261" s="13">
        <v>5.7</v>
      </c>
      <c r="E261">
        <v>5.91</v>
      </c>
      <c r="F261">
        <v>5.94</v>
      </c>
    </row>
    <row r="262" spans="1:6" x14ac:dyDescent="0.25">
      <c r="A262" s="13" t="str">
        <f>Bovespa!BR266</f>
        <v>MGEL4</v>
      </c>
      <c r="B262" s="13">
        <v>4.0199999999999996</v>
      </c>
      <c r="C262" s="13">
        <f ca="1">Bovespa!BQ266</f>
        <v>4.5</v>
      </c>
      <c r="D262" s="13">
        <v>4.1100000000000003</v>
      </c>
      <c r="E262">
        <v>4.26</v>
      </c>
      <c r="F262">
        <v>4.5</v>
      </c>
    </row>
    <row r="263" spans="1:6" x14ac:dyDescent="0.25">
      <c r="A263" s="13" t="str">
        <f>Bovespa!BR267</f>
        <v>RCSL3</v>
      </c>
      <c r="B263" s="13">
        <v>2.0299999999999998</v>
      </c>
      <c r="C263" s="13">
        <f ca="1">Bovespa!BQ267</f>
        <v>1.76</v>
      </c>
      <c r="D263" s="13">
        <v>1.82</v>
      </c>
      <c r="E263">
        <v>1.8</v>
      </c>
      <c r="F263">
        <v>1.76</v>
      </c>
    </row>
    <row r="264" spans="1:6" x14ac:dyDescent="0.25">
      <c r="A264" s="13" t="str">
        <f>Bovespa!BR268</f>
        <v>ARML3</v>
      </c>
      <c r="B264" s="13">
        <v>3.92</v>
      </c>
      <c r="C264" s="13">
        <f ca="1">Bovespa!BQ268</f>
        <v>3.91</v>
      </c>
      <c r="D264" s="13">
        <v>3.6</v>
      </c>
      <c r="E264">
        <v>3.67</v>
      </c>
      <c r="F264">
        <v>3.91</v>
      </c>
    </row>
    <row r="265" spans="1:6" x14ac:dyDescent="0.25">
      <c r="A265" s="13" t="str">
        <f>Bovespa!BR269</f>
        <v>ATMP3</v>
      </c>
      <c r="B265" s="13">
        <v>1.1200000000000001</v>
      </c>
      <c r="C265" s="13">
        <f ca="1">Bovespa!BQ269</f>
        <v>1.02</v>
      </c>
      <c r="D265" s="13">
        <v>1.01</v>
      </c>
      <c r="E265">
        <v>1.06</v>
      </c>
      <c r="F265">
        <v>1.02</v>
      </c>
    </row>
    <row r="266" spans="1:6" x14ac:dyDescent="0.25">
      <c r="A266" s="13" t="str">
        <f>Bovespa!BR270</f>
        <v>CIEL3</v>
      </c>
      <c r="B266" s="13" t="e" vm="272">
        <v>#VALUE!</v>
      </c>
      <c r="C266" s="13" t="e" vm="152">
        <f>Bovespa!BQ270</f>
        <v>#VALUE!</v>
      </c>
      <c r="D266" s="13" t="e" vm="272">
        <v>#VALUE!</v>
      </c>
      <c r="E266" t="e" vm="272">
        <v>#VALUE!</v>
      </c>
      <c r="F266" t="e" vm="272">
        <v>#VALUE!</v>
      </c>
    </row>
    <row r="267" spans="1:6" x14ac:dyDescent="0.25">
      <c r="A267" s="13" t="str">
        <f>Bovespa!BR271</f>
        <v>TAEE3</v>
      </c>
      <c r="B267" s="13">
        <v>11.17</v>
      </c>
      <c r="C267" s="13">
        <f ca="1">Bovespa!BQ271</f>
        <v>11.19</v>
      </c>
      <c r="D267" s="13">
        <v>11.12</v>
      </c>
      <c r="E267">
        <v>11.19</v>
      </c>
      <c r="F267">
        <v>11.19</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8F51-9E3C-4B7A-9EA0-7A545BDC3835}">
  <dimension ref="A1:F27"/>
  <sheetViews>
    <sheetView workbookViewId="0">
      <selection activeCell="N10" sqref="N10"/>
    </sheetView>
  </sheetViews>
  <sheetFormatPr defaultRowHeight="15" x14ac:dyDescent="0.25"/>
  <cols>
    <col min="1" max="1" width="10.5703125" customWidth="1"/>
    <col min="2" max="4" width="10.7109375" bestFit="1" customWidth="1"/>
    <col min="5" max="5" width="10.7109375" customWidth="1"/>
    <col min="6" max="6" width="10.7109375" bestFit="1" customWidth="1"/>
  </cols>
  <sheetData>
    <row r="1" spans="1:6" x14ac:dyDescent="0.25">
      <c r="A1" t="s">
        <v>475</v>
      </c>
      <c r="B1" s="79">
        <v>45857</v>
      </c>
      <c r="C1" s="79">
        <v>45864</v>
      </c>
      <c r="D1" s="79">
        <v>45871</v>
      </c>
      <c r="E1" s="79">
        <v>45878</v>
      </c>
      <c r="F1" s="79">
        <v>45885</v>
      </c>
    </row>
    <row r="2" spans="1:6" ht="16.5" x14ac:dyDescent="0.3">
      <c r="A2" s="96" t="s">
        <v>652</v>
      </c>
      <c r="B2" s="94" t="s">
        <v>687</v>
      </c>
      <c r="C2" s="94" t="s">
        <v>776</v>
      </c>
      <c r="D2" s="94" t="s">
        <v>863</v>
      </c>
      <c r="E2" s="94"/>
      <c r="F2" s="94" t="s">
        <v>1051</v>
      </c>
    </row>
    <row r="3" spans="1:6" ht="16.5" x14ac:dyDescent="0.3">
      <c r="A3" s="96" t="s">
        <v>623</v>
      </c>
      <c r="B3" s="94" t="s">
        <v>688</v>
      </c>
      <c r="C3" s="94" t="s">
        <v>777</v>
      </c>
      <c r="D3" s="94" t="s">
        <v>864</v>
      </c>
      <c r="E3" s="94"/>
      <c r="F3" s="94" t="s">
        <v>1053</v>
      </c>
    </row>
    <row r="4" spans="1:6" x14ac:dyDescent="0.25">
      <c r="A4" s="95" t="s">
        <v>669</v>
      </c>
    </row>
    <row r="5" spans="1:6" ht="16.5" x14ac:dyDescent="0.3">
      <c r="A5" s="96" t="s">
        <v>320</v>
      </c>
      <c r="B5" s="94" t="s">
        <v>689</v>
      </c>
      <c r="C5" s="94" t="s">
        <v>778</v>
      </c>
      <c r="D5" s="94" t="s">
        <v>865</v>
      </c>
      <c r="E5" s="94"/>
      <c r="F5" s="94" t="s">
        <v>1054</v>
      </c>
    </row>
    <row r="6" spans="1:6" x14ac:dyDescent="0.25">
      <c r="A6" s="95" t="s">
        <v>1033</v>
      </c>
    </row>
    <row r="7" spans="1:6" ht="16.5" x14ac:dyDescent="0.3">
      <c r="A7" s="96" t="s">
        <v>611</v>
      </c>
      <c r="B7" s="94" t="s">
        <v>690</v>
      </c>
      <c r="C7" s="94" t="s">
        <v>779</v>
      </c>
      <c r="D7" s="94" t="s">
        <v>866</v>
      </c>
      <c r="E7" s="94"/>
      <c r="F7" s="94" t="s">
        <v>1055</v>
      </c>
    </row>
    <row r="8" spans="1:6" x14ac:dyDescent="0.25">
      <c r="A8" s="95" t="s">
        <v>1032</v>
      </c>
    </row>
    <row r="9" spans="1:6" x14ac:dyDescent="0.25">
      <c r="A9" s="95" t="s">
        <v>1034</v>
      </c>
    </row>
    <row r="10" spans="1:6" x14ac:dyDescent="0.25">
      <c r="A10" s="95" t="s">
        <v>1045</v>
      </c>
    </row>
    <row r="11" spans="1:6" x14ac:dyDescent="0.25">
      <c r="A11" s="95" t="s">
        <v>1035</v>
      </c>
    </row>
    <row r="12" spans="1:6" x14ac:dyDescent="0.25">
      <c r="A12" s="95" t="s">
        <v>1037</v>
      </c>
    </row>
    <row r="13" spans="1:6" x14ac:dyDescent="0.25">
      <c r="A13" s="95" t="s">
        <v>1036</v>
      </c>
    </row>
    <row r="14" spans="1:6" x14ac:dyDescent="0.25">
      <c r="A14" s="95" t="s">
        <v>1038</v>
      </c>
    </row>
    <row r="15" spans="1:6" x14ac:dyDescent="0.25">
      <c r="A15" s="95" t="s">
        <v>1048</v>
      </c>
    </row>
    <row r="16" spans="1:6" x14ac:dyDescent="0.25">
      <c r="A16" s="95" t="s">
        <v>1039</v>
      </c>
    </row>
    <row r="17" spans="1:6" ht="16.5" x14ac:dyDescent="0.3">
      <c r="A17" s="96" t="s">
        <v>619</v>
      </c>
      <c r="B17" s="94" t="s">
        <v>691</v>
      </c>
      <c r="C17" s="94" t="s">
        <v>780</v>
      </c>
      <c r="D17" s="94" t="s">
        <v>867</v>
      </c>
      <c r="E17" s="94"/>
      <c r="F17" s="94" t="s">
        <v>1056</v>
      </c>
    </row>
    <row r="18" spans="1:6" ht="16.5" x14ac:dyDescent="0.3">
      <c r="A18" s="96" t="s">
        <v>620</v>
      </c>
      <c r="B18" s="94" t="s">
        <v>692</v>
      </c>
      <c r="C18" s="94" t="s">
        <v>781</v>
      </c>
      <c r="D18" s="94" t="s">
        <v>868</v>
      </c>
      <c r="E18" s="94"/>
      <c r="F18" s="94" t="s">
        <v>1057</v>
      </c>
    </row>
    <row r="19" spans="1:6" x14ac:dyDescent="0.25">
      <c r="A19" s="95" t="s">
        <v>1040</v>
      </c>
    </row>
    <row r="20" spans="1:6" x14ac:dyDescent="0.25">
      <c r="A20" s="97" t="s">
        <v>943</v>
      </c>
    </row>
    <row r="21" spans="1:6" x14ac:dyDescent="0.25">
      <c r="A21" s="95" t="s">
        <v>1041</v>
      </c>
    </row>
    <row r="22" spans="1:6" x14ac:dyDescent="0.25">
      <c r="A22" s="95" t="s">
        <v>944</v>
      </c>
    </row>
    <row r="23" spans="1:6" x14ac:dyDescent="0.25">
      <c r="A23" s="95" t="s">
        <v>1042</v>
      </c>
    </row>
    <row r="24" spans="1:6" x14ac:dyDescent="0.25">
      <c r="A24" s="95" t="s">
        <v>1043</v>
      </c>
    </row>
    <row r="25" spans="1:6" x14ac:dyDescent="0.25">
      <c r="A25" s="95" t="s">
        <v>1046</v>
      </c>
    </row>
    <row r="26" spans="1:6" x14ac:dyDescent="0.25">
      <c r="A26" s="95" t="s">
        <v>1044</v>
      </c>
    </row>
    <row r="27" spans="1:6" x14ac:dyDescent="0.25">
      <c r="A27" s="95" t="s">
        <v>1047</v>
      </c>
    </row>
  </sheetData>
  <sortState xmlns:xlrd2="http://schemas.microsoft.com/office/spreadsheetml/2017/richdata2" ref="A2:D27">
    <sortCondition ref="A2:A27"/>
  </sortState>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1DC-94A9-46E0-9EEA-040A97715940}">
  <dimension ref="A1:F62"/>
  <sheetViews>
    <sheetView workbookViewId="0">
      <selection activeCell="B1" sqref="B1:B1048576"/>
    </sheetView>
  </sheetViews>
  <sheetFormatPr defaultRowHeight="15" x14ac:dyDescent="0.25"/>
  <cols>
    <col min="1" max="1" width="15" customWidth="1"/>
    <col min="2" max="6" width="10.7109375" bestFit="1" customWidth="1"/>
  </cols>
  <sheetData>
    <row r="1" spans="1:6" x14ac:dyDescent="0.25">
      <c r="A1" t="s">
        <v>475</v>
      </c>
      <c r="B1" s="79">
        <v>45857</v>
      </c>
      <c r="C1" s="79">
        <v>45864</v>
      </c>
      <c r="D1" s="79">
        <v>45871</v>
      </c>
      <c r="E1" s="79">
        <v>45878</v>
      </c>
      <c r="F1" s="79">
        <v>45885</v>
      </c>
    </row>
    <row r="2" spans="1:6" ht="16.5" x14ac:dyDescent="0.3">
      <c r="A2" t="s">
        <v>507</v>
      </c>
      <c r="B2" s="90" t="s">
        <v>693</v>
      </c>
      <c r="C2" s="90" t="s">
        <v>782</v>
      </c>
      <c r="D2" s="90" t="s">
        <v>869</v>
      </c>
      <c r="E2" s="90" t="s">
        <v>582</v>
      </c>
      <c r="F2" s="90" t="s">
        <v>1058</v>
      </c>
    </row>
    <row r="3" spans="1:6" ht="16.5" x14ac:dyDescent="0.3">
      <c r="A3" t="s">
        <v>508</v>
      </c>
      <c r="B3" s="90" t="s">
        <v>686</v>
      </c>
      <c r="C3" s="90" t="s">
        <v>783</v>
      </c>
      <c r="D3" s="90" t="s">
        <v>913</v>
      </c>
      <c r="E3" s="90" t="s">
        <v>950</v>
      </c>
      <c r="F3" s="90" t="s">
        <v>1059</v>
      </c>
    </row>
    <row r="4" spans="1:6" ht="16.5" x14ac:dyDescent="0.3">
      <c r="A4" t="s">
        <v>509</v>
      </c>
      <c r="B4" s="90" t="s">
        <v>694</v>
      </c>
      <c r="C4" s="90" t="s">
        <v>784</v>
      </c>
      <c r="D4" s="90" t="s">
        <v>914</v>
      </c>
      <c r="E4" s="90" t="s">
        <v>951</v>
      </c>
      <c r="F4" s="90" t="s">
        <v>1060</v>
      </c>
    </row>
    <row r="5" spans="1:6" ht="16.5" x14ac:dyDescent="0.3">
      <c r="A5" t="s">
        <v>510</v>
      </c>
      <c r="B5" s="90" t="s">
        <v>695</v>
      </c>
      <c r="C5" s="90" t="s">
        <v>785</v>
      </c>
      <c r="D5" s="90" t="s">
        <v>886</v>
      </c>
      <c r="E5" s="90" t="s">
        <v>952</v>
      </c>
      <c r="F5" s="90" t="s">
        <v>1052</v>
      </c>
    </row>
    <row r="6" spans="1:6" ht="16.5" x14ac:dyDescent="0.3">
      <c r="A6" t="s">
        <v>511</v>
      </c>
      <c r="B6" s="90" t="s">
        <v>696</v>
      </c>
      <c r="C6" s="90" t="s">
        <v>786</v>
      </c>
      <c r="D6" s="90" t="s">
        <v>915</v>
      </c>
      <c r="E6" s="90" t="s">
        <v>953</v>
      </c>
      <c r="F6" s="90" t="s">
        <v>705</v>
      </c>
    </row>
    <row r="7" spans="1:6" ht="16.5" x14ac:dyDescent="0.3">
      <c r="A7" t="s">
        <v>512</v>
      </c>
      <c r="B7" s="90" t="s">
        <v>697</v>
      </c>
      <c r="C7" s="90" t="s">
        <v>787</v>
      </c>
      <c r="D7" s="90" t="s">
        <v>887</v>
      </c>
      <c r="E7" s="90" t="s">
        <v>954</v>
      </c>
      <c r="F7" s="90" t="s">
        <v>1061</v>
      </c>
    </row>
    <row r="8" spans="1:6" ht="16.5" x14ac:dyDescent="0.3">
      <c r="A8" t="s">
        <v>513</v>
      </c>
      <c r="B8" s="90" t="s">
        <v>698</v>
      </c>
      <c r="C8" s="90" t="s">
        <v>788</v>
      </c>
      <c r="D8" s="90" t="s">
        <v>888</v>
      </c>
      <c r="E8" s="90" t="s">
        <v>955</v>
      </c>
      <c r="F8" s="90" t="s">
        <v>1062</v>
      </c>
    </row>
    <row r="9" spans="1:6" ht="16.5" x14ac:dyDescent="0.3">
      <c r="A9" t="s">
        <v>514</v>
      </c>
      <c r="B9" s="90" t="s">
        <v>699</v>
      </c>
      <c r="C9" s="90" t="s">
        <v>789</v>
      </c>
      <c r="D9" s="90" t="s">
        <v>889</v>
      </c>
      <c r="E9" s="90" t="s">
        <v>956</v>
      </c>
      <c r="F9" s="90" t="s">
        <v>1063</v>
      </c>
    </row>
    <row r="10" spans="1:6" ht="16.5" x14ac:dyDescent="0.3">
      <c r="A10" t="s">
        <v>515</v>
      </c>
      <c r="B10" s="90" t="s">
        <v>700</v>
      </c>
      <c r="C10" s="90" t="s">
        <v>790</v>
      </c>
      <c r="D10" s="90" t="s">
        <v>890</v>
      </c>
      <c r="E10" s="90" t="s">
        <v>957</v>
      </c>
      <c r="F10" s="90" t="s">
        <v>1064</v>
      </c>
    </row>
    <row r="11" spans="1:6" ht="16.5" x14ac:dyDescent="0.3">
      <c r="A11" t="s">
        <v>516</v>
      </c>
      <c r="B11" s="90" t="s">
        <v>701</v>
      </c>
      <c r="C11" s="90" t="s">
        <v>791</v>
      </c>
      <c r="D11" s="90" t="s">
        <v>891</v>
      </c>
      <c r="E11" s="90" t="s">
        <v>958</v>
      </c>
      <c r="F11" s="90" t="s">
        <v>1065</v>
      </c>
    </row>
    <row r="12" spans="1:6" ht="16.5" x14ac:dyDescent="0.3">
      <c r="A12" t="s">
        <v>517</v>
      </c>
      <c r="B12" s="90" t="s">
        <v>702</v>
      </c>
      <c r="C12" s="90" t="s">
        <v>792</v>
      </c>
      <c r="D12" s="90" t="s">
        <v>892</v>
      </c>
      <c r="E12" s="90" t="s">
        <v>959</v>
      </c>
      <c r="F12" s="90" t="s">
        <v>1066</v>
      </c>
    </row>
    <row r="13" spans="1:6" ht="16.5" x14ac:dyDescent="0.3">
      <c r="A13" t="s">
        <v>518</v>
      </c>
      <c r="B13" s="90" t="s">
        <v>703</v>
      </c>
      <c r="C13" s="90" t="s">
        <v>793</v>
      </c>
      <c r="D13" s="90" t="s">
        <v>893</v>
      </c>
      <c r="E13" s="90" t="s">
        <v>960</v>
      </c>
      <c r="F13" s="90" t="s">
        <v>1049</v>
      </c>
    </row>
    <row r="14" spans="1:6" ht="16.5" x14ac:dyDescent="0.3">
      <c r="A14" t="s">
        <v>519</v>
      </c>
      <c r="B14" s="90" t="s">
        <v>704</v>
      </c>
      <c r="C14" s="90" t="s">
        <v>794</v>
      </c>
      <c r="D14" s="90" t="s">
        <v>894</v>
      </c>
      <c r="E14" s="90" t="s">
        <v>961</v>
      </c>
      <c r="F14" s="90" t="s">
        <v>1067</v>
      </c>
    </row>
    <row r="15" spans="1:6" ht="16.5" x14ac:dyDescent="0.3">
      <c r="A15" t="s">
        <v>520</v>
      </c>
      <c r="B15" s="90" t="s">
        <v>705</v>
      </c>
      <c r="C15" s="90" t="s">
        <v>795</v>
      </c>
      <c r="D15" s="90" t="s">
        <v>895</v>
      </c>
      <c r="E15" s="90" t="s">
        <v>962</v>
      </c>
      <c r="F15" s="90" t="s">
        <v>1068</v>
      </c>
    </row>
    <row r="16" spans="1:6" ht="16.5" x14ac:dyDescent="0.3">
      <c r="A16" t="s">
        <v>521</v>
      </c>
      <c r="B16" s="90" t="s">
        <v>706</v>
      </c>
      <c r="C16" s="90" t="s">
        <v>796</v>
      </c>
      <c r="D16" s="90" t="s">
        <v>916</v>
      </c>
      <c r="E16" s="90" t="s">
        <v>963</v>
      </c>
      <c r="F16" s="90" t="s">
        <v>1069</v>
      </c>
    </row>
    <row r="17" spans="1:6" ht="16.5" x14ac:dyDescent="0.3">
      <c r="A17" t="s">
        <v>522</v>
      </c>
      <c r="B17" s="90" t="s">
        <v>707</v>
      </c>
      <c r="C17" s="90" t="s">
        <v>797</v>
      </c>
      <c r="D17" s="90" t="s">
        <v>917</v>
      </c>
      <c r="E17" s="90" t="s">
        <v>964</v>
      </c>
      <c r="F17" s="90" t="s">
        <v>1070</v>
      </c>
    </row>
    <row r="18" spans="1:6" ht="16.5" x14ac:dyDescent="0.3">
      <c r="A18" t="s">
        <v>523</v>
      </c>
      <c r="B18" s="90" t="s">
        <v>708</v>
      </c>
      <c r="C18" s="90" t="s">
        <v>798</v>
      </c>
      <c r="D18" s="90" t="s">
        <v>896</v>
      </c>
      <c r="E18" s="90" t="s">
        <v>965</v>
      </c>
      <c r="F18" s="90" t="s">
        <v>1071</v>
      </c>
    </row>
    <row r="19" spans="1:6" ht="16.5" x14ac:dyDescent="0.3">
      <c r="A19" t="s">
        <v>524</v>
      </c>
      <c r="B19" s="90" t="s">
        <v>709</v>
      </c>
      <c r="C19" s="90" t="s">
        <v>799</v>
      </c>
      <c r="D19" s="90" t="s">
        <v>897</v>
      </c>
      <c r="E19" s="90" t="s">
        <v>966</v>
      </c>
      <c r="F19" s="90" t="s">
        <v>1072</v>
      </c>
    </row>
    <row r="20" spans="1:6" ht="16.5" x14ac:dyDescent="0.3">
      <c r="A20" t="s">
        <v>525</v>
      </c>
      <c r="B20" s="90" t="s">
        <v>710</v>
      </c>
      <c r="C20" s="90" t="s">
        <v>800</v>
      </c>
      <c r="D20" s="90" t="s">
        <v>918</v>
      </c>
      <c r="E20" s="90" t="s">
        <v>967</v>
      </c>
      <c r="F20" s="90" t="s">
        <v>1073</v>
      </c>
    </row>
    <row r="21" spans="1:6" ht="16.5" x14ac:dyDescent="0.3">
      <c r="A21" t="s">
        <v>526</v>
      </c>
      <c r="B21" s="90" t="s">
        <v>711</v>
      </c>
      <c r="C21" s="90" t="s">
        <v>801</v>
      </c>
      <c r="D21" s="90" t="s">
        <v>898</v>
      </c>
      <c r="E21" s="90" t="s">
        <v>968</v>
      </c>
      <c r="F21" s="90" t="s">
        <v>1074</v>
      </c>
    </row>
    <row r="22" spans="1:6" ht="16.5" x14ac:dyDescent="0.3">
      <c r="A22" t="s">
        <v>527</v>
      </c>
      <c r="B22" s="90" t="s">
        <v>712</v>
      </c>
      <c r="C22" s="90" t="s">
        <v>802</v>
      </c>
      <c r="D22" s="90" t="s">
        <v>899</v>
      </c>
      <c r="E22" s="90" t="s">
        <v>969</v>
      </c>
      <c r="F22" s="90" t="s">
        <v>1075</v>
      </c>
    </row>
    <row r="23" spans="1:6" ht="16.5" x14ac:dyDescent="0.3">
      <c r="A23" t="s">
        <v>528</v>
      </c>
      <c r="B23" s="90" t="s">
        <v>713</v>
      </c>
      <c r="C23" s="90" t="s">
        <v>803</v>
      </c>
      <c r="D23" s="90" t="s">
        <v>870</v>
      </c>
      <c r="E23" s="90" t="s">
        <v>970</v>
      </c>
      <c r="F23" s="90" t="s">
        <v>1076</v>
      </c>
    </row>
    <row r="24" spans="1:6" ht="16.5" x14ac:dyDescent="0.3">
      <c r="A24" t="s">
        <v>529</v>
      </c>
      <c r="B24" s="90" t="s">
        <v>714</v>
      </c>
      <c r="C24" s="90" t="s">
        <v>804</v>
      </c>
      <c r="D24" s="90" t="s">
        <v>900</v>
      </c>
      <c r="E24" s="90" t="s">
        <v>971</v>
      </c>
      <c r="F24" s="90" t="s">
        <v>1077</v>
      </c>
    </row>
    <row r="25" spans="1:6" x14ac:dyDescent="0.25">
      <c r="A25" t="s">
        <v>945</v>
      </c>
      <c r="E25" t="s">
        <v>1003</v>
      </c>
      <c r="F25" t="s">
        <v>1078</v>
      </c>
    </row>
    <row r="26" spans="1:6" ht="16.5" x14ac:dyDescent="0.3">
      <c r="A26" t="s">
        <v>530</v>
      </c>
      <c r="B26" s="90" t="s">
        <v>715</v>
      </c>
      <c r="C26" s="90" t="s">
        <v>805</v>
      </c>
      <c r="D26" s="90" t="s">
        <v>871</v>
      </c>
      <c r="E26" s="90" t="s">
        <v>972</v>
      </c>
      <c r="F26" s="90" t="s">
        <v>1079</v>
      </c>
    </row>
    <row r="27" spans="1:6" x14ac:dyDescent="0.25">
      <c r="A27" t="s">
        <v>946</v>
      </c>
      <c r="E27" t="s">
        <v>1004</v>
      </c>
      <c r="F27" t="s">
        <v>1080</v>
      </c>
    </row>
    <row r="28" spans="1:6" ht="16.5" x14ac:dyDescent="0.3">
      <c r="A28" t="s">
        <v>497</v>
      </c>
      <c r="B28" s="90" t="s">
        <v>716</v>
      </c>
      <c r="C28" s="90" t="s">
        <v>806</v>
      </c>
      <c r="D28" s="90" t="s">
        <v>872</v>
      </c>
      <c r="E28" s="90" t="s">
        <v>973</v>
      </c>
      <c r="F28" s="90" t="s">
        <v>1081</v>
      </c>
    </row>
    <row r="29" spans="1:6" ht="16.5" x14ac:dyDescent="0.3">
      <c r="A29" t="s">
        <v>531</v>
      </c>
      <c r="B29" s="90" t="s">
        <v>717</v>
      </c>
      <c r="C29" s="90" t="s">
        <v>807</v>
      </c>
      <c r="D29" s="90" t="s">
        <v>901</v>
      </c>
      <c r="E29" s="90" t="s">
        <v>974</v>
      </c>
      <c r="F29" s="90" t="s">
        <v>583</v>
      </c>
    </row>
    <row r="30" spans="1:6" ht="16.5" x14ac:dyDescent="0.3">
      <c r="A30" t="s">
        <v>532</v>
      </c>
      <c r="B30" s="90" t="s">
        <v>718</v>
      </c>
      <c r="C30" s="90" t="s">
        <v>808</v>
      </c>
      <c r="D30" s="90" t="s">
        <v>902</v>
      </c>
      <c r="E30" s="90" t="s">
        <v>975</v>
      </c>
      <c r="F30" s="90" t="s">
        <v>1082</v>
      </c>
    </row>
    <row r="31" spans="1:6" ht="16.5" x14ac:dyDescent="0.3">
      <c r="A31" t="s">
        <v>533</v>
      </c>
      <c r="B31" s="90" t="s">
        <v>719</v>
      </c>
      <c r="C31" s="90" t="s">
        <v>809</v>
      </c>
      <c r="D31" s="90" t="s">
        <v>903</v>
      </c>
      <c r="E31" s="90" t="s">
        <v>976</v>
      </c>
      <c r="F31" s="90" t="s">
        <v>1083</v>
      </c>
    </row>
    <row r="32" spans="1:6" x14ac:dyDescent="0.25">
      <c r="A32" t="s">
        <v>947</v>
      </c>
      <c r="E32" t="s">
        <v>1005</v>
      </c>
      <c r="F32" t="s">
        <v>1084</v>
      </c>
    </row>
    <row r="33" spans="1:6" ht="16.5" x14ac:dyDescent="0.3">
      <c r="A33" t="s">
        <v>534</v>
      </c>
      <c r="B33" s="90" t="s">
        <v>720</v>
      </c>
      <c r="C33" s="90" t="s">
        <v>810</v>
      </c>
      <c r="D33" s="90" t="s">
        <v>904</v>
      </c>
      <c r="E33" s="90" t="s">
        <v>977</v>
      </c>
      <c r="F33" s="90" t="s">
        <v>1085</v>
      </c>
    </row>
    <row r="34" spans="1:6" x14ac:dyDescent="0.25">
      <c r="A34" t="s">
        <v>948</v>
      </c>
      <c r="E34" t="s">
        <v>1006</v>
      </c>
      <c r="F34" t="s">
        <v>1086</v>
      </c>
    </row>
    <row r="35" spans="1:6" ht="16.5" x14ac:dyDescent="0.3">
      <c r="A35" t="s">
        <v>535</v>
      </c>
      <c r="B35" s="90" t="s">
        <v>721</v>
      </c>
      <c r="C35" s="90" t="s">
        <v>811</v>
      </c>
      <c r="D35" s="90" t="s">
        <v>873</v>
      </c>
      <c r="E35" s="90" t="s">
        <v>978</v>
      </c>
      <c r="F35" s="90" t="s">
        <v>1087</v>
      </c>
    </row>
    <row r="36" spans="1:6" x14ac:dyDescent="0.25">
      <c r="A36" t="s">
        <v>535</v>
      </c>
      <c r="E36" t="s">
        <v>978</v>
      </c>
      <c r="F36" t="s">
        <v>1087</v>
      </c>
    </row>
    <row r="37" spans="1:6" ht="16.5" x14ac:dyDescent="0.3">
      <c r="A37" t="s">
        <v>536</v>
      </c>
      <c r="B37" s="90" t="s">
        <v>722</v>
      </c>
      <c r="C37" s="90" t="s">
        <v>812</v>
      </c>
      <c r="D37" s="90" t="s">
        <v>905</v>
      </c>
      <c r="E37" s="90" t="s">
        <v>979</v>
      </c>
      <c r="F37" s="90" t="s">
        <v>1088</v>
      </c>
    </row>
    <row r="38" spans="1:6" ht="16.5" x14ac:dyDescent="0.3">
      <c r="A38" t="s">
        <v>537</v>
      </c>
      <c r="B38" s="90" t="s">
        <v>723</v>
      </c>
      <c r="C38" s="90" t="s">
        <v>813</v>
      </c>
      <c r="D38" s="90" t="s">
        <v>874</v>
      </c>
      <c r="E38" s="90" t="s">
        <v>980</v>
      </c>
      <c r="F38" s="90" t="s">
        <v>1089</v>
      </c>
    </row>
    <row r="39" spans="1:6" ht="16.5" x14ac:dyDescent="0.3">
      <c r="A39" t="s">
        <v>538</v>
      </c>
      <c r="B39" s="90" t="s">
        <v>724</v>
      </c>
      <c r="C39" s="90" t="s">
        <v>814</v>
      </c>
      <c r="D39" s="90" t="s">
        <v>919</v>
      </c>
      <c r="E39" s="90" t="s">
        <v>981</v>
      </c>
      <c r="F39" s="90" t="s">
        <v>1090</v>
      </c>
    </row>
    <row r="40" spans="1:6" x14ac:dyDescent="0.25">
      <c r="A40" t="s">
        <v>949</v>
      </c>
      <c r="E40" t="s">
        <v>1007</v>
      </c>
      <c r="F40" t="s">
        <v>1091</v>
      </c>
    </row>
    <row r="41" spans="1:6" ht="16.5" x14ac:dyDescent="0.3">
      <c r="A41" t="s">
        <v>539</v>
      </c>
      <c r="B41" s="90" t="s">
        <v>725</v>
      </c>
      <c r="C41" s="90" t="s">
        <v>815</v>
      </c>
      <c r="D41" s="90" t="s">
        <v>885</v>
      </c>
      <c r="E41" s="90" t="s">
        <v>982</v>
      </c>
      <c r="F41" s="90" t="s">
        <v>1092</v>
      </c>
    </row>
    <row r="42" spans="1:6" ht="16.5" x14ac:dyDescent="0.3">
      <c r="A42" t="s">
        <v>540</v>
      </c>
      <c r="B42" s="90" t="s">
        <v>726</v>
      </c>
      <c r="C42" s="90" t="s">
        <v>816</v>
      </c>
      <c r="D42" s="90" t="s">
        <v>920</v>
      </c>
      <c r="E42" s="90" t="s">
        <v>983</v>
      </c>
      <c r="F42" s="90" t="s">
        <v>1093</v>
      </c>
    </row>
    <row r="43" spans="1:6" ht="16.5" x14ac:dyDescent="0.3">
      <c r="A43" t="s">
        <v>541</v>
      </c>
      <c r="B43" s="90" t="s">
        <v>727</v>
      </c>
      <c r="C43" s="90" t="s">
        <v>817</v>
      </c>
      <c r="D43" s="90" t="s">
        <v>906</v>
      </c>
      <c r="E43" s="90" t="s">
        <v>984</v>
      </c>
      <c r="F43" s="90" t="s">
        <v>1094</v>
      </c>
    </row>
    <row r="44" spans="1:6" ht="16.5" x14ac:dyDescent="0.3">
      <c r="A44" t="s">
        <v>542</v>
      </c>
      <c r="B44" s="90" t="s">
        <v>728</v>
      </c>
      <c r="C44" s="90" t="s">
        <v>818</v>
      </c>
      <c r="D44" s="90" t="s">
        <v>875</v>
      </c>
      <c r="E44" s="90" t="s">
        <v>985</v>
      </c>
      <c r="F44" s="90" t="s">
        <v>1095</v>
      </c>
    </row>
    <row r="45" spans="1:6" ht="16.5" x14ac:dyDescent="0.3">
      <c r="A45" t="s">
        <v>543</v>
      </c>
      <c r="B45" s="90" t="s">
        <v>729</v>
      </c>
      <c r="C45" s="90" t="s">
        <v>819</v>
      </c>
      <c r="D45" s="90" t="s">
        <v>907</v>
      </c>
      <c r="E45" s="90" t="s">
        <v>986</v>
      </c>
      <c r="F45" s="90" t="s">
        <v>1096</v>
      </c>
    </row>
    <row r="46" spans="1:6" ht="16.5" x14ac:dyDescent="0.3">
      <c r="A46" t="s">
        <v>544</v>
      </c>
      <c r="B46" s="90" t="s">
        <v>730</v>
      </c>
      <c r="C46" s="90" t="s">
        <v>820</v>
      </c>
      <c r="D46" s="90" t="s">
        <v>921</v>
      </c>
      <c r="E46" s="90" t="s">
        <v>987</v>
      </c>
      <c r="F46" s="90" t="s">
        <v>1097</v>
      </c>
    </row>
    <row r="47" spans="1:6" ht="16.5" x14ac:dyDescent="0.3">
      <c r="A47" t="s">
        <v>545</v>
      </c>
      <c r="B47" s="90" t="s">
        <v>731</v>
      </c>
      <c r="C47" s="90" t="s">
        <v>821</v>
      </c>
      <c r="D47" s="90" t="s">
        <v>876</v>
      </c>
      <c r="E47" s="90" t="s">
        <v>988</v>
      </c>
      <c r="F47" s="90" t="s">
        <v>1098</v>
      </c>
    </row>
    <row r="48" spans="1:6" ht="16.5" x14ac:dyDescent="0.3">
      <c r="A48" t="s">
        <v>546</v>
      </c>
      <c r="B48" s="90" t="s">
        <v>732</v>
      </c>
      <c r="C48" s="90" t="s">
        <v>822</v>
      </c>
      <c r="D48" s="90" t="s">
        <v>877</v>
      </c>
      <c r="E48" s="90" t="s">
        <v>989</v>
      </c>
      <c r="F48" s="90" t="s">
        <v>1099</v>
      </c>
    </row>
    <row r="49" spans="1:6" ht="16.5" x14ac:dyDescent="0.3">
      <c r="A49" t="s">
        <v>547</v>
      </c>
      <c r="B49" s="90" t="s">
        <v>733</v>
      </c>
      <c r="C49" s="90" t="s">
        <v>823</v>
      </c>
      <c r="D49" s="90" t="s">
        <v>908</v>
      </c>
      <c r="E49" s="90" t="s">
        <v>762</v>
      </c>
      <c r="F49" s="90" t="s">
        <v>1101</v>
      </c>
    </row>
    <row r="50" spans="1:6" ht="16.5" x14ac:dyDescent="0.3">
      <c r="A50" t="s">
        <v>548</v>
      </c>
      <c r="B50" s="90" t="s">
        <v>734</v>
      </c>
      <c r="C50" s="90" t="s">
        <v>824</v>
      </c>
      <c r="D50" s="90" t="s">
        <v>909</v>
      </c>
      <c r="E50" s="90" t="s">
        <v>990</v>
      </c>
      <c r="F50" s="90" t="s">
        <v>1102</v>
      </c>
    </row>
    <row r="51" spans="1:6" ht="16.5" x14ac:dyDescent="0.3">
      <c r="A51" t="s">
        <v>549</v>
      </c>
      <c r="B51" s="90" t="s">
        <v>735</v>
      </c>
      <c r="C51" s="90" t="s">
        <v>825</v>
      </c>
      <c r="D51" s="90" t="s">
        <v>910</v>
      </c>
      <c r="E51" s="90" t="s">
        <v>991</v>
      </c>
      <c r="F51" s="90" t="s">
        <v>1103</v>
      </c>
    </row>
    <row r="52" spans="1:6" ht="16.5" x14ac:dyDescent="0.3">
      <c r="A52" t="s">
        <v>550</v>
      </c>
      <c r="B52" s="90" t="s">
        <v>736</v>
      </c>
      <c r="C52" s="90" t="s">
        <v>826</v>
      </c>
      <c r="D52" s="90" t="s">
        <v>922</v>
      </c>
      <c r="E52" s="90" t="s">
        <v>992</v>
      </c>
      <c r="F52" s="90" t="s">
        <v>1104</v>
      </c>
    </row>
    <row r="53" spans="1:6" ht="16.5" x14ac:dyDescent="0.3">
      <c r="A53" t="s">
        <v>551</v>
      </c>
      <c r="B53" s="90" t="s">
        <v>737</v>
      </c>
      <c r="C53" s="90" t="s">
        <v>827</v>
      </c>
      <c r="D53" s="90" t="s">
        <v>878</v>
      </c>
      <c r="E53" s="90" t="s">
        <v>993</v>
      </c>
      <c r="F53" s="90" t="s">
        <v>1105</v>
      </c>
    </row>
    <row r="54" spans="1:6" ht="16.5" x14ac:dyDescent="0.3">
      <c r="A54" t="s">
        <v>552</v>
      </c>
      <c r="B54" s="90" t="s">
        <v>738</v>
      </c>
      <c r="C54" s="90" t="s">
        <v>828</v>
      </c>
      <c r="D54" s="90" t="s">
        <v>879</v>
      </c>
      <c r="E54" s="90" t="s">
        <v>994</v>
      </c>
      <c r="F54" s="90" t="s">
        <v>1106</v>
      </c>
    </row>
    <row r="55" spans="1:6" ht="16.5" x14ac:dyDescent="0.3">
      <c r="A55" t="s">
        <v>553</v>
      </c>
      <c r="B55" s="90" t="s">
        <v>739</v>
      </c>
      <c r="C55" s="90" t="s">
        <v>829</v>
      </c>
      <c r="D55" s="90" t="s">
        <v>923</v>
      </c>
      <c r="E55" s="90" t="s">
        <v>995</v>
      </c>
      <c r="F55" s="90" t="s">
        <v>1107</v>
      </c>
    </row>
    <row r="56" spans="1:6" ht="16.5" x14ac:dyDescent="0.3">
      <c r="A56" t="s">
        <v>554</v>
      </c>
      <c r="B56" s="90" t="s">
        <v>740</v>
      </c>
      <c r="C56" s="90" t="s">
        <v>830</v>
      </c>
      <c r="D56" s="90" t="s">
        <v>911</v>
      </c>
      <c r="E56" s="90" t="s">
        <v>996</v>
      </c>
      <c r="F56" s="90" t="s">
        <v>1108</v>
      </c>
    </row>
    <row r="57" spans="1:6" ht="16.5" x14ac:dyDescent="0.3">
      <c r="A57" t="s">
        <v>555</v>
      </c>
      <c r="B57" s="90" t="s">
        <v>741</v>
      </c>
      <c r="C57" s="90" t="s">
        <v>831</v>
      </c>
      <c r="D57" s="90" t="s">
        <v>880</v>
      </c>
      <c r="E57" s="90" t="s">
        <v>997</v>
      </c>
      <c r="F57" s="90" t="s">
        <v>1109</v>
      </c>
    </row>
    <row r="58" spans="1:6" ht="16.5" x14ac:dyDescent="0.3">
      <c r="A58" t="s">
        <v>556</v>
      </c>
      <c r="B58" s="90" t="s">
        <v>742</v>
      </c>
      <c r="C58" s="90" t="s">
        <v>832</v>
      </c>
      <c r="D58" s="90" t="s">
        <v>881</v>
      </c>
      <c r="E58" s="90" t="s">
        <v>998</v>
      </c>
      <c r="F58" s="90" t="s">
        <v>1110</v>
      </c>
    </row>
    <row r="59" spans="1:6" ht="16.5" x14ac:dyDescent="0.3">
      <c r="A59" t="s">
        <v>557</v>
      </c>
      <c r="B59" s="90" t="s">
        <v>743</v>
      </c>
      <c r="C59" s="90" t="s">
        <v>833</v>
      </c>
      <c r="D59" s="90" t="s">
        <v>912</v>
      </c>
      <c r="E59" s="90" t="s">
        <v>999</v>
      </c>
      <c r="F59" s="90" t="s">
        <v>1111</v>
      </c>
    </row>
    <row r="60" spans="1:6" ht="16.5" x14ac:dyDescent="0.3">
      <c r="A60" t="s">
        <v>558</v>
      </c>
      <c r="B60" s="90" t="s">
        <v>744</v>
      </c>
      <c r="C60" s="90" t="s">
        <v>834</v>
      </c>
      <c r="D60" s="90" t="s">
        <v>882</v>
      </c>
      <c r="E60" s="90" t="s">
        <v>1000</v>
      </c>
      <c r="F60" s="90" t="s">
        <v>1112</v>
      </c>
    </row>
    <row r="61" spans="1:6" ht="16.5" x14ac:dyDescent="0.3">
      <c r="A61" t="s">
        <v>559</v>
      </c>
      <c r="B61" s="90" t="s">
        <v>745</v>
      </c>
      <c r="C61" s="90" t="s">
        <v>835</v>
      </c>
      <c r="D61" s="90" t="s">
        <v>883</v>
      </c>
      <c r="E61" s="90" t="s">
        <v>1001</v>
      </c>
      <c r="F61" s="90" t="s">
        <v>1113</v>
      </c>
    </row>
    <row r="62" spans="1:6" ht="16.5" x14ac:dyDescent="0.3">
      <c r="A62" t="s">
        <v>560</v>
      </c>
      <c r="B62" s="90" t="s">
        <v>746</v>
      </c>
      <c r="C62" s="90" t="s">
        <v>836</v>
      </c>
      <c r="D62" s="90" t="s">
        <v>884</v>
      </c>
      <c r="E62" s="90" t="s">
        <v>1002</v>
      </c>
      <c r="F62" s="90" t="s">
        <v>1114</v>
      </c>
    </row>
  </sheetData>
  <sortState xmlns:xlrd2="http://schemas.microsoft.com/office/spreadsheetml/2017/richdata2" ref="A2:E62">
    <sortCondition ref="A2:A62"/>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79CF-2D86-4F14-B6E2-0A64E9EB3B87}">
  <dimension ref="A1:F21"/>
  <sheetViews>
    <sheetView workbookViewId="0">
      <selection activeCell="B1" sqref="B1:B1048576"/>
    </sheetView>
  </sheetViews>
  <sheetFormatPr defaultRowHeight="15" x14ac:dyDescent="0.25"/>
  <cols>
    <col min="2" max="6" width="10.7109375" bestFit="1" customWidth="1"/>
  </cols>
  <sheetData>
    <row r="1" spans="1:6" x14ac:dyDescent="0.25">
      <c r="A1" t="s">
        <v>475</v>
      </c>
      <c r="B1" s="79">
        <v>45857</v>
      </c>
      <c r="C1" s="79">
        <v>45864</v>
      </c>
      <c r="D1" s="79">
        <v>45871</v>
      </c>
      <c r="E1" s="79">
        <v>45878</v>
      </c>
      <c r="F1" s="79">
        <v>45885</v>
      </c>
    </row>
    <row r="2" spans="1:6" ht="16.5" x14ac:dyDescent="0.3">
      <c r="A2" t="s">
        <v>566</v>
      </c>
      <c r="B2" s="90" t="s">
        <v>747</v>
      </c>
      <c r="C2" s="90" t="s">
        <v>837</v>
      </c>
      <c r="D2" s="90" t="s">
        <v>924</v>
      </c>
      <c r="E2" s="90" t="s">
        <v>924</v>
      </c>
      <c r="F2" s="90" t="s">
        <v>1115</v>
      </c>
    </row>
    <row r="3" spans="1:6" ht="16.5" x14ac:dyDescent="0.3">
      <c r="A3" t="s">
        <v>567</v>
      </c>
      <c r="B3" s="90" t="s">
        <v>748</v>
      </c>
      <c r="C3" s="90" t="s">
        <v>838</v>
      </c>
      <c r="D3" s="90" t="s">
        <v>748</v>
      </c>
      <c r="E3" s="90" t="s">
        <v>1008</v>
      </c>
      <c r="F3" s="90" t="s">
        <v>1116</v>
      </c>
    </row>
    <row r="4" spans="1:6" ht="16.5" x14ac:dyDescent="0.3">
      <c r="A4" t="s">
        <v>572</v>
      </c>
      <c r="B4" s="90" t="s">
        <v>749</v>
      </c>
      <c r="C4" s="90" t="s">
        <v>839</v>
      </c>
      <c r="D4" s="90" t="s">
        <v>925</v>
      </c>
      <c r="E4" s="90" t="s">
        <v>1009</v>
      </c>
      <c r="F4" s="90" t="s">
        <v>1117</v>
      </c>
    </row>
    <row r="5" spans="1:6" ht="16.5" x14ac:dyDescent="0.3">
      <c r="A5" t="s">
        <v>578</v>
      </c>
      <c r="B5" s="90" t="s">
        <v>750</v>
      </c>
      <c r="C5" s="90" t="s">
        <v>840</v>
      </c>
      <c r="D5" s="90" t="s">
        <v>926</v>
      </c>
      <c r="E5" s="90" t="s">
        <v>1010</v>
      </c>
      <c r="F5" s="90" t="s">
        <v>1118</v>
      </c>
    </row>
    <row r="6" spans="1:6" ht="16.5" x14ac:dyDescent="0.3">
      <c r="A6" t="s">
        <v>563</v>
      </c>
      <c r="B6" s="90" t="s">
        <v>751</v>
      </c>
      <c r="C6" s="90" t="s">
        <v>841</v>
      </c>
      <c r="D6" s="90" t="s">
        <v>927</v>
      </c>
      <c r="E6" s="90" t="s">
        <v>1011</v>
      </c>
      <c r="F6" s="90" t="s">
        <v>1119</v>
      </c>
    </row>
    <row r="7" spans="1:6" ht="16.5" x14ac:dyDescent="0.3">
      <c r="A7" t="s">
        <v>574</v>
      </c>
      <c r="B7" s="90" t="s">
        <v>752</v>
      </c>
      <c r="C7" s="90" t="s">
        <v>842</v>
      </c>
      <c r="D7" s="90" t="s">
        <v>928</v>
      </c>
      <c r="E7" s="90" t="s">
        <v>1012</v>
      </c>
      <c r="F7" s="90" t="s">
        <v>1120</v>
      </c>
    </row>
    <row r="8" spans="1:6" ht="16.5" x14ac:dyDescent="0.3">
      <c r="A8" t="s">
        <v>571</v>
      </c>
      <c r="B8" s="90" t="s">
        <v>753</v>
      </c>
      <c r="C8" s="90" t="s">
        <v>843</v>
      </c>
      <c r="D8" s="90" t="s">
        <v>929</v>
      </c>
      <c r="E8" s="90" t="s">
        <v>1013</v>
      </c>
      <c r="F8" s="90" t="s">
        <v>1121</v>
      </c>
    </row>
    <row r="9" spans="1:6" ht="16.5" x14ac:dyDescent="0.3">
      <c r="A9" t="s">
        <v>564</v>
      </c>
      <c r="B9" s="90" t="s">
        <v>754</v>
      </c>
      <c r="C9" s="90" t="s">
        <v>844</v>
      </c>
      <c r="D9" s="90" t="s">
        <v>930</v>
      </c>
      <c r="E9" s="90" t="s">
        <v>1014</v>
      </c>
      <c r="F9" s="90" t="s">
        <v>844</v>
      </c>
    </row>
    <row r="10" spans="1:6" ht="16.5" x14ac:dyDescent="0.3">
      <c r="A10" t="s">
        <v>580</v>
      </c>
      <c r="B10" s="90" t="s">
        <v>755</v>
      </c>
      <c r="C10" s="90" t="s">
        <v>845</v>
      </c>
      <c r="D10" s="90" t="s">
        <v>931</v>
      </c>
      <c r="E10" s="90" t="s">
        <v>1015</v>
      </c>
      <c r="F10" s="90" t="s">
        <v>1122</v>
      </c>
    </row>
    <row r="11" spans="1:6" ht="16.5" x14ac:dyDescent="0.3">
      <c r="A11" t="s">
        <v>570</v>
      </c>
      <c r="B11" s="90" t="s">
        <v>756</v>
      </c>
      <c r="C11" s="90" t="s">
        <v>846</v>
      </c>
      <c r="D11" s="90" t="s">
        <v>932</v>
      </c>
      <c r="E11" s="90" t="s">
        <v>1016</v>
      </c>
      <c r="F11" s="90" t="s">
        <v>1123</v>
      </c>
    </row>
    <row r="12" spans="1:6" ht="16.5" x14ac:dyDescent="0.3">
      <c r="A12" t="s">
        <v>579</v>
      </c>
      <c r="B12" s="90" t="s">
        <v>757</v>
      </c>
      <c r="C12" s="90" t="s">
        <v>847</v>
      </c>
      <c r="D12" s="90" t="s">
        <v>933</v>
      </c>
      <c r="E12" s="90" t="s">
        <v>1017</v>
      </c>
      <c r="F12" s="90" t="s">
        <v>1124</v>
      </c>
    </row>
    <row r="13" spans="1:6" ht="16.5" x14ac:dyDescent="0.3">
      <c r="A13" t="s">
        <v>561</v>
      </c>
      <c r="B13" s="90" t="s">
        <v>758</v>
      </c>
      <c r="C13" s="90" t="s">
        <v>848</v>
      </c>
      <c r="D13" s="90" t="s">
        <v>934</v>
      </c>
      <c r="E13" s="90" t="s">
        <v>1018</v>
      </c>
      <c r="F13" s="90" t="s">
        <v>1125</v>
      </c>
    </row>
    <row r="14" spans="1:6" ht="16.5" x14ac:dyDescent="0.3">
      <c r="A14" t="s">
        <v>576</v>
      </c>
      <c r="B14" s="90" t="s">
        <v>759</v>
      </c>
      <c r="C14" s="90" t="s">
        <v>849</v>
      </c>
      <c r="D14" s="90" t="s">
        <v>935</v>
      </c>
      <c r="E14" s="90" t="s">
        <v>1019</v>
      </c>
      <c r="F14" s="90" t="s">
        <v>1126</v>
      </c>
    </row>
    <row r="15" spans="1:6" ht="16.5" x14ac:dyDescent="0.3">
      <c r="A15" t="s">
        <v>575</v>
      </c>
      <c r="B15" s="90" t="s">
        <v>760</v>
      </c>
      <c r="C15" s="90" t="s">
        <v>850</v>
      </c>
      <c r="D15" s="90" t="s">
        <v>936</v>
      </c>
      <c r="E15" s="90" t="s">
        <v>1020</v>
      </c>
      <c r="F15" s="90" t="s">
        <v>1127</v>
      </c>
    </row>
    <row r="16" spans="1:6" ht="16.5" x14ac:dyDescent="0.3">
      <c r="A16" t="s">
        <v>577</v>
      </c>
      <c r="B16" s="90" t="s">
        <v>761</v>
      </c>
      <c r="C16" s="90" t="s">
        <v>851</v>
      </c>
      <c r="D16" s="90" t="s">
        <v>937</v>
      </c>
      <c r="E16" s="90" t="s">
        <v>1021</v>
      </c>
      <c r="F16" s="90" t="s">
        <v>1128</v>
      </c>
    </row>
    <row r="17" spans="1:6" ht="16.5" x14ac:dyDescent="0.3">
      <c r="A17" t="s">
        <v>565</v>
      </c>
      <c r="B17" s="90" t="s">
        <v>762</v>
      </c>
      <c r="C17" s="90" t="s">
        <v>852</v>
      </c>
      <c r="D17" s="90" t="s">
        <v>938</v>
      </c>
      <c r="E17" s="90" t="s">
        <v>938</v>
      </c>
      <c r="F17" s="90" t="s">
        <v>1100</v>
      </c>
    </row>
    <row r="18" spans="1:6" ht="16.5" x14ac:dyDescent="0.3">
      <c r="A18" t="s">
        <v>573</v>
      </c>
      <c r="B18" s="90" t="s">
        <v>763</v>
      </c>
      <c r="C18" s="90" t="s">
        <v>853</v>
      </c>
      <c r="D18" s="90" t="s">
        <v>939</v>
      </c>
      <c r="E18" s="90" t="s">
        <v>1022</v>
      </c>
      <c r="F18" s="90" t="s">
        <v>1129</v>
      </c>
    </row>
    <row r="19" spans="1:6" ht="16.5" x14ac:dyDescent="0.3">
      <c r="A19" t="s">
        <v>568</v>
      </c>
      <c r="B19" s="90" t="s">
        <v>764</v>
      </c>
      <c r="C19" s="90" t="s">
        <v>854</v>
      </c>
      <c r="D19" s="90" t="s">
        <v>940</v>
      </c>
      <c r="E19" s="90" t="s">
        <v>1023</v>
      </c>
      <c r="F19" s="90" t="s">
        <v>1130</v>
      </c>
    </row>
    <row r="20" spans="1:6" ht="16.5" x14ac:dyDescent="0.3">
      <c r="A20" t="s">
        <v>569</v>
      </c>
      <c r="B20" s="90" t="s">
        <v>765</v>
      </c>
      <c r="C20" s="90" t="s">
        <v>855</v>
      </c>
      <c r="D20" s="90" t="s">
        <v>941</v>
      </c>
      <c r="E20" s="90" t="s">
        <v>1024</v>
      </c>
      <c r="F20" s="90" t="s">
        <v>1131</v>
      </c>
    </row>
    <row r="21" spans="1:6" ht="16.5" x14ac:dyDescent="0.3">
      <c r="A21" t="s">
        <v>562</v>
      </c>
      <c r="B21" s="90" t="s">
        <v>766</v>
      </c>
      <c r="C21" s="90" t="s">
        <v>856</v>
      </c>
      <c r="D21" s="90" t="s">
        <v>942</v>
      </c>
      <c r="E21" s="90" t="s">
        <v>1025</v>
      </c>
      <c r="F21" s="90" t="s">
        <v>1132</v>
      </c>
    </row>
  </sheetData>
  <sortState xmlns:xlrd2="http://schemas.microsoft.com/office/spreadsheetml/2017/richdata2" ref="A2:E150">
    <sortCondition ref="A2:A150"/>
  </sortState>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7"/>
  <sheetViews>
    <sheetView workbookViewId="0">
      <selection activeCell="H12" sqref="H12"/>
    </sheetView>
  </sheetViews>
  <sheetFormatPr defaultRowHeight="15" x14ac:dyDescent="0.25"/>
  <cols>
    <col min="2" max="6" width="10.7109375" bestFit="1" customWidth="1"/>
  </cols>
  <sheetData>
    <row r="1" spans="1:6" x14ac:dyDescent="0.25">
      <c r="A1" t="s">
        <v>475</v>
      </c>
      <c r="B1" s="79">
        <v>45857</v>
      </c>
      <c r="C1" s="79">
        <v>45864</v>
      </c>
      <c r="D1" s="79">
        <v>45871</v>
      </c>
      <c r="E1" s="79">
        <v>45878</v>
      </c>
      <c r="F1" s="79">
        <v>45885</v>
      </c>
    </row>
    <row r="2" spans="1:6" ht="16.5" x14ac:dyDescent="0.3">
      <c r="A2" t="s">
        <v>585</v>
      </c>
      <c r="B2" s="94" t="s">
        <v>684</v>
      </c>
      <c r="C2" s="94" t="s">
        <v>774</v>
      </c>
      <c r="D2" s="94" t="s">
        <v>861</v>
      </c>
      <c r="E2" s="94" t="s">
        <v>1030</v>
      </c>
      <c r="F2" s="94" t="s">
        <v>1050</v>
      </c>
    </row>
    <row r="3" spans="1:6" ht="16.5" x14ac:dyDescent="0.3">
      <c r="A3" t="s">
        <v>584</v>
      </c>
      <c r="B3" s="94" t="s">
        <v>683</v>
      </c>
      <c r="C3" s="94" t="s">
        <v>773</v>
      </c>
      <c r="D3" s="94" t="s">
        <v>860</v>
      </c>
      <c r="E3" s="94" t="s">
        <v>1029</v>
      </c>
      <c r="F3" s="94" t="s">
        <v>1133</v>
      </c>
    </row>
    <row r="4" spans="1:6" ht="16.5" x14ac:dyDescent="0.3">
      <c r="A4" t="s">
        <v>505</v>
      </c>
      <c r="B4" s="94" t="s">
        <v>680</v>
      </c>
      <c r="C4" s="94" t="s">
        <v>770</v>
      </c>
      <c r="D4" s="94" t="s">
        <v>857</v>
      </c>
      <c r="E4" s="94" t="s">
        <v>1026</v>
      </c>
      <c r="F4" s="94" t="s">
        <v>1134</v>
      </c>
    </row>
    <row r="5" spans="1:6" ht="16.5" x14ac:dyDescent="0.3">
      <c r="A5" t="s">
        <v>506</v>
      </c>
      <c r="B5" s="94" t="s">
        <v>681</v>
      </c>
      <c r="C5" s="94" t="s">
        <v>771</v>
      </c>
      <c r="D5" s="94" t="s">
        <v>858</v>
      </c>
      <c r="E5" s="94" t="s">
        <v>1027</v>
      </c>
      <c r="F5" s="94" t="s">
        <v>1135</v>
      </c>
    </row>
    <row r="6" spans="1:6" ht="16.5" x14ac:dyDescent="0.3">
      <c r="A6" t="s">
        <v>581</v>
      </c>
      <c r="B6" s="94" t="s">
        <v>682</v>
      </c>
      <c r="C6" s="94" t="s">
        <v>772</v>
      </c>
      <c r="D6" s="94" t="s">
        <v>859</v>
      </c>
      <c r="E6" s="94" t="s">
        <v>1028</v>
      </c>
      <c r="F6" s="94" t="s">
        <v>1136</v>
      </c>
    </row>
    <row r="7" spans="1:6" ht="16.5" x14ac:dyDescent="0.3">
      <c r="A7" t="s">
        <v>586</v>
      </c>
      <c r="B7" s="94" t="s">
        <v>685</v>
      </c>
      <c r="C7" s="94" t="s">
        <v>775</v>
      </c>
      <c r="D7" s="94" t="s">
        <v>862</v>
      </c>
      <c r="E7" s="94" t="s">
        <v>1031</v>
      </c>
      <c r="F7" s="94" t="s">
        <v>1137</v>
      </c>
    </row>
  </sheetData>
  <sortState xmlns:xlrd2="http://schemas.microsoft.com/office/spreadsheetml/2017/richdata2" ref="A2:D7">
    <sortCondition ref="A2:A7"/>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N95"/>
  <sheetViews>
    <sheetView workbookViewId="0">
      <selection activeCell="A96" sqref="A96:XFD839"/>
    </sheetView>
  </sheetViews>
  <sheetFormatPr defaultRowHeight="15" x14ac:dyDescent="0.25"/>
  <cols>
    <col min="1" max="1" width="11.7109375" customWidth="1"/>
    <col min="2" max="2" width="14.140625" customWidth="1"/>
    <col min="3" max="6" width="11.7109375" customWidth="1"/>
    <col min="7" max="7" width="14.42578125" customWidth="1"/>
    <col min="8" max="8" width="12.85546875" customWidth="1"/>
    <col min="9" max="9" width="12.5703125" customWidth="1"/>
    <col min="10" max="10" width="11.7109375" customWidth="1"/>
  </cols>
  <sheetData>
    <row r="1" spans="1:14" x14ac:dyDescent="0.25">
      <c r="A1" t="s">
        <v>475</v>
      </c>
      <c r="B1" s="79">
        <v>45815</v>
      </c>
      <c r="C1" s="79">
        <v>45822</v>
      </c>
      <c r="D1" s="79">
        <v>45829</v>
      </c>
      <c r="E1" s="79">
        <v>45836</v>
      </c>
      <c r="F1" s="79">
        <v>45843</v>
      </c>
      <c r="J1" s="79"/>
      <c r="K1" s="79"/>
      <c r="L1" s="79"/>
      <c r="M1" s="79"/>
      <c r="N1" s="79"/>
    </row>
    <row r="2" spans="1:14" x14ac:dyDescent="0.25">
      <c r="A2" s="93" t="s">
        <v>587</v>
      </c>
      <c r="B2" s="92"/>
      <c r="C2" s="92"/>
      <c r="D2" s="92"/>
      <c r="E2" s="92"/>
      <c r="F2" s="92"/>
    </row>
    <row r="3" spans="1:14" x14ac:dyDescent="0.25">
      <c r="A3" s="93" t="s">
        <v>588</v>
      </c>
      <c r="B3" s="92"/>
      <c r="C3" s="92"/>
      <c r="D3" s="92"/>
      <c r="E3" s="92"/>
      <c r="F3" s="92"/>
    </row>
    <row r="4" spans="1:14" x14ac:dyDescent="0.25">
      <c r="A4" s="93" t="s">
        <v>589</v>
      </c>
      <c r="B4" s="92"/>
      <c r="C4" s="92"/>
      <c r="D4" s="92"/>
      <c r="E4" s="92"/>
      <c r="F4" s="92"/>
    </row>
    <row r="5" spans="1:14" x14ac:dyDescent="0.25">
      <c r="A5" s="93" t="s">
        <v>590</v>
      </c>
      <c r="B5" s="92"/>
      <c r="C5" s="92"/>
      <c r="D5" s="92"/>
      <c r="E5" s="92"/>
      <c r="F5" s="92"/>
    </row>
    <row r="6" spans="1:14" x14ac:dyDescent="0.25">
      <c r="A6" s="93" t="s">
        <v>591</v>
      </c>
      <c r="B6" s="92"/>
      <c r="C6" s="92"/>
      <c r="D6" s="92"/>
      <c r="E6" s="92"/>
      <c r="F6" s="92"/>
    </row>
    <row r="7" spans="1:14" x14ac:dyDescent="0.25">
      <c r="A7" t="s">
        <v>592</v>
      </c>
      <c r="B7" s="92"/>
      <c r="C7" s="92"/>
      <c r="D7" s="92"/>
      <c r="E7" s="92"/>
      <c r="F7" s="92"/>
    </row>
    <row r="8" spans="1:14" x14ac:dyDescent="0.25">
      <c r="A8" t="s">
        <v>593</v>
      </c>
      <c r="B8" s="92"/>
      <c r="C8" s="92"/>
      <c r="D8" s="92"/>
      <c r="E8" s="92"/>
      <c r="F8" s="92"/>
    </row>
    <row r="9" spans="1:14" x14ac:dyDescent="0.25">
      <c r="A9" t="s">
        <v>594</v>
      </c>
      <c r="B9" s="92"/>
      <c r="C9" s="92"/>
      <c r="D9" s="92"/>
      <c r="E9" s="92"/>
      <c r="F9" s="92"/>
    </row>
    <row r="10" spans="1:14" x14ac:dyDescent="0.25">
      <c r="A10" s="93" t="s">
        <v>595</v>
      </c>
      <c r="B10" s="92"/>
      <c r="C10" s="92"/>
      <c r="D10" s="92"/>
      <c r="E10" s="92"/>
      <c r="F10" s="92"/>
    </row>
    <row r="11" spans="1:14" x14ac:dyDescent="0.25">
      <c r="A11" t="s">
        <v>596</v>
      </c>
      <c r="B11" s="92"/>
      <c r="C11" s="92"/>
      <c r="D11" s="92"/>
      <c r="E11" s="92"/>
      <c r="F11" s="92"/>
    </row>
    <row r="12" spans="1:14" x14ac:dyDescent="0.25">
      <c r="A12" s="93" t="s">
        <v>597</v>
      </c>
      <c r="B12" s="92"/>
      <c r="C12" s="92"/>
      <c r="D12" s="92"/>
      <c r="E12" s="92"/>
      <c r="F12" s="92"/>
    </row>
    <row r="13" spans="1:14" x14ac:dyDescent="0.25">
      <c r="A13" t="s">
        <v>598</v>
      </c>
      <c r="B13" s="92"/>
      <c r="C13" s="92"/>
      <c r="D13" s="92"/>
      <c r="E13" s="92"/>
      <c r="F13" s="92"/>
    </row>
    <row r="14" spans="1:14" x14ac:dyDescent="0.25">
      <c r="A14" s="93" t="s">
        <v>599</v>
      </c>
      <c r="B14" s="92"/>
      <c r="C14" s="92"/>
      <c r="D14" s="92"/>
      <c r="E14" s="92"/>
      <c r="F14" s="92"/>
    </row>
    <row r="15" spans="1:14" x14ac:dyDescent="0.25">
      <c r="A15" s="93" t="s">
        <v>600</v>
      </c>
      <c r="B15" s="92"/>
      <c r="C15" s="92"/>
      <c r="D15" s="92"/>
      <c r="E15" s="92"/>
      <c r="F15" s="92"/>
    </row>
    <row r="16" spans="1:14" x14ac:dyDescent="0.25">
      <c r="A16" t="s">
        <v>601</v>
      </c>
      <c r="B16" s="92"/>
      <c r="C16" s="92"/>
      <c r="D16" s="92"/>
      <c r="E16" s="92"/>
      <c r="F16" s="92"/>
    </row>
    <row r="17" spans="1:6" x14ac:dyDescent="0.25">
      <c r="A17" s="93" t="s">
        <v>602</v>
      </c>
      <c r="B17" s="92"/>
      <c r="C17" s="92"/>
      <c r="D17" s="92"/>
      <c r="E17" s="92"/>
      <c r="F17" s="92"/>
    </row>
    <row r="18" spans="1:6" x14ac:dyDescent="0.25">
      <c r="A18" t="s">
        <v>603</v>
      </c>
      <c r="B18" s="92"/>
      <c r="C18" s="92"/>
      <c r="D18" s="92"/>
      <c r="E18" s="92"/>
      <c r="F18" s="92"/>
    </row>
    <row r="19" spans="1:6" x14ac:dyDescent="0.25">
      <c r="A19" s="93" t="s">
        <v>604</v>
      </c>
      <c r="B19" s="92"/>
      <c r="C19" s="92"/>
      <c r="D19" s="92"/>
      <c r="E19" s="92"/>
      <c r="F19" s="92"/>
    </row>
    <row r="20" spans="1:6" x14ac:dyDescent="0.25">
      <c r="A20" s="93" t="s">
        <v>605</v>
      </c>
      <c r="B20" s="92"/>
      <c r="C20" s="92"/>
      <c r="D20" s="92"/>
      <c r="E20" s="92"/>
      <c r="F20" s="92"/>
    </row>
    <row r="21" spans="1:6" x14ac:dyDescent="0.25">
      <c r="A21" s="93" t="s">
        <v>606</v>
      </c>
      <c r="B21" s="92"/>
      <c r="C21" s="92"/>
      <c r="D21" s="92"/>
      <c r="E21" s="92"/>
      <c r="F21" s="92"/>
    </row>
    <row r="22" spans="1:6" x14ac:dyDescent="0.25">
      <c r="A22" s="93" t="s">
        <v>607</v>
      </c>
      <c r="B22" s="92"/>
      <c r="C22" s="92"/>
      <c r="D22" s="92"/>
      <c r="E22" s="92"/>
      <c r="F22" s="92"/>
    </row>
    <row r="23" spans="1:6" x14ac:dyDescent="0.25">
      <c r="A23" s="93" t="s">
        <v>608</v>
      </c>
      <c r="B23" s="92"/>
      <c r="C23" s="92"/>
      <c r="D23" s="92"/>
      <c r="E23" s="92"/>
      <c r="F23" s="92"/>
    </row>
    <row r="24" spans="1:6" x14ac:dyDescent="0.25">
      <c r="A24" s="93" t="s">
        <v>609</v>
      </c>
      <c r="B24" s="92"/>
      <c r="C24" s="92"/>
      <c r="D24" s="92"/>
      <c r="E24" s="92"/>
      <c r="F24" s="92"/>
    </row>
    <row r="25" spans="1:6" x14ac:dyDescent="0.25">
      <c r="A25" s="93" t="s">
        <v>610</v>
      </c>
      <c r="B25" s="92"/>
      <c r="C25" s="92"/>
      <c r="D25" s="92"/>
      <c r="E25" s="92"/>
      <c r="F25" s="92"/>
    </row>
    <row r="26" spans="1:6" x14ac:dyDescent="0.25">
      <c r="A26" s="93" t="s">
        <v>611</v>
      </c>
      <c r="B26" s="92"/>
      <c r="C26" s="92"/>
      <c r="D26" s="92"/>
      <c r="E26" s="92"/>
      <c r="F26" s="92"/>
    </row>
    <row r="27" spans="1:6" x14ac:dyDescent="0.25">
      <c r="A27" s="93" t="s">
        <v>612</v>
      </c>
      <c r="B27" s="92"/>
      <c r="C27" s="92"/>
      <c r="D27" s="92"/>
      <c r="E27" s="92"/>
      <c r="F27" s="92"/>
    </row>
    <row r="28" spans="1:6" x14ac:dyDescent="0.25">
      <c r="A28" s="93" t="s">
        <v>613</v>
      </c>
      <c r="B28" s="92"/>
      <c r="C28" s="92"/>
      <c r="D28" s="92"/>
      <c r="E28" s="92"/>
      <c r="F28" s="92"/>
    </row>
    <row r="29" spans="1:6" x14ac:dyDescent="0.25">
      <c r="A29" s="93" t="s">
        <v>614</v>
      </c>
      <c r="B29" s="92"/>
      <c r="C29" s="92"/>
      <c r="D29" s="92"/>
      <c r="E29" s="92"/>
      <c r="F29" s="92"/>
    </row>
    <row r="30" spans="1:6" x14ac:dyDescent="0.25">
      <c r="A30" s="93" t="s">
        <v>615</v>
      </c>
      <c r="B30" s="92"/>
      <c r="C30" s="92"/>
      <c r="D30" s="92"/>
      <c r="E30" s="92"/>
      <c r="F30" s="92"/>
    </row>
    <row r="31" spans="1:6" x14ac:dyDescent="0.25">
      <c r="A31" s="93" t="s">
        <v>616</v>
      </c>
      <c r="B31" s="92"/>
      <c r="C31" s="92"/>
      <c r="D31" s="92"/>
      <c r="E31" s="92"/>
      <c r="F31" s="92"/>
    </row>
    <row r="32" spans="1:6" x14ac:dyDescent="0.25">
      <c r="A32" s="93" t="s">
        <v>617</v>
      </c>
      <c r="B32" s="92"/>
      <c r="C32" s="92"/>
      <c r="D32" s="92"/>
      <c r="E32" s="92"/>
      <c r="F32" s="92"/>
    </row>
    <row r="33" spans="1:6" x14ac:dyDescent="0.25">
      <c r="A33" s="93" t="s">
        <v>618</v>
      </c>
      <c r="B33" s="92"/>
      <c r="C33" s="92"/>
      <c r="D33" s="92"/>
      <c r="E33" s="92"/>
      <c r="F33" s="92"/>
    </row>
    <row r="34" spans="1:6" x14ac:dyDescent="0.25">
      <c r="A34" s="93" t="s">
        <v>619</v>
      </c>
      <c r="B34" s="92"/>
      <c r="C34" s="92"/>
      <c r="D34" s="92"/>
      <c r="E34" s="92"/>
      <c r="F34" s="92"/>
    </row>
    <row r="35" spans="1:6" x14ac:dyDescent="0.25">
      <c r="A35" t="s">
        <v>620</v>
      </c>
      <c r="B35" s="92"/>
      <c r="C35" s="92"/>
      <c r="D35" s="92"/>
      <c r="E35" s="92"/>
      <c r="F35" s="92"/>
    </row>
    <row r="36" spans="1:6" x14ac:dyDescent="0.25">
      <c r="A36" t="s">
        <v>621</v>
      </c>
      <c r="B36" s="92"/>
      <c r="C36" s="92"/>
      <c r="D36" s="92"/>
      <c r="E36" s="92"/>
      <c r="F36" s="92"/>
    </row>
    <row r="37" spans="1:6" x14ac:dyDescent="0.25">
      <c r="A37" t="s">
        <v>622</v>
      </c>
      <c r="B37" s="92"/>
      <c r="C37" s="92"/>
      <c r="D37" s="92"/>
      <c r="E37" s="92"/>
      <c r="F37" s="92"/>
    </row>
    <row r="38" spans="1:6" x14ac:dyDescent="0.25">
      <c r="A38" t="s">
        <v>623</v>
      </c>
      <c r="B38" s="92"/>
      <c r="C38" s="92"/>
      <c r="D38" s="92"/>
      <c r="E38" s="92"/>
      <c r="F38" s="92"/>
    </row>
    <row r="39" spans="1:6" x14ac:dyDescent="0.25">
      <c r="A39" t="s">
        <v>624</v>
      </c>
      <c r="B39" s="92"/>
      <c r="C39" s="92"/>
      <c r="D39" s="92"/>
      <c r="E39" s="92"/>
      <c r="F39" s="92"/>
    </row>
    <row r="40" spans="1:6" x14ac:dyDescent="0.25">
      <c r="A40" t="s">
        <v>625</v>
      </c>
      <c r="B40" s="92"/>
      <c r="C40" s="92"/>
      <c r="D40" s="92"/>
      <c r="E40" s="92"/>
      <c r="F40" s="92"/>
    </row>
    <row r="41" spans="1:6" x14ac:dyDescent="0.25">
      <c r="A41" t="s">
        <v>626</v>
      </c>
      <c r="B41" s="92"/>
      <c r="C41" s="92"/>
      <c r="D41" s="92"/>
      <c r="E41" s="92"/>
      <c r="F41" s="92"/>
    </row>
    <row r="42" spans="1:6" x14ac:dyDescent="0.25">
      <c r="A42" t="s">
        <v>627</v>
      </c>
      <c r="B42" s="92"/>
      <c r="C42" s="92"/>
      <c r="D42" s="92"/>
      <c r="E42" s="92"/>
      <c r="F42" s="92"/>
    </row>
    <row r="43" spans="1:6" x14ac:dyDescent="0.25">
      <c r="A43" t="s">
        <v>628</v>
      </c>
      <c r="B43" s="92"/>
      <c r="C43" s="92"/>
      <c r="D43" s="92"/>
      <c r="E43" s="92"/>
      <c r="F43" s="92"/>
    </row>
    <row r="44" spans="1:6" x14ac:dyDescent="0.25">
      <c r="A44" t="s">
        <v>629</v>
      </c>
      <c r="B44" s="92"/>
      <c r="C44" s="92"/>
      <c r="D44" s="92"/>
      <c r="E44" s="92"/>
      <c r="F44" s="92"/>
    </row>
    <row r="45" spans="1:6" x14ac:dyDescent="0.25">
      <c r="A45" t="s">
        <v>630</v>
      </c>
      <c r="B45" s="92"/>
      <c r="C45" s="92"/>
      <c r="D45" s="92"/>
      <c r="E45" s="92"/>
      <c r="F45" s="92"/>
    </row>
    <row r="46" spans="1:6" x14ac:dyDescent="0.25">
      <c r="A46" t="s">
        <v>631</v>
      </c>
      <c r="B46" s="92"/>
      <c r="C46" s="92"/>
      <c r="D46" s="92"/>
      <c r="E46" s="92"/>
      <c r="F46" s="92"/>
    </row>
    <row r="47" spans="1:6" x14ac:dyDescent="0.25">
      <c r="A47" t="s">
        <v>632</v>
      </c>
      <c r="B47" s="92"/>
      <c r="C47" s="92"/>
      <c r="D47" s="92"/>
      <c r="E47" s="92"/>
      <c r="F47" s="92"/>
    </row>
    <row r="48" spans="1:6" x14ac:dyDescent="0.25">
      <c r="A48" t="s">
        <v>633</v>
      </c>
      <c r="B48" s="92"/>
      <c r="C48" s="92"/>
      <c r="D48" s="92"/>
      <c r="E48" s="92"/>
      <c r="F48" s="92"/>
    </row>
    <row r="49" spans="1:6" x14ac:dyDescent="0.25">
      <c r="A49" t="s">
        <v>634</v>
      </c>
      <c r="B49" s="92"/>
      <c r="C49" s="92"/>
      <c r="D49" s="92"/>
      <c r="E49" s="92"/>
      <c r="F49" s="92"/>
    </row>
    <row r="50" spans="1:6" x14ac:dyDescent="0.25">
      <c r="A50" t="s">
        <v>635</v>
      </c>
      <c r="B50" s="92"/>
      <c r="C50" s="92"/>
      <c r="D50" s="92"/>
      <c r="E50" s="92"/>
      <c r="F50" s="92"/>
    </row>
    <row r="51" spans="1:6" x14ac:dyDescent="0.25">
      <c r="A51" t="s">
        <v>636</v>
      </c>
      <c r="B51" s="91"/>
      <c r="C51" s="91"/>
      <c r="D51" s="91"/>
      <c r="E51" s="91"/>
      <c r="F51" s="91"/>
    </row>
    <row r="52" spans="1:6" x14ac:dyDescent="0.25">
      <c r="A52" t="s">
        <v>637</v>
      </c>
      <c r="B52" s="91"/>
      <c r="C52" s="91"/>
      <c r="D52" s="91"/>
      <c r="E52" s="91"/>
      <c r="F52" s="91"/>
    </row>
    <row r="53" spans="1:6" x14ac:dyDescent="0.25">
      <c r="A53" t="s">
        <v>638</v>
      </c>
      <c r="B53" s="91"/>
      <c r="C53" s="91"/>
      <c r="D53" s="91"/>
      <c r="E53" s="91"/>
      <c r="F53" s="91"/>
    </row>
    <row r="54" spans="1:6" x14ac:dyDescent="0.25">
      <c r="A54" t="s">
        <v>639</v>
      </c>
    </row>
    <row r="55" spans="1:6" x14ac:dyDescent="0.25">
      <c r="A55" t="s">
        <v>640</v>
      </c>
    </row>
    <row r="56" spans="1:6" x14ac:dyDescent="0.25">
      <c r="A56" t="s">
        <v>641</v>
      </c>
    </row>
    <row r="57" spans="1:6" x14ac:dyDescent="0.25">
      <c r="A57" t="s">
        <v>642</v>
      </c>
    </row>
    <row r="58" spans="1:6" x14ac:dyDescent="0.25">
      <c r="A58" t="s">
        <v>643</v>
      </c>
    </row>
    <row r="59" spans="1:6" x14ac:dyDescent="0.25">
      <c r="A59" t="s">
        <v>644</v>
      </c>
    </row>
    <row r="60" spans="1:6" x14ac:dyDescent="0.25">
      <c r="A60" t="s">
        <v>645</v>
      </c>
    </row>
    <row r="61" spans="1:6" x14ac:dyDescent="0.25">
      <c r="A61" t="s">
        <v>646</v>
      </c>
    </row>
    <row r="62" spans="1:6" x14ac:dyDescent="0.25">
      <c r="A62" t="s">
        <v>647</v>
      </c>
    </row>
    <row r="63" spans="1:6" x14ac:dyDescent="0.25">
      <c r="A63" t="s">
        <v>648</v>
      </c>
    </row>
    <row r="64" spans="1:6" x14ac:dyDescent="0.25">
      <c r="A64" t="s">
        <v>649</v>
      </c>
    </row>
    <row r="65" spans="1:1" x14ac:dyDescent="0.25">
      <c r="A65" t="s">
        <v>650</v>
      </c>
    </row>
    <row r="66" spans="1:1" x14ac:dyDescent="0.25">
      <c r="A66" t="s">
        <v>651</v>
      </c>
    </row>
    <row r="67" spans="1:1" x14ac:dyDescent="0.25">
      <c r="A67" t="s">
        <v>652</v>
      </c>
    </row>
    <row r="68" spans="1:1" x14ac:dyDescent="0.25">
      <c r="A68" t="s">
        <v>653</v>
      </c>
    </row>
    <row r="69" spans="1:1" x14ac:dyDescent="0.25">
      <c r="A69" t="s">
        <v>654</v>
      </c>
    </row>
    <row r="70" spans="1:1" x14ac:dyDescent="0.25">
      <c r="A70" t="s">
        <v>655</v>
      </c>
    </row>
    <row r="71" spans="1:1" x14ac:dyDescent="0.25">
      <c r="A71" t="s">
        <v>656</v>
      </c>
    </row>
    <row r="72" spans="1:1" x14ac:dyDescent="0.25">
      <c r="A72" t="s">
        <v>657</v>
      </c>
    </row>
    <row r="73" spans="1:1" x14ac:dyDescent="0.25">
      <c r="A73" t="s">
        <v>658</v>
      </c>
    </row>
    <row r="74" spans="1:1" x14ac:dyDescent="0.25">
      <c r="A74" t="s">
        <v>659</v>
      </c>
    </row>
    <row r="75" spans="1:1" x14ac:dyDescent="0.25">
      <c r="A75" t="s">
        <v>660</v>
      </c>
    </row>
    <row r="76" spans="1:1" x14ac:dyDescent="0.25">
      <c r="A76" t="s">
        <v>661</v>
      </c>
    </row>
    <row r="77" spans="1:1" x14ac:dyDescent="0.25">
      <c r="A77" t="s">
        <v>662</v>
      </c>
    </row>
    <row r="78" spans="1:1" x14ac:dyDescent="0.25">
      <c r="A78" t="s">
        <v>663</v>
      </c>
    </row>
    <row r="79" spans="1:1" x14ac:dyDescent="0.25">
      <c r="A79" t="s">
        <v>664</v>
      </c>
    </row>
    <row r="80" spans="1:1" x14ac:dyDescent="0.25">
      <c r="A80" t="s">
        <v>665</v>
      </c>
    </row>
    <row r="81" spans="1:1" x14ac:dyDescent="0.25">
      <c r="A81" t="s">
        <v>666</v>
      </c>
    </row>
    <row r="82" spans="1:1" x14ac:dyDescent="0.25">
      <c r="A82" t="s">
        <v>667</v>
      </c>
    </row>
    <row r="83" spans="1:1" x14ac:dyDescent="0.25">
      <c r="A83" t="s">
        <v>668</v>
      </c>
    </row>
    <row r="84" spans="1:1" x14ac:dyDescent="0.25">
      <c r="A84" t="s">
        <v>669</v>
      </c>
    </row>
    <row r="85" spans="1:1" x14ac:dyDescent="0.25">
      <c r="A85" t="s">
        <v>670</v>
      </c>
    </row>
    <row r="86" spans="1:1" x14ac:dyDescent="0.25">
      <c r="A86" t="s">
        <v>671</v>
      </c>
    </row>
    <row r="87" spans="1:1" x14ac:dyDescent="0.25">
      <c r="A87" t="s">
        <v>320</v>
      </c>
    </row>
    <row r="88" spans="1:1" x14ac:dyDescent="0.25">
      <c r="A88" t="s">
        <v>672</v>
      </c>
    </row>
    <row r="89" spans="1:1" x14ac:dyDescent="0.25">
      <c r="A89" t="s">
        <v>673</v>
      </c>
    </row>
    <row r="90" spans="1:1" x14ac:dyDescent="0.25">
      <c r="A90" t="s">
        <v>674</v>
      </c>
    </row>
    <row r="91" spans="1:1" x14ac:dyDescent="0.25">
      <c r="A91" t="s">
        <v>675</v>
      </c>
    </row>
    <row r="92" spans="1:1" x14ac:dyDescent="0.25">
      <c r="A92" t="s">
        <v>676</v>
      </c>
    </row>
    <row r="93" spans="1:1" x14ac:dyDescent="0.25">
      <c r="A93" t="s">
        <v>677</v>
      </c>
    </row>
    <row r="94" spans="1:1" x14ac:dyDescent="0.25">
      <c r="A94" t="s">
        <v>678</v>
      </c>
    </row>
    <row r="95" spans="1:1" x14ac:dyDescent="0.25">
      <c r="A95" t="s">
        <v>679</v>
      </c>
    </row>
  </sheetData>
  <sortState xmlns:xlrd2="http://schemas.microsoft.com/office/spreadsheetml/2017/richdata2" ref="A2:N44">
    <sortCondition descending="1" ref="A2:A44"/>
  </sortState>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sheetPr filterMode="1"/>
  <dimension ref="A1:U426"/>
  <sheetViews>
    <sheetView zoomScale="80" zoomScaleNormal="80" workbookViewId="0">
      <selection activeCell="S238" sqref="S238"/>
    </sheetView>
  </sheetViews>
  <sheetFormatPr defaultRowHeight="15" x14ac:dyDescent="0.25"/>
  <cols>
    <col min="8" max="8" width="15" customWidth="1"/>
    <col min="12" max="12" width="11.7109375" customWidth="1"/>
    <col min="13" max="14" width="12" customWidth="1"/>
    <col min="18" max="18" width="15.42578125" bestFit="1" customWidth="1"/>
    <col min="19" max="19" width="17.5703125" bestFit="1" customWidth="1"/>
  </cols>
  <sheetData>
    <row r="1" spans="1:21" s="27" customFormat="1" x14ac:dyDescent="0.25">
      <c r="A1" s="27" t="s">
        <v>286</v>
      </c>
      <c r="B1" s="27" t="s">
        <v>272</v>
      </c>
      <c r="C1" s="27" t="s">
        <v>287</v>
      </c>
      <c r="D1" s="27" t="s">
        <v>288</v>
      </c>
      <c r="E1" s="27" t="s">
        <v>289</v>
      </c>
      <c r="F1" s="27" t="s">
        <v>290</v>
      </c>
      <c r="G1" s="27" t="s">
        <v>291</v>
      </c>
      <c r="H1" s="27" t="s">
        <v>292</v>
      </c>
      <c r="I1" s="27" t="s">
        <v>293</v>
      </c>
      <c r="J1" s="27" t="s">
        <v>294</v>
      </c>
      <c r="K1" s="27" t="s">
        <v>295</v>
      </c>
      <c r="L1" s="27" t="s">
        <v>296</v>
      </c>
      <c r="M1" s="27" t="s">
        <v>297</v>
      </c>
      <c r="N1" s="27" t="s">
        <v>298</v>
      </c>
      <c r="O1" s="27" t="s">
        <v>299</v>
      </c>
      <c r="P1" s="27" t="s">
        <v>300</v>
      </c>
      <c r="Q1" s="27" t="s">
        <v>301</v>
      </c>
      <c r="R1" s="27" t="s">
        <v>302</v>
      </c>
      <c r="S1" s="27" t="s">
        <v>303</v>
      </c>
      <c r="T1" s="27" t="s">
        <v>304</v>
      </c>
      <c r="U1" s="27" t="s">
        <v>305</v>
      </c>
    </row>
    <row r="2" spans="1:21" hidden="1" x14ac:dyDescent="0.25">
      <c r="A2" t="s">
        <v>209</v>
      </c>
      <c r="B2">
        <v>4.99</v>
      </c>
      <c r="C2">
        <v>-10.83</v>
      </c>
      <c r="D2">
        <v>0.71</v>
      </c>
      <c r="E2">
        <v>0.61099999999999999</v>
      </c>
      <c r="F2" s="25">
        <v>0</v>
      </c>
      <c r="G2">
        <v>0.26600000000000001</v>
      </c>
      <c r="H2">
        <v>-60.26</v>
      </c>
      <c r="I2">
        <v>6.15</v>
      </c>
      <c r="J2">
        <v>-0.75</v>
      </c>
      <c r="K2" s="26">
        <v>10.54</v>
      </c>
      <c r="L2">
        <v>5.63</v>
      </c>
      <c r="M2" s="25">
        <v>9.9400000000000002E-2</v>
      </c>
      <c r="N2" s="25">
        <v>-4.9500000000000002E-2</v>
      </c>
      <c r="O2">
        <v>0.98</v>
      </c>
      <c r="P2" s="25">
        <v>4.7399999999999998E-2</v>
      </c>
      <c r="Q2" s="25">
        <v>-6.5299999999999997E-2</v>
      </c>
      <c r="R2" s="26">
        <v>387246</v>
      </c>
      <c r="S2" s="26">
        <v>1074970000</v>
      </c>
      <c r="T2">
        <v>0.62</v>
      </c>
      <c r="U2" s="25">
        <v>5.3199999999999997E-2</v>
      </c>
    </row>
    <row r="3" spans="1:21" hidden="1" x14ac:dyDescent="0.25">
      <c r="A3" t="s">
        <v>36</v>
      </c>
      <c r="B3">
        <v>20.77</v>
      </c>
      <c r="C3">
        <v>5.22</v>
      </c>
      <c r="D3">
        <v>0.79</v>
      </c>
      <c r="E3">
        <v>0</v>
      </c>
      <c r="F3" s="25">
        <v>9.3700000000000006E-2</v>
      </c>
      <c r="G3">
        <v>0</v>
      </c>
      <c r="H3">
        <v>0</v>
      </c>
      <c r="I3">
        <v>0</v>
      </c>
      <c r="J3">
        <v>0</v>
      </c>
      <c r="K3">
        <v>0</v>
      </c>
      <c r="L3">
        <v>0</v>
      </c>
      <c r="M3" s="25">
        <v>0</v>
      </c>
      <c r="N3" s="25">
        <v>0</v>
      </c>
      <c r="O3">
        <v>0</v>
      </c>
      <c r="P3" s="25">
        <v>0</v>
      </c>
      <c r="Q3" s="25">
        <v>0.15049999999999999</v>
      </c>
      <c r="R3" s="26">
        <v>14067900</v>
      </c>
      <c r="S3" s="26">
        <v>6472310000</v>
      </c>
      <c r="T3">
        <v>0</v>
      </c>
      <c r="U3" s="25">
        <v>0.30580000000000002</v>
      </c>
    </row>
    <row r="4" spans="1:21" hidden="1" x14ac:dyDescent="0.25">
      <c r="A4" t="s">
        <v>7</v>
      </c>
      <c r="B4">
        <v>13.59</v>
      </c>
      <c r="C4">
        <v>14.84</v>
      </c>
      <c r="D4">
        <v>2.27</v>
      </c>
      <c r="E4">
        <v>2.3370000000000002</v>
      </c>
      <c r="F4" s="25">
        <v>6.7900000000000002E-2</v>
      </c>
      <c r="G4">
        <v>1.454</v>
      </c>
      <c r="H4">
        <v>50.91</v>
      </c>
      <c r="I4">
        <v>10.58</v>
      </c>
      <c r="J4">
        <v>-25.89</v>
      </c>
      <c r="K4">
        <v>9.73</v>
      </c>
      <c r="L4">
        <v>7.28</v>
      </c>
      <c r="M4" s="25">
        <v>0.22090000000000001</v>
      </c>
      <c r="N4" s="25">
        <v>0.16200000000000001</v>
      </c>
      <c r="O4">
        <v>1.1100000000000001</v>
      </c>
      <c r="P4" s="25">
        <v>0.19189999999999999</v>
      </c>
      <c r="Q4" s="25">
        <v>0.1527</v>
      </c>
      <c r="R4" s="26">
        <v>353090000</v>
      </c>
      <c r="S4" s="26">
        <v>94528300000</v>
      </c>
      <c r="T4">
        <v>0.03</v>
      </c>
      <c r="U4" s="25">
        <v>8.6699999999999999E-2</v>
      </c>
    </row>
    <row r="5" spans="1:21" hidden="1" x14ac:dyDescent="0.25">
      <c r="A5" t="s">
        <v>306</v>
      </c>
      <c r="B5">
        <v>1.56</v>
      </c>
      <c r="C5">
        <v>-4.09</v>
      </c>
      <c r="D5">
        <v>-1.29</v>
      </c>
      <c r="E5">
        <v>770.92399999999998</v>
      </c>
      <c r="F5" s="25">
        <v>0</v>
      </c>
      <c r="G5">
        <v>105.126</v>
      </c>
      <c r="H5">
        <v>-1.43</v>
      </c>
      <c r="I5" s="26">
        <v>-5.69</v>
      </c>
      <c r="J5">
        <v>-1.27</v>
      </c>
      <c r="K5" s="26">
        <v>-5.69</v>
      </c>
      <c r="L5">
        <v>-5.81</v>
      </c>
      <c r="M5" s="25">
        <v>-135.48500000000001</v>
      </c>
      <c r="N5" s="25">
        <v>-188.60599999999999</v>
      </c>
      <c r="O5">
        <v>0</v>
      </c>
      <c r="P5" s="25">
        <v>5.2169999999999996</v>
      </c>
      <c r="Q5" s="25">
        <v>0.31469999999999998</v>
      </c>
      <c r="R5" s="26">
        <v>2064</v>
      </c>
      <c r="S5" s="26">
        <v>-19776000</v>
      </c>
      <c r="T5">
        <v>0</v>
      </c>
      <c r="U5" s="25">
        <v>0.43480000000000002</v>
      </c>
    </row>
    <row r="6" spans="1:21" hidden="1" x14ac:dyDescent="0.25">
      <c r="A6" t="s">
        <v>307</v>
      </c>
      <c r="B6">
        <v>4.34</v>
      </c>
      <c r="C6">
        <v>-0.27</v>
      </c>
      <c r="D6">
        <v>2.4300000000000002</v>
      </c>
      <c r="E6">
        <v>0.223</v>
      </c>
      <c r="F6" s="25">
        <v>0</v>
      </c>
      <c r="G6">
        <v>0.128</v>
      </c>
      <c r="H6">
        <v>-30.62</v>
      </c>
      <c r="I6">
        <v>-0.38</v>
      </c>
      <c r="J6">
        <v>-0.23</v>
      </c>
      <c r="K6">
        <v>-2.48</v>
      </c>
      <c r="L6">
        <v>-2.9</v>
      </c>
      <c r="M6" s="25">
        <v>-0.59119999999999995</v>
      </c>
      <c r="N6" s="25">
        <v>-0.81510000000000005</v>
      </c>
      <c r="O6">
        <v>0.99</v>
      </c>
      <c r="P6" s="25">
        <v>-0.37409999999999999</v>
      </c>
      <c r="Q6" s="25">
        <v>-8.8948</v>
      </c>
      <c r="R6" s="26">
        <v>656366</v>
      </c>
      <c r="S6" s="26">
        <v>111006000</v>
      </c>
      <c r="T6">
        <v>14.59</v>
      </c>
      <c r="U6" s="25">
        <v>-0.18770000000000001</v>
      </c>
    </row>
    <row r="7" spans="1:21" hidden="1" x14ac:dyDescent="0.25">
      <c r="A7" t="s">
        <v>308</v>
      </c>
      <c r="B7">
        <v>7.57</v>
      </c>
      <c r="C7">
        <v>18.28</v>
      </c>
      <c r="D7">
        <v>1.99</v>
      </c>
      <c r="E7">
        <v>6.3040000000000003</v>
      </c>
      <c r="F7" s="25">
        <v>5.67E-2</v>
      </c>
      <c r="G7">
        <v>1.3520000000000001</v>
      </c>
      <c r="H7">
        <v>9.99</v>
      </c>
      <c r="I7">
        <v>13.02</v>
      </c>
      <c r="J7">
        <v>-18.149999999999999</v>
      </c>
      <c r="K7">
        <v>13.22</v>
      </c>
      <c r="L7">
        <v>13.16</v>
      </c>
      <c r="M7" s="25">
        <v>0.48409999999999997</v>
      </c>
      <c r="N7" s="25">
        <v>0.34470000000000001</v>
      </c>
      <c r="O7">
        <v>2.2400000000000002</v>
      </c>
      <c r="P7" s="25">
        <v>0.1124</v>
      </c>
      <c r="Q7" s="25">
        <v>0.1086</v>
      </c>
      <c r="R7" s="26">
        <v>2168.7600000000002</v>
      </c>
      <c r="S7" s="26">
        <v>240521000</v>
      </c>
      <c r="T7">
        <v>0.13</v>
      </c>
      <c r="U7" s="25">
        <v>4.3900000000000002E-2</v>
      </c>
    </row>
    <row r="8" spans="1:21" hidden="1" x14ac:dyDescent="0.25">
      <c r="A8" t="s">
        <v>45</v>
      </c>
      <c r="B8">
        <v>20.43</v>
      </c>
      <c r="C8">
        <v>6.78</v>
      </c>
      <c r="D8">
        <v>0.97</v>
      </c>
      <c r="E8">
        <v>1.548</v>
      </c>
      <c r="F8" s="25">
        <v>7.6200000000000004E-2</v>
      </c>
      <c r="G8">
        <v>0.52800000000000002</v>
      </c>
      <c r="H8">
        <v>4.54</v>
      </c>
      <c r="I8">
        <v>5.17</v>
      </c>
      <c r="J8">
        <v>-3.83</v>
      </c>
      <c r="K8">
        <v>8.26</v>
      </c>
      <c r="L8">
        <v>6.9</v>
      </c>
      <c r="M8" s="25">
        <v>0.29959999999999998</v>
      </c>
      <c r="N8" s="25">
        <v>0.22850000000000001</v>
      </c>
      <c r="O8">
        <v>1.58</v>
      </c>
      <c r="P8" s="25">
        <v>0.1113</v>
      </c>
      <c r="Q8" s="25">
        <v>0.14269999999999999</v>
      </c>
      <c r="R8" s="26">
        <v>3277710</v>
      </c>
      <c r="S8" s="26">
        <v>2169900000</v>
      </c>
      <c r="T8">
        <v>0.62</v>
      </c>
      <c r="U8" s="25">
        <v>-4.7000000000000002E-3</v>
      </c>
    </row>
    <row r="9" spans="1:21" hidden="1" x14ac:dyDescent="0.25">
      <c r="A9" t="s">
        <v>309</v>
      </c>
      <c r="B9">
        <v>6.03</v>
      </c>
      <c r="C9">
        <v>-0.04</v>
      </c>
      <c r="D9">
        <v>-0.05</v>
      </c>
      <c r="E9">
        <v>0.03</v>
      </c>
      <c r="F9" s="25">
        <v>0</v>
      </c>
      <c r="G9">
        <v>2.9000000000000001E-2</v>
      </c>
      <c r="H9">
        <v>-0.03</v>
      </c>
      <c r="I9">
        <v>-0.06</v>
      </c>
      <c r="J9">
        <v>-0.03</v>
      </c>
      <c r="K9">
        <v>-0.83</v>
      </c>
      <c r="L9">
        <v>-0.91</v>
      </c>
      <c r="M9" s="25">
        <v>-0.48830000000000001</v>
      </c>
      <c r="N9" s="25">
        <v>-0.877</v>
      </c>
      <c r="O9">
        <v>0.33</v>
      </c>
      <c r="P9" s="25">
        <v>-2.0348000000000002</v>
      </c>
      <c r="Q9" s="25">
        <v>1.4531000000000001</v>
      </c>
      <c r="R9" s="26">
        <v>128969</v>
      </c>
      <c r="S9" s="26">
        <v>-2009680000</v>
      </c>
      <c r="T9">
        <v>-0.75</v>
      </c>
      <c r="U9" s="25">
        <v>-1.4500000000000001E-2</v>
      </c>
    </row>
    <row r="10" spans="1:21" hidden="1" x14ac:dyDescent="0.25">
      <c r="A10" t="s">
        <v>310</v>
      </c>
      <c r="B10">
        <v>35.5</v>
      </c>
      <c r="C10">
        <v>2.63</v>
      </c>
      <c r="D10">
        <v>1.25</v>
      </c>
      <c r="E10">
        <v>0.438</v>
      </c>
      <c r="F10" s="25">
        <v>0</v>
      </c>
      <c r="G10">
        <v>0.54900000000000004</v>
      </c>
      <c r="H10">
        <v>1.73</v>
      </c>
      <c r="I10">
        <v>3.87</v>
      </c>
      <c r="J10">
        <v>-5.21</v>
      </c>
      <c r="K10">
        <v>3.21</v>
      </c>
      <c r="L10">
        <v>2.96</v>
      </c>
      <c r="M10" s="25">
        <v>0.1132</v>
      </c>
      <c r="N10" s="25">
        <v>0.16639999999999999</v>
      </c>
      <c r="O10">
        <v>3.3</v>
      </c>
      <c r="P10" s="25">
        <v>0.17219999999999999</v>
      </c>
      <c r="Q10" s="25">
        <v>0.47449999999999998</v>
      </c>
      <c r="R10" s="26">
        <v>2235.4299999999998</v>
      </c>
      <c r="S10" s="26">
        <v>242674000</v>
      </c>
      <c r="T10">
        <v>0.02</v>
      </c>
      <c r="U10" s="25">
        <v>0.46410000000000001</v>
      </c>
    </row>
    <row r="11" spans="1:21" hidden="1" x14ac:dyDescent="0.25">
      <c r="A11" t="s">
        <v>311</v>
      </c>
      <c r="B11">
        <v>58</v>
      </c>
      <c r="C11">
        <v>4.3</v>
      </c>
      <c r="D11">
        <v>2.04</v>
      </c>
      <c r="E11">
        <v>0.71599999999999997</v>
      </c>
      <c r="F11" s="25">
        <v>0</v>
      </c>
      <c r="G11">
        <v>0.89600000000000002</v>
      </c>
      <c r="H11">
        <v>2.82</v>
      </c>
      <c r="I11">
        <v>6.33</v>
      </c>
      <c r="J11">
        <v>-8.51</v>
      </c>
      <c r="K11">
        <v>5.67</v>
      </c>
      <c r="L11">
        <v>5.22</v>
      </c>
      <c r="M11" s="25">
        <v>0.1132</v>
      </c>
      <c r="N11" s="25">
        <v>0.16639999999999999</v>
      </c>
      <c r="O11">
        <v>3.3</v>
      </c>
      <c r="P11" s="25">
        <v>0.17219999999999999</v>
      </c>
      <c r="Q11" s="25">
        <v>0.47449999999999998</v>
      </c>
      <c r="R11" s="26">
        <v>1266.67</v>
      </c>
      <c r="S11" s="26">
        <v>242674000</v>
      </c>
      <c r="T11">
        <v>0.02</v>
      </c>
      <c r="U11" s="25">
        <v>0.46410000000000001</v>
      </c>
    </row>
    <row r="12" spans="1:21" hidden="1" x14ac:dyDescent="0.25">
      <c r="A12" t="s">
        <v>57</v>
      </c>
      <c r="B12">
        <v>6.91</v>
      </c>
      <c r="C12">
        <v>5.91</v>
      </c>
      <c r="D12">
        <v>0.41</v>
      </c>
      <c r="E12">
        <v>0.123</v>
      </c>
      <c r="F12" s="25">
        <v>0.18640000000000001</v>
      </c>
      <c r="G12">
        <v>0.19</v>
      </c>
      <c r="H12">
        <v>0.57999999999999996</v>
      </c>
      <c r="I12">
        <v>5.38</v>
      </c>
      <c r="J12">
        <v>1.0900000000000001</v>
      </c>
      <c r="K12">
        <v>6.51</v>
      </c>
      <c r="L12">
        <v>4.55</v>
      </c>
      <c r="M12" s="25">
        <v>2.29E-2</v>
      </c>
      <c r="N12" s="25">
        <v>2.0799999999999999E-2</v>
      </c>
      <c r="O12">
        <v>1.86</v>
      </c>
      <c r="P12" s="25">
        <v>6.13E-2</v>
      </c>
      <c r="Q12" s="25">
        <v>6.9000000000000006E-2</v>
      </c>
      <c r="R12" s="26">
        <v>392012</v>
      </c>
      <c r="S12" s="26">
        <v>1601680000</v>
      </c>
      <c r="T12">
        <v>0.3</v>
      </c>
      <c r="U12" s="25">
        <v>9.9000000000000008E-3</v>
      </c>
    </row>
    <row r="13" spans="1:21" hidden="1" x14ac:dyDescent="0.25">
      <c r="A13" t="s">
        <v>312</v>
      </c>
      <c r="B13">
        <v>21.52</v>
      </c>
      <c r="C13">
        <v>13.55</v>
      </c>
      <c r="D13">
        <v>0.87</v>
      </c>
      <c r="E13">
        <v>4.2560000000000002</v>
      </c>
      <c r="F13" s="25">
        <v>5.0900000000000001E-2</v>
      </c>
      <c r="G13">
        <v>0.439</v>
      </c>
      <c r="H13">
        <v>4.54</v>
      </c>
      <c r="I13">
        <v>8.8000000000000007</v>
      </c>
      <c r="J13">
        <v>-1.38</v>
      </c>
      <c r="K13">
        <v>6.48</v>
      </c>
      <c r="L13">
        <v>4.43</v>
      </c>
      <c r="M13" s="25">
        <v>0.48359999999999997</v>
      </c>
      <c r="N13" s="25">
        <v>0.35070000000000001</v>
      </c>
      <c r="O13">
        <v>2.87</v>
      </c>
      <c r="P13" s="25">
        <v>5.6599999999999998E-2</v>
      </c>
      <c r="Q13" s="25">
        <v>6.4199999999999993E-2</v>
      </c>
      <c r="R13" s="26">
        <v>88479300</v>
      </c>
      <c r="S13" s="26">
        <v>13432600000</v>
      </c>
      <c r="T13">
        <v>0</v>
      </c>
      <c r="U13" s="25">
        <v>0.42659999999999998</v>
      </c>
    </row>
    <row r="14" spans="1:21" hidden="1" x14ac:dyDescent="0.25">
      <c r="A14" t="s">
        <v>177</v>
      </c>
      <c r="B14">
        <v>7.64</v>
      </c>
      <c r="C14">
        <v>26.69</v>
      </c>
      <c r="D14">
        <v>1.29</v>
      </c>
      <c r="E14">
        <v>1.222</v>
      </c>
      <c r="F14" s="25">
        <v>1.2699999999999999E-2</v>
      </c>
      <c r="G14">
        <v>0.81799999999999995</v>
      </c>
      <c r="H14">
        <v>3.1</v>
      </c>
      <c r="I14">
        <v>17.8</v>
      </c>
      <c r="J14">
        <v>6.55</v>
      </c>
      <c r="K14">
        <v>17.100000000000001</v>
      </c>
      <c r="L14">
        <v>9.17</v>
      </c>
      <c r="M14" s="25">
        <v>6.8699999999999997E-2</v>
      </c>
      <c r="N14" s="25">
        <v>4.5699999999999998E-2</v>
      </c>
      <c r="O14">
        <v>2.17</v>
      </c>
      <c r="P14" s="25">
        <v>6.0600000000000001E-2</v>
      </c>
      <c r="Q14" s="25">
        <v>4.8300000000000003E-2</v>
      </c>
      <c r="R14" s="26">
        <v>74326.3</v>
      </c>
      <c r="S14" s="26">
        <v>4051630000</v>
      </c>
      <c r="T14">
        <v>0.22</v>
      </c>
      <c r="U14" s="25">
        <v>3.3799999999999997E-2</v>
      </c>
    </row>
    <row r="15" spans="1:21" hidden="1" x14ac:dyDescent="0.25">
      <c r="A15" t="s">
        <v>67</v>
      </c>
      <c r="B15">
        <v>8.6</v>
      </c>
      <c r="C15">
        <v>30.04</v>
      </c>
      <c r="D15">
        <v>1.45</v>
      </c>
      <c r="E15">
        <v>1.3759999999999999</v>
      </c>
      <c r="F15" s="25">
        <v>1.24E-2</v>
      </c>
      <c r="G15">
        <v>0.92100000000000004</v>
      </c>
      <c r="H15">
        <v>3.49</v>
      </c>
      <c r="I15">
        <v>20.04</v>
      </c>
      <c r="J15">
        <v>7.37</v>
      </c>
      <c r="K15">
        <v>19.329999999999998</v>
      </c>
      <c r="L15">
        <v>10.37</v>
      </c>
      <c r="M15" s="25">
        <v>6.8699999999999997E-2</v>
      </c>
      <c r="N15" s="25">
        <v>4.5699999999999998E-2</v>
      </c>
      <c r="O15">
        <v>2.17</v>
      </c>
      <c r="P15" s="25">
        <v>6.0600000000000001E-2</v>
      </c>
      <c r="Q15" s="25">
        <v>4.8300000000000003E-2</v>
      </c>
      <c r="R15" s="26">
        <v>14760600</v>
      </c>
      <c r="S15" s="26">
        <v>4051630000</v>
      </c>
      <c r="T15">
        <v>0.22</v>
      </c>
      <c r="U15" s="25">
        <v>3.3799999999999997E-2</v>
      </c>
    </row>
    <row r="16" spans="1:21" hidden="1" x14ac:dyDescent="0.25">
      <c r="A16" t="s">
        <v>313</v>
      </c>
      <c r="B16">
        <v>2.98</v>
      </c>
      <c r="C16">
        <v>-140.93</v>
      </c>
      <c r="D16">
        <v>1.87</v>
      </c>
      <c r="E16">
        <v>0.39400000000000002</v>
      </c>
      <c r="F16" s="25">
        <v>0</v>
      </c>
      <c r="G16">
        <v>0.26400000000000001</v>
      </c>
      <c r="H16">
        <v>-2.25</v>
      </c>
      <c r="I16">
        <v>1.6</v>
      </c>
      <c r="J16">
        <v>-0.38</v>
      </c>
      <c r="K16">
        <v>4.74</v>
      </c>
      <c r="L16">
        <v>2.94</v>
      </c>
      <c r="M16" s="25">
        <v>0.24579999999999999</v>
      </c>
      <c r="N16" s="25">
        <v>2E-3</v>
      </c>
      <c r="O16">
        <v>0.57999999999999996</v>
      </c>
      <c r="P16" s="25">
        <v>0.18340000000000001</v>
      </c>
      <c r="Q16" s="25">
        <v>-1.3299999999999999E-2</v>
      </c>
      <c r="R16" s="26">
        <v>334607</v>
      </c>
      <c r="S16" s="26">
        <v>346060000</v>
      </c>
      <c r="T16">
        <v>4.1399999999999997</v>
      </c>
      <c r="U16" s="25">
        <v>0.29049999999999998</v>
      </c>
    </row>
    <row r="17" spans="1:21" hidden="1" x14ac:dyDescent="0.25">
      <c r="A17" t="s">
        <v>314</v>
      </c>
      <c r="B17">
        <v>29.79</v>
      </c>
      <c r="C17">
        <v>8.69</v>
      </c>
      <c r="D17">
        <v>1.1499999999999999</v>
      </c>
      <c r="E17">
        <v>2.3220000000000001</v>
      </c>
      <c r="F17" s="25">
        <v>0.03</v>
      </c>
      <c r="G17">
        <v>0.315</v>
      </c>
      <c r="H17">
        <v>2.86</v>
      </c>
      <c r="I17">
        <v>3.47</v>
      </c>
      <c r="J17">
        <v>-0.78</v>
      </c>
      <c r="K17">
        <v>6.64</v>
      </c>
      <c r="L17">
        <v>6.25</v>
      </c>
      <c r="M17" s="25">
        <v>0.66830000000000001</v>
      </c>
      <c r="N17" s="25">
        <v>0.45929999999999999</v>
      </c>
      <c r="O17">
        <v>2.15</v>
      </c>
      <c r="P17" s="25">
        <v>0.1036</v>
      </c>
      <c r="Q17" s="25">
        <v>0.1326</v>
      </c>
      <c r="R17" s="26">
        <v>32495500</v>
      </c>
      <c r="S17" s="26">
        <v>8518980000</v>
      </c>
      <c r="T17">
        <v>1.48</v>
      </c>
      <c r="U17" s="25">
        <v>-0.1187</v>
      </c>
    </row>
    <row r="18" spans="1:21" hidden="1" x14ac:dyDescent="0.25">
      <c r="A18" t="s">
        <v>315</v>
      </c>
      <c r="B18">
        <v>10.42</v>
      </c>
      <c r="C18">
        <v>9.1199999999999992</v>
      </c>
      <c r="D18">
        <v>1.21</v>
      </c>
      <c r="E18">
        <v>2.4359999999999999</v>
      </c>
      <c r="F18" s="25">
        <v>2.6800000000000001E-2</v>
      </c>
      <c r="G18">
        <v>0.33100000000000002</v>
      </c>
      <c r="H18">
        <v>3.01</v>
      </c>
      <c r="I18">
        <v>3.65</v>
      </c>
      <c r="J18">
        <v>-0.82</v>
      </c>
      <c r="K18">
        <v>6.81</v>
      </c>
      <c r="L18">
        <v>6.41</v>
      </c>
      <c r="M18" s="25">
        <v>0.66830000000000001</v>
      </c>
      <c r="N18" s="25">
        <v>0.45929999999999999</v>
      </c>
      <c r="O18">
        <v>2.15</v>
      </c>
      <c r="P18" s="25">
        <v>0.1036</v>
      </c>
      <c r="Q18" s="25">
        <v>0.1326</v>
      </c>
      <c r="R18" s="26">
        <v>65044.1</v>
      </c>
      <c r="S18" s="26">
        <v>8518980000</v>
      </c>
      <c r="T18">
        <v>1.48</v>
      </c>
      <c r="U18" s="25">
        <v>-0.1187</v>
      </c>
    </row>
    <row r="19" spans="1:21" hidden="1" x14ac:dyDescent="0.25">
      <c r="A19" t="s">
        <v>66</v>
      </c>
      <c r="B19">
        <v>9.52</v>
      </c>
      <c r="C19">
        <v>8.33</v>
      </c>
      <c r="D19">
        <v>1.1100000000000001</v>
      </c>
      <c r="E19">
        <v>2.226</v>
      </c>
      <c r="F19" s="25">
        <v>2.93E-2</v>
      </c>
      <c r="G19">
        <v>0.30199999999999999</v>
      </c>
      <c r="H19">
        <v>2.75</v>
      </c>
      <c r="I19">
        <v>3.33</v>
      </c>
      <c r="J19">
        <v>-0.75</v>
      </c>
      <c r="K19">
        <v>6.5</v>
      </c>
      <c r="L19">
        <v>6.11</v>
      </c>
      <c r="M19" s="25">
        <v>0.66830000000000001</v>
      </c>
      <c r="N19" s="25">
        <v>0.45929999999999999</v>
      </c>
      <c r="O19">
        <v>2.15</v>
      </c>
      <c r="P19" s="25">
        <v>0.1036</v>
      </c>
      <c r="Q19" s="25">
        <v>0.1326</v>
      </c>
      <c r="R19" s="26">
        <v>105027</v>
      </c>
      <c r="S19" s="26">
        <v>8518980000</v>
      </c>
      <c r="T19">
        <v>1.48</v>
      </c>
      <c r="U19" s="25">
        <v>-0.1187</v>
      </c>
    </row>
    <row r="20" spans="1:21" hidden="1" x14ac:dyDescent="0.25">
      <c r="A20" t="s">
        <v>316</v>
      </c>
      <c r="B20">
        <v>1.27</v>
      </c>
      <c r="C20">
        <v>-3.95</v>
      </c>
      <c r="D20">
        <v>2.27</v>
      </c>
      <c r="E20">
        <v>0.45400000000000001</v>
      </c>
      <c r="F20" s="25">
        <v>0</v>
      </c>
      <c r="G20">
        <v>0.31900000000000001</v>
      </c>
      <c r="H20">
        <v>-1.75</v>
      </c>
      <c r="I20">
        <v>6.38</v>
      </c>
      <c r="J20">
        <v>-0.55000000000000004</v>
      </c>
      <c r="K20">
        <v>12.59</v>
      </c>
      <c r="L20">
        <v>4.76</v>
      </c>
      <c r="M20" s="25">
        <v>7.1199999999999999E-2</v>
      </c>
      <c r="N20" s="25">
        <v>-0.1149</v>
      </c>
      <c r="O20">
        <v>0.6</v>
      </c>
      <c r="P20" s="25">
        <v>6.3100000000000003E-2</v>
      </c>
      <c r="Q20" s="25">
        <v>-0.57469999999999999</v>
      </c>
      <c r="R20" s="26">
        <v>259189</v>
      </c>
      <c r="S20" s="26">
        <v>287288000</v>
      </c>
      <c r="T20">
        <v>2.2400000000000002</v>
      </c>
      <c r="U20" s="25">
        <v>-0.12559999999999999</v>
      </c>
    </row>
    <row r="21" spans="1:21" hidden="1" x14ac:dyDescent="0.25">
      <c r="A21" t="s">
        <v>196</v>
      </c>
      <c r="B21">
        <v>142.85</v>
      </c>
      <c r="C21">
        <v>-106.14</v>
      </c>
      <c r="D21">
        <v>18.14</v>
      </c>
      <c r="E21">
        <v>3.4649999999999999</v>
      </c>
      <c r="F21" s="25">
        <v>0</v>
      </c>
      <c r="G21">
        <v>1.389</v>
      </c>
      <c r="H21">
        <v>4.8099999999999996</v>
      </c>
      <c r="I21">
        <v>20.95</v>
      </c>
      <c r="J21">
        <v>-3.3</v>
      </c>
      <c r="K21">
        <v>26.43</v>
      </c>
      <c r="L21">
        <v>15.93</v>
      </c>
      <c r="M21" s="25">
        <v>0.16539999999999999</v>
      </c>
      <c r="N21" s="25">
        <v>-1.9699999999999999E-2</v>
      </c>
      <c r="O21">
        <v>2.88</v>
      </c>
      <c r="P21" s="25">
        <v>9.64E-2</v>
      </c>
      <c r="Q21" s="25">
        <v>-0.1709</v>
      </c>
      <c r="R21" s="26">
        <v>28266900</v>
      </c>
      <c r="S21" s="26">
        <v>1315480000</v>
      </c>
      <c r="T21">
        <v>8.5</v>
      </c>
      <c r="U21" s="25">
        <v>0.6452</v>
      </c>
    </row>
    <row r="22" spans="1:21" hidden="1" x14ac:dyDescent="0.25">
      <c r="A22" t="s">
        <v>317</v>
      </c>
      <c r="B22">
        <v>5.0599999999999996</v>
      </c>
      <c r="C22">
        <v>0.14000000000000001</v>
      </c>
      <c r="D22">
        <v>0.23</v>
      </c>
      <c r="E22">
        <v>7.3999999999999996E-2</v>
      </c>
      <c r="F22" s="25">
        <v>0</v>
      </c>
      <c r="G22">
        <v>5.8000000000000003E-2</v>
      </c>
      <c r="H22">
        <v>0.43</v>
      </c>
      <c r="I22">
        <v>-0.78</v>
      </c>
      <c r="J22">
        <v>-0.18</v>
      </c>
      <c r="K22">
        <v>-1.52</v>
      </c>
      <c r="L22">
        <v>-6.68</v>
      </c>
      <c r="M22" s="25">
        <v>-9.5399999999999999E-2</v>
      </c>
      <c r="N22" s="25">
        <v>0.53639999999999999</v>
      </c>
      <c r="O22">
        <v>1.49</v>
      </c>
      <c r="P22" s="25">
        <v>-9.4299999999999995E-2</v>
      </c>
      <c r="Q22" s="25">
        <v>1.6384000000000001</v>
      </c>
      <c r="R22" s="26">
        <v>12327400</v>
      </c>
      <c r="S22" s="26">
        <v>4475000000</v>
      </c>
      <c r="T22">
        <v>0.41</v>
      </c>
      <c r="U22" s="25">
        <v>-1.9599999999999999E-2</v>
      </c>
    </row>
    <row r="23" spans="1:21" hidden="1" x14ac:dyDescent="0.25">
      <c r="A23" t="s">
        <v>318</v>
      </c>
      <c r="B23">
        <v>11.29</v>
      </c>
      <c r="C23">
        <v>-3.4</v>
      </c>
      <c r="D23">
        <v>0.19</v>
      </c>
      <c r="E23">
        <v>2.9000000000000001E-2</v>
      </c>
      <c r="F23" s="25">
        <v>0</v>
      </c>
      <c r="G23">
        <v>4.8000000000000001E-2</v>
      </c>
      <c r="H23">
        <v>0.22</v>
      </c>
      <c r="I23">
        <v>1.47</v>
      </c>
      <c r="J23">
        <v>-0.32</v>
      </c>
      <c r="K23">
        <v>10.42</v>
      </c>
      <c r="L23">
        <v>5.62</v>
      </c>
      <c r="M23" s="25">
        <v>0.02</v>
      </c>
      <c r="N23" s="25">
        <v>-8.6E-3</v>
      </c>
      <c r="O23">
        <v>1.61</v>
      </c>
      <c r="P23" s="25">
        <v>4.4999999999999998E-2</v>
      </c>
      <c r="Q23" s="25">
        <v>-5.5500000000000001E-2</v>
      </c>
      <c r="R23" s="26">
        <v>1843330</v>
      </c>
      <c r="S23" s="26">
        <v>2262550000</v>
      </c>
      <c r="T23">
        <v>1.53</v>
      </c>
      <c r="U23" s="25">
        <v>0</v>
      </c>
    </row>
    <row r="24" spans="1:21" hidden="1" x14ac:dyDescent="0.25">
      <c r="A24" t="s">
        <v>167</v>
      </c>
      <c r="B24">
        <v>3.65</v>
      </c>
      <c r="C24">
        <v>12.67</v>
      </c>
      <c r="D24">
        <v>0.62</v>
      </c>
      <c r="E24">
        <v>0.38300000000000001</v>
      </c>
      <c r="F24" s="25">
        <v>0.14380000000000001</v>
      </c>
      <c r="G24">
        <v>0.14799999999999999</v>
      </c>
      <c r="H24">
        <v>1.23</v>
      </c>
      <c r="I24">
        <v>1.39</v>
      </c>
      <c r="J24">
        <v>-0.31</v>
      </c>
      <c r="K24">
        <v>5.13</v>
      </c>
      <c r="L24">
        <v>3.58</v>
      </c>
      <c r="M24" s="25">
        <v>0.27600000000000002</v>
      </c>
      <c r="N24" s="25">
        <v>6.4199999999999993E-2</v>
      </c>
      <c r="O24">
        <v>2.06</v>
      </c>
      <c r="P24" s="25">
        <v>0.1275</v>
      </c>
      <c r="Q24" s="25">
        <v>4.9099999999999998E-2</v>
      </c>
      <c r="R24" s="26">
        <v>25162300</v>
      </c>
      <c r="S24" s="26">
        <v>2369750000</v>
      </c>
      <c r="T24">
        <v>2.27</v>
      </c>
      <c r="U24" s="25">
        <v>0.23</v>
      </c>
    </row>
    <row r="25" spans="1:21" hidden="1" x14ac:dyDescent="0.25">
      <c r="A25" t="s">
        <v>264</v>
      </c>
      <c r="B25">
        <v>3.93</v>
      </c>
      <c r="C25">
        <v>10.46</v>
      </c>
      <c r="D25">
        <v>1.08</v>
      </c>
      <c r="E25">
        <v>0.749</v>
      </c>
      <c r="F25" s="25">
        <v>3.6499999999999998E-2</v>
      </c>
      <c r="G25">
        <v>0.29799999999999999</v>
      </c>
      <c r="H25">
        <v>1.67</v>
      </c>
      <c r="I25">
        <v>2.83</v>
      </c>
      <c r="J25">
        <v>-0.73</v>
      </c>
      <c r="K25">
        <v>6.46</v>
      </c>
      <c r="L25">
        <v>4.46</v>
      </c>
      <c r="M25" s="25">
        <v>0.26490000000000002</v>
      </c>
      <c r="N25" s="25">
        <v>7.1599999999999997E-2</v>
      </c>
      <c r="O25">
        <v>2.42</v>
      </c>
      <c r="P25" s="25">
        <v>0.13800000000000001</v>
      </c>
      <c r="Q25" s="25">
        <v>0.1031</v>
      </c>
      <c r="R25" s="26">
        <v>8132890</v>
      </c>
      <c r="S25" s="26">
        <v>1263400000</v>
      </c>
      <c r="T25">
        <v>1.96</v>
      </c>
      <c r="U25" s="25">
        <v>0.49309999999999998</v>
      </c>
    </row>
    <row r="26" spans="1:21" hidden="1" x14ac:dyDescent="0.25">
      <c r="A26" t="s">
        <v>182</v>
      </c>
      <c r="B26">
        <v>9.68</v>
      </c>
      <c r="C26">
        <v>15.85</v>
      </c>
      <c r="D26">
        <v>2.4300000000000002</v>
      </c>
      <c r="E26">
        <v>0.17399999999999999</v>
      </c>
      <c r="F26" s="25">
        <v>1.11E-2</v>
      </c>
      <c r="G26">
        <v>0.29299999999999998</v>
      </c>
      <c r="H26">
        <v>16.16</v>
      </c>
      <c r="I26">
        <v>2.38</v>
      </c>
      <c r="J26">
        <v>-0.55000000000000004</v>
      </c>
      <c r="K26">
        <v>4.55</v>
      </c>
      <c r="L26">
        <v>3.49</v>
      </c>
      <c r="M26" s="25">
        <v>7.3099999999999998E-2</v>
      </c>
      <c r="N26" s="25">
        <v>1.0999999999999999E-2</v>
      </c>
      <c r="O26">
        <v>1.05</v>
      </c>
      <c r="P26" s="25">
        <v>0.1903</v>
      </c>
      <c r="Q26" s="25">
        <v>0.15340000000000001</v>
      </c>
      <c r="R26" s="26">
        <v>136291000</v>
      </c>
      <c r="S26" s="26">
        <v>5385000000</v>
      </c>
      <c r="T26">
        <v>3.03</v>
      </c>
      <c r="U26" s="25">
        <v>0.2361</v>
      </c>
    </row>
    <row r="27" spans="1:21" hidden="1" x14ac:dyDescent="0.25">
      <c r="A27" t="s">
        <v>319</v>
      </c>
      <c r="B27">
        <v>2.0499999999999998</v>
      </c>
      <c r="C27">
        <v>-9.67</v>
      </c>
      <c r="D27">
        <v>2.2999999999999998</v>
      </c>
      <c r="E27">
        <v>1.5640000000000001</v>
      </c>
      <c r="F27" s="25">
        <v>0</v>
      </c>
      <c r="G27">
        <v>1.859</v>
      </c>
      <c r="H27">
        <v>4.3</v>
      </c>
      <c r="I27">
        <v>26.36</v>
      </c>
      <c r="J27">
        <v>4.68</v>
      </c>
      <c r="K27">
        <v>25.96</v>
      </c>
      <c r="L27">
        <v>15.83</v>
      </c>
      <c r="M27" s="25">
        <v>5.9299999999999999E-2</v>
      </c>
      <c r="N27" s="25">
        <v>-0.1111</v>
      </c>
      <c r="O27">
        <v>6.45</v>
      </c>
      <c r="P27" s="25">
        <v>7.8299999999999995E-2</v>
      </c>
      <c r="Q27" s="25">
        <v>-0.2379</v>
      </c>
      <c r="R27" s="26">
        <v>38722.800000000003</v>
      </c>
      <c r="S27" s="26">
        <v>21223000</v>
      </c>
      <c r="T27">
        <v>0.06</v>
      </c>
      <c r="U27" s="25">
        <v>0</v>
      </c>
    </row>
    <row r="28" spans="1:21" hidden="1" x14ac:dyDescent="0.25">
      <c r="A28" t="s">
        <v>265</v>
      </c>
      <c r="B28">
        <v>1.25</v>
      </c>
      <c r="C28">
        <v>-0.21</v>
      </c>
      <c r="D28">
        <v>0.31</v>
      </c>
      <c r="E28">
        <v>8.5000000000000006E-2</v>
      </c>
      <c r="F28" s="25">
        <v>0</v>
      </c>
      <c r="G28">
        <v>0.03</v>
      </c>
      <c r="H28">
        <v>-0.12</v>
      </c>
      <c r="I28">
        <v>-0.62</v>
      </c>
      <c r="J28">
        <v>-0.04</v>
      </c>
      <c r="K28">
        <v>-3.53</v>
      </c>
      <c r="L28">
        <v>-17.98</v>
      </c>
      <c r="M28" s="25">
        <v>-0.1366</v>
      </c>
      <c r="N28" s="25">
        <v>-0.41139999999999999</v>
      </c>
      <c r="O28">
        <v>0.38</v>
      </c>
      <c r="P28" s="25">
        <v>-5.28E-2</v>
      </c>
      <c r="Q28" s="25">
        <v>-1.5024</v>
      </c>
      <c r="R28" s="26">
        <v>16591.3</v>
      </c>
      <c r="S28" s="26">
        <v>107351000</v>
      </c>
      <c r="T28">
        <v>2.09</v>
      </c>
      <c r="U28" s="25">
        <v>-0.25879999999999997</v>
      </c>
    </row>
    <row r="29" spans="1:21" hidden="1" x14ac:dyDescent="0.25">
      <c r="A29" t="s">
        <v>320</v>
      </c>
      <c r="B29">
        <v>46.3</v>
      </c>
      <c r="C29">
        <v>-18.89</v>
      </c>
      <c r="D29">
        <v>12.52</v>
      </c>
      <c r="E29">
        <v>2.8610000000000002</v>
      </c>
      <c r="F29" s="25">
        <v>9.5999999999999992E-3</v>
      </c>
      <c r="G29">
        <v>1.538</v>
      </c>
      <c r="H29">
        <v>35.270000000000003</v>
      </c>
      <c r="I29">
        <v>7.17</v>
      </c>
      <c r="J29">
        <v>-2.63</v>
      </c>
      <c r="K29">
        <v>8.27</v>
      </c>
      <c r="L29">
        <v>8.27</v>
      </c>
      <c r="M29" s="25">
        <v>0.39900000000000002</v>
      </c>
      <c r="N29" s="25">
        <v>-0.15140000000000001</v>
      </c>
      <c r="O29">
        <v>1.17</v>
      </c>
      <c r="P29" s="25">
        <v>0.2918</v>
      </c>
      <c r="Q29" s="25">
        <v>-0.66269999999999996</v>
      </c>
      <c r="R29" s="26">
        <v>18427300</v>
      </c>
      <c r="S29" s="26">
        <v>803132000</v>
      </c>
      <c r="T29">
        <v>3.34</v>
      </c>
      <c r="U29" s="25">
        <v>0.1147</v>
      </c>
    </row>
    <row r="30" spans="1:21" hidden="1" x14ac:dyDescent="0.25">
      <c r="A30" t="s">
        <v>87</v>
      </c>
      <c r="B30">
        <v>9.7200000000000006</v>
      </c>
      <c r="C30" s="26">
        <v>1755.45</v>
      </c>
      <c r="D30">
        <v>0.77</v>
      </c>
      <c r="E30">
        <v>1.0620000000000001</v>
      </c>
      <c r="F30" s="25">
        <v>5.8999999999999999E-3</v>
      </c>
      <c r="G30">
        <v>0.19500000000000001</v>
      </c>
      <c r="H30">
        <v>2.96</v>
      </c>
      <c r="I30">
        <v>7.02</v>
      </c>
      <c r="J30">
        <v>-0.38</v>
      </c>
      <c r="K30">
        <v>20.78</v>
      </c>
      <c r="L30">
        <v>13</v>
      </c>
      <c r="M30" s="25">
        <v>0.1512</v>
      </c>
      <c r="N30" s="25">
        <v>7.4999999999999997E-3</v>
      </c>
      <c r="O30">
        <v>1.45</v>
      </c>
      <c r="P30" s="25">
        <v>3.2300000000000002E-2</v>
      </c>
      <c r="Q30" s="25">
        <v>4.0000000000000002E-4</v>
      </c>
      <c r="R30" s="26">
        <v>39964100</v>
      </c>
      <c r="S30" s="26">
        <v>13251500000</v>
      </c>
      <c r="T30">
        <v>1.97</v>
      </c>
      <c r="U30" s="25">
        <v>0.3977</v>
      </c>
    </row>
    <row r="31" spans="1:21" hidden="1" x14ac:dyDescent="0.25">
      <c r="A31" t="s">
        <v>321</v>
      </c>
      <c r="B31">
        <v>1.72</v>
      </c>
      <c r="C31" s="26">
        <v>-28.68</v>
      </c>
      <c r="D31">
        <v>-3.86</v>
      </c>
      <c r="E31">
        <v>0.48399999999999999</v>
      </c>
      <c r="F31" s="25">
        <v>0</v>
      </c>
      <c r="G31">
        <v>0.24199999999999999</v>
      </c>
      <c r="H31">
        <v>-3.8</v>
      </c>
      <c r="I31">
        <v>1.76</v>
      </c>
      <c r="J31">
        <v>-0.37</v>
      </c>
      <c r="K31">
        <v>4.03</v>
      </c>
      <c r="L31" s="26">
        <v>4</v>
      </c>
      <c r="M31" s="25">
        <v>0.2752</v>
      </c>
      <c r="N31" s="25">
        <v>1.3899999999999999E-2</v>
      </c>
      <c r="O31">
        <v>0.86</v>
      </c>
      <c r="P31" s="25">
        <v>0.1759</v>
      </c>
      <c r="Q31" s="25">
        <v>0.13469999999999999</v>
      </c>
      <c r="R31" s="26">
        <v>24448.400000000001</v>
      </c>
      <c r="S31" s="26">
        <v>-86998000</v>
      </c>
      <c r="T31">
        <v>-7.67</v>
      </c>
      <c r="U31" s="25">
        <v>0.33529999999999999</v>
      </c>
    </row>
    <row r="32" spans="1:21" hidden="1" x14ac:dyDescent="0.25">
      <c r="A32" t="s">
        <v>249</v>
      </c>
      <c r="B32">
        <v>0.53</v>
      </c>
      <c r="C32">
        <v>-1.19</v>
      </c>
      <c r="D32">
        <v>0.44</v>
      </c>
      <c r="E32">
        <v>2.044</v>
      </c>
      <c r="F32" s="25">
        <v>0</v>
      </c>
      <c r="G32">
        <v>0.23899999999999999</v>
      </c>
      <c r="H32">
        <v>-1.53</v>
      </c>
      <c r="I32">
        <v>-3</v>
      </c>
      <c r="J32">
        <v>-0.73</v>
      </c>
      <c r="K32">
        <v>-4.28</v>
      </c>
      <c r="L32" s="26">
        <v>-6.61</v>
      </c>
      <c r="M32" s="25">
        <v>-0.68030000000000002</v>
      </c>
      <c r="N32" s="25">
        <v>-1.7121</v>
      </c>
      <c r="O32">
        <v>0.44</v>
      </c>
      <c r="P32" s="25">
        <v>-8.7300000000000003E-2</v>
      </c>
      <c r="Q32" s="25">
        <v>-0.36630000000000001</v>
      </c>
      <c r="R32" s="26">
        <v>807619</v>
      </c>
      <c r="S32" s="26">
        <v>718475000</v>
      </c>
      <c r="T32">
        <v>0.2</v>
      </c>
      <c r="U32" s="25">
        <v>0.54369999999999996</v>
      </c>
    </row>
    <row r="33" spans="1:21" hidden="1" x14ac:dyDescent="0.25">
      <c r="A33" t="s">
        <v>237</v>
      </c>
      <c r="B33">
        <v>0.56000000000000005</v>
      </c>
      <c r="C33">
        <v>-1.26</v>
      </c>
      <c r="D33">
        <v>0.46</v>
      </c>
      <c r="E33">
        <v>2.16</v>
      </c>
      <c r="F33" s="25">
        <v>0</v>
      </c>
      <c r="G33">
        <v>0.253</v>
      </c>
      <c r="H33">
        <v>-1.62</v>
      </c>
      <c r="I33">
        <v>-3.17</v>
      </c>
      <c r="J33">
        <v>-0.77</v>
      </c>
      <c r="K33" s="26">
        <v>-4.45</v>
      </c>
      <c r="L33">
        <v>-6.87</v>
      </c>
      <c r="M33" s="25">
        <v>-0.68030000000000002</v>
      </c>
      <c r="N33" s="25">
        <v>-1.7121</v>
      </c>
      <c r="O33">
        <v>0.44</v>
      </c>
      <c r="P33" s="25">
        <v>-8.7300000000000003E-2</v>
      </c>
      <c r="Q33" s="25">
        <v>-0.36630000000000001</v>
      </c>
      <c r="R33" s="26">
        <v>1873950</v>
      </c>
      <c r="S33" s="26">
        <v>718475000</v>
      </c>
      <c r="T33">
        <v>0.2</v>
      </c>
      <c r="U33" s="25">
        <v>0.54369999999999996</v>
      </c>
    </row>
    <row r="34" spans="1:21" hidden="1" x14ac:dyDescent="0.25">
      <c r="A34" t="s">
        <v>322</v>
      </c>
      <c r="B34">
        <v>0.55000000000000004</v>
      </c>
      <c r="C34">
        <v>-2.52</v>
      </c>
      <c r="D34">
        <v>0.72</v>
      </c>
      <c r="E34">
        <v>41.085999999999999</v>
      </c>
      <c r="F34" s="25">
        <v>0</v>
      </c>
      <c r="G34">
        <v>0.53800000000000003</v>
      </c>
      <c r="H34">
        <v>-6.5</v>
      </c>
      <c r="I34">
        <v>-14.37</v>
      </c>
      <c r="J34">
        <v>-2.16</v>
      </c>
      <c r="K34">
        <v>-15.48</v>
      </c>
      <c r="L34">
        <v>-109.41</v>
      </c>
      <c r="M34" s="25">
        <v>-2.8586</v>
      </c>
      <c r="N34" s="25">
        <v>-16.324400000000001</v>
      </c>
      <c r="O34">
        <v>0.08</v>
      </c>
      <c r="P34" s="25">
        <v>-3.8100000000000002E-2</v>
      </c>
      <c r="Q34" s="25">
        <v>-0.28770000000000001</v>
      </c>
      <c r="R34" s="26">
        <v>2888060</v>
      </c>
      <c r="S34" s="26">
        <v>150106000</v>
      </c>
      <c r="T34">
        <v>0.06</v>
      </c>
      <c r="U34" s="25">
        <v>0</v>
      </c>
    </row>
    <row r="35" spans="1:21" hidden="1" x14ac:dyDescent="0.25">
      <c r="A35" t="s">
        <v>258</v>
      </c>
      <c r="B35">
        <v>0.67</v>
      </c>
      <c r="C35">
        <v>0.05</v>
      </c>
      <c r="D35">
        <v>-0.02</v>
      </c>
      <c r="E35">
        <v>3.1E-2</v>
      </c>
      <c r="F35" s="25">
        <v>0</v>
      </c>
      <c r="G35">
        <v>2.4E-2</v>
      </c>
      <c r="H35">
        <v>-0.06</v>
      </c>
      <c r="I35">
        <v>0.14000000000000001</v>
      </c>
      <c r="J35">
        <v>-0.01</v>
      </c>
      <c r="K35">
        <v>7.48</v>
      </c>
      <c r="L35">
        <v>4.6399999999999997</v>
      </c>
      <c r="M35" s="25">
        <v>0.22259999999999999</v>
      </c>
      <c r="N35" s="25">
        <v>0.58760000000000001</v>
      </c>
      <c r="O35">
        <v>0.35</v>
      </c>
      <c r="P35" s="25">
        <v>0.22220000000000001</v>
      </c>
      <c r="Q35" s="25">
        <v>-0.41810000000000003</v>
      </c>
      <c r="R35" s="26">
        <v>31779100</v>
      </c>
      <c r="S35" s="26">
        <v>-28451100000</v>
      </c>
      <c r="T35">
        <v>-1.22</v>
      </c>
      <c r="U35" s="25">
        <v>0.4042</v>
      </c>
    </row>
    <row r="36" spans="1:21" hidden="1" x14ac:dyDescent="0.25">
      <c r="A36" t="s">
        <v>323</v>
      </c>
      <c r="B36">
        <v>37.119999999999997</v>
      </c>
      <c r="C36">
        <v>19.829999999999998</v>
      </c>
      <c r="D36">
        <v>0.98</v>
      </c>
      <c r="E36">
        <v>0.76600000000000001</v>
      </c>
      <c r="F36" s="25">
        <v>1.55E-2</v>
      </c>
      <c r="G36">
        <v>0.5</v>
      </c>
      <c r="H36">
        <v>3.08</v>
      </c>
      <c r="I36">
        <v>10.71</v>
      </c>
      <c r="J36">
        <v>-15.74</v>
      </c>
      <c r="K36">
        <v>13.69</v>
      </c>
      <c r="L36">
        <v>7.92</v>
      </c>
      <c r="M36" s="25">
        <v>7.1599999999999997E-2</v>
      </c>
      <c r="N36" s="25">
        <v>3.85E-2</v>
      </c>
      <c r="O36">
        <v>1.55</v>
      </c>
      <c r="P36" s="25">
        <v>5.6800000000000003E-2</v>
      </c>
      <c r="Q36" s="25">
        <v>4.9500000000000002E-2</v>
      </c>
      <c r="R36" s="26">
        <v>103598000</v>
      </c>
      <c r="S36" s="26">
        <v>7804360000</v>
      </c>
      <c r="T36">
        <v>0.42</v>
      </c>
      <c r="U36" s="25">
        <v>0.48170000000000002</v>
      </c>
    </row>
    <row r="37" spans="1:21" hidden="1" x14ac:dyDescent="0.25">
      <c r="A37" t="s">
        <v>183</v>
      </c>
      <c r="B37">
        <v>13.39</v>
      </c>
      <c r="C37">
        <v>14.9</v>
      </c>
      <c r="D37">
        <v>3.75</v>
      </c>
      <c r="E37">
        <v>6.5519999999999996</v>
      </c>
      <c r="F37" s="25">
        <v>2.2700000000000001E-2</v>
      </c>
      <c r="G37">
        <v>1.5229999999999999</v>
      </c>
      <c r="H37">
        <v>8.25</v>
      </c>
      <c r="I37">
        <v>11.05</v>
      </c>
      <c r="J37">
        <v>-6.2</v>
      </c>
      <c r="K37">
        <v>11.1</v>
      </c>
      <c r="L37">
        <v>10.47</v>
      </c>
      <c r="M37" s="25">
        <v>0.59299999999999997</v>
      </c>
      <c r="N37" s="25">
        <v>0.43969999999999998</v>
      </c>
      <c r="O37">
        <v>2.13</v>
      </c>
      <c r="P37" s="25">
        <v>0.20280000000000001</v>
      </c>
      <c r="Q37" s="25">
        <v>0.25180000000000002</v>
      </c>
      <c r="R37" s="26">
        <v>528021000</v>
      </c>
      <c r="S37" s="26">
        <v>18794600000</v>
      </c>
      <c r="T37">
        <v>0.79</v>
      </c>
      <c r="U37" s="25">
        <v>1.6E-2</v>
      </c>
    </row>
    <row r="38" spans="1:21" hidden="1" x14ac:dyDescent="0.25">
      <c r="A38" t="s">
        <v>324</v>
      </c>
      <c r="B38">
        <v>21</v>
      </c>
      <c r="C38">
        <v>6.63</v>
      </c>
      <c r="D38">
        <v>1.1299999999999999</v>
      </c>
      <c r="E38">
        <v>0.99299999999999999</v>
      </c>
      <c r="F38" s="25">
        <v>6.4600000000000005E-2</v>
      </c>
      <c r="G38">
        <v>0.73099999999999998</v>
      </c>
      <c r="H38">
        <v>1.43</v>
      </c>
      <c r="I38">
        <v>6.04</v>
      </c>
      <c r="J38">
        <v>1.95</v>
      </c>
      <c r="K38">
        <v>4.2</v>
      </c>
      <c r="L38">
        <v>3.65</v>
      </c>
      <c r="M38" s="25">
        <v>0.16450000000000001</v>
      </c>
      <c r="N38" s="25">
        <v>0.1517</v>
      </c>
      <c r="O38">
        <v>3.3</v>
      </c>
      <c r="P38" s="25">
        <v>0.17910000000000001</v>
      </c>
      <c r="Q38" s="25">
        <v>0.1699</v>
      </c>
      <c r="R38" s="26">
        <v>2433.36</v>
      </c>
      <c r="S38" s="26">
        <v>182554000</v>
      </c>
      <c r="T38">
        <v>0.09</v>
      </c>
      <c r="U38" s="25">
        <v>6.9500000000000006E-2</v>
      </c>
    </row>
    <row r="39" spans="1:21" hidden="1" x14ac:dyDescent="0.25">
      <c r="A39" t="s">
        <v>325</v>
      </c>
      <c r="B39">
        <v>15.8</v>
      </c>
      <c r="C39">
        <v>4.99</v>
      </c>
      <c r="D39">
        <v>0.85</v>
      </c>
      <c r="E39">
        <v>0.747</v>
      </c>
      <c r="F39" s="25">
        <v>8.5900000000000004E-2</v>
      </c>
      <c r="G39">
        <v>0.55000000000000004</v>
      </c>
      <c r="H39">
        <v>1.08</v>
      </c>
      <c r="I39">
        <v>4.54</v>
      </c>
      <c r="J39">
        <v>1.47</v>
      </c>
      <c r="K39">
        <v>2.7</v>
      </c>
      <c r="L39">
        <v>2.35</v>
      </c>
      <c r="M39" s="25">
        <v>0.16450000000000001</v>
      </c>
      <c r="N39" s="25">
        <v>0.1517</v>
      </c>
      <c r="O39">
        <v>3.3</v>
      </c>
      <c r="P39" s="25">
        <v>0.17910000000000001</v>
      </c>
      <c r="Q39" s="25">
        <v>0.1699</v>
      </c>
      <c r="R39" s="26">
        <v>12217.4</v>
      </c>
      <c r="S39" s="26">
        <v>182554000</v>
      </c>
      <c r="T39">
        <v>0.09</v>
      </c>
      <c r="U39" s="25">
        <v>6.9500000000000006E-2</v>
      </c>
    </row>
    <row r="40" spans="1:21" hidden="1" x14ac:dyDescent="0.25">
      <c r="A40" t="s">
        <v>326</v>
      </c>
      <c r="B40">
        <v>82.47</v>
      </c>
      <c r="C40">
        <v>16.100000000000001</v>
      </c>
      <c r="D40">
        <v>3.3</v>
      </c>
      <c r="E40">
        <v>1.681</v>
      </c>
      <c r="F40" s="25">
        <v>1.4999999999999999E-2</v>
      </c>
      <c r="G40">
        <v>2.2679999999999998</v>
      </c>
      <c r="H40">
        <v>9.61</v>
      </c>
      <c r="I40">
        <v>21.78</v>
      </c>
      <c r="J40">
        <v>10.3</v>
      </c>
      <c r="K40">
        <v>19.510000000000002</v>
      </c>
      <c r="L40">
        <v>15.29</v>
      </c>
      <c r="M40" s="25">
        <v>7.7200000000000005E-2</v>
      </c>
      <c r="N40" s="25">
        <v>0.10440000000000001</v>
      </c>
      <c r="O40">
        <v>1.79</v>
      </c>
      <c r="P40" s="25">
        <v>0.17910000000000001</v>
      </c>
      <c r="Q40" s="25">
        <v>0.2051</v>
      </c>
      <c r="R40" s="26">
        <v>19242.099999999999</v>
      </c>
      <c r="S40" s="26">
        <v>130425000</v>
      </c>
      <c r="T40">
        <v>0</v>
      </c>
      <c r="U40" s="25">
        <v>9.0999999999999998E-2</v>
      </c>
    </row>
    <row r="41" spans="1:21" hidden="1" x14ac:dyDescent="0.25">
      <c r="A41" t="s">
        <v>327</v>
      </c>
      <c r="B41">
        <v>70.22</v>
      </c>
      <c r="C41">
        <v>3.19</v>
      </c>
      <c r="D41">
        <v>0.59</v>
      </c>
      <c r="E41">
        <v>0</v>
      </c>
      <c r="F41" s="25">
        <v>0.1137</v>
      </c>
      <c r="G41">
        <v>0</v>
      </c>
      <c r="H41">
        <v>0</v>
      </c>
      <c r="I41">
        <v>0</v>
      </c>
      <c r="J41">
        <v>0</v>
      </c>
      <c r="K41">
        <v>0</v>
      </c>
      <c r="L41">
        <v>0</v>
      </c>
      <c r="M41" s="25">
        <v>0</v>
      </c>
      <c r="N41" s="25">
        <v>0</v>
      </c>
      <c r="O41">
        <v>0</v>
      </c>
      <c r="P41" s="25">
        <v>0</v>
      </c>
      <c r="Q41" s="25">
        <v>0.1842</v>
      </c>
      <c r="R41" s="26">
        <v>793198</v>
      </c>
      <c r="S41" s="26">
        <v>6691270000</v>
      </c>
      <c r="T41">
        <v>0</v>
      </c>
      <c r="U41" s="25">
        <v>9.7000000000000003E-2</v>
      </c>
    </row>
    <row r="42" spans="1:21" hidden="1" x14ac:dyDescent="0.25">
      <c r="A42" t="s">
        <v>232</v>
      </c>
      <c r="B42">
        <v>20.21</v>
      </c>
      <c r="C42">
        <v>3.48</v>
      </c>
      <c r="D42">
        <v>0.66</v>
      </c>
      <c r="E42">
        <v>0</v>
      </c>
      <c r="F42" s="25">
        <v>0.1177</v>
      </c>
      <c r="G42">
        <v>0</v>
      </c>
      <c r="H42">
        <v>0</v>
      </c>
      <c r="I42">
        <v>0</v>
      </c>
      <c r="J42">
        <v>0</v>
      </c>
      <c r="K42">
        <v>0</v>
      </c>
      <c r="L42">
        <v>0</v>
      </c>
      <c r="M42" s="25">
        <v>0</v>
      </c>
      <c r="N42" s="25">
        <v>0</v>
      </c>
      <c r="O42">
        <v>0</v>
      </c>
      <c r="P42" s="25">
        <v>0</v>
      </c>
      <c r="Q42" s="25">
        <v>0.1905</v>
      </c>
      <c r="R42" s="26">
        <v>701408000</v>
      </c>
      <c r="S42" s="26">
        <v>174643000000</v>
      </c>
      <c r="T42">
        <v>0</v>
      </c>
      <c r="U42" s="25">
        <v>0.15529999999999999</v>
      </c>
    </row>
    <row r="43" spans="1:21" hidden="1" x14ac:dyDescent="0.25">
      <c r="A43" t="s">
        <v>95</v>
      </c>
      <c r="B43">
        <v>13.63</v>
      </c>
      <c r="C43">
        <v>6.98</v>
      </c>
      <c r="D43">
        <v>0.88</v>
      </c>
      <c r="E43">
        <v>0</v>
      </c>
      <c r="F43" s="25">
        <v>8.3199999999999996E-2</v>
      </c>
      <c r="G43">
        <v>0</v>
      </c>
      <c r="H43">
        <v>0</v>
      </c>
      <c r="I43">
        <v>0</v>
      </c>
      <c r="J43">
        <v>0</v>
      </c>
      <c r="K43">
        <v>0</v>
      </c>
      <c r="L43">
        <v>0</v>
      </c>
      <c r="M43" s="25">
        <v>0</v>
      </c>
      <c r="N43" s="25">
        <v>0</v>
      </c>
      <c r="O43">
        <v>0</v>
      </c>
      <c r="P43" s="25">
        <v>0</v>
      </c>
      <c r="Q43" s="25">
        <v>0.12590000000000001</v>
      </c>
      <c r="R43" s="26">
        <v>131860000</v>
      </c>
      <c r="S43" s="26">
        <v>164193000000</v>
      </c>
      <c r="T43">
        <v>0</v>
      </c>
      <c r="U43" s="25">
        <v>-4.48E-2</v>
      </c>
    </row>
    <row r="44" spans="1:21" hidden="1" x14ac:dyDescent="0.25">
      <c r="A44" t="s">
        <v>110</v>
      </c>
      <c r="B44">
        <v>15.88</v>
      </c>
      <c r="C44">
        <v>8.1300000000000008</v>
      </c>
      <c r="D44">
        <v>1.02</v>
      </c>
      <c r="E44">
        <v>0</v>
      </c>
      <c r="F44" s="25">
        <v>7.85E-2</v>
      </c>
      <c r="G44">
        <v>0</v>
      </c>
      <c r="H44">
        <v>0</v>
      </c>
      <c r="I44">
        <v>0</v>
      </c>
      <c r="J44">
        <v>0</v>
      </c>
      <c r="K44">
        <v>0</v>
      </c>
      <c r="L44">
        <v>0</v>
      </c>
      <c r="M44" s="25">
        <v>0</v>
      </c>
      <c r="N44" s="25">
        <v>0</v>
      </c>
      <c r="O44">
        <v>0</v>
      </c>
      <c r="P44" s="25">
        <v>0</v>
      </c>
      <c r="Q44" s="25">
        <v>0.12590000000000001</v>
      </c>
      <c r="R44" s="26">
        <v>490577000</v>
      </c>
      <c r="S44" s="26">
        <v>164193000000</v>
      </c>
      <c r="T44">
        <v>0</v>
      </c>
      <c r="U44" s="25">
        <v>-4.48E-2</v>
      </c>
    </row>
    <row r="45" spans="1:21" hidden="1" x14ac:dyDescent="0.25">
      <c r="A45" t="s">
        <v>42</v>
      </c>
      <c r="B45">
        <v>33.78</v>
      </c>
      <c r="C45">
        <v>7.82</v>
      </c>
      <c r="D45">
        <v>5.79</v>
      </c>
      <c r="E45">
        <v>0</v>
      </c>
      <c r="F45" s="25">
        <v>0.1096</v>
      </c>
      <c r="G45">
        <v>3.6469999999999998</v>
      </c>
      <c r="H45">
        <v>0</v>
      </c>
      <c r="I45">
        <v>6.98</v>
      </c>
      <c r="J45">
        <v>0</v>
      </c>
      <c r="K45">
        <v>0</v>
      </c>
      <c r="L45">
        <v>0</v>
      </c>
      <c r="M45" s="25">
        <v>0</v>
      </c>
      <c r="N45" s="25">
        <v>0</v>
      </c>
      <c r="O45">
        <v>0</v>
      </c>
      <c r="P45" s="25">
        <v>0</v>
      </c>
      <c r="Q45" s="25">
        <v>0.74129999999999996</v>
      </c>
      <c r="R45" s="26">
        <v>181335000</v>
      </c>
      <c r="S45" s="26">
        <v>11662000000</v>
      </c>
      <c r="T45">
        <v>0</v>
      </c>
      <c r="U45" s="25">
        <v>0</v>
      </c>
    </row>
    <row r="46" spans="1:21" hidden="1" x14ac:dyDescent="0.25">
      <c r="A46" t="s">
        <v>328</v>
      </c>
      <c r="B46">
        <v>9</v>
      </c>
      <c r="C46">
        <v>-0.54</v>
      </c>
      <c r="D46">
        <v>-0.06</v>
      </c>
      <c r="E46">
        <v>0.34300000000000003</v>
      </c>
      <c r="F46" s="25">
        <v>0</v>
      </c>
      <c r="G46">
        <v>2.7E-2</v>
      </c>
      <c r="H46">
        <v>-0.05</v>
      </c>
      <c r="I46">
        <v>-1.1599999999999999</v>
      </c>
      <c r="J46">
        <v>-0.03</v>
      </c>
      <c r="K46">
        <v>-14.84</v>
      </c>
      <c r="L46">
        <v>-17.7</v>
      </c>
      <c r="M46" s="25">
        <v>-0.29549999999999998</v>
      </c>
      <c r="N46" s="25">
        <v>-0.63990000000000002</v>
      </c>
      <c r="O46">
        <v>0.46</v>
      </c>
      <c r="P46" s="25">
        <v>-2.5100000000000001E-2</v>
      </c>
      <c r="Q46" s="25">
        <v>0.11509999999999999</v>
      </c>
      <c r="R46" s="26">
        <v>339.52</v>
      </c>
      <c r="S46" s="26">
        <v>-233585000</v>
      </c>
      <c r="T46">
        <v>-0.8</v>
      </c>
      <c r="U46" s="25">
        <v>0.21890000000000001</v>
      </c>
    </row>
    <row r="47" spans="1:21" hidden="1" x14ac:dyDescent="0.25">
      <c r="A47" t="s">
        <v>329</v>
      </c>
      <c r="B47">
        <v>7.45</v>
      </c>
      <c r="C47">
        <v>-0.44</v>
      </c>
      <c r="D47">
        <v>-0.05</v>
      </c>
      <c r="E47">
        <v>0.28399999999999997</v>
      </c>
      <c r="F47" s="25">
        <v>0</v>
      </c>
      <c r="G47">
        <v>2.1999999999999999E-2</v>
      </c>
      <c r="H47">
        <v>-0.05</v>
      </c>
      <c r="I47">
        <v>-0.96</v>
      </c>
      <c r="J47">
        <v>-0.02</v>
      </c>
      <c r="K47">
        <v>-14.64</v>
      </c>
      <c r="L47">
        <v>-17.47</v>
      </c>
      <c r="M47" s="25">
        <v>-0.29549999999999998</v>
      </c>
      <c r="N47" s="25">
        <v>-0.63990000000000002</v>
      </c>
      <c r="O47">
        <v>0.46</v>
      </c>
      <c r="P47" s="25">
        <v>-2.5100000000000001E-2</v>
      </c>
      <c r="Q47" s="25">
        <v>0.11509999999999999</v>
      </c>
      <c r="R47" s="26">
        <v>1212.17</v>
      </c>
      <c r="S47" s="26">
        <v>-233585000</v>
      </c>
      <c r="T47">
        <v>-0.8</v>
      </c>
      <c r="U47" s="25">
        <v>0.21890000000000001</v>
      </c>
    </row>
    <row r="48" spans="1:21" hidden="1" x14ac:dyDescent="0.25">
      <c r="A48" t="s">
        <v>179</v>
      </c>
      <c r="B48">
        <v>5.24</v>
      </c>
      <c r="C48">
        <v>-4.34</v>
      </c>
      <c r="D48">
        <v>-8.01</v>
      </c>
      <c r="E48">
        <v>0.13700000000000001</v>
      </c>
      <c r="F48" s="25">
        <v>0</v>
      </c>
      <c r="G48">
        <v>0.13</v>
      </c>
      <c r="H48">
        <v>0.7</v>
      </c>
      <c r="I48">
        <v>2</v>
      </c>
      <c r="J48">
        <v>-0.3</v>
      </c>
      <c r="K48">
        <v>7.99</v>
      </c>
      <c r="L48">
        <v>6.19</v>
      </c>
      <c r="M48" s="25">
        <v>6.8400000000000002E-2</v>
      </c>
      <c r="N48" s="25">
        <v>-3.1300000000000001E-2</v>
      </c>
      <c r="O48">
        <v>1.48</v>
      </c>
      <c r="P48" s="25">
        <v>0.12130000000000001</v>
      </c>
      <c r="Q48" s="25">
        <v>1.8464</v>
      </c>
      <c r="R48" s="26">
        <v>77867600</v>
      </c>
      <c r="S48" s="26">
        <v>-650682000</v>
      </c>
      <c r="T48">
        <v>-42.2</v>
      </c>
      <c r="U48" s="25">
        <v>0.1232</v>
      </c>
    </row>
    <row r="49" spans="1:21" hidden="1" x14ac:dyDescent="0.25">
      <c r="A49" t="s">
        <v>6</v>
      </c>
      <c r="B49">
        <v>8.44</v>
      </c>
      <c r="C49">
        <v>7.04</v>
      </c>
      <c r="D49">
        <v>1.17</v>
      </c>
      <c r="E49">
        <v>0</v>
      </c>
      <c r="F49" s="25">
        <v>6.0900000000000003E-2</v>
      </c>
      <c r="G49">
        <v>0</v>
      </c>
      <c r="H49">
        <v>0</v>
      </c>
      <c r="I49">
        <v>0</v>
      </c>
      <c r="J49">
        <v>0</v>
      </c>
      <c r="K49">
        <v>0</v>
      </c>
      <c r="L49">
        <v>0</v>
      </c>
      <c r="M49" s="25">
        <v>0</v>
      </c>
      <c r="N49" s="25">
        <v>0</v>
      </c>
      <c r="O49">
        <v>0</v>
      </c>
      <c r="P49" s="25">
        <v>0</v>
      </c>
      <c r="Q49" s="25">
        <v>0.16669999999999999</v>
      </c>
      <c r="R49" s="26">
        <v>98346.4</v>
      </c>
      <c r="S49" s="26">
        <v>2271950000</v>
      </c>
      <c r="T49">
        <v>0</v>
      </c>
      <c r="U49" s="25">
        <v>0.13350000000000001</v>
      </c>
    </row>
    <row r="50" spans="1:21" hidden="1" x14ac:dyDescent="0.25">
      <c r="A50" t="s">
        <v>23</v>
      </c>
      <c r="B50">
        <v>8.3699999999999992</v>
      </c>
      <c r="C50">
        <v>6.98</v>
      </c>
      <c r="D50">
        <v>1.1599999999999999</v>
      </c>
      <c r="E50">
        <v>0</v>
      </c>
      <c r="F50" s="25">
        <v>6.1400000000000003E-2</v>
      </c>
      <c r="G50">
        <v>0</v>
      </c>
      <c r="H50">
        <v>0</v>
      </c>
      <c r="I50">
        <v>0</v>
      </c>
      <c r="J50">
        <v>0</v>
      </c>
      <c r="K50">
        <v>0</v>
      </c>
      <c r="L50">
        <v>0</v>
      </c>
      <c r="M50" s="25">
        <v>0</v>
      </c>
      <c r="N50" s="25">
        <v>0</v>
      </c>
      <c r="O50">
        <v>0</v>
      </c>
      <c r="P50" s="25">
        <v>0</v>
      </c>
      <c r="Q50" s="25">
        <v>0.16669999999999999</v>
      </c>
      <c r="R50" s="26">
        <v>33945.1</v>
      </c>
      <c r="S50" s="26">
        <v>2271950000</v>
      </c>
      <c r="T50">
        <v>0</v>
      </c>
      <c r="U50" s="25">
        <v>0.13350000000000001</v>
      </c>
    </row>
    <row r="51" spans="1:21" hidden="1" x14ac:dyDescent="0.25">
      <c r="A51" t="s">
        <v>330</v>
      </c>
      <c r="B51">
        <v>34.99</v>
      </c>
      <c r="C51">
        <v>5.14</v>
      </c>
      <c r="D51">
        <v>0.93</v>
      </c>
      <c r="E51">
        <v>0</v>
      </c>
      <c r="F51" s="25">
        <v>0.1046</v>
      </c>
      <c r="G51">
        <v>0</v>
      </c>
      <c r="H51">
        <v>0</v>
      </c>
      <c r="I51">
        <v>0</v>
      </c>
      <c r="J51">
        <v>0</v>
      </c>
      <c r="K51">
        <v>0</v>
      </c>
      <c r="L51">
        <v>0</v>
      </c>
      <c r="M51" s="25">
        <v>0</v>
      </c>
      <c r="N51" s="25">
        <v>0</v>
      </c>
      <c r="O51">
        <v>0</v>
      </c>
      <c r="P51" s="25">
        <v>0</v>
      </c>
      <c r="Q51" s="25">
        <v>0.18110000000000001</v>
      </c>
      <c r="R51" s="26">
        <v>459.17</v>
      </c>
      <c r="S51" s="26">
        <v>810042000</v>
      </c>
      <c r="T51">
        <v>0</v>
      </c>
      <c r="U51" s="25">
        <v>2.1499999999999998E-2</v>
      </c>
    </row>
    <row r="52" spans="1:21" hidden="1" x14ac:dyDescent="0.25">
      <c r="A52" t="s">
        <v>331</v>
      </c>
      <c r="B52">
        <v>28</v>
      </c>
      <c r="C52">
        <v>4.1100000000000003</v>
      </c>
      <c r="D52">
        <v>0.74</v>
      </c>
      <c r="E52">
        <v>0</v>
      </c>
      <c r="F52" s="25">
        <v>0.14380000000000001</v>
      </c>
      <c r="G52">
        <v>0</v>
      </c>
      <c r="H52">
        <v>0</v>
      </c>
      <c r="I52">
        <v>0</v>
      </c>
      <c r="J52">
        <v>0</v>
      </c>
      <c r="K52">
        <v>0</v>
      </c>
      <c r="L52">
        <v>0</v>
      </c>
      <c r="M52" s="25">
        <v>0</v>
      </c>
      <c r="N52" s="25">
        <v>0</v>
      </c>
      <c r="O52">
        <v>0</v>
      </c>
      <c r="P52" s="25">
        <v>0</v>
      </c>
      <c r="Q52" s="25">
        <v>0.18110000000000001</v>
      </c>
      <c r="R52" s="26">
        <v>58065.599999999999</v>
      </c>
      <c r="S52" s="26">
        <v>810042000</v>
      </c>
      <c r="T52">
        <v>0</v>
      </c>
      <c r="U52" s="25">
        <v>2.1499999999999998E-2</v>
      </c>
    </row>
    <row r="53" spans="1:21" hidden="1" x14ac:dyDescent="0.25">
      <c r="A53" t="s">
        <v>332</v>
      </c>
      <c r="B53">
        <v>3.12</v>
      </c>
      <c r="C53">
        <v>-0.25</v>
      </c>
      <c r="D53">
        <v>0.14000000000000001</v>
      </c>
      <c r="E53">
        <v>1.0999999999999999E-2</v>
      </c>
      <c r="F53" s="25">
        <v>0</v>
      </c>
      <c r="G53">
        <v>8.9999999999999993E-3</v>
      </c>
      <c r="H53">
        <v>-0.06</v>
      </c>
      <c r="I53">
        <v>0.16</v>
      </c>
      <c r="J53">
        <v>-0.02</v>
      </c>
      <c r="K53">
        <v>4.75</v>
      </c>
      <c r="L53">
        <v>3.02</v>
      </c>
      <c r="M53" s="25">
        <v>6.6900000000000001E-2</v>
      </c>
      <c r="N53" s="25">
        <v>-4.2799999999999998E-2</v>
      </c>
      <c r="O53">
        <v>0.74</v>
      </c>
      <c r="P53" s="25">
        <v>7.8200000000000006E-2</v>
      </c>
      <c r="Q53" s="25">
        <v>-0.5706</v>
      </c>
      <c r="R53" s="26">
        <v>16473200</v>
      </c>
      <c r="S53" s="26">
        <v>2089000000</v>
      </c>
      <c r="T53">
        <v>4.66</v>
      </c>
      <c r="U53" s="25">
        <v>-2.52E-2</v>
      </c>
    </row>
    <row r="54" spans="1:21" hidden="1" x14ac:dyDescent="0.25">
      <c r="A54" t="s">
        <v>333</v>
      </c>
      <c r="B54">
        <v>3.4</v>
      </c>
      <c r="C54">
        <v>-1.23</v>
      </c>
      <c r="D54">
        <v>1.19</v>
      </c>
      <c r="E54">
        <v>0.25</v>
      </c>
      <c r="F54" s="25">
        <v>0</v>
      </c>
      <c r="G54">
        <v>0.17899999999999999</v>
      </c>
      <c r="H54">
        <v>-0.84</v>
      </c>
      <c r="I54">
        <v>48.9</v>
      </c>
      <c r="J54">
        <v>-0.26</v>
      </c>
      <c r="K54">
        <v>69.64</v>
      </c>
      <c r="L54">
        <v>7.02</v>
      </c>
      <c r="M54" s="25">
        <v>5.1000000000000004E-3</v>
      </c>
      <c r="N54" s="25">
        <v>-0.2056</v>
      </c>
      <c r="O54">
        <v>0.32</v>
      </c>
      <c r="P54" s="25">
        <v>3.8999999999999998E-3</v>
      </c>
      <c r="Q54" s="25">
        <v>-0.9677</v>
      </c>
      <c r="R54" s="26">
        <v>23483.4</v>
      </c>
      <c r="S54" s="26">
        <v>75212000</v>
      </c>
      <c r="T54">
        <v>0.72</v>
      </c>
      <c r="U54" s="25">
        <v>0.13039999999999999</v>
      </c>
    </row>
    <row r="55" spans="1:21" hidden="1" x14ac:dyDescent="0.25">
      <c r="A55" t="s">
        <v>334</v>
      </c>
      <c r="B55">
        <v>7.68</v>
      </c>
      <c r="C55">
        <v>-13.56</v>
      </c>
      <c r="D55">
        <v>3.88</v>
      </c>
      <c r="E55">
        <v>6.7679999999999998</v>
      </c>
      <c r="F55" s="25">
        <v>0</v>
      </c>
      <c r="G55">
        <v>2.1739999999999999</v>
      </c>
      <c r="H55" s="26">
        <v>7.04</v>
      </c>
      <c r="I55">
        <v>-14.89</v>
      </c>
      <c r="J55">
        <v>37.99</v>
      </c>
      <c r="K55">
        <v>-14.93</v>
      </c>
      <c r="L55">
        <v>-14.78</v>
      </c>
      <c r="M55" s="25">
        <v>-0.4546</v>
      </c>
      <c r="N55" s="25">
        <v>-0.499</v>
      </c>
      <c r="O55">
        <v>2.64</v>
      </c>
      <c r="P55" s="25">
        <v>-0.218</v>
      </c>
      <c r="Q55" s="25">
        <v>-0.28610000000000002</v>
      </c>
      <c r="R55" s="26">
        <v>431897</v>
      </c>
      <c r="S55" s="26">
        <v>250993000</v>
      </c>
      <c r="T55">
        <v>0.46</v>
      </c>
      <c r="U55" s="25">
        <v>0.1827</v>
      </c>
    </row>
    <row r="56" spans="1:21" hidden="1" x14ac:dyDescent="0.25">
      <c r="A56" t="s">
        <v>187</v>
      </c>
      <c r="B56">
        <v>12.41</v>
      </c>
      <c r="C56" s="26">
        <v>8.31</v>
      </c>
      <c r="D56">
        <v>1.01</v>
      </c>
      <c r="E56">
        <v>1.2589999999999999</v>
      </c>
      <c r="F56" s="25">
        <v>2.7199999999999998E-2</v>
      </c>
      <c r="G56">
        <v>0.64900000000000002</v>
      </c>
      <c r="H56">
        <v>1.96</v>
      </c>
      <c r="I56">
        <v>5.97</v>
      </c>
      <c r="J56">
        <v>5.52</v>
      </c>
      <c r="K56">
        <v>6.15</v>
      </c>
      <c r="L56">
        <v>5.37</v>
      </c>
      <c r="M56" s="25">
        <v>0.2109</v>
      </c>
      <c r="N56" s="25">
        <v>0.1497</v>
      </c>
      <c r="O56">
        <v>3.23</v>
      </c>
      <c r="P56" s="25">
        <v>0.13789999999999999</v>
      </c>
      <c r="Q56" s="25">
        <v>0.12180000000000001</v>
      </c>
      <c r="R56" s="26">
        <v>4351680</v>
      </c>
      <c r="S56" s="26">
        <v>2201560000</v>
      </c>
      <c r="T56">
        <v>0.23</v>
      </c>
      <c r="U56" s="25">
        <v>7.4300000000000005E-2</v>
      </c>
    </row>
    <row r="57" spans="1:21" hidden="1" x14ac:dyDescent="0.25">
      <c r="A57" t="s">
        <v>335</v>
      </c>
      <c r="B57">
        <v>5.14</v>
      </c>
      <c r="C57">
        <v>-5.63</v>
      </c>
      <c r="D57">
        <v>0.46</v>
      </c>
      <c r="E57">
        <v>0</v>
      </c>
      <c r="F57" s="25">
        <v>0</v>
      </c>
      <c r="G57">
        <v>0.13800000000000001</v>
      </c>
      <c r="H57">
        <v>-0.76</v>
      </c>
      <c r="I57">
        <v>-42.93</v>
      </c>
      <c r="J57">
        <v>-0.2</v>
      </c>
      <c r="K57">
        <v>-53.97</v>
      </c>
      <c r="L57">
        <v>-53.97</v>
      </c>
      <c r="M57" s="25">
        <v>0</v>
      </c>
      <c r="N57" s="25">
        <v>0</v>
      </c>
      <c r="O57">
        <v>0</v>
      </c>
      <c r="P57" s="25">
        <v>-3.3E-3</v>
      </c>
      <c r="Q57" s="25">
        <v>-8.2400000000000001E-2</v>
      </c>
      <c r="R57" s="26">
        <v>3091.81</v>
      </c>
      <c r="S57" s="26">
        <v>56569000</v>
      </c>
      <c r="T57">
        <v>0.12</v>
      </c>
      <c r="U57" s="25">
        <v>0</v>
      </c>
    </row>
    <row r="58" spans="1:21" hidden="1" x14ac:dyDescent="0.25">
      <c r="A58" t="s">
        <v>336</v>
      </c>
      <c r="B58">
        <v>1.52</v>
      </c>
      <c r="C58">
        <v>-1.66</v>
      </c>
      <c r="D58">
        <v>0.14000000000000001</v>
      </c>
      <c r="E58">
        <v>0</v>
      </c>
      <c r="F58" s="25">
        <v>0</v>
      </c>
      <c r="G58">
        <v>4.1000000000000002E-2</v>
      </c>
      <c r="H58">
        <v>-0.22</v>
      </c>
      <c r="I58">
        <v>-12.69</v>
      </c>
      <c r="J58">
        <v>-0.06</v>
      </c>
      <c r="K58">
        <v>-23.74</v>
      </c>
      <c r="L58">
        <v>-23.74</v>
      </c>
      <c r="M58" s="25">
        <v>0</v>
      </c>
      <c r="N58" s="25">
        <v>0</v>
      </c>
      <c r="O58">
        <v>0</v>
      </c>
      <c r="P58" s="25">
        <v>-3.3E-3</v>
      </c>
      <c r="Q58" s="25">
        <v>-8.2400000000000001E-2</v>
      </c>
      <c r="R58" s="26">
        <v>10453.200000000001</v>
      </c>
      <c r="S58" s="26">
        <v>56569000</v>
      </c>
      <c r="T58">
        <v>0.12</v>
      </c>
      <c r="U58" s="25">
        <v>0</v>
      </c>
    </row>
    <row r="59" spans="1:21" hidden="1" x14ac:dyDescent="0.25">
      <c r="A59" t="s">
        <v>337</v>
      </c>
      <c r="B59">
        <v>33.39</v>
      </c>
      <c r="C59">
        <v>4.2300000000000004</v>
      </c>
      <c r="D59">
        <v>1.85</v>
      </c>
      <c r="E59">
        <v>0</v>
      </c>
      <c r="F59" s="25">
        <v>6.0600000000000001E-2</v>
      </c>
      <c r="G59">
        <v>0</v>
      </c>
      <c r="H59">
        <v>0</v>
      </c>
      <c r="I59">
        <v>0</v>
      </c>
      <c r="J59">
        <v>0</v>
      </c>
      <c r="K59">
        <v>0</v>
      </c>
      <c r="L59">
        <v>0</v>
      </c>
      <c r="M59" s="25">
        <v>0</v>
      </c>
      <c r="N59" s="25">
        <v>0</v>
      </c>
      <c r="O59">
        <v>0</v>
      </c>
      <c r="P59" s="25">
        <v>0</v>
      </c>
      <c r="Q59" s="25">
        <v>0.43669999999999998</v>
      </c>
      <c r="R59" s="26">
        <v>11015.2</v>
      </c>
      <c r="S59" s="26">
        <v>1894930000</v>
      </c>
      <c r="T59">
        <v>0</v>
      </c>
      <c r="U59" s="25">
        <v>0.2278</v>
      </c>
    </row>
    <row r="60" spans="1:21" hidden="1" x14ac:dyDescent="0.25">
      <c r="A60" t="s">
        <v>92</v>
      </c>
      <c r="B60">
        <v>39.5</v>
      </c>
      <c r="C60">
        <v>5</v>
      </c>
      <c r="D60">
        <v>2.19</v>
      </c>
      <c r="E60">
        <v>0</v>
      </c>
      <c r="F60" s="25">
        <v>5.6399999999999999E-2</v>
      </c>
      <c r="G60">
        <v>0</v>
      </c>
      <c r="H60">
        <v>0</v>
      </c>
      <c r="I60">
        <v>0</v>
      </c>
      <c r="J60">
        <v>0</v>
      </c>
      <c r="K60">
        <v>0</v>
      </c>
      <c r="L60">
        <v>0</v>
      </c>
      <c r="M60" s="25">
        <v>0</v>
      </c>
      <c r="N60" s="25">
        <v>0</v>
      </c>
      <c r="O60">
        <v>0</v>
      </c>
      <c r="P60" s="25">
        <v>0</v>
      </c>
      <c r="Q60" s="25">
        <v>0.43669999999999998</v>
      </c>
      <c r="R60" s="26">
        <v>415998</v>
      </c>
      <c r="S60" s="26">
        <v>1894930000</v>
      </c>
      <c r="T60">
        <v>0</v>
      </c>
      <c r="U60" s="25">
        <v>0.2278</v>
      </c>
    </row>
    <row r="61" spans="1:21" hidden="1" x14ac:dyDescent="0.25">
      <c r="A61" t="s">
        <v>46</v>
      </c>
      <c r="B61">
        <v>3.67</v>
      </c>
      <c r="C61">
        <v>4.8600000000000003</v>
      </c>
      <c r="D61">
        <v>0.59</v>
      </c>
      <c r="E61">
        <v>0</v>
      </c>
      <c r="F61" s="25">
        <v>8.2299999999999998E-2</v>
      </c>
      <c r="G61">
        <v>0</v>
      </c>
      <c r="H61">
        <v>0</v>
      </c>
      <c r="I61">
        <v>0</v>
      </c>
      <c r="J61">
        <v>0</v>
      </c>
      <c r="K61">
        <v>0</v>
      </c>
      <c r="L61">
        <v>0</v>
      </c>
      <c r="M61" s="25">
        <v>0</v>
      </c>
      <c r="N61" s="25">
        <v>0</v>
      </c>
      <c r="O61">
        <v>0</v>
      </c>
      <c r="P61" s="25">
        <v>0</v>
      </c>
      <c r="Q61" s="25">
        <v>0.1207</v>
      </c>
      <c r="R61" s="26">
        <v>1788480</v>
      </c>
      <c r="S61" s="26">
        <v>3648070000</v>
      </c>
      <c r="T61">
        <v>0</v>
      </c>
      <c r="U61" s="25">
        <v>-4.4499999999999998E-2</v>
      </c>
    </row>
    <row r="62" spans="1:21" hidden="1" x14ac:dyDescent="0.25">
      <c r="A62" t="s">
        <v>338</v>
      </c>
      <c r="B62">
        <v>20</v>
      </c>
      <c r="C62">
        <v>11.63</v>
      </c>
      <c r="D62">
        <v>0.69</v>
      </c>
      <c r="E62">
        <v>0</v>
      </c>
      <c r="F62" s="25">
        <v>1.77E-2</v>
      </c>
      <c r="G62">
        <v>0</v>
      </c>
      <c r="H62">
        <v>0</v>
      </c>
      <c r="I62">
        <v>0</v>
      </c>
      <c r="J62">
        <v>0</v>
      </c>
      <c r="K62">
        <v>0</v>
      </c>
      <c r="L62">
        <v>0</v>
      </c>
      <c r="M62" s="25">
        <v>0</v>
      </c>
      <c r="N62" s="25">
        <v>0</v>
      </c>
      <c r="O62">
        <v>0</v>
      </c>
      <c r="P62" s="25">
        <v>0</v>
      </c>
      <c r="Q62" s="25">
        <v>5.9400000000000001E-2</v>
      </c>
      <c r="R62" s="26">
        <v>93.55</v>
      </c>
      <c r="S62" s="26">
        <v>139754000</v>
      </c>
      <c r="T62">
        <v>0</v>
      </c>
      <c r="U62" s="25">
        <v>0.17380000000000001</v>
      </c>
    </row>
    <row r="63" spans="1:21" hidden="1" x14ac:dyDescent="0.25">
      <c r="A63" t="s">
        <v>339</v>
      </c>
      <c r="B63">
        <v>16.8</v>
      </c>
      <c r="C63">
        <v>9.77</v>
      </c>
      <c r="D63">
        <v>0.57999999999999996</v>
      </c>
      <c r="E63">
        <v>0</v>
      </c>
      <c r="F63" s="25">
        <v>8.3299999999999999E-2</v>
      </c>
      <c r="G63">
        <v>0</v>
      </c>
      <c r="H63">
        <v>0</v>
      </c>
      <c r="I63">
        <v>0</v>
      </c>
      <c r="J63">
        <v>0</v>
      </c>
      <c r="K63">
        <v>0</v>
      </c>
      <c r="L63">
        <v>0</v>
      </c>
      <c r="M63" s="25">
        <v>0</v>
      </c>
      <c r="N63" s="25">
        <v>0</v>
      </c>
      <c r="O63">
        <v>0</v>
      </c>
      <c r="P63" s="25">
        <v>0</v>
      </c>
      <c r="Q63" s="25">
        <v>5.9400000000000001E-2</v>
      </c>
      <c r="R63" s="26">
        <v>683.19</v>
      </c>
      <c r="S63" s="26">
        <v>139754000</v>
      </c>
      <c r="T63">
        <v>0</v>
      </c>
      <c r="U63" s="25">
        <v>0.17380000000000001</v>
      </c>
    </row>
    <row r="64" spans="1:21" hidden="1" x14ac:dyDescent="0.25">
      <c r="A64" t="s">
        <v>340</v>
      </c>
      <c r="B64">
        <v>379.01</v>
      </c>
      <c r="C64">
        <v>11.44</v>
      </c>
      <c r="D64">
        <v>0.83</v>
      </c>
      <c r="E64">
        <v>11.009</v>
      </c>
      <c r="F64" s="25">
        <v>8.7400000000000005E-2</v>
      </c>
      <c r="G64">
        <v>0.72599999999999998</v>
      </c>
      <c r="H64">
        <v>0.99</v>
      </c>
      <c r="I64">
        <v>-34.1</v>
      </c>
      <c r="J64">
        <v>1.1399999999999999</v>
      </c>
      <c r="K64">
        <v>-1.69</v>
      </c>
      <c r="L64">
        <v>-1.73</v>
      </c>
      <c r="M64" s="25">
        <v>-0.32279999999999998</v>
      </c>
      <c r="N64" s="25">
        <v>0.96220000000000006</v>
      </c>
      <c r="O64">
        <v>20.54</v>
      </c>
      <c r="P64" s="25">
        <v>-7.3800000000000004E-2</v>
      </c>
      <c r="Q64" s="25">
        <v>7.2900000000000006E-2</v>
      </c>
      <c r="R64" s="26">
        <v>27238.2</v>
      </c>
      <c r="S64" s="26">
        <v>206593000</v>
      </c>
      <c r="T64">
        <v>0.02</v>
      </c>
      <c r="U64" s="25">
        <v>-8.5099999999999995E-2</v>
      </c>
    </row>
    <row r="65" spans="1:21" hidden="1" x14ac:dyDescent="0.25">
      <c r="A65" t="s">
        <v>25</v>
      </c>
      <c r="B65">
        <v>21.12</v>
      </c>
      <c r="C65">
        <v>14.04</v>
      </c>
      <c r="D65">
        <v>1.55</v>
      </c>
      <c r="E65">
        <v>1.179</v>
      </c>
      <c r="F65" s="25">
        <v>6.3399999999999998E-2</v>
      </c>
      <c r="G65">
        <v>1.111</v>
      </c>
      <c r="H65">
        <v>2.69</v>
      </c>
      <c r="I65">
        <v>14.65</v>
      </c>
      <c r="J65">
        <v>2.92</v>
      </c>
      <c r="K65">
        <v>10.43</v>
      </c>
      <c r="L65">
        <v>6.73</v>
      </c>
      <c r="M65" s="25">
        <v>8.0500000000000002E-2</v>
      </c>
      <c r="N65" s="25">
        <v>8.4500000000000006E-2</v>
      </c>
      <c r="O65">
        <v>2.65</v>
      </c>
      <c r="P65" s="25">
        <v>0.12670000000000001</v>
      </c>
      <c r="Q65" s="25">
        <v>0.11070000000000001</v>
      </c>
      <c r="R65" s="26">
        <v>8427640</v>
      </c>
      <c r="S65" s="26">
        <v>1163230000</v>
      </c>
      <c r="T65">
        <v>0</v>
      </c>
      <c r="U65" s="25">
        <v>0.58779999999999999</v>
      </c>
    </row>
    <row r="66" spans="1:21" hidden="1" x14ac:dyDescent="0.25">
      <c r="A66" t="s">
        <v>341</v>
      </c>
      <c r="B66">
        <v>92.1</v>
      </c>
      <c r="C66">
        <v>4.16</v>
      </c>
      <c r="D66">
        <v>0.64</v>
      </c>
      <c r="E66">
        <v>0</v>
      </c>
      <c r="F66" s="25">
        <v>6.2E-2</v>
      </c>
      <c r="G66">
        <v>0</v>
      </c>
      <c r="H66">
        <v>0</v>
      </c>
      <c r="I66">
        <v>0</v>
      </c>
      <c r="J66">
        <v>0</v>
      </c>
      <c r="K66">
        <v>0</v>
      </c>
      <c r="L66">
        <v>0</v>
      </c>
      <c r="M66" s="25">
        <v>0</v>
      </c>
      <c r="N66" s="25">
        <v>0</v>
      </c>
      <c r="O66">
        <v>0</v>
      </c>
      <c r="P66" s="25">
        <v>0</v>
      </c>
      <c r="Q66" s="25">
        <v>0.1547</v>
      </c>
      <c r="R66" s="26">
        <v>18160.3</v>
      </c>
      <c r="S66" s="26">
        <v>14115100000</v>
      </c>
      <c r="T66">
        <v>0</v>
      </c>
      <c r="U66" s="25">
        <v>0.1033</v>
      </c>
    </row>
    <row r="67" spans="1:21" hidden="1" x14ac:dyDescent="0.25">
      <c r="A67" t="s">
        <v>185</v>
      </c>
      <c r="B67">
        <v>1.4</v>
      </c>
      <c r="C67">
        <v>5</v>
      </c>
      <c r="D67">
        <v>386.35</v>
      </c>
      <c r="E67">
        <v>0.23699999999999999</v>
      </c>
      <c r="F67" s="25">
        <v>0</v>
      </c>
      <c r="G67">
        <v>0.39600000000000002</v>
      </c>
      <c r="H67">
        <v>-21.6</v>
      </c>
      <c r="I67">
        <v>1.79</v>
      </c>
      <c r="J67">
        <v>-0.86</v>
      </c>
      <c r="K67">
        <v>3.07</v>
      </c>
      <c r="L67">
        <v>2.71</v>
      </c>
      <c r="M67" s="25">
        <v>0.13239999999999999</v>
      </c>
      <c r="N67" s="25">
        <v>4.7300000000000002E-2</v>
      </c>
      <c r="O67">
        <v>0.97</v>
      </c>
      <c r="P67" s="25">
        <v>0.33329999999999999</v>
      </c>
      <c r="Q67" s="25">
        <v>77.215000000000003</v>
      </c>
      <c r="R67" s="26">
        <v>15428.7</v>
      </c>
      <c r="S67" s="26">
        <v>944000</v>
      </c>
      <c r="T67">
        <v>400.27</v>
      </c>
      <c r="U67" s="25">
        <v>0.1055</v>
      </c>
    </row>
    <row r="68" spans="1:21" hidden="1" x14ac:dyDescent="0.25">
      <c r="A68" t="s">
        <v>342</v>
      </c>
      <c r="B68">
        <v>40.39</v>
      </c>
      <c r="C68">
        <v>12.67</v>
      </c>
      <c r="D68">
        <v>2.59</v>
      </c>
      <c r="E68">
        <v>0</v>
      </c>
      <c r="F68" s="25">
        <v>1.12E-2</v>
      </c>
      <c r="G68">
        <v>0</v>
      </c>
      <c r="H68">
        <v>0</v>
      </c>
      <c r="I68">
        <v>0</v>
      </c>
      <c r="J68">
        <v>0</v>
      </c>
      <c r="K68">
        <v>0</v>
      </c>
      <c r="L68">
        <v>0</v>
      </c>
      <c r="M68" s="25">
        <v>0</v>
      </c>
      <c r="N68" s="25">
        <v>0</v>
      </c>
      <c r="O68">
        <v>0</v>
      </c>
      <c r="P68" s="25">
        <v>0</v>
      </c>
      <c r="Q68" s="25">
        <v>0.20449999999999999</v>
      </c>
      <c r="R68" s="26">
        <v>315860000</v>
      </c>
      <c r="S68" s="26">
        <v>59778600000</v>
      </c>
      <c r="T68">
        <v>0</v>
      </c>
      <c r="U68" s="25">
        <v>0.31590000000000001</v>
      </c>
    </row>
    <row r="69" spans="1:21" hidden="1" x14ac:dyDescent="0.25">
      <c r="A69" t="s">
        <v>141</v>
      </c>
      <c r="B69">
        <v>22.17</v>
      </c>
      <c r="C69">
        <v>20.87</v>
      </c>
      <c r="D69">
        <v>4.2699999999999996</v>
      </c>
      <c r="E69">
        <v>0</v>
      </c>
      <c r="F69" s="25">
        <v>6.7999999999999996E-3</v>
      </c>
      <c r="G69">
        <v>0</v>
      </c>
      <c r="H69">
        <v>0</v>
      </c>
      <c r="I69">
        <v>0</v>
      </c>
      <c r="J69">
        <v>0</v>
      </c>
      <c r="K69">
        <v>0</v>
      </c>
      <c r="L69">
        <v>0</v>
      </c>
      <c r="M69" s="25">
        <v>0</v>
      </c>
      <c r="N69" s="25">
        <v>0</v>
      </c>
      <c r="O69">
        <v>0</v>
      </c>
      <c r="P69" s="25">
        <v>0</v>
      </c>
      <c r="Q69" s="25">
        <v>0.20449999999999999</v>
      </c>
      <c r="R69" s="26">
        <v>62804.3</v>
      </c>
      <c r="S69" s="26">
        <v>59778600000</v>
      </c>
      <c r="T69">
        <v>0</v>
      </c>
      <c r="U69" s="25">
        <v>0.31590000000000001</v>
      </c>
    </row>
    <row r="70" spans="1:21" hidden="1" x14ac:dyDescent="0.25">
      <c r="A70" t="s">
        <v>148</v>
      </c>
      <c r="B70">
        <v>8.9600000000000009</v>
      </c>
      <c r="C70">
        <v>8.43</v>
      </c>
      <c r="D70">
        <v>1.72</v>
      </c>
      <c r="E70">
        <v>0</v>
      </c>
      <c r="F70" s="25">
        <v>1.6799999999999999E-2</v>
      </c>
      <c r="G70">
        <v>0</v>
      </c>
      <c r="H70">
        <v>0</v>
      </c>
      <c r="I70">
        <v>0</v>
      </c>
      <c r="J70">
        <v>0</v>
      </c>
      <c r="K70">
        <v>0</v>
      </c>
      <c r="L70">
        <v>0</v>
      </c>
      <c r="M70" s="25">
        <v>0</v>
      </c>
      <c r="N70" s="25">
        <v>0</v>
      </c>
      <c r="O70">
        <v>0</v>
      </c>
      <c r="P70" s="25">
        <v>0</v>
      </c>
      <c r="Q70" s="25">
        <v>0.20449999999999999</v>
      </c>
      <c r="R70" s="26">
        <v>30926.799999999999</v>
      </c>
      <c r="S70" s="26">
        <v>59778600000</v>
      </c>
      <c r="T70">
        <v>0</v>
      </c>
      <c r="U70" s="25">
        <v>0.31590000000000001</v>
      </c>
    </row>
    <row r="71" spans="1:21" hidden="1" x14ac:dyDescent="0.25">
      <c r="A71" t="s">
        <v>76</v>
      </c>
      <c r="B71">
        <v>7.81</v>
      </c>
      <c r="C71">
        <v>12.65</v>
      </c>
      <c r="D71">
        <v>1.31</v>
      </c>
      <c r="E71">
        <v>0</v>
      </c>
      <c r="F71" s="25">
        <v>3.09E-2</v>
      </c>
      <c r="G71">
        <v>0</v>
      </c>
      <c r="H71">
        <v>0</v>
      </c>
      <c r="I71">
        <v>0</v>
      </c>
      <c r="J71">
        <v>0</v>
      </c>
      <c r="K71">
        <v>0</v>
      </c>
      <c r="L71">
        <v>0</v>
      </c>
      <c r="M71" s="25">
        <v>0</v>
      </c>
      <c r="N71" s="25">
        <v>0</v>
      </c>
      <c r="O71">
        <v>0</v>
      </c>
      <c r="P71" s="25">
        <v>0</v>
      </c>
      <c r="Q71" s="25">
        <v>0.10340000000000001</v>
      </c>
      <c r="R71" s="26">
        <v>13331500</v>
      </c>
      <c r="S71" s="26">
        <v>7575030000</v>
      </c>
      <c r="T71">
        <v>0</v>
      </c>
      <c r="U71" s="25">
        <v>3.8699999999999998E-2</v>
      </c>
    </row>
    <row r="72" spans="1:21" hidden="1" x14ac:dyDescent="0.25">
      <c r="A72" t="s">
        <v>28</v>
      </c>
      <c r="B72">
        <v>15.41</v>
      </c>
      <c r="C72">
        <v>5.19</v>
      </c>
      <c r="D72">
        <v>0.7</v>
      </c>
      <c r="E72">
        <v>0</v>
      </c>
      <c r="F72" s="25">
        <v>0.1197</v>
      </c>
      <c r="G72">
        <v>0.68899999999999995</v>
      </c>
      <c r="H72">
        <v>10.27</v>
      </c>
      <c r="I72">
        <v>-203.85</v>
      </c>
      <c r="J72">
        <v>10.35</v>
      </c>
      <c r="K72">
        <v>-179.92</v>
      </c>
      <c r="L72">
        <v>-179.92</v>
      </c>
      <c r="M72" s="25">
        <v>0</v>
      </c>
      <c r="N72" s="25">
        <v>0</v>
      </c>
      <c r="O72">
        <v>5.83</v>
      </c>
      <c r="P72" s="25">
        <v>-3.7000000000000002E-3</v>
      </c>
      <c r="Q72" s="25">
        <v>0.13469999999999999</v>
      </c>
      <c r="R72" s="26">
        <v>861294</v>
      </c>
      <c r="S72" s="26">
        <v>8667970000</v>
      </c>
      <c r="T72">
        <v>0</v>
      </c>
      <c r="U72" s="25">
        <v>0</v>
      </c>
    </row>
    <row r="73" spans="1:21" hidden="1" x14ac:dyDescent="0.25">
      <c r="A73" t="s">
        <v>127</v>
      </c>
      <c r="B73">
        <v>16.98</v>
      </c>
      <c r="C73">
        <v>5.72</v>
      </c>
      <c r="D73">
        <v>0.77</v>
      </c>
      <c r="E73">
        <v>0</v>
      </c>
      <c r="F73" s="25">
        <v>0.1195</v>
      </c>
      <c r="G73">
        <v>0.75900000000000001</v>
      </c>
      <c r="H73">
        <v>11.32</v>
      </c>
      <c r="I73">
        <v>-224.62</v>
      </c>
      <c r="J73">
        <v>11.4</v>
      </c>
      <c r="K73">
        <v>-200.69</v>
      </c>
      <c r="L73">
        <v>-200.69</v>
      </c>
      <c r="M73" s="25">
        <v>0</v>
      </c>
      <c r="N73" s="25">
        <v>0</v>
      </c>
      <c r="O73">
        <v>5.83</v>
      </c>
      <c r="P73" s="25">
        <v>-3.7000000000000002E-3</v>
      </c>
      <c r="Q73" s="25">
        <v>0.13469999999999999</v>
      </c>
      <c r="R73" s="26">
        <v>62255700</v>
      </c>
      <c r="S73" s="26">
        <v>8667970000</v>
      </c>
      <c r="T73">
        <v>0</v>
      </c>
      <c r="U73" s="25">
        <v>0</v>
      </c>
    </row>
    <row r="74" spans="1:21" hidden="1" x14ac:dyDescent="0.25">
      <c r="A74" t="s">
        <v>61</v>
      </c>
      <c r="B74">
        <v>19.18</v>
      </c>
      <c r="C74">
        <v>57.4</v>
      </c>
      <c r="D74">
        <v>0.8</v>
      </c>
      <c r="E74">
        <v>0.92800000000000005</v>
      </c>
      <c r="F74" s="25">
        <v>0</v>
      </c>
      <c r="G74">
        <v>0.20599999999999999</v>
      </c>
      <c r="H74">
        <v>4.3</v>
      </c>
      <c r="I74">
        <v>4.5999999999999996</v>
      </c>
      <c r="J74">
        <v>-0.36</v>
      </c>
      <c r="K74">
        <v>11.49</v>
      </c>
      <c r="L74">
        <v>6.49</v>
      </c>
      <c r="M74" s="25">
        <v>0.20169999999999999</v>
      </c>
      <c r="N74" s="25">
        <v>1.5599999999999999E-2</v>
      </c>
      <c r="O74">
        <v>1.4</v>
      </c>
      <c r="P74" s="25">
        <v>5.3100000000000001E-2</v>
      </c>
      <c r="Q74" s="25">
        <v>1.3899999999999999E-2</v>
      </c>
      <c r="R74" s="26">
        <v>152608000</v>
      </c>
      <c r="S74" s="26">
        <v>11151200000</v>
      </c>
      <c r="T74">
        <v>1.59</v>
      </c>
      <c r="U74" s="25">
        <v>1.2646999999999999</v>
      </c>
    </row>
    <row r="75" spans="1:21" hidden="1" x14ac:dyDescent="0.25">
      <c r="A75" t="s">
        <v>343</v>
      </c>
      <c r="B75">
        <v>16</v>
      </c>
      <c r="C75">
        <v>8.9700000000000006</v>
      </c>
      <c r="D75">
        <v>2.11</v>
      </c>
      <c r="E75">
        <v>4.5780000000000003</v>
      </c>
      <c r="F75" s="25">
        <v>0.12559999999999999</v>
      </c>
      <c r="G75">
        <v>0.109</v>
      </c>
      <c r="H75">
        <v>2.65</v>
      </c>
      <c r="I75">
        <v>79</v>
      </c>
      <c r="J75">
        <v>2.65</v>
      </c>
      <c r="K75">
        <v>25.55</v>
      </c>
      <c r="L75">
        <v>17.79</v>
      </c>
      <c r="M75" s="25">
        <v>5.8000000000000003E-2</v>
      </c>
      <c r="N75" s="25">
        <v>0.51049999999999995</v>
      </c>
      <c r="O75">
        <v>1.04</v>
      </c>
      <c r="P75" s="25">
        <v>0.1241</v>
      </c>
      <c r="Q75" s="25">
        <v>0.23530000000000001</v>
      </c>
      <c r="R75" s="26">
        <v>3503450</v>
      </c>
      <c r="S75" s="26">
        <v>796079000</v>
      </c>
      <c r="T75">
        <v>17.75</v>
      </c>
      <c r="U75" s="25">
        <v>-0.2029</v>
      </c>
    </row>
    <row r="76" spans="1:21" hidden="1" x14ac:dyDescent="0.25">
      <c r="A76" t="s">
        <v>135</v>
      </c>
      <c r="B76">
        <v>21.75</v>
      </c>
      <c r="C76">
        <v>9.5500000000000007</v>
      </c>
      <c r="D76">
        <v>2.2799999999999998</v>
      </c>
      <c r="E76">
        <v>0.57599999999999996</v>
      </c>
      <c r="F76" s="25">
        <v>3.2399999999999998E-2</v>
      </c>
      <c r="G76">
        <v>0.58199999999999996</v>
      </c>
      <c r="H76">
        <v>3.7</v>
      </c>
      <c r="I76">
        <v>4.92</v>
      </c>
      <c r="J76">
        <v>-2.6</v>
      </c>
      <c r="K76">
        <v>5.85</v>
      </c>
      <c r="L76">
        <v>3.98</v>
      </c>
      <c r="M76" s="25">
        <v>0.1171</v>
      </c>
      <c r="N76" s="25">
        <v>6.7400000000000002E-2</v>
      </c>
      <c r="O76">
        <v>1.46</v>
      </c>
      <c r="P76" s="25">
        <v>0.21329999999999999</v>
      </c>
      <c r="Q76" s="25">
        <v>0.2389</v>
      </c>
      <c r="R76" s="26">
        <v>225212000</v>
      </c>
      <c r="S76" s="26">
        <v>16044400000</v>
      </c>
      <c r="T76">
        <v>1.24</v>
      </c>
      <c r="U76" s="25">
        <v>9.9400000000000002E-2</v>
      </c>
    </row>
    <row r="77" spans="1:21" hidden="1" x14ac:dyDescent="0.25">
      <c r="A77" t="s">
        <v>247</v>
      </c>
      <c r="B77">
        <v>9.14</v>
      </c>
      <c r="C77">
        <v>-0.79</v>
      </c>
      <c r="D77">
        <v>-1.72</v>
      </c>
      <c r="E77">
        <v>9.1999999999999998E-2</v>
      </c>
      <c r="F77" s="25">
        <v>0</v>
      </c>
      <c r="G77">
        <v>7.5999999999999998E-2</v>
      </c>
      <c r="H77">
        <v>0.89</v>
      </c>
      <c r="I77">
        <v>7.99</v>
      </c>
      <c r="J77">
        <v>-0.11</v>
      </c>
      <c r="K77">
        <v>47.59</v>
      </c>
      <c r="L77">
        <v>7.45</v>
      </c>
      <c r="M77" s="25">
        <v>1.1599999999999999E-2</v>
      </c>
      <c r="N77" s="25">
        <v>-0.127</v>
      </c>
      <c r="O77">
        <v>1.32</v>
      </c>
      <c r="P77" s="25">
        <v>1.37E-2</v>
      </c>
      <c r="Q77" s="25">
        <v>2.19</v>
      </c>
      <c r="R77" s="26">
        <v>309235</v>
      </c>
      <c r="S77" s="26">
        <v>-4236000000</v>
      </c>
      <c r="T77">
        <v>-11.6</v>
      </c>
      <c r="U77" s="25">
        <v>-1.7999999999999999E-2</v>
      </c>
    </row>
    <row r="78" spans="1:21" hidden="1" x14ac:dyDescent="0.25">
      <c r="A78" t="s">
        <v>344</v>
      </c>
      <c r="B78">
        <v>9.01</v>
      </c>
      <c r="C78">
        <v>-0.77</v>
      </c>
      <c r="D78">
        <v>-1.7</v>
      </c>
      <c r="E78">
        <v>9.0999999999999998E-2</v>
      </c>
      <c r="F78" s="25">
        <v>0</v>
      </c>
      <c r="G78">
        <v>7.4999999999999997E-2</v>
      </c>
      <c r="H78">
        <v>0.88</v>
      </c>
      <c r="I78">
        <v>7.88</v>
      </c>
      <c r="J78">
        <v>-0.11</v>
      </c>
      <c r="K78">
        <v>47.47</v>
      </c>
      <c r="L78">
        <v>7.43</v>
      </c>
      <c r="M78" s="25">
        <v>1.1599999999999999E-2</v>
      </c>
      <c r="N78" s="25">
        <v>-0.127</v>
      </c>
      <c r="O78">
        <v>1.32</v>
      </c>
      <c r="P78" s="25">
        <v>1.37E-2</v>
      </c>
      <c r="Q78" s="25">
        <v>2.19</v>
      </c>
      <c r="R78" s="26">
        <v>43115400</v>
      </c>
      <c r="S78" s="26">
        <v>-4236000000</v>
      </c>
      <c r="T78">
        <v>-11.6</v>
      </c>
      <c r="U78" s="25">
        <v>-1.7999999999999999E-2</v>
      </c>
    </row>
    <row r="79" spans="1:21" hidden="1" x14ac:dyDescent="0.25">
      <c r="A79" t="s">
        <v>345</v>
      </c>
      <c r="B79">
        <v>8.6</v>
      </c>
      <c r="C79">
        <v>-0.74</v>
      </c>
      <c r="D79">
        <v>-1.62</v>
      </c>
      <c r="E79">
        <v>8.6999999999999994E-2</v>
      </c>
      <c r="F79" s="25">
        <v>0</v>
      </c>
      <c r="G79">
        <v>7.1999999999999995E-2</v>
      </c>
      <c r="H79">
        <v>0.84</v>
      </c>
      <c r="I79">
        <v>7.52</v>
      </c>
      <c r="J79">
        <v>-0.11</v>
      </c>
      <c r="K79">
        <v>47.11</v>
      </c>
      <c r="L79">
        <v>7.38</v>
      </c>
      <c r="M79" s="25">
        <v>1.1599999999999999E-2</v>
      </c>
      <c r="N79" s="25">
        <v>-0.127</v>
      </c>
      <c r="O79">
        <v>1.32</v>
      </c>
      <c r="P79" s="25">
        <v>1.37E-2</v>
      </c>
      <c r="Q79" s="25">
        <v>2.19</v>
      </c>
      <c r="R79" s="26">
        <v>1274.05</v>
      </c>
      <c r="S79" s="26">
        <v>-4236000000</v>
      </c>
      <c r="T79">
        <v>-11.6</v>
      </c>
      <c r="U79" s="25">
        <v>-1.7999999999999999E-2</v>
      </c>
    </row>
    <row r="80" spans="1:21" hidden="1" x14ac:dyDescent="0.25">
      <c r="A80" t="s">
        <v>346</v>
      </c>
      <c r="B80">
        <v>11.62</v>
      </c>
      <c r="C80">
        <v>4.9000000000000004</v>
      </c>
      <c r="D80">
        <v>0.46</v>
      </c>
      <c r="E80">
        <v>0</v>
      </c>
      <c r="F80" s="25">
        <v>9.4200000000000006E-2</v>
      </c>
      <c r="G80">
        <v>0</v>
      </c>
      <c r="H80">
        <v>0</v>
      </c>
      <c r="I80">
        <v>0</v>
      </c>
      <c r="J80">
        <v>0</v>
      </c>
      <c r="K80">
        <v>0</v>
      </c>
      <c r="L80">
        <v>0</v>
      </c>
      <c r="M80" s="25">
        <v>0</v>
      </c>
      <c r="N80" s="25">
        <v>0</v>
      </c>
      <c r="O80">
        <v>0</v>
      </c>
      <c r="P80" s="25">
        <v>0</v>
      </c>
      <c r="Q80" s="25">
        <v>9.3100000000000002E-2</v>
      </c>
      <c r="R80" s="26">
        <v>48387.8</v>
      </c>
      <c r="S80" s="26">
        <v>10409200000</v>
      </c>
      <c r="T80">
        <v>0</v>
      </c>
      <c r="U80" s="25">
        <v>4.7E-2</v>
      </c>
    </row>
    <row r="81" spans="1:21" hidden="1" x14ac:dyDescent="0.25">
      <c r="A81" t="s">
        <v>347</v>
      </c>
      <c r="B81">
        <v>15.6</v>
      </c>
      <c r="C81">
        <v>6.58</v>
      </c>
      <c r="D81">
        <v>0.61</v>
      </c>
      <c r="E81">
        <v>0</v>
      </c>
      <c r="F81" s="25">
        <v>8.7800000000000003E-2</v>
      </c>
      <c r="G81">
        <v>0</v>
      </c>
      <c r="H81" s="26">
        <v>0</v>
      </c>
      <c r="I81">
        <v>0</v>
      </c>
      <c r="J81">
        <v>0</v>
      </c>
      <c r="K81">
        <v>0</v>
      </c>
      <c r="L81">
        <v>0</v>
      </c>
      <c r="M81" s="25">
        <v>0</v>
      </c>
      <c r="N81" s="25">
        <v>0</v>
      </c>
      <c r="O81">
        <v>0</v>
      </c>
      <c r="P81" s="25">
        <v>0</v>
      </c>
      <c r="Q81" s="25">
        <v>9.3100000000000002E-2</v>
      </c>
      <c r="R81" s="26">
        <v>424.07</v>
      </c>
      <c r="S81" s="26">
        <v>10409200000</v>
      </c>
      <c r="T81">
        <v>0</v>
      </c>
      <c r="U81" s="25">
        <v>4.7E-2</v>
      </c>
    </row>
    <row r="82" spans="1:21" hidden="1" x14ac:dyDescent="0.25">
      <c r="A82" t="s">
        <v>37</v>
      </c>
      <c r="B82">
        <v>10.88</v>
      </c>
      <c r="C82">
        <v>4.59</v>
      </c>
      <c r="D82">
        <v>0.43</v>
      </c>
      <c r="E82">
        <v>0</v>
      </c>
      <c r="F82" s="25">
        <v>0.10059999999999999</v>
      </c>
      <c r="G82">
        <v>0</v>
      </c>
      <c r="H82">
        <v>0</v>
      </c>
      <c r="I82">
        <v>0</v>
      </c>
      <c r="J82">
        <v>0</v>
      </c>
      <c r="K82">
        <v>0</v>
      </c>
      <c r="L82">
        <v>0</v>
      </c>
      <c r="M82" s="25">
        <v>0</v>
      </c>
      <c r="N82" s="25">
        <v>0</v>
      </c>
      <c r="O82">
        <v>0</v>
      </c>
      <c r="P82" s="25">
        <v>0</v>
      </c>
      <c r="Q82" s="25">
        <v>9.3100000000000002E-2</v>
      </c>
      <c r="R82" s="26">
        <v>13194100</v>
      </c>
      <c r="S82" s="26">
        <v>10409200000</v>
      </c>
      <c r="T82">
        <v>0</v>
      </c>
      <c r="U82" s="25">
        <v>4.7E-2</v>
      </c>
    </row>
    <row r="83" spans="1:21" hidden="1" x14ac:dyDescent="0.25">
      <c r="A83" t="s">
        <v>348</v>
      </c>
      <c r="B83">
        <v>2.64</v>
      </c>
      <c r="C83">
        <v>19.190000000000001</v>
      </c>
      <c r="D83">
        <v>0.75</v>
      </c>
      <c r="E83">
        <v>0.77900000000000003</v>
      </c>
      <c r="F83" s="25">
        <v>1.5599999999999999E-2</v>
      </c>
      <c r="G83">
        <v>0.28199999999999997</v>
      </c>
      <c r="H83">
        <v>-8.51</v>
      </c>
      <c r="I83">
        <v>6.05</v>
      </c>
      <c r="J83">
        <v>-0.63</v>
      </c>
      <c r="K83">
        <v>13.52</v>
      </c>
      <c r="L83">
        <v>4.1100000000000003</v>
      </c>
      <c r="M83" s="25">
        <v>0.1288</v>
      </c>
      <c r="N83" s="25">
        <v>4.0599999999999997E-2</v>
      </c>
      <c r="O83">
        <v>0.84</v>
      </c>
      <c r="P83" s="25">
        <v>5.6599999999999998E-2</v>
      </c>
      <c r="Q83" s="25">
        <v>3.9199999999999999E-2</v>
      </c>
      <c r="R83" s="26">
        <v>621350</v>
      </c>
      <c r="S83" s="26">
        <v>1537560000</v>
      </c>
      <c r="T83">
        <v>1.23</v>
      </c>
      <c r="U83" s="25">
        <v>0</v>
      </c>
    </row>
    <row r="84" spans="1:21" hidden="1" x14ac:dyDescent="0.25">
      <c r="A84" t="s">
        <v>349</v>
      </c>
      <c r="B84">
        <v>8.4</v>
      </c>
      <c r="C84">
        <v>8.58</v>
      </c>
      <c r="D84">
        <v>1.06</v>
      </c>
      <c r="E84">
        <v>0</v>
      </c>
      <c r="F84" s="25">
        <v>0.4506</v>
      </c>
      <c r="G84">
        <v>0</v>
      </c>
      <c r="H84">
        <v>0</v>
      </c>
      <c r="I84">
        <v>0</v>
      </c>
      <c r="J84">
        <v>0</v>
      </c>
      <c r="K84">
        <v>0</v>
      </c>
      <c r="L84" s="26">
        <v>0</v>
      </c>
      <c r="M84" s="25">
        <v>0</v>
      </c>
      <c r="N84" s="25">
        <v>0</v>
      </c>
      <c r="O84">
        <v>0</v>
      </c>
      <c r="P84" s="25">
        <v>0</v>
      </c>
      <c r="Q84" s="25">
        <v>0.1234</v>
      </c>
      <c r="R84" s="26">
        <v>11418</v>
      </c>
      <c r="S84" s="26">
        <v>3858140000</v>
      </c>
      <c r="T84">
        <v>0</v>
      </c>
      <c r="U84" s="25">
        <v>0.15579999999999999</v>
      </c>
    </row>
    <row r="85" spans="1:21" hidden="1" x14ac:dyDescent="0.25">
      <c r="A85" t="s">
        <v>350</v>
      </c>
      <c r="B85">
        <v>8.83</v>
      </c>
      <c r="C85">
        <v>9.02</v>
      </c>
      <c r="D85">
        <v>1.1100000000000001</v>
      </c>
      <c r="E85">
        <v>0</v>
      </c>
      <c r="F85" s="25">
        <v>0.47149999999999997</v>
      </c>
      <c r="G85">
        <v>0</v>
      </c>
      <c r="H85">
        <v>0</v>
      </c>
      <c r="I85">
        <v>0</v>
      </c>
      <c r="J85">
        <v>0</v>
      </c>
      <c r="K85">
        <v>0</v>
      </c>
      <c r="L85">
        <v>0</v>
      </c>
      <c r="M85" s="25">
        <v>0</v>
      </c>
      <c r="N85" s="25">
        <v>0</v>
      </c>
      <c r="O85">
        <v>0</v>
      </c>
      <c r="P85" s="25">
        <v>0</v>
      </c>
      <c r="Q85" s="25">
        <v>0.1234</v>
      </c>
      <c r="R85" s="26">
        <v>17615.900000000001</v>
      </c>
      <c r="S85" s="26">
        <v>3858140000</v>
      </c>
      <c r="T85">
        <v>0</v>
      </c>
      <c r="U85" s="25">
        <v>0.15579999999999999</v>
      </c>
    </row>
    <row r="86" spans="1:21" hidden="1" x14ac:dyDescent="0.25">
      <c r="A86" t="s">
        <v>27</v>
      </c>
      <c r="B86">
        <v>9.5</v>
      </c>
      <c r="C86">
        <v>5.36</v>
      </c>
      <c r="D86">
        <v>1.35</v>
      </c>
      <c r="E86">
        <v>0.94299999999999995</v>
      </c>
      <c r="F86" s="25">
        <v>8.8499999999999995E-2</v>
      </c>
      <c r="G86">
        <v>1.0580000000000001</v>
      </c>
      <c r="H86">
        <v>3.16</v>
      </c>
      <c r="I86">
        <v>4.6100000000000003</v>
      </c>
      <c r="J86">
        <v>3.82</v>
      </c>
      <c r="K86">
        <v>4.09</v>
      </c>
      <c r="L86">
        <v>3.53</v>
      </c>
      <c r="M86" s="25">
        <v>0.20469999999999999</v>
      </c>
      <c r="N86" s="25">
        <v>0.1759</v>
      </c>
      <c r="O86">
        <v>3.09</v>
      </c>
      <c r="P86" s="25">
        <v>0.27610000000000001</v>
      </c>
      <c r="Q86" s="25">
        <v>0.2525</v>
      </c>
      <c r="R86" s="26">
        <v>298087</v>
      </c>
      <c r="S86" s="26">
        <v>296523000</v>
      </c>
      <c r="T86">
        <v>0.01</v>
      </c>
      <c r="U86" s="25">
        <v>0.30299999999999999</v>
      </c>
    </row>
    <row r="87" spans="1:21" hidden="1" x14ac:dyDescent="0.25">
      <c r="A87" t="s">
        <v>251</v>
      </c>
      <c r="B87">
        <v>4.93</v>
      </c>
      <c r="C87">
        <v>8.44</v>
      </c>
      <c r="D87">
        <v>0.49</v>
      </c>
      <c r="E87">
        <v>0.14299999999999999</v>
      </c>
      <c r="F87" s="25">
        <v>5.9499999999999997E-2</v>
      </c>
      <c r="G87">
        <v>0.14199999999999999</v>
      </c>
      <c r="H87">
        <v>0.81</v>
      </c>
      <c r="I87">
        <v>3.06</v>
      </c>
      <c r="J87">
        <v>-1.18</v>
      </c>
      <c r="K87">
        <v>9.9499999999999993</v>
      </c>
      <c r="L87">
        <v>6.74</v>
      </c>
      <c r="M87" s="25">
        <v>4.6800000000000001E-2</v>
      </c>
      <c r="N87" s="25">
        <v>1.7000000000000001E-2</v>
      </c>
      <c r="O87">
        <v>1.42</v>
      </c>
      <c r="P87" s="25">
        <v>6.8500000000000005E-2</v>
      </c>
      <c r="Q87" s="25">
        <v>5.8599999999999999E-2</v>
      </c>
      <c r="R87" s="26">
        <v>6482190</v>
      </c>
      <c r="S87" s="26">
        <v>3488880000</v>
      </c>
      <c r="T87">
        <v>1.58</v>
      </c>
      <c r="U87" s="25">
        <v>0.1105</v>
      </c>
    </row>
    <row r="88" spans="1:21" hidden="1" x14ac:dyDescent="0.25">
      <c r="A88" t="s">
        <v>226</v>
      </c>
      <c r="B88">
        <v>5.97</v>
      </c>
      <c r="C88">
        <v>-37.68</v>
      </c>
      <c r="D88">
        <v>1.91</v>
      </c>
      <c r="E88">
        <v>1.7569999999999999</v>
      </c>
      <c r="F88" s="25">
        <v>0.32650000000000001</v>
      </c>
      <c r="G88">
        <v>1.383</v>
      </c>
      <c r="H88">
        <v>3.11</v>
      </c>
      <c r="I88">
        <v>-39.86</v>
      </c>
      <c r="J88">
        <v>3.73</v>
      </c>
      <c r="K88">
        <v>-26.2</v>
      </c>
      <c r="L88">
        <v>-109.1</v>
      </c>
      <c r="M88" s="25">
        <v>-4.41E-2</v>
      </c>
      <c r="N88" s="25">
        <v>-5.33E-2</v>
      </c>
      <c r="O88">
        <v>3.35</v>
      </c>
      <c r="P88" s="25">
        <v>-6.8599999999999994E-2</v>
      </c>
      <c r="Q88" s="25">
        <v>-5.0700000000000002E-2</v>
      </c>
      <c r="R88" s="26">
        <v>27349000</v>
      </c>
      <c r="S88" s="26">
        <v>352593000</v>
      </c>
      <c r="T88">
        <v>0</v>
      </c>
      <c r="U88" s="25">
        <v>0.21690000000000001</v>
      </c>
    </row>
    <row r="89" spans="1:21" hidden="1" x14ac:dyDescent="0.25">
      <c r="A89" t="s">
        <v>137</v>
      </c>
      <c r="B89">
        <v>4.7699999999999996</v>
      </c>
      <c r="C89">
        <v>17.190000000000001</v>
      </c>
      <c r="D89">
        <v>0.73</v>
      </c>
      <c r="E89">
        <v>0.35199999999999998</v>
      </c>
      <c r="F89" s="25">
        <v>0</v>
      </c>
      <c r="G89">
        <v>0.23200000000000001</v>
      </c>
      <c r="H89">
        <v>1.71</v>
      </c>
      <c r="I89">
        <v>4.28</v>
      </c>
      <c r="J89">
        <v>-0.67</v>
      </c>
      <c r="K89">
        <v>8.67</v>
      </c>
      <c r="L89">
        <v>4.5</v>
      </c>
      <c r="M89" s="25">
        <v>8.2299999999999998E-2</v>
      </c>
      <c r="N89" s="25">
        <v>3.3000000000000002E-2</v>
      </c>
      <c r="O89">
        <v>1.77</v>
      </c>
      <c r="P89" s="25">
        <v>6.4600000000000005E-2</v>
      </c>
      <c r="Q89" s="25">
        <v>4.2200000000000001E-2</v>
      </c>
      <c r="R89" s="26">
        <v>20087600</v>
      </c>
      <c r="S89" s="26">
        <v>4280660000</v>
      </c>
      <c r="T89">
        <v>0.94</v>
      </c>
      <c r="U89" s="25">
        <v>-2.0299999999999999E-2</v>
      </c>
    </row>
    <row r="90" spans="1:21" hidden="1" x14ac:dyDescent="0.25">
      <c r="A90" t="s">
        <v>351</v>
      </c>
      <c r="B90">
        <v>14.83</v>
      </c>
      <c r="C90">
        <v>8.15</v>
      </c>
      <c r="D90">
        <v>0.66</v>
      </c>
      <c r="E90">
        <v>0.627</v>
      </c>
      <c r="F90" s="25">
        <v>2.8199999999999999E-2</v>
      </c>
      <c r="G90">
        <v>0.28299999999999997</v>
      </c>
      <c r="H90">
        <v>-2.15</v>
      </c>
      <c r="I90">
        <v>4.8499999999999996</v>
      </c>
      <c r="J90">
        <v>-0.79</v>
      </c>
      <c r="K90">
        <v>8.61</v>
      </c>
      <c r="L90">
        <v>4.95</v>
      </c>
      <c r="M90" s="25">
        <v>0.12920000000000001</v>
      </c>
      <c r="N90" s="25">
        <v>7.6899999999999996E-2</v>
      </c>
      <c r="O90">
        <v>0.62</v>
      </c>
      <c r="P90" s="25">
        <v>6.3899999999999998E-2</v>
      </c>
      <c r="Q90" s="25">
        <v>8.14E-2</v>
      </c>
      <c r="R90" s="26">
        <v>1011.12</v>
      </c>
      <c r="S90" s="26">
        <v>8493750000</v>
      </c>
      <c r="T90">
        <v>0.55000000000000004</v>
      </c>
      <c r="U90" s="25">
        <v>5.4899999999999997E-2</v>
      </c>
    </row>
    <row r="91" spans="1:21" hidden="1" x14ac:dyDescent="0.25">
      <c r="A91" t="s">
        <v>195</v>
      </c>
      <c r="B91">
        <v>17.27</v>
      </c>
      <c r="C91">
        <v>13.8</v>
      </c>
      <c r="D91">
        <v>1.63</v>
      </c>
      <c r="E91">
        <v>0.68300000000000005</v>
      </c>
      <c r="F91" s="25">
        <v>2.2100000000000002E-2</v>
      </c>
      <c r="G91">
        <v>0.57399999999999995</v>
      </c>
      <c r="H91">
        <v>5.29</v>
      </c>
      <c r="I91">
        <v>5.38</v>
      </c>
      <c r="J91">
        <v>-3.21</v>
      </c>
      <c r="K91">
        <v>5.31</v>
      </c>
      <c r="L91">
        <v>4.22</v>
      </c>
      <c r="M91" s="25">
        <v>0.1268</v>
      </c>
      <c r="N91" s="25">
        <v>4.9500000000000002E-2</v>
      </c>
      <c r="O91">
        <v>1.3</v>
      </c>
      <c r="P91" s="25">
        <v>0.16889999999999999</v>
      </c>
      <c r="Q91" s="25">
        <v>0.1182</v>
      </c>
      <c r="R91" s="26">
        <v>49656700</v>
      </c>
      <c r="S91" s="26">
        <v>3262550000</v>
      </c>
      <c r="T91">
        <v>0.44</v>
      </c>
      <c r="U91" s="25">
        <v>0.17480000000000001</v>
      </c>
    </row>
    <row r="92" spans="1:21" hidden="1" x14ac:dyDescent="0.25">
      <c r="A92" t="s">
        <v>352</v>
      </c>
      <c r="B92">
        <v>19.149999999999999</v>
      </c>
      <c r="C92">
        <v>7.65</v>
      </c>
      <c r="D92">
        <v>1.24</v>
      </c>
      <c r="E92">
        <v>3.5329999999999999</v>
      </c>
      <c r="F92" s="25">
        <v>0.1031</v>
      </c>
      <c r="G92">
        <v>0.90200000000000002</v>
      </c>
      <c r="H92">
        <v>1.77</v>
      </c>
      <c r="I92">
        <v>10.5</v>
      </c>
      <c r="J92">
        <v>1.91</v>
      </c>
      <c r="K92">
        <v>5.31</v>
      </c>
      <c r="L92">
        <v>4.99</v>
      </c>
      <c r="M92" s="25">
        <v>0.3367</v>
      </c>
      <c r="N92" s="25">
        <v>0.60240000000000005</v>
      </c>
      <c r="O92">
        <v>9.39</v>
      </c>
      <c r="P92" s="25">
        <v>0.15870000000000001</v>
      </c>
      <c r="Q92" s="25">
        <v>0.1618</v>
      </c>
      <c r="R92" s="26">
        <v>102586</v>
      </c>
      <c r="S92" s="26">
        <v>1115020000</v>
      </c>
      <c r="T92">
        <v>0</v>
      </c>
      <c r="U92" s="25">
        <v>3.6600000000000001E-2</v>
      </c>
    </row>
    <row r="93" spans="1:21" hidden="1" x14ac:dyDescent="0.25">
      <c r="A93" t="s">
        <v>353</v>
      </c>
      <c r="B93">
        <v>19</v>
      </c>
      <c r="C93">
        <v>7.59</v>
      </c>
      <c r="D93">
        <v>1.23</v>
      </c>
      <c r="E93">
        <v>3.5059999999999998</v>
      </c>
      <c r="F93" s="25">
        <v>0.10390000000000001</v>
      </c>
      <c r="G93">
        <v>0.89500000000000002</v>
      </c>
      <c r="H93">
        <v>1.75</v>
      </c>
      <c r="I93">
        <v>10.41</v>
      </c>
      <c r="J93">
        <v>1.89</v>
      </c>
      <c r="K93">
        <v>5.23</v>
      </c>
      <c r="L93">
        <v>4.91</v>
      </c>
      <c r="M93" s="25">
        <v>0.3367</v>
      </c>
      <c r="N93" s="25">
        <v>0.60240000000000005</v>
      </c>
      <c r="O93">
        <v>9.39</v>
      </c>
      <c r="P93" s="25">
        <v>0.15870000000000001</v>
      </c>
      <c r="Q93" s="25">
        <v>0.1618</v>
      </c>
      <c r="R93" s="26">
        <v>65509.3</v>
      </c>
      <c r="S93" s="26">
        <v>1115020000</v>
      </c>
      <c r="T93">
        <v>0</v>
      </c>
      <c r="U93" s="25">
        <v>3.6600000000000001E-2</v>
      </c>
    </row>
    <row r="94" spans="1:21" hidden="1" x14ac:dyDescent="0.25">
      <c r="A94" t="s">
        <v>20</v>
      </c>
      <c r="B94">
        <v>20.86</v>
      </c>
      <c r="C94">
        <v>8.34</v>
      </c>
      <c r="D94">
        <v>1.35</v>
      </c>
      <c r="E94">
        <v>3.8490000000000002</v>
      </c>
      <c r="F94" s="25">
        <v>0.1041</v>
      </c>
      <c r="G94">
        <v>0.98299999999999998</v>
      </c>
      <c r="H94">
        <v>1.92</v>
      </c>
      <c r="I94">
        <v>11.43</v>
      </c>
      <c r="J94">
        <v>2.08</v>
      </c>
      <c r="K94">
        <v>6.25</v>
      </c>
      <c r="L94">
        <v>5.87</v>
      </c>
      <c r="M94" s="25">
        <v>0.3367</v>
      </c>
      <c r="N94" s="25">
        <v>0.60240000000000005</v>
      </c>
      <c r="O94">
        <v>9.39</v>
      </c>
      <c r="P94" s="25">
        <v>0.15870000000000001</v>
      </c>
      <c r="Q94" s="25">
        <v>0.1618</v>
      </c>
      <c r="R94" s="26">
        <v>118324</v>
      </c>
      <c r="S94" s="26">
        <v>1115020000</v>
      </c>
      <c r="T94">
        <v>0</v>
      </c>
      <c r="U94" s="25">
        <v>3.6600000000000001E-2</v>
      </c>
    </row>
    <row r="95" spans="1:21" hidden="1" x14ac:dyDescent="0.25">
      <c r="A95" t="s">
        <v>354</v>
      </c>
      <c r="B95">
        <v>21</v>
      </c>
      <c r="C95">
        <v>2.1</v>
      </c>
      <c r="D95">
        <v>0.67</v>
      </c>
      <c r="E95">
        <v>0.20300000000000001</v>
      </c>
      <c r="F95" s="25">
        <v>0</v>
      </c>
      <c r="G95">
        <v>0.216</v>
      </c>
      <c r="H95">
        <v>3.17</v>
      </c>
      <c r="I95">
        <v>1.1599999999999999</v>
      </c>
      <c r="J95">
        <v>-0.87</v>
      </c>
      <c r="K95">
        <v>3.28</v>
      </c>
      <c r="L95">
        <v>2.89</v>
      </c>
      <c r="M95" s="25">
        <v>0.17499999999999999</v>
      </c>
      <c r="N95" s="25">
        <v>9.64E-2</v>
      </c>
      <c r="O95">
        <v>1.19</v>
      </c>
      <c r="P95" s="25">
        <v>0.2024</v>
      </c>
      <c r="Q95" s="25">
        <v>0.31819999999999998</v>
      </c>
      <c r="R95" s="26">
        <v>1251.8800000000001</v>
      </c>
      <c r="S95" s="26">
        <v>313676000</v>
      </c>
      <c r="T95">
        <v>1.25</v>
      </c>
      <c r="U95" s="25">
        <v>9.4399999999999998E-2</v>
      </c>
    </row>
    <row r="96" spans="1:21" hidden="1" x14ac:dyDescent="0.25">
      <c r="A96" t="s">
        <v>355</v>
      </c>
      <c r="B96">
        <v>16.329999999999998</v>
      </c>
      <c r="C96">
        <v>1.64</v>
      </c>
      <c r="D96">
        <v>0.52</v>
      </c>
      <c r="E96">
        <v>0.158</v>
      </c>
      <c r="F96" s="25">
        <v>0</v>
      </c>
      <c r="G96">
        <v>0.16800000000000001</v>
      </c>
      <c r="H96">
        <v>2.46</v>
      </c>
      <c r="I96">
        <v>0.9</v>
      </c>
      <c r="J96">
        <v>-0.68</v>
      </c>
      <c r="K96">
        <v>3.03</v>
      </c>
      <c r="L96">
        <v>2.67</v>
      </c>
      <c r="M96" s="25">
        <v>0.17499999999999999</v>
      </c>
      <c r="N96" s="25">
        <v>9.64E-2</v>
      </c>
      <c r="O96">
        <v>1.19</v>
      </c>
      <c r="P96" s="25">
        <v>0.2024</v>
      </c>
      <c r="Q96" s="25">
        <v>0.31819999999999998</v>
      </c>
      <c r="R96" s="26">
        <v>25095</v>
      </c>
      <c r="S96" s="26">
        <v>313676000</v>
      </c>
      <c r="T96">
        <v>1.25</v>
      </c>
      <c r="U96" s="25">
        <v>9.4399999999999998E-2</v>
      </c>
    </row>
    <row r="97" spans="1:21" hidden="1" x14ac:dyDescent="0.25">
      <c r="A97" t="s">
        <v>356</v>
      </c>
      <c r="B97">
        <v>37.28</v>
      </c>
      <c r="C97">
        <v>4.58</v>
      </c>
      <c r="D97">
        <v>1.1499999999999999</v>
      </c>
      <c r="E97">
        <v>0.55800000000000005</v>
      </c>
      <c r="F97" s="25">
        <v>4.9500000000000002E-2</v>
      </c>
      <c r="G97">
        <v>0.30599999999999999</v>
      </c>
      <c r="H97">
        <v>-11.28</v>
      </c>
      <c r="I97">
        <v>2.2200000000000002</v>
      </c>
      <c r="J97">
        <v>-0.54</v>
      </c>
      <c r="K97">
        <v>5.65</v>
      </c>
      <c r="L97">
        <v>4.59</v>
      </c>
      <c r="M97" s="25">
        <v>0.25109999999999999</v>
      </c>
      <c r="N97" s="25">
        <v>0.12180000000000001</v>
      </c>
      <c r="O97">
        <v>0.86</v>
      </c>
      <c r="P97" s="25">
        <v>0.14580000000000001</v>
      </c>
      <c r="Q97" s="25">
        <v>0.252</v>
      </c>
      <c r="R97" s="26">
        <v>13391.1</v>
      </c>
      <c r="S97" s="26">
        <v>8461000000</v>
      </c>
      <c r="T97">
        <v>1.84</v>
      </c>
      <c r="U97" s="25">
        <v>6.5100000000000005E-2</v>
      </c>
    </row>
    <row r="98" spans="1:21" hidden="1" x14ac:dyDescent="0.25">
      <c r="A98" t="s">
        <v>357</v>
      </c>
      <c r="B98">
        <v>37.43</v>
      </c>
      <c r="C98">
        <v>4.5999999999999996</v>
      </c>
      <c r="D98">
        <v>1.1599999999999999</v>
      </c>
      <c r="E98">
        <v>0.56000000000000005</v>
      </c>
      <c r="F98" s="25">
        <v>4.9299999999999997E-2</v>
      </c>
      <c r="G98">
        <v>0.307</v>
      </c>
      <c r="H98">
        <v>-11.33</v>
      </c>
      <c r="I98">
        <v>2.23</v>
      </c>
      <c r="J98">
        <v>-0.54</v>
      </c>
      <c r="K98">
        <v>5.66</v>
      </c>
      <c r="L98">
        <v>4.59</v>
      </c>
      <c r="M98" s="25">
        <v>0.25109999999999999</v>
      </c>
      <c r="N98" s="25">
        <v>0.12180000000000001</v>
      </c>
      <c r="O98">
        <v>0.86</v>
      </c>
      <c r="P98" s="25">
        <v>0.14580000000000001</v>
      </c>
      <c r="Q98" s="25">
        <v>0.252</v>
      </c>
      <c r="R98" s="26">
        <v>474.31</v>
      </c>
      <c r="S98" s="26">
        <v>8461000000</v>
      </c>
      <c r="T98">
        <v>1.84</v>
      </c>
      <c r="U98" s="25">
        <v>6.5100000000000005E-2</v>
      </c>
    </row>
    <row r="99" spans="1:21" hidden="1" x14ac:dyDescent="0.25">
      <c r="A99" t="s">
        <v>358</v>
      </c>
      <c r="B99">
        <v>7.09</v>
      </c>
      <c r="C99">
        <v>-1.02</v>
      </c>
      <c r="D99">
        <v>-0.13</v>
      </c>
      <c r="E99">
        <v>8.5999999999999993E-2</v>
      </c>
      <c r="F99" s="25">
        <v>0</v>
      </c>
      <c r="G99">
        <v>5.8999999999999997E-2</v>
      </c>
      <c r="H99">
        <v>1.59</v>
      </c>
      <c r="I99">
        <v>0.81</v>
      </c>
      <c r="J99">
        <v>-0.05</v>
      </c>
      <c r="K99">
        <v>9.17</v>
      </c>
      <c r="L99">
        <v>7.14</v>
      </c>
      <c r="M99" s="25">
        <v>0.1061</v>
      </c>
      <c r="N99" s="25">
        <v>-8.4500000000000006E-2</v>
      </c>
      <c r="O99">
        <v>1.1299999999999999</v>
      </c>
      <c r="P99" s="25">
        <v>8.6699999999999999E-2</v>
      </c>
      <c r="Q99" s="25">
        <v>0.13139999999999999</v>
      </c>
      <c r="R99" s="26">
        <v>2302.14</v>
      </c>
      <c r="S99" s="26">
        <v>-3617840000</v>
      </c>
      <c r="T99">
        <v>-1.58</v>
      </c>
      <c r="U99" s="25">
        <v>8.8400000000000006E-2</v>
      </c>
    </row>
    <row r="100" spans="1:21" hidden="1" x14ac:dyDescent="0.25">
      <c r="A100" t="s">
        <v>359</v>
      </c>
      <c r="B100">
        <v>123.6</v>
      </c>
      <c r="C100">
        <v>9.32</v>
      </c>
      <c r="D100">
        <v>11.53</v>
      </c>
      <c r="E100">
        <v>1.1000000000000001</v>
      </c>
      <c r="F100" s="25">
        <v>8.0299999999999996E-2</v>
      </c>
      <c r="G100">
        <v>1.1679999999999999</v>
      </c>
      <c r="H100">
        <v>9.1199999999999992</v>
      </c>
      <c r="I100">
        <v>5.64</v>
      </c>
      <c r="J100">
        <v>-1.84</v>
      </c>
      <c r="K100">
        <v>8.17</v>
      </c>
      <c r="L100">
        <v>6.64</v>
      </c>
      <c r="M100" s="25">
        <v>0.1951</v>
      </c>
      <c r="N100" s="25">
        <v>0.1179</v>
      </c>
      <c r="O100">
        <v>1.95</v>
      </c>
      <c r="P100" s="25">
        <v>0.2429</v>
      </c>
      <c r="Q100" s="25">
        <v>1.2369000000000001</v>
      </c>
      <c r="R100" s="26">
        <v>10825.2</v>
      </c>
      <c r="S100" s="26">
        <v>1420180000</v>
      </c>
      <c r="T100">
        <v>5.98</v>
      </c>
      <c r="U100" s="25">
        <v>0.1389</v>
      </c>
    </row>
    <row r="101" spans="1:21" hidden="1" x14ac:dyDescent="0.25">
      <c r="A101" t="s">
        <v>360</v>
      </c>
      <c r="B101">
        <v>128.55000000000001</v>
      </c>
      <c r="C101">
        <v>9.6999999999999993</v>
      </c>
      <c r="D101">
        <v>12</v>
      </c>
      <c r="E101">
        <v>1.1439999999999999</v>
      </c>
      <c r="F101" s="25">
        <v>8.5000000000000006E-2</v>
      </c>
      <c r="G101">
        <v>1.214</v>
      </c>
      <c r="H101">
        <v>9.48</v>
      </c>
      <c r="I101">
        <v>5.86</v>
      </c>
      <c r="J101">
        <v>-1.91</v>
      </c>
      <c r="K101">
        <v>8.39</v>
      </c>
      <c r="L101">
        <v>6.83</v>
      </c>
      <c r="M101" s="25">
        <v>0.1951</v>
      </c>
      <c r="N101" s="25">
        <v>0.1179</v>
      </c>
      <c r="O101">
        <v>1.95</v>
      </c>
      <c r="P101" s="25">
        <v>0.2429</v>
      </c>
      <c r="Q101" s="25">
        <v>1.2369000000000001</v>
      </c>
      <c r="R101" s="26">
        <v>99844.2</v>
      </c>
      <c r="S101" s="26">
        <v>1420180000</v>
      </c>
      <c r="T101">
        <v>5.98</v>
      </c>
      <c r="U101" s="25">
        <v>0.1389</v>
      </c>
    </row>
    <row r="102" spans="1:21" hidden="1" x14ac:dyDescent="0.25">
      <c r="A102" t="s">
        <v>361</v>
      </c>
      <c r="B102">
        <v>27.75</v>
      </c>
      <c r="C102">
        <v>5.52</v>
      </c>
      <c r="D102">
        <v>0.6</v>
      </c>
      <c r="E102">
        <v>0.77600000000000002</v>
      </c>
      <c r="F102" s="25">
        <v>0.1163</v>
      </c>
      <c r="G102">
        <v>0.43</v>
      </c>
      <c r="H102">
        <v>1.59</v>
      </c>
      <c r="I102">
        <v>6.61</v>
      </c>
      <c r="J102">
        <v>2.66</v>
      </c>
      <c r="K102">
        <v>4.2300000000000004</v>
      </c>
      <c r="L102">
        <v>3.21</v>
      </c>
      <c r="M102" s="25">
        <v>0.1174</v>
      </c>
      <c r="N102" s="25">
        <v>0.14069999999999999</v>
      </c>
      <c r="O102">
        <v>2.52</v>
      </c>
      <c r="P102" s="25">
        <v>8.6199999999999999E-2</v>
      </c>
      <c r="Q102" s="25">
        <v>0.10929999999999999</v>
      </c>
      <c r="R102" s="26">
        <v>101163</v>
      </c>
      <c r="S102" s="26">
        <v>947333000</v>
      </c>
      <c r="T102">
        <v>0</v>
      </c>
      <c r="U102" s="25">
        <v>0.10879999999999999</v>
      </c>
    </row>
    <row r="103" spans="1:21" hidden="1" x14ac:dyDescent="0.25">
      <c r="A103" t="s">
        <v>4</v>
      </c>
      <c r="B103">
        <v>27.75</v>
      </c>
      <c r="C103">
        <v>5.52</v>
      </c>
      <c r="D103">
        <v>0.6</v>
      </c>
      <c r="E103">
        <v>0.77600000000000002</v>
      </c>
      <c r="F103" s="25">
        <v>0.1163</v>
      </c>
      <c r="G103">
        <v>0.43</v>
      </c>
      <c r="H103">
        <v>1.59</v>
      </c>
      <c r="I103">
        <v>6.61</v>
      </c>
      <c r="J103">
        <v>2.66</v>
      </c>
      <c r="K103">
        <v>4.2300000000000004</v>
      </c>
      <c r="L103">
        <v>3.21</v>
      </c>
      <c r="M103" s="25">
        <v>0.1174</v>
      </c>
      <c r="N103" s="25">
        <v>0.14069999999999999</v>
      </c>
      <c r="O103">
        <v>2.52</v>
      </c>
      <c r="P103" s="25">
        <v>8.6199999999999999E-2</v>
      </c>
      <c r="Q103" s="25">
        <v>0.10929999999999999</v>
      </c>
      <c r="R103" s="26">
        <v>317299</v>
      </c>
      <c r="S103" s="26">
        <v>947333000</v>
      </c>
      <c r="T103">
        <v>0</v>
      </c>
      <c r="U103" s="25">
        <v>0.10879999999999999</v>
      </c>
    </row>
    <row r="104" spans="1:21" hidden="1" x14ac:dyDescent="0.25">
      <c r="A104" t="s">
        <v>362</v>
      </c>
      <c r="B104">
        <v>95.99</v>
      </c>
      <c r="C104">
        <v>5.03</v>
      </c>
      <c r="D104">
        <v>0.96</v>
      </c>
      <c r="E104">
        <v>0.33500000000000002</v>
      </c>
      <c r="F104" s="25">
        <v>6.8400000000000002E-2</v>
      </c>
      <c r="G104">
        <v>0.27600000000000002</v>
      </c>
      <c r="H104">
        <v>3.96</v>
      </c>
      <c r="I104">
        <v>3.28</v>
      </c>
      <c r="J104">
        <v>-0.7</v>
      </c>
      <c r="K104">
        <v>6.35</v>
      </c>
      <c r="L104" s="26">
        <v>4.83</v>
      </c>
      <c r="M104" s="25">
        <v>0.1022</v>
      </c>
      <c r="N104" s="25">
        <v>6.6699999999999995E-2</v>
      </c>
      <c r="O104">
        <v>1.28</v>
      </c>
      <c r="P104" s="25">
        <v>9.6699999999999994E-2</v>
      </c>
      <c r="Q104" s="25">
        <v>0.19059999999999999</v>
      </c>
      <c r="R104" s="26">
        <v>6520.93</v>
      </c>
      <c r="S104" s="26">
        <v>3863830000</v>
      </c>
      <c r="T104">
        <v>1.0900000000000001</v>
      </c>
      <c r="U104" s="25">
        <v>2.5100000000000001E-2</v>
      </c>
    </row>
    <row r="105" spans="1:21" hidden="1" x14ac:dyDescent="0.25">
      <c r="A105" t="s">
        <v>363</v>
      </c>
      <c r="B105">
        <v>104.82</v>
      </c>
      <c r="C105">
        <v>5.49</v>
      </c>
      <c r="D105">
        <v>1.05</v>
      </c>
      <c r="E105">
        <v>0.36599999999999999</v>
      </c>
      <c r="F105" s="25">
        <v>6.8900000000000003E-2</v>
      </c>
      <c r="G105">
        <v>0.30099999999999999</v>
      </c>
      <c r="H105">
        <v>4.32</v>
      </c>
      <c r="I105">
        <v>3.59</v>
      </c>
      <c r="J105">
        <v>-0.76</v>
      </c>
      <c r="K105">
        <v>6.66</v>
      </c>
      <c r="L105">
        <v>5.0599999999999996</v>
      </c>
      <c r="M105" s="25">
        <v>0.1022</v>
      </c>
      <c r="N105" s="25">
        <v>6.6699999999999995E-2</v>
      </c>
      <c r="O105">
        <v>1.28</v>
      </c>
      <c r="P105" s="25">
        <v>9.6699999999999994E-2</v>
      </c>
      <c r="Q105" s="25">
        <v>0.19059999999999999</v>
      </c>
      <c r="R105" s="26">
        <v>377119</v>
      </c>
      <c r="S105" s="26">
        <v>3863830000</v>
      </c>
      <c r="T105">
        <v>1.0900000000000001</v>
      </c>
      <c r="U105" s="25">
        <v>2.5100000000000001E-2</v>
      </c>
    </row>
    <row r="106" spans="1:21" hidden="1" x14ac:dyDescent="0.25">
      <c r="A106" t="s">
        <v>364</v>
      </c>
      <c r="B106">
        <v>14.98</v>
      </c>
      <c r="C106">
        <v>6.12</v>
      </c>
      <c r="D106">
        <v>1.54</v>
      </c>
      <c r="E106">
        <v>1.056</v>
      </c>
      <c r="F106" s="25">
        <v>8.6999999999999994E-2</v>
      </c>
      <c r="G106">
        <v>0.67100000000000004</v>
      </c>
      <c r="H106">
        <v>49.38</v>
      </c>
      <c r="I106">
        <v>6.14</v>
      </c>
      <c r="J106">
        <v>-2.09</v>
      </c>
      <c r="K106">
        <v>7.65</v>
      </c>
      <c r="L106">
        <v>6.37</v>
      </c>
      <c r="M106" s="25">
        <v>0.17180000000000001</v>
      </c>
      <c r="N106" s="25">
        <v>0.17249999999999999</v>
      </c>
      <c r="O106">
        <v>1.06</v>
      </c>
      <c r="P106" s="25">
        <v>0.1241</v>
      </c>
      <c r="Q106" s="25">
        <v>0.25090000000000001</v>
      </c>
      <c r="R106" s="26">
        <v>5551200</v>
      </c>
      <c r="S106" s="26">
        <v>27914500000</v>
      </c>
      <c r="T106">
        <v>0.55000000000000004</v>
      </c>
      <c r="U106" s="25">
        <v>9.9699999999999997E-2</v>
      </c>
    </row>
    <row r="107" spans="1:21" hidden="1" x14ac:dyDescent="0.25">
      <c r="A107" t="s">
        <v>22</v>
      </c>
      <c r="B107">
        <v>10.58</v>
      </c>
      <c r="C107">
        <v>4.32</v>
      </c>
      <c r="D107">
        <v>1.08</v>
      </c>
      <c r="E107">
        <v>0.746</v>
      </c>
      <c r="F107" s="25">
        <v>0.1232</v>
      </c>
      <c r="G107">
        <v>0.47399999999999998</v>
      </c>
      <c r="H107">
        <v>34.869999999999997</v>
      </c>
      <c r="I107">
        <v>4.34</v>
      </c>
      <c r="J107">
        <v>-1.48</v>
      </c>
      <c r="K107">
        <v>5.85</v>
      </c>
      <c r="L107">
        <v>4.87</v>
      </c>
      <c r="M107" s="25">
        <v>0.17180000000000001</v>
      </c>
      <c r="N107" s="25">
        <v>0.17249999999999999</v>
      </c>
      <c r="O107">
        <v>1.06</v>
      </c>
      <c r="P107" s="25">
        <v>0.1241</v>
      </c>
      <c r="Q107" s="25">
        <v>0.25090000000000001</v>
      </c>
      <c r="R107" s="26">
        <v>116043000</v>
      </c>
      <c r="S107" s="26">
        <v>27914500000</v>
      </c>
      <c r="T107">
        <v>0.55000000000000004</v>
      </c>
      <c r="U107" s="25">
        <v>9.9699999999999997E-2</v>
      </c>
    </row>
    <row r="108" spans="1:21" hidden="1" x14ac:dyDescent="0.25">
      <c r="A108" t="s">
        <v>365</v>
      </c>
      <c r="B108">
        <v>5.37</v>
      </c>
      <c r="C108">
        <v>8.15</v>
      </c>
      <c r="D108">
        <v>2.88</v>
      </c>
      <c r="E108">
        <v>1.7430000000000001</v>
      </c>
      <c r="F108" s="25">
        <v>0.15459999999999999</v>
      </c>
      <c r="G108">
        <v>0.83399999999999996</v>
      </c>
      <c r="H108">
        <v>3.19</v>
      </c>
      <c r="I108">
        <v>5.86</v>
      </c>
      <c r="J108">
        <v>-3.5</v>
      </c>
      <c r="K108">
        <v>4.97</v>
      </c>
      <c r="L108">
        <v>4.03</v>
      </c>
      <c r="M108" s="25">
        <v>0.29749999999999999</v>
      </c>
      <c r="N108" s="25">
        <v>0.21379999999999999</v>
      </c>
      <c r="O108">
        <v>2.2400000000000002</v>
      </c>
      <c r="P108" s="25">
        <v>0.26140000000000002</v>
      </c>
      <c r="Q108" s="25">
        <v>0.35299999999999998</v>
      </c>
      <c r="R108" s="26">
        <v>31446200</v>
      </c>
      <c r="S108" s="26">
        <v>10233800000</v>
      </c>
      <c r="T108">
        <v>0.96</v>
      </c>
      <c r="U108" s="25">
        <v>-4.8999999999999998E-3</v>
      </c>
    </row>
    <row r="109" spans="1:21" hidden="1" x14ac:dyDescent="0.25">
      <c r="A109" t="s">
        <v>366</v>
      </c>
      <c r="B109">
        <v>26</v>
      </c>
      <c r="C109">
        <v>6.03</v>
      </c>
      <c r="D109">
        <v>0.43</v>
      </c>
      <c r="E109">
        <v>0.26600000000000001</v>
      </c>
      <c r="F109" s="25">
        <v>4.6899999999999997E-2</v>
      </c>
      <c r="G109">
        <v>0.15</v>
      </c>
      <c r="H109">
        <v>-0.65</v>
      </c>
      <c r="I109">
        <v>1.85</v>
      </c>
      <c r="J109">
        <v>-0.34</v>
      </c>
      <c r="K109">
        <v>6.34</v>
      </c>
      <c r="L109">
        <v>4.08</v>
      </c>
      <c r="M109" s="25">
        <v>0.1439</v>
      </c>
      <c r="N109" s="25">
        <v>4.3999999999999997E-2</v>
      </c>
      <c r="O109">
        <v>0.48</v>
      </c>
      <c r="P109" s="25">
        <v>9.0300000000000005E-2</v>
      </c>
      <c r="Q109" s="25">
        <v>7.1900000000000006E-2</v>
      </c>
      <c r="R109" s="26">
        <v>3893.95</v>
      </c>
      <c r="S109" s="26">
        <v>5174440000</v>
      </c>
      <c r="T109">
        <v>1.1100000000000001</v>
      </c>
      <c r="U109" s="25">
        <v>6.7100000000000007E-2</v>
      </c>
    </row>
    <row r="110" spans="1:21" hidden="1" x14ac:dyDescent="0.25">
      <c r="A110" t="s">
        <v>194</v>
      </c>
      <c r="B110">
        <v>27.65</v>
      </c>
      <c r="C110">
        <v>6.42</v>
      </c>
      <c r="D110">
        <v>0.46</v>
      </c>
      <c r="E110">
        <v>0.28299999999999997</v>
      </c>
      <c r="F110" s="25">
        <v>4.41E-2</v>
      </c>
      <c r="G110">
        <v>0.16</v>
      </c>
      <c r="H110">
        <v>-0.69</v>
      </c>
      <c r="I110">
        <v>1.96</v>
      </c>
      <c r="J110">
        <v>-0.36</v>
      </c>
      <c r="K110">
        <v>6.45</v>
      </c>
      <c r="L110">
        <v>4.1500000000000004</v>
      </c>
      <c r="M110" s="25">
        <v>0.1439</v>
      </c>
      <c r="N110" s="25">
        <v>4.3999999999999997E-2</v>
      </c>
      <c r="O110">
        <v>0.48</v>
      </c>
      <c r="P110" s="25">
        <v>9.0300000000000005E-2</v>
      </c>
      <c r="Q110" s="25">
        <v>7.1900000000000006E-2</v>
      </c>
      <c r="R110" s="26">
        <v>187481</v>
      </c>
      <c r="S110" s="26">
        <v>5174440000</v>
      </c>
      <c r="T110">
        <v>1.1100000000000001</v>
      </c>
      <c r="U110" s="25">
        <v>6.7100000000000007E-2</v>
      </c>
    </row>
    <row r="111" spans="1:21" hidden="1" x14ac:dyDescent="0.25">
      <c r="A111" t="s">
        <v>218</v>
      </c>
      <c r="B111">
        <v>2.64</v>
      </c>
      <c r="C111">
        <v>5.04</v>
      </c>
      <c r="D111">
        <v>0.4</v>
      </c>
      <c r="E111">
        <v>0.76200000000000001</v>
      </c>
      <c r="F111" s="25">
        <v>2.53E-2</v>
      </c>
      <c r="G111">
        <v>0.20499999999999999</v>
      </c>
      <c r="H111">
        <v>3.8</v>
      </c>
      <c r="I111">
        <v>2.39</v>
      </c>
      <c r="J111">
        <v>-0.84</v>
      </c>
      <c r="K111">
        <v>5.0199999999999996</v>
      </c>
      <c r="L111">
        <v>3.76</v>
      </c>
      <c r="M111" s="25">
        <v>0.31909999999999999</v>
      </c>
      <c r="N111" s="25">
        <v>0.1676</v>
      </c>
      <c r="O111">
        <v>1.38</v>
      </c>
      <c r="P111" s="25">
        <v>9.5500000000000002E-2</v>
      </c>
      <c r="Q111" s="25">
        <v>7.9000000000000001E-2</v>
      </c>
      <c r="R111" s="26">
        <v>95544700</v>
      </c>
      <c r="S111" s="26">
        <v>12444500000</v>
      </c>
      <c r="T111">
        <v>0.55000000000000004</v>
      </c>
      <c r="U111" s="25">
        <v>8.7900000000000006E-2</v>
      </c>
    </row>
    <row r="112" spans="1:21" hidden="1" x14ac:dyDescent="0.25">
      <c r="A112" t="s">
        <v>103</v>
      </c>
      <c r="B112">
        <v>38.5</v>
      </c>
      <c r="C112">
        <v>8.32</v>
      </c>
      <c r="D112">
        <v>1.99</v>
      </c>
      <c r="E112">
        <v>1.0289999999999999</v>
      </c>
      <c r="F112" s="25">
        <v>7.2599999999999998E-2</v>
      </c>
      <c r="G112">
        <v>0.56399999999999995</v>
      </c>
      <c r="H112">
        <v>-178.13</v>
      </c>
      <c r="I112">
        <v>4.01</v>
      </c>
      <c r="J112">
        <v>-1.17</v>
      </c>
      <c r="K112">
        <v>6.2</v>
      </c>
      <c r="L112">
        <v>5.25</v>
      </c>
      <c r="M112" s="25">
        <v>0.25650000000000001</v>
      </c>
      <c r="N112" s="25">
        <v>0.13039999999999999</v>
      </c>
      <c r="O112">
        <v>0.99</v>
      </c>
      <c r="P112" s="25">
        <v>0.15609999999999999</v>
      </c>
      <c r="Q112" s="25">
        <v>0.2397</v>
      </c>
      <c r="R112" s="26">
        <v>46633100</v>
      </c>
      <c r="S112" s="26">
        <v>22249300000</v>
      </c>
      <c r="T112">
        <v>1.27</v>
      </c>
      <c r="U112" s="25">
        <v>6.1699999999999998E-2</v>
      </c>
    </row>
    <row r="113" spans="1:21" hidden="1" x14ac:dyDescent="0.25">
      <c r="A113" t="s">
        <v>93</v>
      </c>
      <c r="B113">
        <v>11.1</v>
      </c>
      <c r="C113">
        <v>11.25</v>
      </c>
      <c r="D113">
        <v>1.26</v>
      </c>
      <c r="E113">
        <v>1.4319999999999999</v>
      </c>
      <c r="F113" s="25">
        <v>6.6799999999999998E-2</v>
      </c>
      <c r="G113">
        <v>0.55000000000000004</v>
      </c>
      <c r="H113">
        <v>6.29</v>
      </c>
      <c r="I113">
        <v>7.97</v>
      </c>
      <c r="J113">
        <v>-1.85</v>
      </c>
      <c r="K113">
        <v>11.04</v>
      </c>
      <c r="L113">
        <v>8.17</v>
      </c>
      <c r="M113" s="25">
        <v>0.17960000000000001</v>
      </c>
      <c r="N113" s="25">
        <v>0.12670000000000001</v>
      </c>
      <c r="O113">
        <v>1.48</v>
      </c>
      <c r="P113" s="25">
        <v>8.0100000000000005E-2</v>
      </c>
      <c r="Q113" s="25">
        <v>0.112</v>
      </c>
      <c r="R113" s="26">
        <v>57462600</v>
      </c>
      <c r="S113" s="26">
        <v>26272200000</v>
      </c>
      <c r="T113">
        <v>0.72</v>
      </c>
      <c r="U113" s="25">
        <v>2.06E-2</v>
      </c>
    </row>
    <row r="114" spans="1:21" hidden="1" x14ac:dyDescent="0.25">
      <c r="A114" t="s">
        <v>367</v>
      </c>
      <c r="B114">
        <v>12.01</v>
      </c>
      <c r="C114">
        <v>12.17</v>
      </c>
      <c r="D114">
        <v>1.36</v>
      </c>
      <c r="E114">
        <v>1.5489999999999999</v>
      </c>
      <c r="F114" s="25">
        <v>6.7900000000000002E-2</v>
      </c>
      <c r="G114">
        <v>0.59499999999999997</v>
      </c>
      <c r="H114">
        <v>6.8</v>
      </c>
      <c r="I114">
        <v>8.6300000000000008</v>
      </c>
      <c r="J114">
        <v>-2.0099999999999998</v>
      </c>
      <c r="K114">
        <v>11.69</v>
      </c>
      <c r="L114">
        <v>8.66</v>
      </c>
      <c r="M114" s="25">
        <v>0.17960000000000001</v>
      </c>
      <c r="N114" s="25">
        <v>0.12670000000000001</v>
      </c>
      <c r="O114">
        <v>1.48</v>
      </c>
      <c r="P114" s="25">
        <v>8.0100000000000005E-2</v>
      </c>
      <c r="Q114" s="25">
        <v>0.112</v>
      </c>
      <c r="R114" s="26">
        <v>4526.67</v>
      </c>
      <c r="S114" s="26">
        <v>26272200000</v>
      </c>
      <c r="T114">
        <v>0.72</v>
      </c>
      <c r="U114" s="25">
        <v>2.06E-2</v>
      </c>
    </row>
    <row r="115" spans="1:21" hidden="1" x14ac:dyDescent="0.25">
      <c r="A115" t="s">
        <v>19</v>
      </c>
      <c r="B115">
        <v>11.88</v>
      </c>
      <c r="C115">
        <v>12.04</v>
      </c>
      <c r="D115">
        <v>1.35</v>
      </c>
      <c r="E115">
        <v>1.532</v>
      </c>
      <c r="F115" s="25">
        <v>6.8699999999999997E-2</v>
      </c>
      <c r="G115">
        <v>0.58799999999999997</v>
      </c>
      <c r="H115">
        <v>6.73</v>
      </c>
      <c r="I115">
        <v>8.5299999999999994</v>
      </c>
      <c r="J115">
        <v>-1.98</v>
      </c>
      <c r="K115">
        <v>11.6</v>
      </c>
      <c r="L115">
        <v>8.59</v>
      </c>
      <c r="M115" s="25">
        <v>0.17960000000000001</v>
      </c>
      <c r="N115" s="25">
        <v>0.12670000000000001</v>
      </c>
      <c r="O115">
        <v>1.48</v>
      </c>
      <c r="P115" s="25">
        <v>8.0100000000000005E-2</v>
      </c>
      <c r="Q115" s="25">
        <v>0.112</v>
      </c>
      <c r="R115" s="26">
        <v>141016000</v>
      </c>
      <c r="S115" s="26">
        <v>26272200000</v>
      </c>
      <c r="T115">
        <v>0.72</v>
      </c>
      <c r="U115" s="25">
        <v>2.06E-2</v>
      </c>
    </row>
    <row r="116" spans="1:21" hidden="1" x14ac:dyDescent="0.25">
      <c r="A116" t="s">
        <v>34</v>
      </c>
      <c r="B116">
        <v>8.48</v>
      </c>
      <c r="C116">
        <v>8.92</v>
      </c>
      <c r="D116">
        <v>0.84</v>
      </c>
      <c r="E116">
        <v>0.15</v>
      </c>
      <c r="F116" s="25">
        <v>1.12E-2</v>
      </c>
      <c r="G116">
        <v>0.19</v>
      </c>
      <c r="H116">
        <v>-25.37</v>
      </c>
      <c r="I116">
        <v>3.73</v>
      </c>
      <c r="J116">
        <v>-0.68</v>
      </c>
      <c r="K116">
        <v>7.24</v>
      </c>
      <c r="L116">
        <v>5.24</v>
      </c>
      <c r="M116" s="25">
        <v>4.0300000000000002E-2</v>
      </c>
      <c r="N116" s="25">
        <v>1.8599999999999998E-2</v>
      </c>
      <c r="O116">
        <v>0.98</v>
      </c>
      <c r="P116" s="25">
        <v>6.5799999999999997E-2</v>
      </c>
      <c r="Q116" s="25">
        <v>9.3600000000000003E-2</v>
      </c>
      <c r="R116" s="26">
        <v>4743860</v>
      </c>
      <c r="S116" s="26">
        <v>21416000000</v>
      </c>
      <c r="T116">
        <v>1.1100000000000001</v>
      </c>
      <c r="U116" s="25">
        <v>0.125</v>
      </c>
    </row>
    <row r="117" spans="1:21" hidden="1" x14ac:dyDescent="0.25">
      <c r="A117" t="s">
        <v>368</v>
      </c>
      <c r="B117">
        <v>15.61</v>
      </c>
      <c r="C117">
        <v>-3.85</v>
      </c>
      <c r="D117">
        <v>0.77</v>
      </c>
      <c r="E117">
        <v>0.63600000000000001</v>
      </c>
      <c r="F117" s="25">
        <v>0</v>
      </c>
      <c r="G117">
        <v>0.52</v>
      </c>
      <c r="H117" s="26">
        <v>1.23</v>
      </c>
      <c r="I117">
        <v>-12.22</v>
      </c>
      <c r="J117">
        <v>1.75</v>
      </c>
      <c r="K117">
        <v>-8.7100000000000009</v>
      </c>
      <c r="L117">
        <v>-47</v>
      </c>
      <c r="M117" s="25">
        <v>-5.21E-2</v>
      </c>
      <c r="N117" s="25">
        <v>-0.1651</v>
      </c>
      <c r="O117">
        <v>3.13</v>
      </c>
      <c r="P117" s="25">
        <v>-5.8700000000000002E-2</v>
      </c>
      <c r="Q117" s="25">
        <v>-0.1993</v>
      </c>
      <c r="R117" s="26">
        <v>1299.19</v>
      </c>
      <c r="S117" s="26">
        <v>589725000</v>
      </c>
      <c r="T117">
        <v>0.02</v>
      </c>
      <c r="U117" s="25">
        <v>-0.08</v>
      </c>
    </row>
    <row r="118" spans="1:21" hidden="1" x14ac:dyDescent="0.25">
      <c r="A118" t="s">
        <v>211</v>
      </c>
      <c r="B118">
        <v>16.22</v>
      </c>
      <c r="C118">
        <v>-4.01</v>
      </c>
      <c r="D118">
        <v>0.8</v>
      </c>
      <c r="E118">
        <v>0.66100000000000003</v>
      </c>
      <c r="F118" s="25">
        <v>0</v>
      </c>
      <c r="G118">
        <v>0.54</v>
      </c>
      <c r="H118" s="26">
        <v>1.28</v>
      </c>
      <c r="I118">
        <v>-12.7</v>
      </c>
      <c r="J118">
        <v>1.82</v>
      </c>
      <c r="K118">
        <v>-9.19</v>
      </c>
      <c r="L118">
        <v>-49.58</v>
      </c>
      <c r="M118" s="25">
        <v>-5.21E-2</v>
      </c>
      <c r="N118" s="25">
        <v>-0.1651</v>
      </c>
      <c r="O118">
        <v>3.13</v>
      </c>
      <c r="P118" s="25">
        <v>-5.8700000000000002E-2</v>
      </c>
      <c r="Q118" s="25">
        <v>-0.1993</v>
      </c>
      <c r="R118" s="26">
        <v>49535.199999999997</v>
      </c>
      <c r="S118" s="26">
        <v>589725000</v>
      </c>
      <c r="T118">
        <v>0.02</v>
      </c>
      <c r="U118" s="25">
        <v>-0.08</v>
      </c>
    </row>
    <row r="119" spans="1:21" hidden="1" x14ac:dyDescent="0.25">
      <c r="A119" t="s">
        <v>369</v>
      </c>
      <c r="B119">
        <v>18.989999999999998</v>
      </c>
      <c r="C119">
        <v>-4.6900000000000004</v>
      </c>
      <c r="D119">
        <v>0.93</v>
      </c>
      <c r="E119">
        <v>0.77400000000000002</v>
      </c>
      <c r="F119" s="25">
        <v>0</v>
      </c>
      <c r="G119">
        <v>0.63200000000000001</v>
      </c>
      <c r="H119" s="26">
        <v>1.5</v>
      </c>
      <c r="I119">
        <v>-14.86</v>
      </c>
      <c r="J119">
        <v>2.13</v>
      </c>
      <c r="K119">
        <v>-11.36</v>
      </c>
      <c r="L119">
        <v>-61.27</v>
      </c>
      <c r="M119" s="25">
        <v>-5.21E-2</v>
      </c>
      <c r="N119" s="25">
        <v>-0.1651</v>
      </c>
      <c r="O119">
        <v>3.13</v>
      </c>
      <c r="P119" s="25">
        <v>-5.8700000000000002E-2</v>
      </c>
      <c r="Q119" s="25">
        <v>-0.1993</v>
      </c>
      <c r="R119" s="26">
        <v>2701.79</v>
      </c>
      <c r="S119" s="26">
        <v>589725000</v>
      </c>
      <c r="T119">
        <v>0.02</v>
      </c>
      <c r="U119" s="25">
        <v>-0.08</v>
      </c>
    </row>
    <row r="120" spans="1:21" hidden="1" x14ac:dyDescent="0.25">
      <c r="A120" t="s">
        <v>246</v>
      </c>
      <c r="B120">
        <v>5.87</v>
      </c>
      <c r="C120">
        <v>-0.99</v>
      </c>
      <c r="D120">
        <v>1.39</v>
      </c>
      <c r="E120">
        <v>0.25</v>
      </c>
      <c r="F120" s="25">
        <v>0</v>
      </c>
      <c r="G120">
        <v>8.5999999999999993E-2</v>
      </c>
      <c r="H120">
        <v>0.73</v>
      </c>
      <c r="I120">
        <v>1.19</v>
      </c>
      <c r="J120">
        <v>-0.17</v>
      </c>
      <c r="K120">
        <v>6.86</v>
      </c>
      <c r="L120">
        <v>3.88</v>
      </c>
      <c r="M120" s="25">
        <v>0.21060000000000001</v>
      </c>
      <c r="N120" s="25">
        <v>-0.23669999999999999</v>
      </c>
      <c r="O120">
        <v>2.13</v>
      </c>
      <c r="P120" s="25">
        <v>8.48E-2</v>
      </c>
      <c r="Q120" s="25">
        <v>-1.3964000000000001</v>
      </c>
      <c r="R120" s="26">
        <v>126307000</v>
      </c>
      <c r="S120" s="26">
        <v>7891660000</v>
      </c>
      <c r="T120">
        <v>8.5</v>
      </c>
      <c r="U120" s="25">
        <v>0.28720000000000001</v>
      </c>
    </row>
    <row r="121" spans="1:21" hidden="1" x14ac:dyDescent="0.25">
      <c r="A121" t="s">
        <v>157</v>
      </c>
      <c r="B121">
        <v>4.92</v>
      </c>
      <c r="C121">
        <v>9.34</v>
      </c>
      <c r="D121">
        <v>1.1499999999999999</v>
      </c>
      <c r="E121">
        <v>0.68200000000000005</v>
      </c>
      <c r="F121" s="25">
        <v>7.6399999999999996E-2</v>
      </c>
      <c r="G121">
        <v>0.373</v>
      </c>
      <c r="H121">
        <v>6.34</v>
      </c>
      <c r="I121">
        <v>3.62</v>
      </c>
      <c r="J121">
        <v>-0.83</v>
      </c>
      <c r="K121">
        <v>4.6399999999999997</v>
      </c>
      <c r="L121">
        <v>3.06</v>
      </c>
      <c r="M121" s="25">
        <v>0.18859999999999999</v>
      </c>
      <c r="N121" s="25">
        <v>7.2999999999999995E-2</v>
      </c>
      <c r="O121">
        <v>1.35</v>
      </c>
      <c r="P121" s="25">
        <v>0.12790000000000001</v>
      </c>
      <c r="Q121" s="25">
        <v>0.1234</v>
      </c>
      <c r="R121" s="26">
        <v>1920210</v>
      </c>
      <c r="S121" s="26">
        <v>1557200000</v>
      </c>
      <c r="T121">
        <v>0.85</v>
      </c>
      <c r="U121" s="25">
        <v>0.1042</v>
      </c>
    </row>
    <row r="122" spans="1:21" hidden="1" x14ac:dyDescent="0.25">
      <c r="A122" t="s">
        <v>128</v>
      </c>
      <c r="B122">
        <v>25.82</v>
      </c>
      <c r="C122">
        <v>7.04</v>
      </c>
      <c r="D122">
        <v>1.18</v>
      </c>
      <c r="E122">
        <v>1.216</v>
      </c>
      <c r="F122" s="25">
        <v>6.4600000000000005E-2</v>
      </c>
      <c r="G122">
        <v>0.61599999999999999</v>
      </c>
      <c r="H122">
        <v>22.26</v>
      </c>
      <c r="I122">
        <v>4.3600000000000003</v>
      </c>
      <c r="J122">
        <v>-1.88</v>
      </c>
      <c r="K122">
        <v>6.7</v>
      </c>
      <c r="L122">
        <v>4.9000000000000004</v>
      </c>
      <c r="M122" s="25">
        <v>0.27900000000000003</v>
      </c>
      <c r="N122" s="25">
        <v>0.1726</v>
      </c>
      <c r="O122">
        <v>1.22</v>
      </c>
      <c r="P122" s="25">
        <v>0.1515</v>
      </c>
      <c r="Q122" s="25">
        <v>0.16800000000000001</v>
      </c>
      <c r="R122" s="26">
        <v>65540200</v>
      </c>
      <c r="S122" s="26">
        <v>8296170000</v>
      </c>
      <c r="T122">
        <v>0.72</v>
      </c>
      <c r="U122" s="25">
        <v>0.1081</v>
      </c>
    </row>
    <row r="123" spans="1:21" hidden="1" x14ac:dyDescent="0.25">
      <c r="A123" t="s">
        <v>238</v>
      </c>
      <c r="B123">
        <v>8.77</v>
      </c>
      <c r="C123">
        <v>-4.4400000000000004</v>
      </c>
      <c r="D123">
        <v>0.89</v>
      </c>
      <c r="E123">
        <v>0.25900000000000001</v>
      </c>
      <c r="F123" s="25">
        <v>6.2799999999999995E-2</v>
      </c>
      <c r="G123">
        <v>0.11700000000000001</v>
      </c>
      <c r="H123">
        <v>0.84</v>
      </c>
      <c r="I123">
        <v>1.99</v>
      </c>
      <c r="J123">
        <v>-0.24</v>
      </c>
      <c r="K123">
        <v>7.54</v>
      </c>
      <c r="L123">
        <v>4.53</v>
      </c>
      <c r="M123" s="25">
        <v>0.1305</v>
      </c>
      <c r="N123" s="25">
        <v>-3.9899999999999998E-2</v>
      </c>
      <c r="O123">
        <v>1.64</v>
      </c>
      <c r="P123" s="25">
        <v>8.1000000000000003E-2</v>
      </c>
      <c r="Q123" s="25">
        <v>-0.20030000000000001</v>
      </c>
      <c r="R123" s="26">
        <v>75278500</v>
      </c>
      <c r="S123" s="26">
        <v>13083900000</v>
      </c>
      <c r="T123">
        <v>4.07</v>
      </c>
      <c r="U123" s="25">
        <v>3.2500000000000001E-2</v>
      </c>
    </row>
    <row r="124" spans="1:21" hidden="1" x14ac:dyDescent="0.25">
      <c r="A124" t="s">
        <v>31</v>
      </c>
      <c r="B124">
        <v>17.399999999999999</v>
      </c>
      <c r="C124">
        <v>7.96</v>
      </c>
      <c r="D124">
        <v>1.47</v>
      </c>
      <c r="E124">
        <v>1.256</v>
      </c>
      <c r="F124" s="25">
        <v>6.4799999999999996E-2</v>
      </c>
      <c r="G124">
        <v>1.026</v>
      </c>
      <c r="H124">
        <v>16.600000000000001</v>
      </c>
      <c r="I124">
        <v>5.86</v>
      </c>
      <c r="J124">
        <v>-117.78</v>
      </c>
      <c r="K124">
        <v>5.74</v>
      </c>
      <c r="L124">
        <v>3.83</v>
      </c>
      <c r="M124" s="25">
        <v>0.2142</v>
      </c>
      <c r="N124" s="25">
        <v>0.1578</v>
      </c>
      <c r="O124">
        <v>1.27</v>
      </c>
      <c r="P124" s="25">
        <v>0.21060000000000001</v>
      </c>
      <c r="Q124" s="25">
        <v>0.1847</v>
      </c>
      <c r="R124" s="26">
        <v>538120</v>
      </c>
      <c r="S124" s="26">
        <v>494617000</v>
      </c>
      <c r="T124">
        <v>0.13</v>
      </c>
      <c r="U124" s="25">
        <v>4.7100000000000003E-2</v>
      </c>
    </row>
    <row r="125" spans="1:21" hidden="1" x14ac:dyDescent="0.25">
      <c r="A125" t="s">
        <v>498</v>
      </c>
      <c r="B125">
        <v>1.07</v>
      </c>
      <c r="C125">
        <v>-0.18</v>
      </c>
      <c r="D125">
        <v>0.27</v>
      </c>
      <c r="E125">
        <v>7.2999999999999995E-2</v>
      </c>
      <c r="F125" s="25">
        <v>0</v>
      </c>
      <c r="G125">
        <v>2.5999999999999999E-2</v>
      </c>
      <c r="H125">
        <v>-0.1</v>
      </c>
      <c r="I125">
        <v>-0.53</v>
      </c>
      <c r="J125">
        <v>-0.03</v>
      </c>
      <c r="K125">
        <v>-3.44</v>
      </c>
      <c r="L125">
        <v>-17.52</v>
      </c>
      <c r="M125" s="25">
        <v>-0.1366</v>
      </c>
      <c r="N125" s="25">
        <v>-0.41139999999999999</v>
      </c>
      <c r="O125">
        <v>0.38</v>
      </c>
      <c r="P125" s="25">
        <v>-5.28E-2</v>
      </c>
      <c r="Q125" s="25">
        <v>-1.5024</v>
      </c>
      <c r="R125" s="26">
        <v>13526.8</v>
      </c>
      <c r="S125" s="26">
        <v>107351000</v>
      </c>
      <c r="T125">
        <v>2.09</v>
      </c>
      <c r="U125" s="25">
        <v>-0.25879999999999997</v>
      </c>
    </row>
    <row r="126" spans="1:21" hidden="1" x14ac:dyDescent="0.25">
      <c r="A126" t="s">
        <v>370</v>
      </c>
      <c r="B126">
        <v>34.18</v>
      </c>
      <c r="C126">
        <v>1.77</v>
      </c>
      <c r="D126">
        <v>11.43</v>
      </c>
      <c r="E126">
        <v>0.29799999999999999</v>
      </c>
      <c r="F126" s="25">
        <v>0</v>
      </c>
      <c r="G126">
        <v>0.3</v>
      </c>
      <c r="H126">
        <v>0.98</v>
      </c>
      <c r="I126">
        <v>2.4900000000000002</v>
      </c>
      <c r="J126">
        <v>-0.94</v>
      </c>
      <c r="K126">
        <v>6.86</v>
      </c>
      <c r="L126">
        <v>5.57</v>
      </c>
      <c r="M126" s="25">
        <v>0.11940000000000001</v>
      </c>
      <c r="N126" s="25">
        <v>0.1686</v>
      </c>
      <c r="O126">
        <v>1.87</v>
      </c>
      <c r="P126" s="25">
        <v>0.1578</v>
      </c>
      <c r="Q126" s="25">
        <v>6.4744000000000002</v>
      </c>
      <c r="R126" s="26">
        <v>256.12</v>
      </c>
      <c r="S126" s="26">
        <v>18555000</v>
      </c>
      <c r="T126">
        <v>23.99</v>
      </c>
      <c r="U126" s="25">
        <v>0.13420000000000001</v>
      </c>
    </row>
    <row r="127" spans="1:21" hidden="1" x14ac:dyDescent="0.25">
      <c r="A127" t="s">
        <v>371</v>
      </c>
      <c r="B127">
        <v>34.99</v>
      </c>
      <c r="C127">
        <v>1.81</v>
      </c>
      <c r="D127">
        <v>11.7</v>
      </c>
      <c r="E127">
        <v>0.30499999999999999</v>
      </c>
      <c r="F127" s="25">
        <v>0</v>
      </c>
      <c r="G127">
        <v>0.307</v>
      </c>
      <c r="H127">
        <v>1.01</v>
      </c>
      <c r="I127">
        <v>2.5499999999999998</v>
      </c>
      <c r="J127">
        <v>-0.96</v>
      </c>
      <c r="K127">
        <v>6.92</v>
      </c>
      <c r="L127">
        <v>5.62</v>
      </c>
      <c r="M127" s="25">
        <v>0.11940000000000001</v>
      </c>
      <c r="N127" s="25">
        <v>0.1686</v>
      </c>
      <c r="O127">
        <v>1.87</v>
      </c>
      <c r="P127" s="25">
        <v>0.1578</v>
      </c>
      <c r="Q127" s="25">
        <v>6.4744000000000002</v>
      </c>
      <c r="R127" s="26">
        <v>8873.17</v>
      </c>
      <c r="S127" s="26">
        <v>18555000</v>
      </c>
      <c r="T127">
        <v>23.99</v>
      </c>
      <c r="U127" s="25">
        <v>0.13420000000000001</v>
      </c>
    </row>
    <row r="128" spans="1:21" hidden="1" x14ac:dyDescent="0.25">
      <c r="A128" t="s">
        <v>372</v>
      </c>
      <c r="B128">
        <v>2.87</v>
      </c>
      <c r="C128">
        <v>-0.16</v>
      </c>
      <c r="D128">
        <v>0.15</v>
      </c>
      <c r="E128">
        <v>0.20300000000000001</v>
      </c>
      <c r="F128" s="25">
        <v>0</v>
      </c>
      <c r="G128">
        <v>3.4000000000000002E-2</v>
      </c>
      <c r="H128">
        <v>-0.09</v>
      </c>
      <c r="I128">
        <v>-0.28999999999999998</v>
      </c>
      <c r="J128">
        <v>-0.05</v>
      </c>
      <c r="K128">
        <v>-3.38</v>
      </c>
      <c r="L128">
        <v>-3.99</v>
      </c>
      <c r="M128" s="25">
        <v>-0.69220000000000004</v>
      </c>
      <c r="N128" s="25">
        <v>-1.246</v>
      </c>
      <c r="O128">
        <v>0.3</v>
      </c>
      <c r="P128" s="25">
        <v>-0.13220000000000001</v>
      </c>
      <c r="Q128" s="25">
        <v>-0.93740000000000001</v>
      </c>
      <c r="R128" s="26">
        <v>1637.5</v>
      </c>
      <c r="S128" s="26">
        <v>130725000</v>
      </c>
      <c r="T128">
        <v>1.66</v>
      </c>
      <c r="U128" s="25">
        <v>-0.34389999999999998</v>
      </c>
    </row>
    <row r="129" spans="1:21" hidden="1" x14ac:dyDescent="0.25">
      <c r="A129" t="s">
        <v>373</v>
      </c>
      <c r="B129">
        <v>2.6</v>
      </c>
      <c r="C129">
        <v>-0.15</v>
      </c>
      <c r="D129">
        <v>0.14000000000000001</v>
      </c>
      <c r="E129">
        <v>0.184</v>
      </c>
      <c r="F129" s="25">
        <v>0</v>
      </c>
      <c r="G129">
        <v>3.1E-2</v>
      </c>
      <c r="H129">
        <v>-0.09</v>
      </c>
      <c r="I129">
        <v>-0.27</v>
      </c>
      <c r="J129">
        <v>-0.05</v>
      </c>
      <c r="K129">
        <v>-3.35</v>
      </c>
      <c r="L129">
        <v>-3.95</v>
      </c>
      <c r="M129" s="25">
        <v>-0.69220000000000004</v>
      </c>
      <c r="N129" s="25">
        <v>-1.246</v>
      </c>
      <c r="O129">
        <v>0.3</v>
      </c>
      <c r="P129" s="25">
        <v>-0.13220000000000001</v>
      </c>
      <c r="Q129" s="25">
        <v>-0.93740000000000001</v>
      </c>
      <c r="R129" s="26">
        <v>4764.6899999999996</v>
      </c>
      <c r="S129" s="26">
        <v>130725000</v>
      </c>
      <c r="T129">
        <v>1.66</v>
      </c>
      <c r="U129" s="25">
        <v>-0.34389999999999998</v>
      </c>
    </row>
    <row r="130" spans="1:21" hidden="1" x14ac:dyDescent="0.25">
      <c r="A130" t="s">
        <v>114</v>
      </c>
      <c r="B130">
        <v>29.18</v>
      </c>
      <c r="C130">
        <v>11.8</v>
      </c>
      <c r="D130">
        <v>7.51</v>
      </c>
      <c r="E130">
        <v>1.978</v>
      </c>
      <c r="F130" s="25">
        <v>4.1599999999999998E-2</v>
      </c>
      <c r="G130">
        <v>1.7490000000000001</v>
      </c>
      <c r="H130">
        <v>5.01</v>
      </c>
      <c r="I130">
        <v>8.39</v>
      </c>
      <c r="J130">
        <v>-18.48</v>
      </c>
      <c r="K130">
        <v>8.1300000000000008</v>
      </c>
      <c r="L130">
        <v>7.88</v>
      </c>
      <c r="M130" s="25">
        <v>0.2359</v>
      </c>
      <c r="N130" s="25">
        <v>0.18079999999999999</v>
      </c>
      <c r="O130">
        <v>2.2599999999999998</v>
      </c>
      <c r="P130" s="25">
        <v>0.33079999999999998</v>
      </c>
      <c r="Q130" s="25">
        <v>0.63680000000000003</v>
      </c>
      <c r="R130" s="26">
        <v>61055000</v>
      </c>
      <c r="S130" s="26">
        <v>1133950000</v>
      </c>
      <c r="T130">
        <v>1.1299999999999999</v>
      </c>
      <c r="U130" s="25">
        <v>0.34849999999999998</v>
      </c>
    </row>
    <row r="131" spans="1:21" hidden="1" x14ac:dyDescent="0.25">
      <c r="A131" t="s">
        <v>71</v>
      </c>
      <c r="B131">
        <v>2.4300000000000002</v>
      </c>
      <c r="C131">
        <v>-16.72</v>
      </c>
      <c r="D131">
        <v>2.46</v>
      </c>
      <c r="E131">
        <v>0.88500000000000001</v>
      </c>
      <c r="F131" s="25">
        <v>0</v>
      </c>
      <c r="G131">
        <v>0.34200000000000003</v>
      </c>
      <c r="H131">
        <v>-4.22</v>
      </c>
      <c r="I131">
        <v>11.12</v>
      </c>
      <c r="J131">
        <v>-1.21</v>
      </c>
      <c r="K131">
        <v>12.55</v>
      </c>
      <c r="L131">
        <v>4.25</v>
      </c>
      <c r="M131" s="25">
        <v>7.9600000000000004E-2</v>
      </c>
      <c r="N131" s="25">
        <v>-5.2900000000000003E-2</v>
      </c>
      <c r="O131">
        <v>0.88</v>
      </c>
      <c r="P131" s="25">
        <v>4.1700000000000001E-2</v>
      </c>
      <c r="Q131" s="25">
        <v>-0.1472</v>
      </c>
      <c r="R131" s="26">
        <v>27548000</v>
      </c>
      <c r="S131" s="26">
        <v>519227000</v>
      </c>
      <c r="T131">
        <v>1.0900000000000001</v>
      </c>
      <c r="U131" s="25">
        <v>0.35599999999999998</v>
      </c>
    </row>
    <row r="132" spans="1:21" hidden="1" x14ac:dyDescent="0.25">
      <c r="A132" t="s">
        <v>56</v>
      </c>
      <c r="B132">
        <v>13.73</v>
      </c>
      <c r="C132">
        <v>10.4</v>
      </c>
      <c r="D132">
        <v>2.94</v>
      </c>
      <c r="E132">
        <v>0</v>
      </c>
      <c r="F132" s="25">
        <v>8.3500000000000005E-2</v>
      </c>
      <c r="G132">
        <v>2.89</v>
      </c>
      <c r="H132">
        <v>22.69</v>
      </c>
      <c r="I132">
        <v>-321.58</v>
      </c>
      <c r="J132">
        <v>22.74</v>
      </c>
      <c r="K132">
        <v>-312.17</v>
      </c>
      <c r="L132">
        <v>-312.19</v>
      </c>
      <c r="M132" s="25">
        <v>0</v>
      </c>
      <c r="N132" s="25">
        <v>0</v>
      </c>
      <c r="O132">
        <v>9.32</v>
      </c>
      <c r="P132" s="25">
        <v>-9.7999999999999997E-3</v>
      </c>
      <c r="Q132" s="25">
        <v>0.28220000000000001</v>
      </c>
      <c r="R132" s="26">
        <v>67118100</v>
      </c>
      <c r="S132" s="26">
        <v>14032600000</v>
      </c>
      <c r="T132">
        <v>0</v>
      </c>
      <c r="U132" s="25">
        <v>0</v>
      </c>
    </row>
    <row r="133" spans="1:21" hidden="1" x14ac:dyDescent="0.25">
      <c r="A133" t="s">
        <v>55</v>
      </c>
      <c r="B133">
        <v>25.94</v>
      </c>
      <c r="C133">
        <v>5.83</v>
      </c>
      <c r="D133">
        <v>1.07</v>
      </c>
      <c r="E133">
        <v>1.194</v>
      </c>
      <c r="F133" s="25">
        <v>4.1200000000000001E-2</v>
      </c>
      <c r="G133">
        <v>0.45600000000000002</v>
      </c>
      <c r="H133">
        <v>1.1399999999999999</v>
      </c>
      <c r="I133">
        <v>6.5</v>
      </c>
      <c r="J133">
        <v>10.44</v>
      </c>
      <c r="K133">
        <v>8.4600000000000009</v>
      </c>
      <c r="L133">
        <v>8.0299999999999994</v>
      </c>
      <c r="M133" s="25">
        <v>0.18360000000000001</v>
      </c>
      <c r="N133" s="25">
        <v>0.17449999999999999</v>
      </c>
      <c r="O133">
        <v>3.36</v>
      </c>
      <c r="P133" s="25">
        <v>8.2600000000000007E-2</v>
      </c>
      <c r="Q133" s="25">
        <v>0.18279999999999999</v>
      </c>
      <c r="R133" s="26">
        <v>117289000</v>
      </c>
      <c r="S133" s="26">
        <v>9350230000</v>
      </c>
      <c r="T133">
        <v>0.64</v>
      </c>
      <c r="U133" s="25">
        <v>0.18590000000000001</v>
      </c>
    </row>
    <row r="134" spans="1:21" hidden="1" x14ac:dyDescent="0.25">
      <c r="A134" t="s">
        <v>255</v>
      </c>
      <c r="B134">
        <v>1.22</v>
      </c>
      <c r="C134">
        <v>-1.35</v>
      </c>
      <c r="D134">
        <v>0.2</v>
      </c>
      <c r="E134">
        <v>9.9000000000000005E-2</v>
      </c>
      <c r="F134" s="25">
        <v>0</v>
      </c>
      <c r="G134">
        <v>5.3999999999999999E-2</v>
      </c>
      <c r="H134">
        <v>0.31</v>
      </c>
      <c r="I134">
        <v>1.42</v>
      </c>
      <c r="J134">
        <v>-0.15</v>
      </c>
      <c r="K134">
        <v>9.83</v>
      </c>
      <c r="L134">
        <v>4.33</v>
      </c>
      <c r="M134" s="25">
        <v>6.9699999999999998E-2</v>
      </c>
      <c r="N134" s="25">
        <v>-7.3400000000000007E-2</v>
      </c>
      <c r="O134">
        <v>1.92</v>
      </c>
      <c r="P134" s="25">
        <v>4.6100000000000002E-2</v>
      </c>
      <c r="Q134" s="25">
        <v>-0.14549999999999999</v>
      </c>
      <c r="R134" s="26">
        <v>1402640</v>
      </c>
      <c r="S134" s="26">
        <v>7813960000</v>
      </c>
      <c r="T134">
        <v>1.61</v>
      </c>
      <c r="U134" s="25">
        <v>0.1711</v>
      </c>
    </row>
    <row r="135" spans="1:21" hidden="1" x14ac:dyDescent="0.25">
      <c r="A135" t="s">
        <v>107</v>
      </c>
      <c r="B135">
        <v>8.26</v>
      </c>
      <c r="C135">
        <v>10.6</v>
      </c>
      <c r="D135">
        <v>0.7</v>
      </c>
      <c r="E135">
        <v>0.82899999999999996</v>
      </c>
      <c r="F135" s="25">
        <v>4.4999999999999997E-3</v>
      </c>
      <c r="G135">
        <v>0.26700000000000002</v>
      </c>
      <c r="H135">
        <v>5.74</v>
      </c>
      <c r="I135">
        <v>2.82</v>
      </c>
      <c r="J135">
        <v>-0.61</v>
      </c>
      <c r="K135">
        <v>5.93</v>
      </c>
      <c r="L135">
        <v>3.56</v>
      </c>
      <c r="M135" s="25">
        <v>0.29360000000000003</v>
      </c>
      <c r="N135" s="25">
        <v>8.7300000000000003E-2</v>
      </c>
      <c r="O135">
        <v>1.37</v>
      </c>
      <c r="P135" s="25">
        <v>0.108</v>
      </c>
      <c r="Q135" s="25">
        <v>6.59E-2</v>
      </c>
      <c r="R135" s="26">
        <v>1546730</v>
      </c>
      <c r="S135" s="26">
        <v>1369920000</v>
      </c>
      <c r="T135">
        <v>1.02</v>
      </c>
      <c r="U135" s="25">
        <v>0.36709999999999998</v>
      </c>
    </row>
    <row r="136" spans="1:21" hidden="1" x14ac:dyDescent="0.25">
      <c r="A136" t="s">
        <v>58</v>
      </c>
      <c r="B136">
        <v>8.83</v>
      </c>
      <c r="C136">
        <v>6.17</v>
      </c>
      <c r="D136">
        <v>0.97</v>
      </c>
      <c r="E136">
        <v>0.47699999999999998</v>
      </c>
      <c r="F136" s="25">
        <v>5.96E-2</v>
      </c>
      <c r="G136">
        <v>0.59399999999999997</v>
      </c>
      <c r="H136">
        <v>1.35</v>
      </c>
      <c r="I136">
        <v>6.2</v>
      </c>
      <c r="J136">
        <v>2.19</v>
      </c>
      <c r="K136">
        <v>5.97</v>
      </c>
      <c r="L136">
        <v>4.9400000000000004</v>
      </c>
      <c r="M136" s="25">
        <v>7.6899999999999996E-2</v>
      </c>
      <c r="N136" s="25">
        <v>7.9000000000000001E-2</v>
      </c>
      <c r="O136">
        <v>3.06</v>
      </c>
      <c r="P136" s="25">
        <v>0.13239999999999999</v>
      </c>
      <c r="Q136" s="25">
        <v>0.15640000000000001</v>
      </c>
      <c r="R136" s="26">
        <v>788774</v>
      </c>
      <c r="S136" s="26">
        <v>999766000</v>
      </c>
      <c r="T136">
        <v>0.24</v>
      </c>
      <c r="U136" s="25">
        <v>0.1051</v>
      </c>
    </row>
    <row r="137" spans="1:21" hidden="1" x14ac:dyDescent="0.25">
      <c r="A137" t="s">
        <v>374</v>
      </c>
      <c r="B137">
        <v>8.59</v>
      </c>
      <c r="C137">
        <v>6</v>
      </c>
      <c r="D137">
        <v>0.94</v>
      </c>
      <c r="E137">
        <v>0.46400000000000002</v>
      </c>
      <c r="F137" s="25">
        <v>6.2600000000000003E-2</v>
      </c>
      <c r="G137">
        <v>0.57799999999999996</v>
      </c>
      <c r="H137">
        <v>1.31</v>
      </c>
      <c r="I137">
        <v>6.03</v>
      </c>
      <c r="J137">
        <v>2.13</v>
      </c>
      <c r="K137">
        <v>5.8</v>
      </c>
      <c r="L137">
        <v>4.8</v>
      </c>
      <c r="M137" s="25">
        <v>7.6899999999999996E-2</v>
      </c>
      <c r="N137" s="25">
        <v>7.9000000000000001E-2</v>
      </c>
      <c r="O137">
        <v>3.06</v>
      </c>
      <c r="P137" s="25">
        <v>0.13239999999999999</v>
      </c>
      <c r="Q137" s="25">
        <v>0.15640000000000001</v>
      </c>
      <c r="R137" s="26">
        <v>52577.1</v>
      </c>
      <c r="S137" s="26">
        <v>999766000</v>
      </c>
      <c r="T137">
        <v>0.24</v>
      </c>
      <c r="U137" s="25">
        <v>0.1051</v>
      </c>
    </row>
    <row r="138" spans="1:21" hidden="1" x14ac:dyDescent="0.25">
      <c r="A138" t="s">
        <v>120</v>
      </c>
      <c r="B138">
        <v>39.5</v>
      </c>
      <c r="C138">
        <v>10.5</v>
      </c>
      <c r="D138">
        <v>3.15</v>
      </c>
      <c r="E138">
        <v>1.9179999999999999</v>
      </c>
      <c r="F138" s="25">
        <v>9.4399999999999998E-2</v>
      </c>
      <c r="G138">
        <v>0.64600000000000002</v>
      </c>
      <c r="H138">
        <v>1.98</v>
      </c>
      <c r="I138">
        <v>8.66</v>
      </c>
      <c r="J138">
        <v>-1.93</v>
      </c>
      <c r="K138">
        <v>9.11</v>
      </c>
      <c r="L138">
        <v>8.35</v>
      </c>
      <c r="M138" s="25">
        <v>0.22140000000000001</v>
      </c>
      <c r="N138" s="25">
        <v>0.2099</v>
      </c>
      <c r="O138">
        <v>3.82</v>
      </c>
      <c r="P138" s="25">
        <v>8.9499999999999996E-2</v>
      </c>
      <c r="Q138" s="25">
        <v>0.29959999999999998</v>
      </c>
      <c r="R138" s="26">
        <v>65122800</v>
      </c>
      <c r="S138" s="26">
        <v>2178390000</v>
      </c>
      <c r="T138">
        <v>0.91</v>
      </c>
      <c r="U138" s="25">
        <v>0.2064</v>
      </c>
    </row>
    <row r="139" spans="1:21" hidden="1" x14ac:dyDescent="0.25">
      <c r="A139" t="s">
        <v>9</v>
      </c>
      <c r="B139">
        <v>4.71</v>
      </c>
      <c r="C139">
        <v>9.5500000000000007</v>
      </c>
      <c r="D139">
        <v>0.27</v>
      </c>
      <c r="E139">
        <v>0.106</v>
      </c>
      <c r="F139" s="25">
        <v>0</v>
      </c>
      <c r="G139">
        <v>0.13</v>
      </c>
      <c r="H139">
        <v>5.65</v>
      </c>
      <c r="I139">
        <v>3.77</v>
      </c>
      <c r="J139">
        <v>-0.66</v>
      </c>
      <c r="K139">
        <v>3.83</v>
      </c>
      <c r="L139">
        <v>1.31</v>
      </c>
      <c r="M139" s="25">
        <v>2.8199999999999999E-2</v>
      </c>
      <c r="N139" s="25">
        <v>1.11E-2</v>
      </c>
      <c r="O139">
        <v>1.08</v>
      </c>
      <c r="P139" s="25">
        <v>4.3799999999999999E-2</v>
      </c>
      <c r="Q139" s="25">
        <v>2.7799999999999998E-2</v>
      </c>
      <c r="R139" s="26">
        <v>319613</v>
      </c>
      <c r="S139" s="26">
        <v>896843000</v>
      </c>
      <c r="T139">
        <v>0.04</v>
      </c>
      <c r="U139" s="25">
        <v>0.23039999999999999</v>
      </c>
    </row>
    <row r="140" spans="1:21" hidden="1" x14ac:dyDescent="0.25">
      <c r="A140" t="s">
        <v>375</v>
      </c>
      <c r="B140">
        <v>6.51</v>
      </c>
      <c r="C140">
        <v>-117.73</v>
      </c>
      <c r="D140">
        <v>0.71</v>
      </c>
      <c r="E140">
        <v>0.77</v>
      </c>
      <c r="F140" s="25">
        <v>1.5E-3</v>
      </c>
      <c r="G140">
        <v>0.495</v>
      </c>
      <c r="H140">
        <v>1.03</v>
      </c>
      <c r="I140">
        <v>-15.12</v>
      </c>
      <c r="J140">
        <v>1.83</v>
      </c>
      <c r="K140">
        <v>-17.440000000000001</v>
      </c>
      <c r="L140">
        <v>-51.74</v>
      </c>
      <c r="M140" s="25">
        <v>-5.0900000000000001E-2</v>
      </c>
      <c r="N140" s="25">
        <v>-6.4999999999999997E-3</v>
      </c>
      <c r="O140">
        <v>6</v>
      </c>
      <c r="P140" s="25">
        <v>-3.6600000000000001E-2</v>
      </c>
      <c r="Q140" s="25">
        <v>-6.0000000000000001E-3</v>
      </c>
      <c r="R140" s="26">
        <v>60.88</v>
      </c>
      <c r="S140" s="26">
        <v>693418000</v>
      </c>
      <c r="T140">
        <v>0.22</v>
      </c>
      <c r="U140" s="25">
        <v>7.3000000000000001E-3</v>
      </c>
    </row>
    <row r="141" spans="1:21" hidden="1" x14ac:dyDescent="0.25">
      <c r="A141" t="s">
        <v>134</v>
      </c>
      <c r="B141">
        <v>4.29</v>
      </c>
      <c r="C141">
        <v>-77.58</v>
      </c>
      <c r="D141">
        <v>0.47</v>
      </c>
      <c r="E141">
        <v>0.50700000000000001</v>
      </c>
      <c r="F141" s="25">
        <v>2.5999999999999999E-3</v>
      </c>
      <c r="G141">
        <v>0.32600000000000001</v>
      </c>
      <c r="H141">
        <v>0.68</v>
      </c>
      <c r="I141">
        <v>-9.9600000000000009</v>
      </c>
      <c r="J141">
        <v>1.2</v>
      </c>
      <c r="K141">
        <v>-12.29</v>
      </c>
      <c r="L141">
        <v>-36.450000000000003</v>
      </c>
      <c r="M141" s="25">
        <v>-5.0900000000000001E-2</v>
      </c>
      <c r="N141" s="25">
        <v>-6.4999999999999997E-3</v>
      </c>
      <c r="O141">
        <v>6</v>
      </c>
      <c r="P141" s="25">
        <v>-3.6600000000000001E-2</v>
      </c>
      <c r="Q141" s="25">
        <v>-6.0000000000000001E-3</v>
      </c>
      <c r="R141" s="26">
        <v>3539.88</v>
      </c>
      <c r="S141" s="26">
        <v>693418000</v>
      </c>
      <c r="T141">
        <v>0.22</v>
      </c>
      <c r="U141" s="25">
        <v>7.3000000000000001E-3</v>
      </c>
    </row>
    <row r="142" spans="1:21" hidden="1" x14ac:dyDescent="0.25">
      <c r="A142" t="s">
        <v>259</v>
      </c>
      <c r="B142">
        <v>5</v>
      </c>
      <c r="C142">
        <v>-9.15</v>
      </c>
      <c r="D142">
        <v>-0.27</v>
      </c>
      <c r="E142">
        <v>0.41</v>
      </c>
      <c r="F142" s="25">
        <v>0</v>
      </c>
      <c r="G142">
        <v>0.35299999999999998</v>
      </c>
      <c r="H142">
        <v>-0.3</v>
      </c>
      <c r="I142">
        <v>9.65</v>
      </c>
      <c r="J142">
        <v>-0.18</v>
      </c>
      <c r="K142">
        <v>14.34</v>
      </c>
      <c r="L142">
        <v>2.74</v>
      </c>
      <c r="M142" s="25">
        <v>4.2500000000000003E-2</v>
      </c>
      <c r="N142" s="25">
        <v>-4.48E-2</v>
      </c>
      <c r="O142">
        <v>0.23</v>
      </c>
      <c r="P142" s="25">
        <v>5.8299999999999998E-2</v>
      </c>
      <c r="Q142" s="25">
        <v>2.9399999999999999E-2</v>
      </c>
      <c r="R142" s="26">
        <v>119218</v>
      </c>
      <c r="S142" s="26">
        <v>-247366000</v>
      </c>
      <c r="T142">
        <v>-0.23</v>
      </c>
      <c r="U142" s="25">
        <v>7.1099999999999997E-2</v>
      </c>
    </row>
    <row r="143" spans="1:21" hidden="1" x14ac:dyDescent="0.25">
      <c r="A143" t="s">
        <v>376</v>
      </c>
      <c r="B143">
        <v>3.05</v>
      </c>
      <c r="C143">
        <v>-39.29</v>
      </c>
      <c r="D143">
        <v>29.83</v>
      </c>
      <c r="E143">
        <v>5.5419999999999998</v>
      </c>
      <c r="F143" s="25">
        <v>0</v>
      </c>
      <c r="G143">
        <v>4.1269999999999998</v>
      </c>
      <c r="H143">
        <v>9.31</v>
      </c>
      <c r="I143">
        <v>-40.85</v>
      </c>
      <c r="J143">
        <v>84.87</v>
      </c>
      <c r="K143">
        <v>-39.549999999999997</v>
      </c>
      <c r="L143">
        <v>-262.93</v>
      </c>
      <c r="M143" s="25">
        <v>-0.13569999999999999</v>
      </c>
      <c r="N143" s="25">
        <v>-0.14099999999999999</v>
      </c>
      <c r="O143">
        <v>1.95</v>
      </c>
      <c r="P143" s="25">
        <v>-0.1195</v>
      </c>
      <c r="Q143" s="25">
        <v>-0.75919999999999999</v>
      </c>
      <c r="R143" s="26">
        <v>3982.88</v>
      </c>
      <c r="S143" s="26">
        <v>1138000</v>
      </c>
      <c r="T143">
        <v>0</v>
      </c>
      <c r="U143" s="25">
        <v>-0.16789999999999999</v>
      </c>
    </row>
    <row r="144" spans="1:21" hidden="1" x14ac:dyDescent="0.25">
      <c r="A144" t="s">
        <v>149</v>
      </c>
      <c r="B144">
        <v>5.4</v>
      </c>
      <c r="C144">
        <v>17.190000000000001</v>
      </c>
      <c r="D144">
        <v>0.64</v>
      </c>
      <c r="E144">
        <v>0.54</v>
      </c>
      <c r="F144" s="25">
        <v>9.9000000000000008E-3</v>
      </c>
      <c r="G144">
        <v>0.246</v>
      </c>
      <c r="H144">
        <v>3.39</v>
      </c>
      <c r="I144">
        <v>5.65</v>
      </c>
      <c r="J144">
        <v>-0.73</v>
      </c>
      <c r="K144">
        <v>12.06</v>
      </c>
      <c r="L144">
        <v>4.75</v>
      </c>
      <c r="M144" s="25">
        <v>9.5699999999999993E-2</v>
      </c>
      <c r="N144" s="25">
        <v>3.27E-2</v>
      </c>
      <c r="O144">
        <v>1.37</v>
      </c>
      <c r="P144" s="25">
        <v>5.11E-2</v>
      </c>
      <c r="Q144" s="25">
        <v>3.7499999999999999E-2</v>
      </c>
      <c r="R144" s="26">
        <v>15218400</v>
      </c>
      <c r="S144" s="26">
        <v>6872730000</v>
      </c>
      <c r="T144">
        <v>0.95</v>
      </c>
      <c r="U144" s="25">
        <v>3.61E-2</v>
      </c>
    </row>
    <row r="145" spans="1:21" hidden="1" x14ac:dyDescent="0.25">
      <c r="A145" t="s">
        <v>377</v>
      </c>
      <c r="B145">
        <v>15.18</v>
      </c>
      <c r="C145">
        <v>3.6</v>
      </c>
      <c r="D145">
        <v>1.01</v>
      </c>
      <c r="E145">
        <v>0.58099999999999996</v>
      </c>
      <c r="F145" s="25">
        <v>3.78E-2</v>
      </c>
      <c r="G145">
        <v>0.53</v>
      </c>
      <c r="H145">
        <v>5.74</v>
      </c>
      <c r="I145">
        <v>3.65</v>
      </c>
      <c r="J145">
        <v>-10.93</v>
      </c>
      <c r="K145">
        <v>4.7</v>
      </c>
      <c r="L145">
        <v>3.74</v>
      </c>
      <c r="M145" s="25">
        <v>0.15939999999999999</v>
      </c>
      <c r="N145" s="25">
        <v>0.1613</v>
      </c>
      <c r="O145">
        <v>1.27</v>
      </c>
      <c r="P145" s="25">
        <v>0.15529999999999999</v>
      </c>
      <c r="Q145" s="25">
        <v>0.28110000000000002</v>
      </c>
      <c r="R145" s="26">
        <v>16456.099999999999</v>
      </c>
      <c r="S145" s="26">
        <v>337052000</v>
      </c>
      <c r="T145">
        <v>0.32</v>
      </c>
      <c r="U145" s="25">
        <v>0.1925</v>
      </c>
    </row>
    <row r="146" spans="1:21" hidden="1" x14ac:dyDescent="0.25">
      <c r="A146" t="s">
        <v>74</v>
      </c>
      <c r="B146">
        <v>13.88</v>
      </c>
      <c r="C146">
        <v>3.3</v>
      </c>
      <c r="D146">
        <v>0.93</v>
      </c>
      <c r="E146">
        <v>0.53200000000000003</v>
      </c>
      <c r="F146" s="25">
        <v>4.5400000000000003E-2</v>
      </c>
      <c r="G146">
        <v>0.48499999999999999</v>
      </c>
      <c r="H146">
        <v>5.25</v>
      </c>
      <c r="I146">
        <v>3.33</v>
      </c>
      <c r="J146">
        <v>-9.99</v>
      </c>
      <c r="K146">
        <v>4.3899999999999997</v>
      </c>
      <c r="L146">
        <v>3.49</v>
      </c>
      <c r="M146" s="25">
        <v>0.15939999999999999</v>
      </c>
      <c r="N146" s="25">
        <v>0.1613</v>
      </c>
      <c r="O146">
        <v>1.27</v>
      </c>
      <c r="P146" s="25">
        <v>0.15529999999999999</v>
      </c>
      <c r="Q146" s="25">
        <v>0.28110000000000002</v>
      </c>
      <c r="R146" s="26">
        <v>142277</v>
      </c>
      <c r="S146" s="26">
        <v>337052000</v>
      </c>
      <c r="T146">
        <v>0.32</v>
      </c>
      <c r="U146" s="25">
        <v>0.1925</v>
      </c>
    </row>
    <row r="147" spans="1:21" hidden="1" x14ac:dyDescent="0.25">
      <c r="A147" t="s">
        <v>192</v>
      </c>
      <c r="B147">
        <v>6.78</v>
      </c>
      <c r="C147">
        <v>5.76</v>
      </c>
      <c r="D147">
        <v>1.32</v>
      </c>
      <c r="E147">
        <v>0.46400000000000002</v>
      </c>
      <c r="F147" s="25">
        <v>0</v>
      </c>
      <c r="G147">
        <v>0.14599999999999999</v>
      </c>
      <c r="H147">
        <v>-9.1300000000000008</v>
      </c>
      <c r="I147">
        <v>1.3</v>
      </c>
      <c r="J147">
        <v>-0.2</v>
      </c>
      <c r="K147">
        <v>6.55</v>
      </c>
      <c r="L147">
        <v>5.0599999999999996</v>
      </c>
      <c r="M147" s="25">
        <v>0.35809999999999997</v>
      </c>
      <c r="N147" s="25">
        <v>7.9899999999999999E-2</v>
      </c>
      <c r="O147">
        <v>0.9</v>
      </c>
      <c r="P147" s="25">
        <v>0.12909999999999999</v>
      </c>
      <c r="Q147" s="25">
        <v>0.2293</v>
      </c>
      <c r="R147" s="26">
        <v>26853800</v>
      </c>
      <c r="S147" s="26">
        <v>3574010000</v>
      </c>
      <c r="T147">
        <v>6.44</v>
      </c>
      <c r="U147" s="25">
        <v>0.28670000000000001</v>
      </c>
    </row>
    <row r="148" spans="1:21" hidden="1" x14ac:dyDescent="0.25">
      <c r="A148" t="s">
        <v>78</v>
      </c>
      <c r="B148">
        <v>42.53</v>
      </c>
      <c r="C148">
        <v>10.32</v>
      </c>
      <c r="D148">
        <v>2.87</v>
      </c>
      <c r="E148">
        <v>2.9860000000000002</v>
      </c>
      <c r="F148" s="25">
        <v>5.4699999999999999E-2</v>
      </c>
      <c r="G148">
        <v>0.65800000000000003</v>
      </c>
      <c r="H148">
        <v>18.29</v>
      </c>
      <c r="I148">
        <v>6.05</v>
      </c>
      <c r="J148">
        <v>-1.1299999999999999</v>
      </c>
      <c r="K148">
        <v>9.59</v>
      </c>
      <c r="L148">
        <v>7.99</v>
      </c>
      <c r="M148" s="25">
        <v>0.49340000000000001</v>
      </c>
      <c r="N148" s="25">
        <v>0.2964</v>
      </c>
      <c r="O148">
        <v>1.27</v>
      </c>
      <c r="P148" s="25">
        <v>0.1239</v>
      </c>
      <c r="Q148" s="25">
        <v>0.27839999999999998</v>
      </c>
      <c r="R148" s="26">
        <v>65895800</v>
      </c>
      <c r="S148" s="26">
        <v>12083000000</v>
      </c>
      <c r="T148">
        <v>2.14</v>
      </c>
      <c r="U148" s="25">
        <v>-3.7199999999999997E-2</v>
      </c>
    </row>
    <row r="149" spans="1:21" hidden="1" x14ac:dyDescent="0.25">
      <c r="A149" t="s">
        <v>378</v>
      </c>
      <c r="B149">
        <v>45</v>
      </c>
      <c r="C149">
        <v>9.0399999999999991</v>
      </c>
      <c r="D149">
        <v>3.74</v>
      </c>
      <c r="E149">
        <v>0.91200000000000003</v>
      </c>
      <c r="F149" s="25">
        <v>0.152</v>
      </c>
      <c r="G149">
        <v>0.70899999999999996</v>
      </c>
      <c r="H149">
        <v>14.06</v>
      </c>
      <c r="I149">
        <v>3.8</v>
      </c>
      <c r="J149">
        <v>-1.29</v>
      </c>
      <c r="K149">
        <v>6.77</v>
      </c>
      <c r="L149">
        <v>5.73</v>
      </c>
      <c r="M149" s="25">
        <v>0.24</v>
      </c>
      <c r="N149" s="25">
        <v>0.1008</v>
      </c>
      <c r="O149">
        <v>1.24</v>
      </c>
      <c r="P149" s="25">
        <v>0.2097</v>
      </c>
      <c r="Q149" s="25">
        <v>0.41320000000000001</v>
      </c>
      <c r="R149" s="26">
        <v>2031</v>
      </c>
      <c r="S149" s="26">
        <v>2333000000</v>
      </c>
      <c r="T149">
        <v>3.18</v>
      </c>
      <c r="U149" s="25">
        <v>4.8800000000000003E-2</v>
      </c>
    </row>
    <row r="150" spans="1:21" hidden="1" x14ac:dyDescent="0.25">
      <c r="A150" t="s">
        <v>379</v>
      </c>
      <c r="B150">
        <v>53.04</v>
      </c>
      <c r="C150">
        <v>10.66</v>
      </c>
      <c r="D150">
        <v>4.41</v>
      </c>
      <c r="E150">
        <v>1.0740000000000001</v>
      </c>
      <c r="F150" s="25">
        <v>0.14180000000000001</v>
      </c>
      <c r="G150">
        <v>0.83599999999999997</v>
      </c>
      <c r="H150">
        <v>16.579999999999998</v>
      </c>
      <c r="I150">
        <v>4.4800000000000004</v>
      </c>
      <c r="J150">
        <v>-1.52</v>
      </c>
      <c r="K150">
        <v>7.45</v>
      </c>
      <c r="L150">
        <v>6.3</v>
      </c>
      <c r="M150" s="25">
        <v>0.24</v>
      </c>
      <c r="N150" s="25">
        <v>0.1008</v>
      </c>
      <c r="O150">
        <v>1.24</v>
      </c>
      <c r="P150" s="25">
        <v>0.2097</v>
      </c>
      <c r="Q150" s="25">
        <v>0.41320000000000001</v>
      </c>
      <c r="R150" s="26">
        <v>44251.6</v>
      </c>
      <c r="S150" s="26">
        <v>2333000000</v>
      </c>
      <c r="T150">
        <v>3.18</v>
      </c>
      <c r="U150" s="25">
        <v>4.8800000000000003E-2</v>
      </c>
    </row>
    <row r="151" spans="1:21" hidden="1" x14ac:dyDescent="0.25">
      <c r="A151" t="s">
        <v>118</v>
      </c>
      <c r="B151">
        <v>38.78</v>
      </c>
      <c r="C151">
        <v>9.23</v>
      </c>
      <c r="D151">
        <v>0.74</v>
      </c>
      <c r="E151">
        <v>2.1379999999999999</v>
      </c>
      <c r="F151" s="25">
        <v>4.53E-2</v>
      </c>
      <c r="G151">
        <v>0.317</v>
      </c>
      <c r="H151">
        <v>2.77</v>
      </c>
      <c r="I151">
        <v>6.35</v>
      </c>
      <c r="J151">
        <v>-0.87</v>
      </c>
      <c r="K151">
        <v>9.2100000000000009</v>
      </c>
      <c r="L151">
        <v>7.13</v>
      </c>
      <c r="M151" s="25">
        <v>0.33650000000000002</v>
      </c>
      <c r="N151" s="25">
        <v>0.23150000000000001</v>
      </c>
      <c r="O151">
        <v>2.29</v>
      </c>
      <c r="P151" s="25">
        <v>5.6599999999999998E-2</v>
      </c>
      <c r="Q151" s="25">
        <v>7.9799999999999996E-2</v>
      </c>
      <c r="R151" s="26">
        <v>246569000</v>
      </c>
      <c r="S151" s="26">
        <v>121494000000</v>
      </c>
      <c r="T151">
        <v>0.57999999999999996</v>
      </c>
      <c r="U151" s="25">
        <v>6.1199999999999997E-2</v>
      </c>
    </row>
    <row r="152" spans="1:21" hidden="1" x14ac:dyDescent="0.25">
      <c r="A152" t="s">
        <v>500</v>
      </c>
      <c r="B152">
        <v>82.5</v>
      </c>
      <c r="C152">
        <v>19.64</v>
      </c>
      <c r="D152">
        <v>1.57</v>
      </c>
      <c r="E152">
        <v>4.548</v>
      </c>
      <c r="F152" s="25">
        <v>0</v>
      </c>
      <c r="G152">
        <v>0.67500000000000004</v>
      </c>
      <c r="H152">
        <v>5.89</v>
      </c>
      <c r="I152">
        <v>13.52</v>
      </c>
      <c r="J152">
        <v>-1.85</v>
      </c>
      <c r="K152">
        <v>16.37</v>
      </c>
      <c r="L152">
        <v>12.68</v>
      </c>
      <c r="M152" s="25">
        <v>0.33650000000000002</v>
      </c>
      <c r="N152" s="25">
        <v>0.23150000000000001</v>
      </c>
      <c r="O152">
        <v>2.29</v>
      </c>
      <c r="P152" s="25">
        <v>5.6599999999999998E-2</v>
      </c>
      <c r="Q152" s="25">
        <v>7.9799999999999996E-2</v>
      </c>
      <c r="R152" s="26">
        <v>196.43</v>
      </c>
      <c r="S152" s="26">
        <v>121494000000</v>
      </c>
      <c r="T152">
        <v>0.57999999999999996</v>
      </c>
      <c r="U152" s="25">
        <v>6.1199999999999997E-2</v>
      </c>
    </row>
    <row r="153" spans="1:21" hidden="1" x14ac:dyDescent="0.25">
      <c r="A153" t="s">
        <v>380</v>
      </c>
      <c r="B153">
        <v>42.44</v>
      </c>
      <c r="C153">
        <v>10.1</v>
      </c>
      <c r="D153">
        <v>0.81</v>
      </c>
      <c r="E153">
        <v>2.34</v>
      </c>
      <c r="F153" s="25">
        <v>4.5499999999999999E-2</v>
      </c>
      <c r="G153">
        <v>0.34699999999999998</v>
      </c>
      <c r="H153">
        <v>3.03</v>
      </c>
      <c r="I153">
        <v>6.95</v>
      </c>
      <c r="J153">
        <v>-0.95</v>
      </c>
      <c r="K153">
        <v>9.81</v>
      </c>
      <c r="L153">
        <v>7.59</v>
      </c>
      <c r="M153" s="25">
        <v>0.33650000000000002</v>
      </c>
      <c r="N153" s="25">
        <v>0.23150000000000001</v>
      </c>
      <c r="O153">
        <v>2.29</v>
      </c>
      <c r="P153" s="25">
        <v>5.6599999999999998E-2</v>
      </c>
      <c r="Q153" s="25">
        <v>7.9799999999999996E-2</v>
      </c>
      <c r="R153" s="26">
        <v>47108600</v>
      </c>
      <c r="S153" s="26">
        <v>121494000000</v>
      </c>
      <c r="T153">
        <v>0.57999999999999996</v>
      </c>
      <c r="U153" s="25">
        <v>6.1199999999999997E-2</v>
      </c>
    </row>
    <row r="154" spans="1:21" hidden="1" x14ac:dyDescent="0.25">
      <c r="A154" t="s">
        <v>381</v>
      </c>
      <c r="B154">
        <v>31</v>
      </c>
      <c r="C154">
        <v>39.74</v>
      </c>
      <c r="D154">
        <v>4.53</v>
      </c>
      <c r="E154">
        <v>3.5550000000000002</v>
      </c>
      <c r="F154" s="25">
        <v>6.3E-3</v>
      </c>
      <c r="G154">
        <v>1.3939999999999999</v>
      </c>
      <c r="H154">
        <v>10.24</v>
      </c>
      <c r="I154">
        <v>13.53</v>
      </c>
      <c r="J154">
        <v>-4.49</v>
      </c>
      <c r="K154">
        <v>15.97</v>
      </c>
      <c r="L154">
        <v>11.64</v>
      </c>
      <c r="M154" s="25">
        <v>0.2626</v>
      </c>
      <c r="N154" s="25">
        <v>0.1144</v>
      </c>
      <c r="O154">
        <v>1.76</v>
      </c>
      <c r="P154" s="25">
        <v>0.13800000000000001</v>
      </c>
      <c r="Q154" s="25">
        <v>0.114</v>
      </c>
      <c r="R154" s="26">
        <v>330988</v>
      </c>
      <c r="S154" s="26">
        <v>983781000</v>
      </c>
      <c r="T154">
        <v>1.45</v>
      </c>
      <c r="U154" s="25">
        <v>0.52680000000000005</v>
      </c>
    </row>
    <row r="155" spans="1:21" hidden="1" x14ac:dyDescent="0.25">
      <c r="A155" t="s">
        <v>382</v>
      </c>
      <c r="B155">
        <v>29.35</v>
      </c>
      <c r="C155">
        <v>16.28</v>
      </c>
      <c r="D155">
        <v>0.88</v>
      </c>
      <c r="E155">
        <v>1.758</v>
      </c>
      <c r="F155" s="25">
        <v>2.86E-2</v>
      </c>
      <c r="G155">
        <v>0.504</v>
      </c>
      <c r="H155">
        <v>2.31</v>
      </c>
      <c r="I155">
        <v>13.74</v>
      </c>
      <c r="J155">
        <v>-3.73</v>
      </c>
      <c r="K155">
        <v>10.37</v>
      </c>
      <c r="L155">
        <v>9.15</v>
      </c>
      <c r="M155" s="25">
        <v>0.128</v>
      </c>
      <c r="N155" s="25">
        <v>0.108</v>
      </c>
      <c r="O155">
        <v>3.91</v>
      </c>
      <c r="P155" s="25">
        <v>4.2000000000000003E-2</v>
      </c>
      <c r="Q155" s="25">
        <v>5.4100000000000002E-2</v>
      </c>
      <c r="R155" s="26">
        <v>114567</v>
      </c>
      <c r="S155" s="26">
        <v>1231320000</v>
      </c>
      <c r="T155">
        <v>0</v>
      </c>
      <c r="U155" s="25">
        <v>7.4399999999999994E-2</v>
      </c>
    </row>
    <row r="156" spans="1:21" hidden="1" x14ac:dyDescent="0.25">
      <c r="A156" t="s">
        <v>165</v>
      </c>
      <c r="B156">
        <v>68.459999999999994</v>
      </c>
      <c r="C156">
        <v>22.94</v>
      </c>
      <c r="D156">
        <v>2.77</v>
      </c>
      <c r="E156">
        <v>1.3560000000000001</v>
      </c>
      <c r="F156" s="25">
        <v>1E-3</v>
      </c>
      <c r="G156">
        <v>0.755</v>
      </c>
      <c r="H156">
        <v>5.8</v>
      </c>
      <c r="I156">
        <v>13.24</v>
      </c>
      <c r="J156">
        <v>-4.49</v>
      </c>
      <c r="K156">
        <v>14.27</v>
      </c>
      <c r="L156">
        <v>10.43</v>
      </c>
      <c r="M156" s="25">
        <v>0.1024</v>
      </c>
      <c r="N156" s="25">
        <v>5.9700000000000003E-2</v>
      </c>
      <c r="O156">
        <v>1.32</v>
      </c>
      <c r="P156" s="25">
        <v>7.2900000000000006E-2</v>
      </c>
      <c r="Q156" s="25">
        <v>0.1207</v>
      </c>
      <c r="R156" s="26">
        <v>439071000</v>
      </c>
      <c r="S156" s="26">
        <v>18314200000</v>
      </c>
      <c r="T156">
        <v>0.64</v>
      </c>
      <c r="U156" s="25">
        <v>0.1338</v>
      </c>
    </row>
    <row r="157" spans="1:21" hidden="1" x14ac:dyDescent="0.25">
      <c r="A157" t="s">
        <v>155</v>
      </c>
      <c r="B157">
        <v>13.99</v>
      </c>
      <c r="C157">
        <v>55.61</v>
      </c>
      <c r="D157">
        <v>1.42</v>
      </c>
      <c r="E157">
        <v>1.9630000000000001</v>
      </c>
      <c r="F157" s="25">
        <v>0</v>
      </c>
      <c r="G157">
        <v>0.497</v>
      </c>
      <c r="H157">
        <v>7.26</v>
      </c>
      <c r="I157">
        <v>8.86</v>
      </c>
      <c r="J157">
        <v>-1.17</v>
      </c>
      <c r="K157">
        <v>13.58</v>
      </c>
      <c r="L157">
        <v>8.3800000000000008</v>
      </c>
      <c r="M157" s="25">
        <v>0.2215</v>
      </c>
      <c r="N157" s="25">
        <v>6.8900000000000003E-2</v>
      </c>
      <c r="O157">
        <v>1.53</v>
      </c>
      <c r="P157" s="25">
        <v>6.3299999999999995E-2</v>
      </c>
      <c r="Q157" s="25">
        <v>2.5499999999999998E-2</v>
      </c>
      <c r="R157" s="26">
        <v>129939000</v>
      </c>
      <c r="S157" s="26">
        <v>19137700000</v>
      </c>
      <c r="T157">
        <v>1</v>
      </c>
      <c r="U157" s="25">
        <v>0.42749999999999999</v>
      </c>
    </row>
    <row r="158" spans="1:21" hidden="1" x14ac:dyDescent="0.25">
      <c r="A158" t="s">
        <v>383</v>
      </c>
      <c r="B158">
        <v>46</v>
      </c>
      <c r="C158">
        <v>5.75</v>
      </c>
      <c r="D158">
        <v>1.17</v>
      </c>
      <c r="E158">
        <v>0.61699999999999999</v>
      </c>
      <c r="F158" s="25">
        <v>6.3E-2</v>
      </c>
      <c r="G158">
        <v>0.26900000000000002</v>
      </c>
      <c r="H158">
        <v>4.2</v>
      </c>
      <c r="I158">
        <v>3.35</v>
      </c>
      <c r="J158">
        <v>-0.56000000000000005</v>
      </c>
      <c r="K158">
        <v>7.82</v>
      </c>
      <c r="L158">
        <v>5.98</v>
      </c>
      <c r="M158" s="25">
        <v>0.18410000000000001</v>
      </c>
      <c r="N158" s="25">
        <v>0.1326</v>
      </c>
      <c r="O158">
        <v>1.38</v>
      </c>
      <c r="P158" s="25">
        <v>9.3700000000000006E-2</v>
      </c>
      <c r="Q158" s="25">
        <v>0.2036</v>
      </c>
      <c r="R158" s="26">
        <v>105434000</v>
      </c>
      <c r="S158" s="26">
        <v>17989300000</v>
      </c>
      <c r="T158">
        <v>2.04</v>
      </c>
      <c r="U158" s="25">
        <v>0.1101</v>
      </c>
    </row>
    <row r="159" spans="1:21" hidden="1" x14ac:dyDescent="0.25">
      <c r="A159" t="s">
        <v>384</v>
      </c>
      <c r="B159">
        <v>11.45</v>
      </c>
      <c r="C159">
        <v>7.16</v>
      </c>
      <c r="D159">
        <v>1.46</v>
      </c>
      <c r="E159">
        <v>0.76800000000000002</v>
      </c>
      <c r="F159" s="25">
        <v>5.0700000000000002E-2</v>
      </c>
      <c r="G159">
        <v>0.33500000000000002</v>
      </c>
      <c r="H159">
        <v>5.23</v>
      </c>
      <c r="I159">
        <v>4.17</v>
      </c>
      <c r="J159">
        <v>-0.7</v>
      </c>
      <c r="K159">
        <v>8.64</v>
      </c>
      <c r="L159">
        <v>6.61</v>
      </c>
      <c r="M159" s="25">
        <v>0.18410000000000001</v>
      </c>
      <c r="N159" s="25">
        <v>0.1326</v>
      </c>
      <c r="O159">
        <v>1.38</v>
      </c>
      <c r="P159" s="25">
        <v>9.3700000000000006E-2</v>
      </c>
      <c r="Q159" s="25">
        <v>0.2036</v>
      </c>
      <c r="R159" s="26">
        <v>59379.7</v>
      </c>
      <c r="S159" s="26">
        <v>17989300000</v>
      </c>
      <c r="T159">
        <v>2.04</v>
      </c>
      <c r="U159" s="25">
        <v>0.1101</v>
      </c>
    </row>
    <row r="160" spans="1:21" hidden="1" x14ac:dyDescent="0.25">
      <c r="A160" t="s">
        <v>166</v>
      </c>
      <c r="B160">
        <v>8.68</v>
      </c>
      <c r="C160">
        <v>5.42</v>
      </c>
      <c r="D160">
        <v>1.1000000000000001</v>
      </c>
      <c r="E160">
        <v>0.58199999999999996</v>
      </c>
      <c r="F160" s="25">
        <v>6.6799999999999998E-2</v>
      </c>
      <c r="G160">
        <v>0.254</v>
      </c>
      <c r="H160">
        <v>3.97</v>
      </c>
      <c r="I160">
        <v>3.16</v>
      </c>
      <c r="J160">
        <v>-0.53</v>
      </c>
      <c r="K160">
        <v>7.63</v>
      </c>
      <c r="L160">
        <v>5.83</v>
      </c>
      <c r="M160" s="25">
        <v>0.18410000000000001</v>
      </c>
      <c r="N160" s="25">
        <v>0.1326</v>
      </c>
      <c r="O160">
        <v>1.38</v>
      </c>
      <c r="P160" s="25">
        <v>9.3700000000000006E-2</v>
      </c>
      <c r="Q160" s="25">
        <v>0.2036</v>
      </c>
      <c r="R160" s="26">
        <v>44478.8</v>
      </c>
      <c r="S160" s="26">
        <v>17989300000</v>
      </c>
      <c r="T160">
        <v>2.04</v>
      </c>
      <c r="U160" s="25">
        <v>0.1101</v>
      </c>
    </row>
    <row r="161" spans="1:21" hidden="1" x14ac:dyDescent="0.25">
      <c r="A161" t="s">
        <v>230</v>
      </c>
      <c r="B161">
        <v>1.03</v>
      </c>
      <c r="C161">
        <v>-10.14</v>
      </c>
      <c r="D161">
        <v>0.67</v>
      </c>
      <c r="E161">
        <v>0.79900000000000004</v>
      </c>
      <c r="F161" s="25">
        <v>0</v>
      </c>
      <c r="G161">
        <v>0.501</v>
      </c>
      <c r="H161">
        <v>1.3</v>
      </c>
      <c r="I161">
        <v>-6.62</v>
      </c>
      <c r="J161">
        <v>1.63</v>
      </c>
      <c r="K161">
        <v>-0.45</v>
      </c>
      <c r="L161">
        <v>2.62</v>
      </c>
      <c r="M161" s="25">
        <v>-0.1207</v>
      </c>
      <c r="N161" s="25">
        <v>-7.8799999999999995E-2</v>
      </c>
      <c r="O161">
        <v>3.2</v>
      </c>
      <c r="P161" s="25">
        <v>-0.1643</v>
      </c>
      <c r="Q161" s="25">
        <v>-6.6400000000000001E-2</v>
      </c>
      <c r="R161" s="26">
        <v>1151410</v>
      </c>
      <c r="S161" s="26">
        <v>313950000</v>
      </c>
      <c r="T161">
        <v>0</v>
      </c>
      <c r="U161" s="25">
        <v>0.34839999999999999</v>
      </c>
    </row>
    <row r="162" spans="1:21" hidden="1" x14ac:dyDescent="0.25">
      <c r="A162" t="s">
        <v>385</v>
      </c>
      <c r="B162">
        <v>65.900000000000006</v>
      </c>
      <c r="C162">
        <v>14.35</v>
      </c>
      <c r="D162">
        <v>3.59</v>
      </c>
      <c r="E162">
        <v>1.7430000000000001</v>
      </c>
      <c r="F162" s="25">
        <v>4.2099999999999999E-2</v>
      </c>
      <c r="G162">
        <v>1.008</v>
      </c>
      <c r="H162">
        <v>10.210000000000001</v>
      </c>
      <c r="I162">
        <v>8.39</v>
      </c>
      <c r="J162">
        <v>-2.2799999999999998</v>
      </c>
      <c r="K162">
        <v>11.8</v>
      </c>
      <c r="L162">
        <v>9.84</v>
      </c>
      <c r="M162" s="25">
        <v>0.20780000000000001</v>
      </c>
      <c r="N162" s="25">
        <v>0.1215</v>
      </c>
      <c r="O162">
        <v>1.56</v>
      </c>
      <c r="P162" s="25">
        <v>0.14069999999999999</v>
      </c>
      <c r="Q162" s="25">
        <v>0.25009999999999999</v>
      </c>
      <c r="R162" s="26">
        <v>20287.599999999999</v>
      </c>
      <c r="S162" s="26">
        <v>4019070000</v>
      </c>
      <c r="T162">
        <v>1.83</v>
      </c>
      <c r="U162" s="25">
        <v>9.1300000000000006E-2</v>
      </c>
    </row>
    <row r="163" spans="1:21" hidden="1" x14ac:dyDescent="0.25">
      <c r="A163" t="s">
        <v>386</v>
      </c>
      <c r="B163">
        <v>59</v>
      </c>
      <c r="C163">
        <v>12.85</v>
      </c>
      <c r="D163">
        <v>3.21</v>
      </c>
      <c r="E163">
        <v>1.5609999999999999</v>
      </c>
      <c r="F163" s="25">
        <v>4.7E-2</v>
      </c>
      <c r="G163">
        <v>0.90200000000000002</v>
      </c>
      <c r="H163">
        <v>9.14</v>
      </c>
      <c r="I163">
        <v>7.51</v>
      </c>
      <c r="J163">
        <v>-2.04</v>
      </c>
      <c r="K163">
        <v>10.92</v>
      </c>
      <c r="L163">
        <v>9.11</v>
      </c>
      <c r="M163" s="25">
        <v>0.20780000000000001</v>
      </c>
      <c r="N163" s="25">
        <v>0.1215</v>
      </c>
      <c r="O163">
        <v>1.56</v>
      </c>
      <c r="P163" s="25">
        <v>0.14069999999999999</v>
      </c>
      <c r="Q163" s="25">
        <v>0.25009999999999999</v>
      </c>
      <c r="R163" s="26">
        <v>1560.79</v>
      </c>
      <c r="S163" s="26">
        <v>4019070000</v>
      </c>
      <c r="T163">
        <v>1.83</v>
      </c>
      <c r="U163" s="25">
        <v>9.1300000000000006E-2</v>
      </c>
    </row>
    <row r="164" spans="1:21" hidden="1" x14ac:dyDescent="0.25">
      <c r="A164" t="s">
        <v>233</v>
      </c>
      <c r="B164">
        <v>4.7</v>
      </c>
      <c r="C164">
        <v>12.17</v>
      </c>
      <c r="D164">
        <v>1.28</v>
      </c>
      <c r="E164">
        <v>9.9049999999999994</v>
      </c>
      <c r="F164" s="25">
        <v>0.39090000000000003</v>
      </c>
      <c r="G164">
        <v>1.012</v>
      </c>
      <c r="H164">
        <v>4.3499999999999996</v>
      </c>
      <c r="I164">
        <v>-10.84</v>
      </c>
      <c r="J164">
        <v>24</v>
      </c>
      <c r="K164">
        <v>-8.61</v>
      </c>
      <c r="L164">
        <v>-10.91</v>
      </c>
      <c r="M164" s="25">
        <v>-0.91390000000000005</v>
      </c>
      <c r="N164" s="25">
        <v>0.81379999999999997</v>
      </c>
      <c r="O164">
        <v>13.71</v>
      </c>
      <c r="P164" s="25">
        <v>-0.11840000000000001</v>
      </c>
      <c r="Q164" s="25">
        <v>0.105</v>
      </c>
      <c r="R164" s="26">
        <v>25679</v>
      </c>
      <c r="S164" s="26">
        <v>54645000</v>
      </c>
      <c r="T164">
        <v>0</v>
      </c>
      <c r="U164" s="25">
        <v>-0.63080000000000003</v>
      </c>
    </row>
    <row r="165" spans="1:21" hidden="1" x14ac:dyDescent="0.25">
      <c r="A165" t="s">
        <v>387</v>
      </c>
      <c r="B165">
        <v>28.6</v>
      </c>
      <c r="C165">
        <v>6.45</v>
      </c>
      <c r="D165">
        <v>1.1100000000000001</v>
      </c>
      <c r="E165">
        <v>0.73399999999999999</v>
      </c>
      <c r="F165" s="25">
        <v>9.5799999999999996E-2</v>
      </c>
      <c r="G165">
        <v>0.42699999999999999</v>
      </c>
      <c r="H165">
        <v>5.8</v>
      </c>
      <c r="I165">
        <v>3.57</v>
      </c>
      <c r="J165">
        <v>-1.19</v>
      </c>
      <c r="K165">
        <v>5.95</v>
      </c>
      <c r="L165">
        <v>4.75</v>
      </c>
      <c r="M165" s="25">
        <v>0.20580000000000001</v>
      </c>
      <c r="N165" s="25">
        <v>0.1139</v>
      </c>
      <c r="O165">
        <v>1.4</v>
      </c>
      <c r="P165" s="25">
        <v>0.14169999999999999</v>
      </c>
      <c r="Q165" s="25">
        <v>0.1721</v>
      </c>
      <c r="R165" s="26">
        <v>6999.07</v>
      </c>
      <c r="S165" s="26">
        <v>4231080000</v>
      </c>
      <c r="T165">
        <v>1.02</v>
      </c>
      <c r="U165" s="25">
        <v>9.1200000000000003E-2</v>
      </c>
    </row>
    <row r="166" spans="1:21" hidden="1" x14ac:dyDescent="0.25">
      <c r="A166" t="s">
        <v>388</v>
      </c>
      <c r="B166">
        <v>5.51</v>
      </c>
      <c r="C166">
        <v>6.28</v>
      </c>
      <c r="D166">
        <v>2.2599999999999998</v>
      </c>
      <c r="E166">
        <v>1.0900000000000001</v>
      </c>
      <c r="F166" s="25">
        <v>0.1195</v>
      </c>
      <c r="G166">
        <v>0.70399999999999996</v>
      </c>
      <c r="H166">
        <v>8.24</v>
      </c>
      <c r="I166">
        <v>4.13</v>
      </c>
      <c r="J166">
        <v>-1.95</v>
      </c>
      <c r="K166">
        <v>5.58</v>
      </c>
      <c r="L166">
        <v>4.8899999999999997</v>
      </c>
      <c r="M166" s="25">
        <v>0.26429999999999998</v>
      </c>
      <c r="N166" s="25">
        <v>0.17369999999999999</v>
      </c>
      <c r="O166">
        <v>1.35</v>
      </c>
      <c r="P166" s="25">
        <v>0.21609999999999999</v>
      </c>
      <c r="Q166" s="25">
        <v>0.36009999999999998</v>
      </c>
      <c r="R166" s="26">
        <v>75851.600000000006</v>
      </c>
      <c r="S166" s="26">
        <v>5385610000</v>
      </c>
      <c r="T166">
        <v>1.27</v>
      </c>
      <c r="U166" s="25">
        <v>0.1515</v>
      </c>
    </row>
    <row r="167" spans="1:21" hidden="1" x14ac:dyDescent="0.25">
      <c r="A167" t="s">
        <v>389</v>
      </c>
      <c r="B167">
        <v>6.46</v>
      </c>
      <c r="C167">
        <v>7.36</v>
      </c>
      <c r="D167">
        <v>2.65</v>
      </c>
      <c r="E167">
        <v>1.278</v>
      </c>
      <c r="F167" s="25">
        <v>0.10199999999999999</v>
      </c>
      <c r="G167">
        <v>0.82499999999999996</v>
      </c>
      <c r="H167">
        <v>9.66</v>
      </c>
      <c r="I167">
        <v>4.84</v>
      </c>
      <c r="J167">
        <v>-2.29</v>
      </c>
      <c r="K167">
        <v>6.3</v>
      </c>
      <c r="L167">
        <v>5.51</v>
      </c>
      <c r="M167" s="25">
        <v>0.26429999999999998</v>
      </c>
      <c r="N167" s="25">
        <v>0.17369999999999999</v>
      </c>
      <c r="O167">
        <v>1.35</v>
      </c>
      <c r="P167" s="25">
        <v>0.21609999999999999</v>
      </c>
      <c r="Q167" s="25">
        <v>0.36009999999999998</v>
      </c>
      <c r="R167" s="26">
        <v>30.76</v>
      </c>
      <c r="S167" s="26">
        <v>5385610000</v>
      </c>
      <c r="T167">
        <v>1.27</v>
      </c>
      <c r="U167" s="25">
        <v>0.1515</v>
      </c>
    </row>
    <row r="168" spans="1:21" hidden="1" x14ac:dyDescent="0.25">
      <c r="A168" t="s">
        <v>767</v>
      </c>
      <c r="B168">
        <v>7.1</v>
      </c>
      <c r="C168">
        <v>8.09</v>
      </c>
      <c r="D168">
        <v>2.91</v>
      </c>
      <c r="E168">
        <v>1.405</v>
      </c>
      <c r="F168" s="25">
        <v>9.2799999999999994E-2</v>
      </c>
      <c r="G168">
        <v>0.90700000000000003</v>
      </c>
      <c r="H168">
        <v>10.62</v>
      </c>
      <c r="I168">
        <v>5.32</v>
      </c>
      <c r="J168">
        <v>-2.52</v>
      </c>
      <c r="K168">
        <v>6.78</v>
      </c>
      <c r="L168">
        <v>5.93</v>
      </c>
      <c r="M168" s="25">
        <v>0.26429999999999998</v>
      </c>
      <c r="N168" s="25">
        <v>0.17369999999999999</v>
      </c>
      <c r="O168">
        <v>1.35</v>
      </c>
      <c r="P168" s="25">
        <v>0.21609999999999999</v>
      </c>
      <c r="Q168" s="25">
        <v>0.36009999999999998</v>
      </c>
      <c r="R168" s="26">
        <v>169.48</v>
      </c>
      <c r="S168" s="26">
        <v>5385610000</v>
      </c>
      <c r="T168">
        <v>1.27</v>
      </c>
      <c r="U168" s="25">
        <v>0.1515</v>
      </c>
    </row>
    <row r="169" spans="1:21" hidden="1" x14ac:dyDescent="0.25">
      <c r="A169" t="s">
        <v>3</v>
      </c>
      <c r="B169">
        <v>8.0500000000000007</v>
      </c>
      <c r="C169">
        <v>9.17</v>
      </c>
      <c r="D169">
        <v>3.3</v>
      </c>
      <c r="E169">
        <v>1.593</v>
      </c>
      <c r="F169" s="25">
        <v>8.1799999999999998E-2</v>
      </c>
      <c r="G169">
        <v>1.028</v>
      </c>
      <c r="H169">
        <v>12.04</v>
      </c>
      <c r="I169">
        <v>6.03</v>
      </c>
      <c r="J169">
        <v>-2.86</v>
      </c>
      <c r="K169">
        <v>7.49</v>
      </c>
      <c r="L169">
        <v>6.55</v>
      </c>
      <c r="M169" s="25">
        <v>0.26429999999999998</v>
      </c>
      <c r="N169" s="25">
        <v>0.17369999999999999</v>
      </c>
      <c r="O169">
        <v>1.35</v>
      </c>
      <c r="P169" s="25">
        <v>0.21609999999999999</v>
      </c>
      <c r="Q169" s="25">
        <v>0.36009999999999998</v>
      </c>
      <c r="R169" s="26">
        <v>95.83</v>
      </c>
      <c r="S169" s="26">
        <v>5385610000</v>
      </c>
      <c r="T169">
        <v>1.27</v>
      </c>
      <c r="U169" s="25">
        <v>0.1515</v>
      </c>
    </row>
    <row r="170" spans="1:21" hidden="1" x14ac:dyDescent="0.25">
      <c r="A170" t="s">
        <v>81</v>
      </c>
      <c r="B170">
        <v>34.6</v>
      </c>
      <c r="C170">
        <v>14.06</v>
      </c>
      <c r="D170">
        <v>1.62</v>
      </c>
      <c r="E170">
        <v>0.92</v>
      </c>
      <c r="F170" s="25">
        <v>2.2800000000000001E-2</v>
      </c>
      <c r="G170">
        <v>0.375</v>
      </c>
      <c r="H170">
        <v>8.42</v>
      </c>
      <c r="I170">
        <v>4.3899999999999997</v>
      </c>
      <c r="J170">
        <v>-0.74</v>
      </c>
      <c r="K170">
        <v>8.83</v>
      </c>
      <c r="L170">
        <v>7.17</v>
      </c>
      <c r="M170" s="25">
        <v>0.20960000000000001</v>
      </c>
      <c r="N170" s="25">
        <v>8.2600000000000007E-2</v>
      </c>
      <c r="O170">
        <v>1.24</v>
      </c>
      <c r="P170" s="25">
        <v>9.8000000000000004E-2</v>
      </c>
      <c r="Q170" s="25">
        <v>0.1153</v>
      </c>
      <c r="R170" s="26">
        <v>242143000</v>
      </c>
      <c r="S170" s="26">
        <v>26784000000</v>
      </c>
      <c r="T170">
        <v>2.0299999999999998</v>
      </c>
      <c r="U170" s="25">
        <v>0.27089999999999997</v>
      </c>
    </row>
    <row r="171" spans="1:21" hidden="1" x14ac:dyDescent="0.25">
      <c r="A171" t="s">
        <v>180</v>
      </c>
      <c r="B171">
        <v>1.0900000000000001</v>
      </c>
      <c r="C171">
        <v>45.27</v>
      </c>
      <c r="D171">
        <v>0.45</v>
      </c>
      <c r="E171">
        <v>0.38</v>
      </c>
      <c r="F171" s="25">
        <v>1.5E-3</v>
      </c>
      <c r="G171">
        <v>0.17199999999999999</v>
      </c>
      <c r="H171">
        <v>1.1399999999999999</v>
      </c>
      <c r="I171">
        <v>2.65</v>
      </c>
      <c r="J171">
        <v>-1.07</v>
      </c>
      <c r="K171">
        <v>6.94</v>
      </c>
      <c r="L171">
        <v>4.3600000000000003</v>
      </c>
      <c r="M171" s="25">
        <v>0.14380000000000001</v>
      </c>
      <c r="N171" s="25">
        <v>7.9000000000000008E-3</v>
      </c>
      <c r="O171">
        <v>1.48</v>
      </c>
      <c r="P171" s="25">
        <v>7.2300000000000003E-2</v>
      </c>
      <c r="Q171" s="25">
        <v>0.01</v>
      </c>
      <c r="R171" s="26">
        <v>379354</v>
      </c>
      <c r="S171" s="26">
        <v>867856000</v>
      </c>
      <c r="T171">
        <v>0.98</v>
      </c>
      <c r="U171" s="25">
        <v>0.1706</v>
      </c>
    </row>
    <row r="172" spans="1:21" hidden="1" x14ac:dyDescent="0.25">
      <c r="A172" t="s">
        <v>390</v>
      </c>
      <c r="B172">
        <v>3.49</v>
      </c>
      <c r="C172">
        <v>-1.06</v>
      </c>
      <c r="D172">
        <v>-0.05</v>
      </c>
      <c r="E172">
        <v>0.17199999999999999</v>
      </c>
      <c r="F172" s="25">
        <v>0</v>
      </c>
      <c r="G172">
        <v>8.5999999999999993E-2</v>
      </c>
      <c r="H172">
        <v>-0.04</v>
      </c>
      <c r="I172">
        <v>-4.21</v>
      </c>
      <c r="J172">
        <v>-0.04</v>
      </c>
      <c r="K172">
        <v>-19.579999999999998</v>
      </c>
      <c r="L172">
        <v>-26.73</v>
      </c>
      <c r="M172" s="25">
        <v>-4.0899999999999999E-2</v>
      </c>
      <c r="N172" s="25">
        <v>-0.16170000000000001</v>
      </c>
      <c r="O172">
        <v>0.14000000000000001</v>
      </c>
      <c r="P172" s="25">
        <v>-2.18E-2</v>
      </c>
      <c r="Q172" s="25">
        <v>4.6300000000000001E-2</v>
      </c>
      <c r="R172" s="26">
        <v>516.95000000000005</v>
      </c>
      <c r="S172" s="26">
        <v>-573005000</v>
      </c>
      <c r="T172">
        <v>-0.18</v>
      </c>
      <c r="U172" s="25">
        <v>9.4000000000000004E-3</v>
      </c>
    </row>
    <row r="173" spans="1:21" hidden="1" x14ac:dyDescent="0.25">
      <c r="A173" t="s">
        <v>186</v>
      </c>
      <c r="B173">
        <v>3.7</v>
      </c>
      <c r="C173">
        <v>8.23</v>
      </c>
      <c r="D173">
        <v>0.28999999999999998</v>
      </c>
      <c r="E173">
        <v>0.19400000000000001</v>
      </c>
      <c r="F173" s="25">
        <v>3.39E-2</v>
      </c>
      <c r="G173">
        <v>0.17499999999999999</v>
      </c>
      <c r="H173">
        <v>1.05</v>
      </c>
      <c r="I173">
        <v>10.83</v>
      </c>
      <c r="J173">
        <v>18.66</v>
      </c>
      <c r="K173">
        <v>16.12</v>
      </c>
      <c r="L173">
        <v>4.6100000000000003</v>
      </c>
      <c r="M173" s="25">
        <v>1.7899999999999999E-2</v>
      </c>
      <c r="N173" s="25">
        <v>2.3599999999999999E-2</v>
      </c>
      <c r="O173">
        <v>1.72</v>
      </c>
      <c r="P173" s="25">
        <v>1.78E-2</v>
      </c>
      <c r="Q173" s="25">
        <v>3.49E-2</v>
      </c>
      <c r="R173" s="26">
        <v>310850</v>
      </c>
      <c r="S173" s="26">
        <v>795309000</v>
      </c>
      <c r="T173">
        <v>0.17</v>
      </c>
      <c r="U173" s="25">
        <v>6.88E-2</v>
      </c>
    </row>
    <row r="174" spans="1:21" hidden="1" x14ac:dyDescent="0.25">
      <c r="A174" t="s">
        <v>391</v>
      </c>
      <c r="B174">
        <v>19</v>
      </c>
      <c r="C174">
        <v>7.31</v>
      </c>
      <c r="D174">
        <v>0.66</v>
      </c>
      <c r="E174">
        <v>0.59399999999999997</v>
      </c>
      <c r="F174" s="25">
        <v>3.5200000000000002E-2</v>
      </c>
      <c r="G174">
        <v>0.36199999999999999</v>
      </c>
      <c r="H174">
        <v>1.78</v>
      </c>
      <c r="I174">
        <v>4.05</v>
      </c>
      <c r="J174">
        <v>-6.16</v>
      </c>
      <c r="K174">
        <v>5.4</v>
      </c>
      <c r="L174">
        <v>3.56</v>
      </c>
      <c r="M174" s="25">
        <v>0.1467</v>
      </c>
      <c r="N174" s="25">
        <v>8.1299999999999997E-2</v>
      </c>
      <c r="O174">
        <v>2.06</v>
      </c>
      <c r="P174" s="25">
        <v>0.10580000000000001</v>
      </c>
      <c r="Q174" s="25">
        <v>9.0700000000000003E-2</v>
      </c>
      <c r="R174" s="26">
        <v>29129.8</v>
      </c>
      <c r="S174" s="26">
        <v>2652920000</v>
      </c>
      <c r="T174">
        <v>0.4</v>
      </c>
      <c r="U174" s="25">
        <v>9.1399999999999995E-2</v>
      </c>
    </row>
    <row r="175" spans="1:21" hidden="1" x14ac:dyDescent="0.25">
      <c r="A175" t="s">
        <v>11</v>
      </c>
      <c r="B175">
        <v>17.11</v>
      </c>
      <c r="C175">
        <v>6.58</v>
      </c>
      <c r="D175">
        <v>0.6</v>
      </c>
      <c r="E175">
        <v>0.53500000000000003</v>
      </c>
      <c r="F175" s="25">
        <v>4.2999999999999997E-2</v>
      </c>
      <c r="G175">
        <v>0.32600000000000001</v>
      </c>
      <c r="H175">
        <v>1.61</v>
      </c>
      <c r="I175">
        <v>3.65</v>
      </c>
      <c r="J175">
        <v>-5.55</v>
      </c>
      <c r="K175">
        <v>4.99</v>
      </c>
      <c r="L175">
        <v>3.3</v>
      </c>
      <c r="M175" s="25">
        <v>0.1467</v>
      </c>
      <c r="N175" s="25">
        <v>8.1299999999999997E-2</v>
      </c>
      <c r="O175">
        <v>2.06</v>
      </c>
      <c r="P175" s="25">
        <v>0.10580000000000001</v>
      </c>
      <c r="Q175" s="25">
        <v>9.0700000000000003E-2</v>
      </c>
      <c r="R175" s="26">
        <v>1049360</v>
      </c>
      <c r="S175" s="26">
        <v>2652920000</v>
      </c>
      <c r="T175">
        <v>0.4</v>
      </c>
      <c r="U175" s="25">
        <v>9.1399999999999995E-2</v>
      </c>
    </row>
    <row r="176" spans="1:21" hidden="1" x14ac:dyDescent="0.25">
      <c r="A176" t="s">
        <v>122</v>
      </c>
      <c r="B176">
        <v>7.08</v>
      </c>
      <c r="C176">
        <v>45.57</v>
      </c>
      <c r="D176">
        <v>0.75</v>
      </c>
      <c r="E176">
        <v>0.76700000000000002</v>
      </c>
      <c r="F176" s="25">
        <v>5.6500000000000002E-2</v>
      </c>
      <c r="G176">
        <v>0.27500000000000002</v>
      </c>
      <c r="H176">
        <v>0.44</v>
      </c>
      <c r="I176">
        <v>4.8499999999999996</v>
      </c>
      <c r="J176">
        <v>1.17</v>
      </c>
      <c r="K176">
        <v>5.69</v>
      </c>
      <c r="L176">
        <v>5.63</v>
      </c>
      <c r="M176" s="25">
        <v>0.15820000000000001</v>
      </c>
      <c r="N176" s="25">
        <v>5.6500000000000002E-2</v>
      </c>
      <c r="O176">
        <v>4.38</v>
      </c>
      <c r="P176" s="25">
        <v>6.93E-2</v>
      </c>
      <c r="Q176" s="25">
        <v>1.6500000000000001E-2</v>
      </c>
      <c r="R176" s="26">
        <v>4194310</v>
      </c>
      <c r="S176" s="26">
        <v>1885180000</v>
      </c>
      <c r="T176">
        <v>0.59</v>
      </c>
      <c r="U176" s="25">
        <v>2.75E-2</v>
      </c>
    </row>
    <row r="177" spans="1:21" hidden="1" x14ac:dyDescent="0.25">
      <c r="A177" t="s">
        <v>90</v>
      </c>
      <c r="B177">
        <v>13.27</v>
      </c>
      <c r="C177">
        <v>6.63</v>
      </c>
      <c r="D177">
        <v>0.6</v>
      </c>
      <c r="E177">
        <v>1.796</v>
      </c>
      <c r="F177" s="25">
        <v>8.8099999999999998E-2</v>
      </c>
      <c r="G177">
        <v>0.42099999999999999</v>
      </c>
      <c r="H177">
        <v>1.1100000000000001</v>
      </c>
      <c r="I177">
        <v>9.56</v>
      </c>
      <c r="J177">
        <v>2.75</v>
      </c>
      <c r="K177">
        <v>10.86</v>
      </c>
      <c r="L177">
        <v>10</v>
      </c>
      <c r="M177" s="25">
        <v>0.18779999999999999</v>
      </c>
      <c r="N177" s="25">
        <v>0.28749999999999998</v>
      </c>
      <c r="O177">
        <v>7.71</v>
      </c>
      <c r="P177" s="25">
        <v>5.3499999999999999E-2</v>
      </c>
      <c r="Q177" s="25">
        <v>9.0200000000000002E-2</v>
      </c>
      <c r="R177" s="26">
        <v>13337400</v>
      </c>
      <c r="S177" s="26">
        <v>4898440000</v>
      </c>
      <c r="T177">
        <v>0.32</v>
      </c>
      <c r="U177" s="25">
        <v>0.1333</v>
      </c>
    </row>
    <row r="178" spans="1:21" hidden="1" x14ac:dyDescent="0.25">
      <c r="A178" t="s">
        <v>392</v>
      </c>
      <c r="B178">
        <v>12.06</v>
      </c>
      <c r="C178">
        <v>13.72</v>
      </c>
      <c r="D178">
        <v>1.27</v>
      </c>
      <c r="E178">
        <v>1.871</v>
      </c>
      <c r="F178" s="25">
        <v>3.7699999999999997E-2</v>
      </c>
      <c r="G178">
        <v>0.98299999999999998</v>
      </c>
      <c r="H178">
        <v>3.77</v>
      </c>
      <c r="I178">
        <v>20.56</v>
      </c>
      <c r="J178">
        <v>6.06</v>
      </c>
      <c r="K178">
        <v>18.21</v>
      </c>
      <c r="L178">
        <v>7.93</v>
      </c>
      <c r="M178" s="25">
        <v>9.0999999999999998E-2</v>
      </c>
      <c r="N178" s="25">
        <v>0.13650000000000001</v>
      </c>
      <c r="O178">
        <v>3.09</v>
      </c>
      <c r="P178" s="25">
        <v>6.1600000000000002E-2</v>
      </c>
      <c r="Q178" s="25">
        <v>9.2299999999999993E-2</v>
      </c>
      <c r="R178" s="26">
        <v>1635.48</v>
      </c>
      <c r="S178" s="26">
        <v>3363440000</v>
      </c>
      <c r="T178">
        <v>0.1</v>
      </c>
      <c r="U178" s="25">
        <v>3.2500000000000001E-2</v>
      </c>
    </row>
    <row r="179" spans="1:21" hidden="1" x14ac:dyDescent="0.25">
      <c r="A179" t="s">
        <v>252</v>
      </c>
      <c r="B179">
        <v>6.79</v>
      </c>
      <c r="C179">
        <v>7.72</v>
      </c>
      <c r="D179">
        <v>0.71</v>
      </c>
      <c r="E179">
        <v>1.0529999999999999</v>
      </c>
      <c r="F179" s="25">
        <v>7.3700000000000002E-2</v>
      </c>
      <c r="G179">
        <v>0.55300000000000005</v>
      </c>
      <c r="H179">
        <v>2.12</v>
      </c>
      <c r="I179">
        <v>11.58</v>
      </c>
      <c r="J179">
        <v>3.41</v>
      </c>
      <c r="K179">
        <v>9.23</v>
      </c>
      <c r="L179">
        <v>4.0199999999999996</v>
      </c>
      <c r="M179" s="25">
        <v>9.0999999999999998E-2</v>
      </c>
      <c r="N179" s="25">
        <v>0.13650000000000001</v>
      </c>
      <c r="O179">
        <v>3.09</v>
      </c>
      <c r="P179" s="25">
        <v>6.1600000000000002E-2</v>
      </c>
      <c r="Q179" s="25">
        <v>9.2299999999999993E-2</v>
      </c>
      <c r="R179" s="26">
        <v>3384780</v>
      </c>
      <c r="S179" s="26">
        <v>3363440000</v>
      </c>
      <c r="T179">
        <v>0.1</v>
      </c>
      <c r="U179" s="25">
        <v>3.2500000000000001E-2</v>
      </c>
    </row>
    <row r="180" spans="1:21" hidden="1" x14ac:dyDescent="0.25">
      <c r="A180" t="s">
        <v>227</v>
      </c>
      <c r="B180">
        <v>4.05</v>
      </c>
      <c r="C180">
        <v>-0.23</v>
      </c>
      <c r="D180">
        <v>-0.2</v>
      </c>
      <c r="E180">
        <v>4.8000000000000001E-2</v>
      </c>
      <c r="F180" s="25">
        <v>0</v>
      </c>
      <c r="G180">
        <v>7.4999999999999997E-2</v>
      </c>
      <c r="H180">
        <v>-0.53</v>
      </c>
      <c r="I180">
        <v>-1.04</v>
      </c>
      <c r="J180">
        <v>-0.11</v>
      </c>
      <c r="K180">
        <v>-0.1</v>
      </c>
      <c r="L180">
        <v>-0.14000000000000001</v>
      </c>
      <c r="M180" s="25">
        <v>-4.6100000000000002E-2</v>
      </c>
      <c r="N180" s="25">
        <v>-0.20930000000000001</v>
      </c>
      <c r="O180">
        <v>0.83</v>
      </c>
      <c r="P180" s="25">
        <v>-0.39689999999999998</v>
      </c>
      <c r="Q180" s="25">
        <v>0.87439999999999996</v>
      </c>
      <c r="R180" s="26">
        <v>245472</v>
      </c>
      <c r="S180" s="26">
        <v>-1087650000</v>
      </c>
      <c r="T180">
        <v>-0.02</v>
      </c>
      <c r="U180" s="25">
        <v>0.1242</v>
      </c>
    </row>
    <row r="181" spans="1:21" hidden="1" x14ac:dyDescent="0.25">
      <c r="A181" t="s">
        <v>393</v>
      </c>
      <c r="B181">
        <v>3.2</v>
      </c>
      <c r="C181">
        <v>-3.12</v>
      </c>
      <c r="D181">
        <v>-8.3699999999999992</v>
      </c>
      <c r="E181">
        <v>-6.3150000000000004</v>
      </c>
      <c r="F181" s="25">
        <v>0</v>
      </c>
      <c r="G181">
        <v>17.138000000000002</v>
      </c>
      <c r="H181">
        <v>-58.64</v>
      </c>
      <c r="I181">
        <v>-15.26</v>
      </c>
      <c r="J181">
        <v>-5.64</v>
      </c>
      <c r="K181">
        <v>-16.13</v>
      </c>
      <c r="L181">
        <v>-15.39</v>
      </c>
      <c r="M181" s="25">
        <v>0.41389999999999999</v>
      </c>
      <c r="N181" s="25">
        <v>2.0249999999999999</v>
      </c>
      <c r="O181">
        <v>0.03</v>
      </c>
      <c r="P181" s="25">
        <v>-1.1304000000000001</v>
      </c>
      <c r="Q181" s="25">
        <v>2.6833999999999998</v>
      </c>
      <c r="R181" s="26">
        <v>66598.2</v>
      </c>
      <c r="S181" s="26">
        <v>-9103000</v>
      </c>
      <c r="T181">
        <v>-0.48</v>
      </c>
      <c r="U181" s="25">
        <v>-0.1394</v>
      </c>
    </row>
    <row r="182" spans="1:21" hidden="1" x14ac:dyDescent="0.25">
      <c r="A182" t="s">
        <v>394</v>
      </c>
      <c r="B182">
        <v>13</v>
      </c>
      <c r="C182">
        <v>-49.51</v>
      </c>
      <c r="D182">
        <v>0.4</v>
      </c>
      <c r="E182">
        <v>12.558999999999999</v>
      </c>
      <c r="F182" s="25">
        <v>0</v>
      </c>
      <c r="G182">
        <v>0.29899999999999999</v>
      </c>
      <c r="H182">
        <v>2.93</v>
      </c>
      <c r="I182">
        <v>-5.31</v>
      </c>
      <c r="J182">
        <v>-6.41</v>
      </c>
      <c r="K182">
        <v>-7.19</v>
      </c>
      <c r="L182">
        <v>-7.65</v>
      </c>
      <c r="M182" s="25">
        <v>-2.3645999999999998</v>
      </c>
      <c r="N182" s="25">
        <v>-0.25490000000000002</v>
      </c>
      <c r="O182">
        <v>2.0499999999999998</v>
      </c>
      <c r="P182" s="25">
        <v>-5.9299999999999999E-2</v>
      </c>
      <c r="Q182" s="25">
        <v>-8.0000000000000002E-3</v>
      </c>
      <c r="R182" s="26">
        <v>27097.1</v>
      </c>
      <c r="S182" s="26">
        <v>79440000</v>
      </c>
      <c r="T182">
        <v>0.15</v>
      </c>
      <c r="U182" s="25">
        <v>-2.1299999999999999E-2</v>
      </c>
    </row>
    <row r="183" spans="1:21" hidden="1" x14ac:dyDescent="0.25">
      <c r="A183" t="s">
        <v>395</v>
      </c>
      <c r="B183">
        <v>3.64</v>
      </c>
      <c r="C183">
        <v>7.57</v>
      </c>
      <c r="D183">
        <v>1.08</v>
      </c>
      <c r="E183">
        <v>1.26</v>
      </c>
      <c r="F183" s="25">
        <v>2.7199999999999998E-2</v>
      </c>
      <c r="G183">
        <v>0.56799999999999995</v>
      </c>
      <c r="H183">
        <v>5.73</v>
      </c>
      <c r="I183">
        <v>5.26</v>
      </c>
      <c r="J183">
        <v>-2.93</v>
      </c>
      <c r="K183">
        <v>5.88</v>
      </c>
      <c r="L183">
        <v>2.99</v>
      </c>
      <c r="M183" s="25">
        <v>0.23960000000000001</v>
      </c>
      <c r="N183" s="25">
        <v>0.16639999999999999</v>
      </c>
      <c r="O183">
        <v>1.55</v>
      </c>
      <c r="P183" s="25">
        <v>0.1351</v>
      </c>
      <c r="Q183" s="25">
        <v>0.14269999999999999</v>
      </c>
      <c r="R183" s="26">
        <v>938392</v>
      </c>
      <c r="S183" s="26">
        <v>1220080000</v>
      </c>
      <c r="T183">
        <v>0.47</v>
      </c>
      <c r="U183" s="25">
        <v>0.2616</v>
      </c>
    </row>
    <row r="184" spans="1:21" hidden="1" x14ac:dyDescent="0.25">
      <c r="A184" t="s">
        <v>51</v>
      </c>
      <c r="B184">
        <v>14.51</v>
      </c>
      <c r="C184">
        <v>12.65</v>
      </c>
      <c r="D184">
        <v>1.52</v>
      </c>
      <c r="E184">
        <v>1.0189999999999999</v>
      </c>
      <c r="F184" s="25">
        <v>7.0099999999999996E-2</v>
      </c>
      <c r="G184">
        <v>0.59799999999999998</v>
      </c>
      <c r="H184">
        <v>3.02</v>
      </c>
      <c r="I184">
        <v>6.61</v>
      </c>
      <c r="J184">
        <v>-2.42</v>
      </c>
      <c r="K184">
        <v>9.14</v>
      </c>
      <c r="L184">
        <v>5.48</v>
      </c>
      <c r="M184" s="25">
        <v>0.154</v>
      </c>
      <c r="N184" s="25">
        <v>7.8399999999999997E-2</v>
      </c>
      <c r="O184">
        <v>2.29</v>
      </c>
      <c r="P184" s="25">
        <v>0.11849999999999999</v>
      </c>
      <c r="Q184" s="25">
        <v>0.1201</v>
      </c>
      <c r="R184" s="26">
        <v>42824100</v>
      </c>
      <c r="S184" s="26">
        <v>5226800000</v>
      </c>
      <c r="T184">
        <v>1.05</v>
      </c>
      <c r="U184" s="25">
        <v>0.26790000000000003</v>
      </c>
    </row>
    <row r="185" spans="1:21" hidden="1" x14ac:dyDescent="0.25">
      <c r="A185" t="s">
        <v>65</v>
      </c>
      <c r="B185">
        <v>23.45</v>
      </c>
      <c r="C185">
        <v>20.05</v>
      </c>
      <c r="D185">
        <v>3.08</v>
      </c>
      <c r="E185">
        <v>1.4750000000000001</v>
      </c>
      <c r="F185" s="25">
        <v>2.5000000000000001E-2</v>
      </c>
      <c r="G185">
        <v>0.97599999999999998</v>
      </c>
      <c r="H185">
        <v>3.69</v>
      </c>
      <c r="I185">
        <v>9.93</v>
      </c>
      <c r="J185">
        <v>-5.1100000000000003</v>
      </c>
      <c r="K185">
        <v>12.98</v>
      </c>
      <c r="L185">
        <v>10.09</v>
      </c>
      <c r="M185" s="25">
        <v>0.14849999999999999</v>
      </c>
      <c r="N185" s="25">
        <v>7.5300000000000006E-2</v>
      </c>
      <c r="O185">
        <v>2.19</v>
      </c>
      <c r="P185" s="25">
        <v>0.123</v>
      </c>
      <c r="Q185" s="25">
        <v>0.15379999999999999</v>
      </c>
      <c r="R185" s="26">
        <v>13277900</v>
      </c>
      <c r="S185" s="26">
        <v>2131360000</v>
      </c>
      <c r="T185">
        <v>1.28</v>
      </c>
      <c r="U185" s="25">
        <v>0.2069</v>
      </c>
    </row>
    <row r="186" spans="1:21" hidden="1" x14ac:dyDescent="0.25">
      <c r="A186" t="s">
        <v>396</v>
      </c>
      <c r="B186">
        <v>203</v>
      </c>
      <c r="C186">
        <v>-56.87</v>
      </c>
      <c r="D186">
        <v>3.89</v>
      </c>
      <c r="E186">
        <v>0.55500000000000005</v>
      </c>
      <c r="F186" s="25">
        <v>0</v>
      </c>
      <c r="G186">
        <v>0.66200000000000003</v>
      </c>
      <c r="H186">
        <v>5.15</v>
      </c>
      <c r="I186">
        <v>14.12</v>
      </c>
      <c r="J186">
        <v>-6.37</v>
      </c>
      <c r="K186">
        <v>21.99</v>
      </c>
      <c r="L186">
        <v>12.13</v>
      </c>
      <c r="M186" s="25">
        <v>3.9300000000000002E-2</v>
      </c>
      <c r="N186" s="25">
        <v>-1.43E-2</v>
      </c>
      <c r="O186">
        <v>1.23</v>
      </c>
      <c r="P186" s="25">
        <v>6.7299999999999999E-2</v>
      </c>
      <c r="Q186" s="25">
        <v>-6.8400000000000002E-2</v>
      </c>
      <c r="R186" s="26">
        <v>36680.800000000003</v>
      </c>
      <c r="S186" s="26">
        <v>327983000</v>
      </c>
      <c r="T186">
        <v>2.5</v>
      </c>
      <c r="U186" s="25">
        <v>7.6799999999999993E-2</v>
      </c>
    </row>
    <row r="187" spans="1:21" hidden="1" x14ac:dyDescent="0.25">
      <c r="A187" t="s">
        <v>397</v>
      </c>
      <c r="B187">
        <v>33.340000000000003</v>
      </c>
      <c r="C187">
        <v>32.409999999999997</v>
      </c>
      <c r="D187">
        <v>1.86</v>
      </c>
      <c r="E187">
        <v>9.0120000000000005</v>
      </c>
      <c r="F187" s="25">
        <v>0.2104</v>
      </c>
      <c r="G187">
        <v>0.89500000000000002</v>
      </c>
      <c r="H187">
        <v>-8.4499999999999993</v>
      </c>
      <c r="I187">
        <v>19.05</v>
      </c>
      <c r="J187">
        <v>-2.67</v>
      </c>
      <c r="K187">
        <v>20.2</v>
      </c>
      <c r="L187">
        <v>14.35</v>
      </c>
      <c r="M187" s="25">
        <v>0.47299999999999998</v>
      </c>
      <c r="N187" s="25">
        <v>0.27810000000000001</v>
      </c>
      <c r="O187">
        <v>0.63</v>
      </c>
      <c r="P187" s="25">
        <v>6.2899999999999998E-2</v>
      </c>
      <c r="Q187" s="25">
        <v>5.74E-2</v>
      </c>
      <c r="R187" s="26">
        <v>2471.9299999999998</v>
      </c>
      <c r="S187" s="26">
        <v>1691660000</v>
      </c>
      <c r="T187">
        <v>0.37</v>
      </c>
      <c r="U187" s="25">
        <v>-0.25559999999999999</v>
      </c>
    </row>
    <row r="188" spans="1:21" hidden="1" x14ac:dyDescent="0.25">
      <c r="A188" t="s">
        <v>398</v>
      </c>
      <c r="B188">
        <v>36.01</v>
      </c>
      <c r="C188">
        <v>35.01</v>
      </c>
      <c r="D188">
        <v>2.0099999999999998</v>
      </c>
      <c r="E188">
        <v>9.734</v>
      </c>
      <c r="F188" s="25">
        <v>0.1948</v>
      </c>
      <c r="G188">
        <v>0.96699999999999997</v>
      </c>
      <c r="H188">
        <v>-9.1300000000000008</v>
      </c>
      <c r="I188">
        <v>20.58</v>
      </c>
      <c r="J188">
        <v>-2.88</v>
      </c>
      <c r="K188">
        <v>21.73</v>
      </c>
      <c r="L188">
        <v>15.43</v>
      </c>
      <c r="M188" s="25">
        <v>0.47299999999999998</v>
      </c>
      <c r="N188" s="25">
        <v>0.27810000000000001</v>
      </c>
      <c r="O188">
        <v>0.63</v>
      </c>
      <c r="P188" s="25">
        <v>6.2899999999999998E-2</v>
      </c>
      <c r="Q188" s="25">
        <v>5.74E-2</v>
      </c>
      <c r="R188" s="26">
        <v>17356.3</v>
      </c>
      <c r="S188" s="26">
        <v>1691660000</v>
      </c>
      <c r="T188">
        <v>0.37</v>
      </c>
      <c r="U188" s="25">
        <v>-0.25559999999999999</v>
      </c>
    </row>
    <row r="189" spans="1:21" hidden="1" x14ac:dyDescent="0.25">
      <c r="A189" t="s">
        <v>228</v>
      </c>
      <c r="B189">
        <v>16.88</v>
      </c>
      <c r="C189">
        <v>-2.89</v>
      </c>
      <c r="D189">
        <v>0.06</v>
      </c>
      <c r="E189">
        <v>0.115</v>
      </c>
      <c r="F189" s="25">
        <v>0</v>
      </c>
      <c r="G189">
        <v>2.3E-2</v>
      </c>
      <c r="H189">
        <v>0.1</v>
      </c>
      <c r="I189">
        <v>-0.59</v>
      </c>
      <c r="J189">
        <v>-2.4700000000000002</v>
      </c>
      <c r="K189">
        <v>-7.54</v>
      </c>
      <c r="L189">
        <v>-8.15</v>
      </c>
      <c r="M189" s="25">
        <v>-0.1966</v>
      </c>
      <c r="N189" s="25">
        <v>-0.04</v>
      </c>
      <c r="O189">
        <v>1.67</v>
      </c>
      <c r="P189" s="25">
        <v>-4.1599999999999998E-2</v>
      </c>
      <c r="Q189" s="25">
        <v>-1.9699999999999999E-2</v>
      </c>
      <c r="R189" s="26">
        <v>7017840</v>
      </c>
      <c r="S189" s="26">
        <v>1995250000</v>
      </c>
      <c r="T189">
        <v>0.75</v>
      </c>
      <c r="U189" s="25">
        <v>2.4199999999999999E-2</v>
      </c>
    </row>
    <row r="190" spans="1:21" hidden="1" x14ac:dyDescent="0.25">
      <c r="A190" t="s">
        <v>33</v>
      </c>
      <c r="B190">
        <v>15.3</v>
      </c>
      <c r="C190">
        <v>9.48</v>
      </c>
      <c r="D190">
        <v>0.55000000000000004</v>
      </c>
      <c r="E190">
        <v>0.45500000000000002</v>
      </c>
      <c r="F190" s="25">
        <v>4.3200000000000002E-2</v>
      </c>
      <c r="G190">
        <v>0.36299999999999999</v>
      </c>
      <c r="H190">
        <v>1.55</v>
      </c>
      <c r="I190">
        <v>4.76</v>
      </c>
      <c r="J190">
        <v>10.94</v>
      </c>
      <c r="K190">
        <v>5.93</v>
      </c>
      <c r="L190">
        <v>3.95</v>
      </c>
      <c r="M190" s="25">
        <v>9.5600000000000004E-2</v>
      </c>
      <c r="N190" s="25">
        <v>4.8500000000000001E-2</v>
      </c>
      <c r="O190">
        <v>2.64</v>
      </c>
      <c r="P190" s="25">
        <v>9.0200000000000002E-2</v>
      </c>
      <c r="Q190" s="25">
        <v>5.8400000000000001E-2</v>
      </c>
      <c r="R190" s="26">
        <v>592098</v>
      </c>
      <c r="S190" s="26">
        <v>56017100000</v>
      </c>
      <c r="T190">
        <v>0.26</v>
      </c>
      <c r="U190" s="25">
        <v>3.73E-2</v>
      </c>
    </row>
    <row r="191" spans="1:21" hidden="1" x14ac:dyDescent="0.25">
      <c r="A191" t="s">
        <v>48</v>
      </c>
      <c r="B191">
        <v>17.22</v>
      </c>
      <c r="C191">
        <v>10.67</v>
      </c>
      <c r="D191">
        <v>0.62</v>
      </c>
      <c r="E191">
        <v>0.51200000000000001</v>
      </c>
      <c r="F191" s="25">
        <v>3.8399999999999997E-2</v>
      </c>
      <c r="G191">
        <v>0.40799999999999997</v>
      </c>
      <c r="H191">
        <v>1.75</v>
      </c>
      <c r="I191">
        <v>5.36</v>
      </c>
      <c r="J191">
        <v>12.31</v>
      </c>
      <c r="K191">
        <v>6.53</v>
      </c>
      <c r="L191">
        <v>4.34</v>
      </c>
      <c r="M191" s="25">
        <v>9.5600000000000004E-2</v>
      </c>
      <c r="N191" s="25">
        <v>4.8500000000000001E-2</v>
      </c>
      <c r="O191">
        <v>2.64</v>
      </c>
      <c r="P191" s="25">
        <v>9.0200000000000002E-2</v>
      </c>
      <c r="Q191" s="25">
        <v>5.8400000000000001E-2</v>
      </c>
      <c r="R191" s="26">
        <v>180617000</v>
      </c>
      <c r="S191" s="26">
        <v>56017100000</v>
      </c>
      <c r="T191">
        <v>0.26</v>
      </c>
      <c r="U191" s="25">
        <v>3.73E-2</v>
      </c>
    </row>
    <row r="192" spans="1:21" hidden="1" x14ac:dyDescent="0.25">
      <c r="A192" t="s">
        <v>99</v>
      </c>
      <c r="B192">
        <v>14.8</v>
      </c>
      <c r="C192">
        <v>15.05</v>
      </c>
      <c r="D192">
        <v>2.73</v>
      </c>
      <c r="E192">
        <v>0.63400000000000001</v>
      </c>
      <c r="F192" s="25">
        <v>2.18E-2</v>
      </c>
      <c r="G192">
        <v>0.69199999999999995</v>
      </c>
      <c r="H192">
        <v>2.2799999999999998</v>
      </c>
      <c r="I192">
        <v>8.33</v>
      </c>
      <c r="J192">
        <v>-3.2</v>
      </c>
      <c r="K192">
        <v>9.9700000000000006</v>
      </c>
      <c r="L192">
        <v>7.4</v>
      </c>
      <c r="M192" s="25">
        <v>7.6200000000000004E-2</v>
      </c>
      <c r="N192" s="25">
        <v>4.2700000000000002E-2</v>
      </c>
      <c r="O192">
        <v>2.34</v>
      </c>
      <c r="P192" s="25">
        <v>0.1101</v>
      </c>
      <c r="Q192" s="25">
        <v>0.18149999999999999</v>
      </c>
      <c r="R192" s="26">
        <v>44043100</v>
      </c>
      <c r="S192" s="26">
        <v>3670500000</v>
      </c>
      <c r="T192">
        <v>1.38</v>
      </c>
      <c r="U192" s="25">
        <v>0.28439999999999999</v>
      </c>
    </row>
    <row r="193" spans="1:21" hidden="1" x14ac:dyDescent="0.25">
      <c r="A193" t="s">
        <v>139</v>
      </c>
      <c r="B193">
        <v>7.61</v>
      </c>
      <c r="C193">
        <v>12.27</v>
      </c>
      <c r="D193">
        <v>1.71</v>
      </c>
      <c r="E193">
        <v>0.51800000000000002</v>
      </c>
      <c r="F193" s="25">
        <v>2.8199999999999999E-2</v>
      </c>
      <c r="G193">
        <v>0.85099999999999998</v>
      </c>
      <c r="H193">
        <v>2.33</v>
      </c>
      <c r="I193">
        <v>7.65</v>
      </c>
      <c r="J193">
        <v>6.59</v>
      </c>
      <c r="K193">
        <v>7.92</v>
      </c>
      <c r="L193">
        <v>6.78</v>
      </c>
      <c r="M193" s="25">
        <v>6.7699999999999996E-2</v>
      </c>
      <c r="N193" s="25">
        <v>4.2799999999999998E-2</v>
      </c>
      <c r="O193">
        <v>2.4</v>
      </c>
      <c r="P193" s="25">
        <v>0.1507</v>
      </c>
      <c r="Q193" s="25">
        <v>0.13930000000000001</v>
      </c>
      <c r="R193" s="26">
        <v>26451300</v>
      </c>
      <c r="S193" s="26">
        <v>10013600000</v>
      </c>
      <c r="T193">
        <v>0.21</v>
      </c>
      <c r="U193" s="25">
        <v>0.26050000000000001</v>
      </c>
    </row>
    <row r="194" spans="1:21" hidden="1" x14ac:dyDescent="0.25">
      <c r="A194" t="s">
        <v>43</v>
      </c>
      <c r="B194">
        <v>9.67</v>
      </c>
      <c r="C194">
        <v>8.6</v>
      </c>
      <c r="D194">
        <v>0.49</v>
      </c>
      <c r="E194">
        <v>0.14099999999999999</v>
      </c>
      <c r="F194" s="25">
        <v>3.6200000000000003E-2</v>
      </c>
      <c r="G194">
        <v>0.112</v>
      </c>
      <c r="H194">
        <v>0.48</v>
      </c>
      <c r="I194">
        <v>1.48</v>
      </c>
      <c r="J194">
        <v>3.33</v>
      </c>
      <c r="K194">
        <v>2.65</v>
      </c>
      <c r="L194">
        <v>1.76</v>
      </c>
      <c r="M194" s="25">
        <v>9.5399999999999999E-2</v>
      </c>
      <c r="N194" s="25">
        <v>4.8599999999999997E-2</v>
      </c>
      <c r="O194">
        <v>2.64</v>
      </c>
      <c r="P194" s="25">
        <v>0.09</v>
      </c>
      <c r="Q194" s="25">
        <v>5.74E-2</v>
      </c>
      <c r="R194" s="26">
        <v>278903</v>
      </c>
      <c r="S194" s="26">
        <v>19459900000</v>
      </c>
      <c r="T194">
        <v>0.75</v>
      </c>
      <c r="U194" s="25">
        <v>3.73E-2</v>
      </c>
    </row>
    <row r="195" spans="1:21" hidden="1" x14ac:dyDescent="0.25">
      <c r="A195" t="s">
        <v>133</v>
      </c>
      <c r="B195">
        <v>9.6300000000000008</v>
      </c>
      <c r="C195">
        <v>8.57</v>
      </c>
      <c r="D195">
        <v>0.49</v>
      </c>
      <c r="E195">
        <v>0.14000000000000001</v>
      </c>
      <c r="F195" s="25">
        <v>3.6299999999999999E-2</v>
      </c>
      <c r="G195">
        <v>0.112</v>
      </c>
      <c r="H195">
        <v>0.48</v>
      </c>
      <c r="I195">
        <v>1.47</v>
      </c>
      <c r="J195">
        <v>3.31</v>
      </c>
      <c r="K195">
        <v>2.64</v>
      </c>
      <c r="L195">
        <v>1.76</v>
      </c>
      <c r="M195" s="25">
        <v>9.5399999999999999E-2</v>
      </c>
      <c r="N195" s="25">
        <v>4.8599999999999997E-2</v>
      </c>
      <c r="O195">
        <v>2.64</v>
      </c>
      <c r="P195" s="25">
        <v>0.09</v>
      </c>
      <c r="Q195" s="25">
        <v>5.74E-2</v>
      </c>
      <c r="R195" s="26">
        <v>67518800</v>
      </c>
      <c r="S195" s="26">
        <v>19459900000</v>
      </c>
      <c r="T195">
        <v>0.75</v>
      </c>
      <c r="U195" s="25">
        <v>3.73E-2</v>
      </c>
    </row>
    <row r="196" spans="1:21" hidden="1" x14ac:dyDescent="0.25">
      <c r="A196" t="s">
        <v>250</v>
      </c>
      <c r="B196">
        <v>0.79</v>
      </c>
      <c r="C196">
        <v>-112.13</v>
      </c>
      <c r="D196">
        <v>-34.340000000000003</v>
      </c>
      <c r="E196">
        <v>47.427</v>
      </c>
      <c r="F196" s="25">
        <v>0</v>
      </c>
      <c r="G196">
        <v>40.497999999999998</v>
      </c>
      <c r="H196">
        <v>-49.36</v>
      </c>
      <c r="I196" s="26">
        <v>-1785.15</v>
      </c>
      <c r="J196">
        <v>-21.29</v>
      </c>
      <c r="K196" s="26">
        <v>-1822.83</v>
      </c>
      <c r="L196">
        <v>595.66</v>
      </c>
      <c r="M196" s="25">
        <v>-2.6599999999999999E-2</v>
      </c>
      <c r="N196" s="25">
        <v>-0.42299999999999999</v>
      </c>
      <c r="O196">
        <v>0.25</v>
      </c>
      <c r="P196" s="25">
        <v>-2.7799999999999998E-2</v>
      </c>
      <c r="Q196" s="25">
        <v>0.30630000000000002</v>
      </c>
      <c r="R196" s="26">
        <v>9486840</v>
      </c>
      <c r="S196" s="26">
        <v>-27683900000</v>
      </c>
      <c r="T196">
        <v>-0.79</v>
      </c>
      <c r="U196" s="25">
        <v>0.43</v>
      </c>
    </row>
    <row r="197" spans="1:21" hidden="1" x14ac:dyDescent="0.25">
      <c r="A197" t="s">
        <v>399</v>
      </c>
      <c r="B197">
        <v>22.9</v>
      </c>
      <c r="C197">
        <v>55.5</v>
      </c>
      <c r="D197">
        <v>2.31</v>
      </c>
      <c r="E197">
        <v>56.457999999999998</v>
      </c>
      <c r="F197" s="25">
        <v>0</v>
      </c>
      <c r="G197">
        <v>2.1150000000000002</v>
      </c>
      <c r="H197">
        <v>6.26</v>
      </c>
      <c r="I197">
        <v>-100.73</v>
      </c>
      <c r="J197">
        <v>7.97</v>
      </c>
      <c r="K197">
        <v>-87.92</v>
      </c>
      <c r="L197">
        <v>-97.9</v>
      </c>
      <c r="M197" s="25">
        <v>-0.5605</v>
      </c>
      <c r="N197" s="25">
        <v>1.0183</v>
      </c>
      <c r="O197">
        <v>29.82</v>
      </c>
      <c r="P197" s="25">
        <v>-2.93E-2</v>
      </c>
      <c r="Q197" s="25">
        <v>4.1599999999999998E-2</v>
      </c>
      <c r="R197" s="26">
        <v>54.52</v>
      </c>
      <c r="S197" s="26">
        <v>789920000</v>
      </c>
      <c r="T197">
        <v>0.02</v>
      </c>
      <c r="U197" s="25">
        <v>-0.54990000000000006</v>
      </c>
    </row>
    <row r="198" spans="1:21" hidden="1" x14ac:dyDescent="0.25">
      <c r="A198" t="s">
        <v>400</v>
      </c>
      <c r="B198">
        <v>4.16</v>
      </c>
      <c r="C198">
        <v>-1.51</v>
      </c>
      <c r="D198">
        <v>0.21</v>
      </c>
      <c r="E198">
        <v>-4.274</v>
      </c>
      <c r="F198" s="25">
        <v>0</v>
      </c>
      <c r="G198">
        <v>0.105</v>
      </c>
      <c r="H198">
        <v>1.1100000000000001</v>
      </c>
      <c r="I198">
        <v>-1.96</v>
      </c>
      <c r="J198">
        <v>-4</v>
      </c>
      <c r="K198">
        <v>0.31</v>
      </c>
      <c r="L198">
        <v>0.31</v>
      </c>
      <c r="M198" s="25">
        <v>2.1772999999999998</v>
      </c>
      <c r="N198" s="25">
        <v>5.7458999999999998</v>
      </c>
      <c r="O198">
        <v>2.74</v>
      </c>
      <c r="P198" s="25">
        <v>-6.2399999999999997E-2</v>
      </c>
      <c r="Q198" s="25">
        <v>-0.1384</v>
      </c>
      <c r="R198" s="26">
        <v>38509.4</v>
      </c>
      <c r="S198" s="26">
        <v>1347650000</v>
      </c>
      <c r="T198">
        <v>0.03</v>
      </c>
      <c r="U198" s="25">
        <v>-9.7500000000000003E-2</v>
      </c>
    </row>
    <row r="199" spans="1:21" hidden="1" x14ac:dyDescent="0.25">
      <c r="A199" t="s">
        <v>75</v>
      </c>
      <c r="B199">
        <v>5.15</v>
      </c>
      <c r="C199">
        <v>6.55</v>
      </c>
      <c r="D199">
        <v>1.18</v>
      </c>
      <c r="E199">
        <v>1.7509999999999999</v>
      </c>
      <c r="F199" s="25">
        <v>9.3799999999999994E-2</v>
      </c>
      <c r="G199">
        <v>0.99299999999999999</v>
      </c>
      <c r="H199">
        <v>1.85</v>
      </c>
      <c r="I199">
        <v>9.3800000000000008</v>
      </c>
      <c r="J199">
        <v>1.87</v>
      </c>
      <c r="K199">
        <v>6.52</v>
      </c>
      <c r="L199">
        <v>5.7</v>
      </c>
      <c r="M199" s="25">
        <v>0.1867</v>
      </c>
      <c r="N199" s="25">
        <v>0.26719999999999999</v>
      </c>
      <c r="O199">
        <v>4.47</v>
      </c>
      <c r="P199" s="25">
        <v>0.16539999999999999</v>
      </c>
      <c r="Q199" s="25">
        <v>0.1802</v>
      </c>
      <c r="R199" s="26">
        <v>13928500</v>
      </c>
      <c r="S199" s="26">
        <v>3934740000</v>
      </c>
      <c r="T199">
        <v>0.05</v>
      </c>
      <c r="U199" s="25">
        <v>5.8200000000000002E-2</v>
      </c>
    </row>
    <row r="200" spans="1:21" hidden="1" x14ac:dyDescent="0.25">
      <c r="A200" t="s">
        <v>401</v>
      </c>
      <c r="B200">
        <v>4.3</v>
      </c>
      <c r="C200">
        <v>-0.01</v>
      </c>
      <c r="D200">
        <v>-0.01</v>
      </c>
      <c r="E200">
        <v>4.4999999999999998E-2</v>
      </c>
      <c r="F200" s="25">
        <v>0</v>
      </c>
      <c r="G200">
        <v>7.0000000000000001E-3</v>
      </c>
      <c r="H200">
        <v>-0.51</v>
      </c>
      <c r="I200">
        <v>0.15</v>
      </c>
      <c r="J200">
        <v>0</v>
      </c>
      <c r="K200">
        <v>39.6</v>
      </c>
      <c r="L200">
        <v>38.049999999999997</v>
      </c>
      <c r="M200" s="25">
        <v>0.2949</v>
      </c>
      <c r="N200" s="25">
        <v>-3.1928000000000001</v>
      </c>
      <c r="O200">
        <v>0.92</v>
      </c>
      <c r="P200" s="25">
        <v>5.0999999999999997E-2</v>
      </c>
      <c r="Q200" s="25">
        <v>0.4163</v>
      </c>
      <c r="R200" s="26">
        <v>4730.05</v>
      </c>
      <c r="S200" s="26">
        <v>-1409770000</v>
      </c>
      <c r="T200">
        <v>-1.6</v>
      </c>
      <c r="U200" s="25">
        <v>0.1696</v>
      </c>
    </row>
    <row r="201" spans="1:21" hidden="1" x14ac:dyDescent="0.25">
      <c r="A201" t="s">
        <v>216</v>
      </c>
      <c r="B201">
        <v>8.0299999999999994</v>
      </c>
      <c r="C201">
        <v>12.32</v>
      </c>
      <c r="D201">
        <v>0.74</v>
      </c>
      <c r="E201">
        <v>0.40699999999999997</v>
      </c>
      <c r="F201" s="25">
        <v>0</v>
      </c>
      <c r="G201">
        <v>0.30299999999999999</v>
      </c>
      <c r="H201">
        <v>1.48</v>
      </c>
      <c r="I201">
        <v>4.7</v>
      </c>
      <c r="J201">
        <v>10.65</v>
      </c>
      <c r="K201">
        <v>5.71</v>
      </c>
      <c r="L201">
        <v>3.15</v>
      </c>
      <c r="M201" s="25">
        <v>8.6699999999999999E-2</v>
      </c>
      <c r="N201" s="25">
        <v>3.3099999999999997E-2</v>
      </c>
      <c r="O201">
        <v>1.49</v>
      </c>
      <c r="P201" s="25">
        <v>7.8799999999999995E-2</v>
      </c>
      <c r="Q201" s="25">
        <v>6.0499999999999998E-2</v>
      </c>
      <c r="R201" s="26">
        <v>6396790</v>
      </c>
      <c r="S201" s="26">
        <v>5382710000</v>
      </c>
      <c r="T201">
        <v>0.37</v>
      </c>
      <c r="U201" s="25">
        <v>0.126</v>
      </c>
    </row>
    <row r="202" spans="1:21" hidden="1" x14ac:dyDescent="0.25">
      <c r="A202" t="s">
        <v>60</v>
      </c>
      <c r="B202">
        <v>1.93</v>
      </c>
      <c r="C202">
        <v>11.59</v>
      </c>
      <c r="D202">
        <v>-0.45</v>
      </c>
      <c r="E202">
        <v>0.75700000000000001</v>
      </c>
      <c r="F202" s="25">
        <v>0</v>
      </c>
      <c r="G202">
        <v>0.34200000000000003</v>
      </c>
      <c r="H202">
        <v>0.65</v>
      </c>
      <c r="I202">
        <v>-14.67</v>
      </c>
      <c r="J202">
        <v>-0.4</v>
      </c>
      <c r="K202">
        <v>3.21</v>
      </c>
      <c r="L202">
        <v>9.18</v>
      </c>
      <c r="M202" s="25">
        <v>-5.16E-2</v>
      </c>
      <c r="N202" s="25">
        <v>6.5299999999999997E-2</v>
      </c>
      <c r="O202">
        <v>2.4300000000000002</v>
      </c>
      <c r="P202" s="25">
        <v>-9.11E-2</v>
      </c>
      <c r="Q202" s="25">
        <v>-3.9E-2</v>
      </c>
      <c r="R202" s="26">
        <v>1703.05</v>
      </c>
      <c r="S202" s="26">
        <v>-50773000</v>
      </c>
      <c r="T202">
        <v>-0.41</v>
      </c>
      <c r="U202" s="25">
        <v>-6.59E-2</v>
      </c>
    </row>
    <row r="203" spans="1:21" hidden="1" x14ac:dyDescent="0.25">
      <c r="A203" t="s">
        <v>29</v>
      </c>
      <c r="B203">
        <v>1.1599999999999999</v>
      </c>
      <c r="C203">
        <v>6.97</v>
      </c>
      <c r="D203">
        <v>-0.27</v>
      </c>
      <c r="E203">
        <v>0.45500000000000002</v>
      </c>
      <c r="F203" s="25">
        <v>0</v>
      </c>
      <c r="G203">
        <v>0.20599999999999999</v>
      </c>
      <c r="H203">
        <v>0.39</v>
      </c>
      <c r="I203">
        <v>-8.82</v>
      </c>
      <c r="J203">
        <v>-0.24</v>
      </c>
      <c r="K203">
        <v>9.06</v>
      </c>
      <c r="L203">
        <v>25.94</v>
      </c>
      <c r="M203" s="25">
        <v>-5.16E-2</v>
      </c>
      <c r="N203" s="25">
        <v>6.5299999999999997E-2</v>
      </c>
      <c r="O203">
        <v>2.4300000000000002</v>
      </c>
      <c r="P203" s="25">
        <v>-9.11E-2</v>
      </c>
      <c r="Q203" s="25">
        <v>-3.9E-2</v>
      </c>
      <c r="R203" s="26">
        <v>9753.43</v>
      </c>
      <c r="S203" s="26">
        <v>-50773000</v>
      </c>
      <c r="T203">
        <v>-0.41</v>
      </c>
      <c r="U203" s="25">
        <v>-6.59E-2</v>
      </c>
    </row>
    <row r="204" spans="1:21" hidden="1" x14ac:dyDescent="0.25">
      <c r="A204" t="s">
        <v>241</v>
      </c>
      <c r="B204">
        <v>31.82</v>
      </c>
      <c r="C204">
        <v>-30.27</v>
      </c>
      <c r="D204">
        <v>0.33</v>
      </c>
      <c r="E204">
        <v>0.55000000000000004</v>
      </c>
      <c r="F204" s="25">
        <v>0</v>
      </c>
      <c r="G204">
        <v>0.215</v>
      </c>
      <c r="H204">
        <v>2.5099999999999998</v>
      </c>
      <c r="I204">
        <v>18.68</v>
      </c>
      <c r="J204">
        <v>-1.21</v>
      </c>
      <c r="K204">
        <v>22.97</v>
      </c>
      <c r="L204">
        <v>11.18</v>
      </c>
      <c r="M204" s="25">
        <v>2.9499999999999998E-2</v>
      </c>
      <c r="N204" s="25">
        <v>-1.8200000000000001E-2</v>
      </c>
      <c r="O204">
        <v>2.1</v>
      </c>
      <c r="P204" s="25">
        <v>1.3299999999999999E-2</v>
      </c>
      <c r="Q204" s="25">
        <v>-1.0800000000000001E-2</v>
      </c>
      <c r="R204" s="26">
        <v>187544000</v>
      </c>
      <c r="S204" s="26">
        <v>48864200000</v>
      </c>
      <c r="T204">
        <v>0.27</v>
      </c>
      <c r="U204" s="25">
        <v>0.3775</v>
      </c>
    </row>
    <row r="205" spans="1:21" hidden="1" x14ac:dyDescent="0.25">
      <c r="A205" t="s">
        <v>210</v>
      </c>
      <c r="B205">
        <v>2.4900000000000002</v>
      </c>
      <c r="C205">
        <v>5.84</v>
      </c>
      <c r="D205">
        <v>0.23</v>
      </c>
      <c r="E205">
        <v>0.26200000000000001</v>
      </c>
      <c r="F205" s="25">
        <v>4.0599999999999997E-2</v>
      </c>
      <c r="G205">
        <v>5.1999999999999998E-2</v>
      </c>
      <c r="H205">
        <v>0.36</v>
      </c>
      <c r="I205">
        <v>1.58</v>
      </c>
      <c r="J205">
        <v>-0.28999999999999998</v>
      </c>
      <c r="K205">
        <v>8.66</v>
      </c>
      <c r="L205">
        <v>7.57</v>
      </c>
      <c r="M205" s="25">
        <v>0.16569999999999999</v>
      </c>
      <c r="N205" s="25">
        <v>0.12989999999999999</v>
      </c>
      <c r="O205">
        <v>1.61</v>
      </c>
      <c r="P205" s="25">
        <v>3.4700000000000002E-2</v>
      </c>
      <c r="Q205" s="25">
        <v>3.9100000000000003E-2</v>
      </c>
      <c r="R205" s="26">
        <v>4057310</v>
      </c>
      <c r="S205" s="26">
        <v>1459720000</v>
      </c>
      <c r="T205">
        <v>1.18</v>
      </c>
      <c r="U205" s="25">
        <v>9.6799999999999997E-2</v>
      </c>
    </row>
    <row r="206" spans="1:21" hidden="1" x14ac:dyDescent="0.25">
      <c r="A206" t="s">
        <v>223</v>
      </c>
      <c r="B206">
        <v>3.05</v>
      </c>
      <c r="C206">
        <v>8.8699999999999992</v>
      </c>
      <c r="D206">
        <v>0.15</v>
      </c>
      <c r="E206">
        <v>1.8420000000000001</v>
      </c>
      <c r="F206" s="25">
        <v>0</v>
      </c>
      <c r="G206">
        <v>6.0999999999999999E-2</v>
      </c>
      <c r="H206">
        <v>1.72</v>
      </c>
      <c r="I206">
        <v>1.1000000000000001</v>
      </c>
      <c r="J206">
        <v>-0.19</v>
      </c>
      <c r="K206">
        <v>6.09</v>
      </c>
      <c r="L206">
        <v>5.98</v>
      </c>
      <c r="M206" s="25">
        <v>1.6667000000000001</v>
      </c>
      <c r="N206" s="25">
        <v>0.70950000000000002</v>
      </c>
      <c r="O206">
        <v>1.57</v>
      </c>
      <c r="P206" s="25">
        <v>5.74E-2</v>
      </c>
      <c r="Q206" s="25">
        <v>1.7399999999999999E-2</v>
      </c>
      <c r="R206" s="26">
        <v>1195830</v>
      </c>
      <c r="S206" s="26">
        <v>2040590000</v>
      </c>
      <c r="T206">
        <v>0.77</v>
      </c>
      <c r="U206" s="25">
        <v>0.2213</v>
      </c>
    </row>
    <row r="207" spans="1:21" hidden="1" x14ac:dyDescent="0.25">
      <c r="A207" t="s">
        <v>100</v>
      </c>
      <c r="B207">
        <v>3.77</v>
      </c>
      <c r="C207">
        <v>-9.7200000000000006</v>
      </c>
      <c r="D207">
        <v>5.4</v>
      </c>
      <c r="E207">
        <v>3.5790000000000002</v>
      </c>
      <c r="F207" s="25">
        <v>0</v>
      </c>
      <c r="G207">
        <v>0.81899999999999995</v>
      </c>
      <c r="H207">
        <v>7.99</v>
      </c>
      <c r="I207">
        <v>-26.45</v>
      </c>
      <c r="J207">
        <v>-1.38</v>
      </c>
      <c r="K207">
        <v>-44.26</v>
      </c>
      <c r="L207">
        <v>37.81</v>
      </c>
      <c r="M207" s="25">
        <v>-0.1353</v>
      </c>
      <c r="N207" s="25">
        <v>-0.36820000000000003</v>
      </c>
      <c r="O207">
        <v>1.67</v>
      </c>
      <c r="P207" s="25">
        <v>-3.3599999999999998E-2</v>
      </c>
      <c r="Q207" s="25">
        <v>-0.55549999999999999</v>
      </c>
      <c r="R207" s="26">
        <v>10497300</v>
      </c>
      <c r="S207" s="26">
        <v>949871000</v>
      </c>
      <c r="T207">
        <v>4.05</v>
      </c>
      <c r="U207" s="25">
        <v>2.8000000000000001E-2</v>
      </c>
    </row>
    <row r="208" spans="1:21" hidden="1" x14ac:dyDescent="0.25">
      <c r="A208" t="s">
        <v>402</v>
      </c>
      <c r="B208">
        <v>28.06</v>
      </c>
      <c r="C208">
        <v>12.47</v>
      </c>
      <c r="D208">
        <v>0.4</v>
      </c>
      <c r="E208">
        <v>3.6989999999999998</v>
      </c>
      <c r="F208" s="25">
        <v>0.2102</v>
      </c>
      <c r="G208">
        <v>0.159</v>
      </c>
      <c r="H208">
        <v>4.8600000000000003</v>
      </c>
      <c r="I208">
        <v>-4.32</v>
      </c>
      <c r="J208">
        <v>-0.33</v>
      </c>
      <c r="K208">
        <v>-8.2100000000000009</v>
      </c>
      <c r="L208">
        <v>-8.4600000000000009</v>
      </c>
      <c r="M208" s="25">
        <v>-0.85560000000000003</v>
      </c>
      <c r="N208" s="25">
        <v>0.29649999999999999</v>
      </c>
      <c r="O208">
        <v>1.37</v>
      </c>
      <c r="P208" s="25">
        <v>-3.7999999999999999E-2</v>
      </c>
      <c r="Q208" s="25">
        <v>3.1699999999999999E-2</v>
      </c>
      <c r="R208" s="26">
        <v>4124.4799999999996</v>
      </c>
      <c r="S208" s="26">
        <v>647667000</v>
      </c>
      <c r="T208">
        <v>0.43</v>
      </c>
      <c r="U208" s="25">
        <v>-8.4599999999999995E-2</v>
      </c>
    </row>
    <row r="209" spans="1:21" hidden="1" x14ac:dyDescent="0.25">
      <c r="A209" t="s">
        <v>403</v>
      </c>
      <c r="B209">
        <v>5.5</v>
      </c>
      <c r="C209">
        <v>3.18</v>
      </c>
      <c r="D209">
        <v>-0.01</v>
      </c>
      <c r="E209">
        <v>0.66900000000000004</v>
      </c>
      <c r="F209" s="25">
        <v>0</v>
      </c>
      <c r="G209">
        <v>0.22700000000000001</v>
      </c>
      <c r="H209">
        <v>-0.8</v>
      </c>
      <c r="I209">
        <v>0.72</v>
      </c>
      <c r="J209">
        <v>-0.01</v>
      </c>
      <c r="K209">
        <v>83.92</v>
      </c>
      <c r="L209">
        <v>83.92</v>
      </c>
      <c r="M209" s="25">
        <v>0.93100000000000005</v>
      </c>
      <c r="N209" s="25">
        <v>0.21049999999999999</v>
      </c>
      <c r="O209">
        <v>0.32</v>
      </c>
      <c r="P209" s="25">
        <v>0.31859999999999999</v>
      </c>
      <c r="Q209" s="25">
        <v>-2.5000000000000001E-3</v>
      </c>
      <c r="R209" s="26">
        <v>78.67</v>
      </c>
      <c r="S209" s="26">
        <v>-350747000</v>
      </c>
      <c r="T209">
        <v>-0.93</v>
      </c>
      <c r="U209" s="25">
        <v>0.25180000000000002</v>
      </c>
    </row>
    <row r="210" spans="1:21" hidden="1" x14ac:dyDescent="0.25">
      <c r="A210" t="s">
        <v>404</v>
      </c>
      <c r="B210">
        <v>3.9</v>
      </c>
      <c r="C210">
        <v>0.88</v>
      </c>
      <c r="D210">
        <v>-1.5</v>
      </c>
      <c r="E210">
        <v>0.40200000000000002</v>
      </c>
      <c r="F210" s="25">
        <v>0</v>
      </c>
      <c r="G210">
        <v>0.13700000000000001</v>
      </c>
      <c r="H210">
        <v>-1.24</v>
      </c>
      <c r="I210">
        <v>1.1399999999999999</v>
      </c>
      <c r="J210">
        <v>-0.14000000000000001</v>
      </c>
      <c r="K210">
        <v>0.63</v>
      </c>
      <c r="L210">
        <v>0.54</v>
      </c>
      <c r="M210" s="25">
        <v>0.35339999999999999</v>
      </c>
      <c r="N210" s="25">
        <v>0.45440000000000003</v>
      </c>
      <c r="O210">
        <v>0.64</v>
      </c>
      <c r="P210" s="25">
        <v>0.13039999999999999</v>
      </c>
      <c r="Q210" s="25">
        <v>-1.6920999999999999</v>
      </c>
      <c r="R210" s="26">
        <v>29425.9</v>
      </c>
      <c r="S210" s="26">
        <v>-47880000</v>
      </c>
      <c r="T210">
        <v>-0.02</v>
      </c>
      <c r="U210" s="25">
        <v>0.67969999999999997</v>
      </c>
    </row>
    <row r="211" spans="1:21" hidden="1" x14ac:dyDescent="0.25">
      <c r="A211" t="s">
        <v>229</v>
      </c>
      <c r="B211">
        <v>26.48</v>
      </c>
      <c r="C211">
        <v>20.74</v>
      </c>
      <c r="D211">
        <v>1.43</v>
      </c>
      <c r="E211">
        <v>2.5049999999999999</v>
      </c>
      <c r="F211" s="25">
        <v>4.41E-2</v>
      </c>
      <c r="G211">
        <v>0.68899999999999995</v>
      </c>
      <c r="H211">
        <v>13.7</v>
      </c>
      <c r="I211">
        <v>17.559999999999999</v>
      </c>
      <c r="J211">
        <v>-2.5</v>
      </c>
      <c r="K211">
        <v>25.47</v>
      </c>
      <c r="L211">
        <v>19.54</v>
      </c>
      <c r="M211" s="25">
        <v>0.1426</v>
      </c>
      <c r="N211" s="25">
        <v>0.1196</v>
      </c>
      <c r="O211">
        <v>1.26</v>
      </c>
      <c r="P211" s="25">
        <v>4.2999999999999997E-2</v>
      </c>
      <c r="Q211" s="25">
        <v>6.8900000000000003E-2</v>
      </c>
      <c r="R211" s="26">
        <v>82931500</v>
      </c>
      <c r="S211" s="26">
        <v>11738300000</v>
      </c>
      <c r="T211">
        <v>0.79</v>
      </c>
      <c r="U211" s="25">
        <v>0.113</v>
      </c>
    </row>
    <row r="212" spans="1:21" hidden="1" x14ac:dyDescent="0.25">
      <c r="A212" t="s">
        <v>240</v>
      </c>
      <c r="B212">
        <v>0.04</v>
      </c>
      <c r="C212">
        <v>-0.04</v>
      </c>
      <c r="D212">
        <v>-0.49</v>
      </c>
      <c r="E212">
        <v>7.0000000000000007E-2</v>
      </c>
      <c r="F212" s="25">
        <v>0</v>
      </c>
      <c r="G212">
        <v>4.9000000000000002E-2</v>
      </c>
      <c r="H212">
        <v>-0.27</v>
      </c>
      <c r="I212">
        <v>-0.05</v>
      </c>
      <c r="J212">
        <v>-0.08</v>
      </c>
      <c r="K212">
        <v>-0.53</v>
      </c>
      <c r="L212">
        <v>-0.56999999999999995</v>
      </c>
      <c r="M212" s="25">
        <v>-1.4795</v>
      </c>
      <c r="N212" s="25">
        <v>-1.6592</v>
      </c>
      <c r="O212">
        <v>0.73</v>
      </c>
      <c r="P212" s="25">
        <v>-1.4582999999999999</v>
      </c>
      <c r="Q212" s="25">
        <v>11.5709</v>
      </c>
      <c r="R212" s="26">
        <v>671641</v>
      </c>
      <c r="S212" s="26">
        <v>-147834000</v>
      </c>
      <c r="T212">
        <v>-5.62</v>
      </c>
      <c r="U212" s="25">
        <v>0.23169999999999999</v>
      </c>
    </row>
    <row r="213" spans="1:21" hidden="1" x14ac:dyDescent="0.25">
      <c r="A213" t="s">
        <v>405</v>
      </c>
      <c r="B213">
        <v>175.99</v>
      </c>
      <c r="C213">
        <v>0.56000000000000005</v>
      </c>
      <c r="D213">
        <v>-0.34</v>
      </c>
      <c r="E213">
        <v>30.247</v>
      </c>
      <c r="F213" s="25">
        <v>0</v>
      </c>
      <c r="G213">
        <v>1.0349999999999999</v>
      </c>
      <c r="H213">
        <v>-0.99</v>
      </c>
      <c r="I213">
        <v>-3.7</v>
      </c>
      <c r="J213">
        <v>-0.28999999999999998</v>
      </c>
      <c r="K213">
        <v>-7.85</v>
      </c>
      <c r="L213">
        <v>-8.2100000000000009</v>
      </c>
      <c r="M213" s="25">
        <v>-8.1712000000000007</v>
      </c>
      <c r="N213" s="25">
        <v>53.793199999999999</v>
      </c>
      <c r="O213">
        <v>0.33</v>
      </c>
      <c r="P213" s="25">
        <v>-0.57989999999999997</v>
      </c>
      <c r="Q213" s="25">
        <v>-0.60099999999999998</v>
      </c>
      <c r="R213" s="26">
        <v>10393.299999999999</v>
      </c>
      <c r="S213" s="26">
        <v>-650957000</v>
      </c>
      <c r="T213">
        <v>-0.54</v>
      </c>
      <c r="U213" s="25">
        <v>0.13969999999999999</v>
      </c>
    </row>
    <row r="214" spans="1:21" hidden="1" x14ac:dyDescent="0.25">
      <c r="A214" t="s">
        <v>406</v>
      </c>
      <c r="B214">
        <v>21.34</v>
      </c>
      <c r="C214">
        <v>14.86</v>
      </c>
      <c r="D214">
        <v>1.44</v>
      </c>
      <c r="E214">
        <v>4.992</v>
      </c>
      <c r="F214" s="25">
        <v>1.84E-2</v>
      </c>
      <c r="G214">
        <v>0.70699999999999996</v>
      </c>
      <c r="H214">
        <v>2.96</v>
      </c>
      <c r="I214">
        <v>8.9600000000000009</v>
      </c>
      <c r="J214">
        <v>-3.42</v>
      </c>
      <c r="K214">
        <v>11.56</v>
      </c>
      <c r="L214">
        <v>9.2899999999999991</v>
      </c>
      <c r="M214" s="25">
        <v>0.55730000000000002</v>
      </c>
      <c r="N214" s="25">
        <v>0.33600000000000002</v>
      </c>
      <c r="O214">
        <v>4.9000000000000004</v>
      </c>
      <c r="P214" s="25">
        <v>0.1065</v>
      </c>
      <c r="Q214" s="25">
        <v>9.6600000000000005E-2</v>
      </c>
      <c r="R214" s="26">
        <v>60146800</v>
      </c>
      <c r="S214" s="26">
        <v>4409240000</v>
      </c>
      <c r="T214">
        <v>0.94</v>
      </c>
      <c r="U214" s="25">
        <v>0.15790000000000001</v>
      </c>
    </row>
    <row r="215" spans="1:21" hidden="1" x14ac:dyDescent="0.25">
      <c r="A215" t="s">
        <v>108</v>
      </c>
      <c r="B215">
        <v>2.46</v>
      </c>
      <c r="C215">
        <v>11.99</v>
      </c>
      <c r="D215">
        <v>1.1599999999999999</v>
      </c>
      <c r="E215">
        <v>4.0279999999999996</v>
      </c>
      <c r="F215" s="25">
        <v>2.2800000000000001E-2</v>
      </c>
      <c r="G215">
        <v>0.57099999999999995</v>
      </c>
      <c r="H215">
        <v>2.39</v>
      </c>
      <c r="I215">
        <v>7.23</v>
      </c>
      <c r="J215">
        <v>-2.76</v>
      </c>
      <c r="K215">
        <v>9.83</v>
      </c>
      <c r="L215">
        <v>7.9</v>
      </c>
      <c r="M215" s="25">
        <v>0.55730000000000002</v>
      </c>
      <c r="N215" s="25">
        <v>0.33600000000000002</v>
      </c>
      <c r="O215">
        <v>4.9000000000000004</v>
      </c>
      <c r="P215" s="25">
        <v>0.1065</v>
      </c>
      <c r="Q215" s="25">
        <v>9.6600000000000005E-2</v>
      </c>
      <c r="R215" s="26">
        <v>170617</v>
      </c>
      <c r="S215" s="26">
        <v>4409240000</v>
      </c>
      <c r="T215">
        <v>0.94</v>
      </c>
      <c r="U215" s="25">
        <v>0.15790000000000001</v>
      </c>
    </row>
    <row r="216" spans="1:21" hidden="1" x14ac:dyDescent="0.25">
      <c r="A216" t="s">
        <v>407</v>
      </c>
      <c r="B216">
        <v>1.87</v>
      </c>
      <c r="C216">
        <v>-0.36</v>
      </c>
      <c r="D216">
        <v>-0.06</v>
      </c>
      <c r="E216">
        <v>18.949000000000002</v>
      </c>
      <c r="F216" s="25">
        <v>0</v>
      </c>
      <c r="G216">
        <v>8.8999999999999996E-2</v>
      </c>
      <c r="H216">
        <v>-7.0000000000000007E-2</v>
      </c>
      <c r="I216">
        <v>-1.1499999999999999</v>
      </c>
      <c r="J216">
        <v>-0.04</v>
      </c>
      <c r="K216">
        <v>-13.94</v>
      </c>
      <c r="L216">
        <v>-15.33</v>
      </c>
      <c r="M216" s="25">
        <v>-16.470199999999998</v>
      </c>
      <c r="N216" s="25">
        <v>-53.787599999999998</v>
      </c>
      <c r="O216">
        <v>0.08</v>
      </c>
      <c r="P216" s="25">
        <v>-8.3099999999999993E-2</v>
      </c>
      <c r="Q216" s="25">
        <v>0.16059999999999999</v>
      </c>
      <c r="R216" s="26">
        <v>47751.5</v>
      </c>
      <c r="S216" s="26">
        <v>-1448530000</v>
      </c>
      <c r="T216">
        <v>-0.64</v>
      </c>
      <c r="U216" s="25">
        <v>-0.21640000000000001</v>
      </c>
    </row>
    <row r="217" spans="1:21" hidden="1" x14ac:dyDescent="0.25">
      <c r="A217" t="s">
        <v>244</v>
      </c>
      <c r="B217">
        <v>1.5</v>
      </c>
      <c r="C217">
        <v>-0.28999999999999998</v>
      </c>
      <c r="D217">
        <v>-0.05</v>
      </c>
      <c r="E217">
        <v>15.2</v>
      </c>
      <c r="F217" s="25">
        <v>0</v>
      </c>
      <c r="G217">
        <v>7.1999999999999995E-2</v>
      </c>
      <c r="H217">
        <v>-0.06</v>
      </c>
      <c r="I217">
        <v>-0.92</v>
      </c>
      <c r="J217">
        <v>-0.03</v>
      </c>
      <c r="K217">
        <v>-13.71</v>
      </c>
      <c r="L217">
        <v>-15.08</v>
      </c>
      <c r="M217" s="25">
        <v>-16.470199999999998</v>
      </c>
      <c r="N217" s="25">
        <v>-53.787599999999998</v>
      </c>
      <c r="O217">
        <v>0.08</v>
      </c>
      <c r="P217" s="25">
        <v>-8.3099999999999993E-2</v>
      </c>
      <c r="Q217" s="25">
        <v>0.16059999999999999</v>
      </c>
      <c r="R217" s="26">
        <v>49477.8</v>
      </c>
      <c r="S217" s="26">
        <v>-1448530000</v>
      </c>
      <c r="T217">
        <v>-0.64</v>
      </c>
      <c r="U217" s="25">
        <v>-0.21640000000000001</v>
      </c>
    </row>
    <row r="218" spans="1:21" hidden="1" x14ac:dyDescent="0.25">
      <c r="A218" t="s">
        <v>136</v>
      </c>
      <c r="B218">
        <v>14.96</v>
      </c>
      <c r="C218">
        <v>11.23</v>
      </c>
      <c r="D218">
        <v>1.67</v>
      </c>
      <c r="E218">
        <v>1.0569999999999999</v>
      </c>
      <c r="F218" s="25">
        <v>3.0800000000000001E-2</v>
      </c>
      <c r="G218">
        <v>0.95799999999999996</v>
      </c>
      <c r="H218">
        <v>2.12</v>
      </c>
      <c r="I218">
        <v>10.029999999999999</v>
      </c>
      <c r="J218">
        <v>3.32</v>
      </c>
      <c r="K218">
        <v>10.7</v>
      </c>
      <c r="L218">
        <v>8.82</v>
      </c>
      <c r="M218" s="25">
        <v>0.10539999999999999</v>
      </c>
      <c r="N218" s="25">
        <v>9.4E-2</v>
      </c>
      <c r="O218">
        <v>2.77</v>
      </c>
      <c r="P218" s="25">
        <v>0.1321</v>
      </c>
      <c r="Q218" s="25">
        <v>0.1484</v>
      </c>
      <c r="R218" s="26">
        <v>34208400</v>
      </c>
      <c r="S218" s="26">
        <v>2941250000</v>
      </c>
      <c r="T218">
        <v>0.33</v>
      </c>
      <c r="U218" s="25">
        <v>0.1691</v>
      </c>
    </row>
    <row r="219" spans="1:21" hidden="1" x14ac:dyDescent="0.25">
      <c r="A219" t="s">
        <v>73</v>
      </c>
      <c r="B219">
        <v>44.66</v>
      </c>
      <c r="C219">
        <v>-35.58</v>
      </c>
      <c r="D219">
        <v>0.72</v>
      </c>
      <c r="E219">
        <v>0.61</v>
      </c>
      <c r="F219" s="25">
        <v>0</v>
      </c>
      <c r="G219">
        <v>0.22800000000000001</v>
      </c>
      <c r="H219">
        <v>0</v>
      </c>
      <c r="I219">
        <v>4.72</v>
      </c>
      <c r="J219">
        <v>0</v>
      </c>
      <c r="K219">
        <v>0</v>
      </c>
      <c r="L219">
        <v>0</v>
      </c>
      <c r="M219" s="25">
        <v>0.129</v>
      </c>
      <c r="N219" s="25">
        <v>-1.7100000000000001E-2</v>
      </c>
      <c r="O219">
        <v>0</v>
      </c>
      <c r="P219" s="25">
        <v>0</v>
      </c>
      <c r="Q219" s="25">
        <v>-2.0199999999999999E-2</v>
      </c>
      <c r="R219" s="26">
        <v>37080600</v>
      </c>
      <c r="S219" s="26">
        <v>5087450000</v>
      </c>
      <c r="T219">
        <v>0</v>
      </c>
      <c r="U219" s="25">
        <v>0</v>
      </c>
    </row>
    <row r="220" spans="1:21" hidden="1" x14ac:dyDescent="0.25">
      <c r="A220" t="s">
        <v>408</v>
      </c>
      <c r="B220">
        <v>30.9</v>
      </c>
      <c r="C220">
        <v>5.71</v>
      </c>
      <c r="D220">
        <v>1</v>
      </c>
      <c r="E220">
        <v>2.4239999999999999</v>
      </c>
      <c r="F220" s="25">
        <v>7.6399999999999996E-2</v>
      </c>
      <c r="G220">
        <v>0.45600000000000002</v>
      </c>
      <c r="H220">
        <v>3.44</v>
      </c>
      <c r="I220">
        <v>4.34</v>
      </c>
      <c r="J220">
        <v>-1.29</v>
      </c>
      <c r="K220">
        <v>6.83</v>
      </c>
      <c r="L220">
        <v>6.78</v>
      </c>
      <c r="M220" s="25">
        <v>0.55840000000000001</v>
      </c>
      <c r="N220" s="25">
        <v>0.43109999999999998</v>
      </c>
      <c r="O220">
        <v>3.77</v>
      </c>
      <c r="P220" s="25">
        <v>0.114</v>
      </c>
      <c r="Q220" s="25">
        <v>0.17480000000000001</v>
      </c>
      <c r="R220" s="26">
        <v>77678.5</v>
      </c>
      <c r="S220" s="26">
        <v>20414900000</v>
      </c>
      <c r="T220">
        <v>0.73</v>
      </c>
      <c r="U220" s="25">
        <v>0.17660000000000001</v>
      </c>
    </row>
    <row r="221" spans="1:21" hidden="1" x14ac:dyDescent="0.25">
      <c r="A221" t="s">
        <v>5</v>
      </c>
      <c r="B221">
        <v>22.44</v>
      </c>
      <c r="C221">
        <v>4.1399999999999997</v>
      </c>
      <c r="D221">
        <v>0.72</v>
      </c>
      <c r="E221">
        <v>1.76</v>
      </c>
      <c r="F221" s="25">
        <v>0.1052</v>
      </c>
      <c r="G221">
        <v>0.33100000000000002</v>
      </c>
      <c r="H221">
        <v>2.5</v>
      </c>
      <c r="I221">
        <v>3.15</v>
      </c>
      <c r="J221">
        <v>-0.94</v>
      </c>
      <c r="K221">
        <v>5.64</v>
      </c>
      <c r="L221">
        <v>5.6</v>
      </c>
      <c r="M221" s="25">
        <v>0.55840000000000001</v>
      </c>
      <c r="N221" s="25">
        <v>0.43109999999999998</v>
      </c>
      <c r="O221">
        <v>3.77</v>
      </c>
      <c r="P221" s="25">
        <v>0.114</v>
      </c>
      <c r="Q221" s="25">
        <v>0.17480000000000001</v>
      </c>
      <c r="R221" s="26">
        <v>34640800</v>
      </c>
      <c r="S221" s="26">
        <v>20414900000</v>
      </c>
      <c r="T221">
        <v>0.73</v>
      </c>
      <c r="U221" s="25">
        <v>0.17660000000000001</v>
      </c>
    </row>
    <row r="222" spans="1:21" hidden="1" x14ac:dyDescent="0.25">
      <c r="A222" t="s">
        <v>40</v>
      </c>
      <c r="B222">
        <v>10.53</v>
      </c>
      <c r="C222">
        <v>7.61</v>
      </c>
      <c r="D222">
        <v>1.35</v>
      </c>
      <c r="E222">
        <v>14.114000000000001</v>
      </c>
      <c r="F222" s="25">
        <v>8.0299999999999996E-2</v>
      </c>
      <c r="G222">
        <v>1.046</v>
      </c>
      <c r="H222">
        <v>19.25</v>
      </c>
      <c r="I222">
        <v>203.45</v>
      </c>
      <c r="J222">
        <v>-14.47</v>
      </c>
      <c r="K222">
        <v>210.18</v>
      </c>
      <c r="L222">
        <v>66.959999999999994</v>
      </c>
      <c r="M222" s="25">
        <v>6.9400000000000003E-2</v>
      </c>
      <c r="N222" s="25">
        <v>1.8759999999999999</v>
      </c>
      <c r="O222">
        <v>1.97</v>
      </c>
      <c r="P222" s="25">
        <v>5.5999999999999999E-3</v>
      </c>
      <c r="Q222" s="25">
        <v>0.17710000000000001</v>
      </c>
      <c r="R222" s="26">
        <v>1087820</v>
      </c>
      <c r="S222" s="26">
        <v>85938000000</v>
      </c>
      <c r="T222">
        <v>0.13</v>
      </c>
      <c r="U222" s="25">
        <v>3.61E-2</v>
      </c>
    </row>
    <row r="223" spans="1:21" hidden="1" x14ac:dyDescent="0.25">
      <c r="A223" t="s">
        <v>49</v>
      </c>
      <c r="B223">
        <v>10.54</v>
      </c>
      <c r="C223">
        <v>7.61</v>
      </c>
      <c r="D223">
        <v>1.35</v>
      </c>
      <c r="E223">
        <v>14.128</v>
      </c>
      <c r="F223" s="25">
        <v>8.0199999999999994E-2</v>
      </c>
      <c r="G223">
        <v>1.0469999999999999</v>
      </c>
      <c r="H223">
        <v>19.27</v>
      </c>
      <c r="I223">
        <v>203.65</v>
      </c>
      <c r="J223">
        <v>-14.48</v>
      </c>
      <c r="K223">
        <v>210.37</v>
      </c>
      <c r="L223">
        <v>67.02</v>
      </c>
      <c r="M223" s="25">
        <v>6.9400000000000003E-2</v>
      </c>
      <c r="N223" s="25">
        <v>1.8759999999999999</v>
      </c>
      <c r="O223">
        <v>1.97</v>
      </c>
      <c r="P223" s="25">
        <v>5.5999999999999999E-3</v>
      </c>
      <c r="Q223" s="25">
        <v>0.17710000000000001</v>
      </c>
      <c r="R223" s="26">
        <v>261915000</v>
      </c>
      <c r="S223" s="26">
        <v>85938000000</v>
      </c>
      <c r="T223">
        <v>0.13</v>
      </c>
      <c r="U223" s="25">
        <v>3.61E-2</v>
      </c>
    </row>
    <row r="224" spans="1:21" hidden="1" x14ac:dyDescent="0.25">
      <c r="A224" t="s">
        <v>62</v>
      </c>
      <c r="B224">
        <v>31.77</v>
      </c>
      <c r="C224">
        <v>8.6999999999999993</v>
      </c>
      <c r="D224">
        <v>1.77</v>
      </c>
      <c r="E224">
        <v>0</v>
      </c>
      <c r="F224" s="25">
        <v>7.8700000000000006E-2</v>
      </c>
      <c r="G224">
        <v>0</v>
      </c>
      <c r="H224">
        <v>0</v>
      </c>
      <c r="I224">
        <v>0</v>
      </c>
      <c r="J224">
        <v>0</v>
      </c>
      <c r="K224">
        <v>0</v>
      </c>
      <c r="L224">
        <v>0</v>
      </c>
      <c r="M224" s="25">
        <v>0</v>
      </c>
      <c r="N224" s="25">
        <v>0</v>
      </c>
      <c r="O224">
        <v>0</v>
      </c>
      <c r="P224" s="25">
        <v>0</v>
      </c>
      <c r="Q224" s="25">
        <v>0.20330000000000001</v>
      </c>
      <c r="R224" s="26">
        <v>16443600</v>
      </c>
      <c r="S224" s="26">
        <v>193682000000</v>
      </c>
      <c r="T224">
        <v>0</v>
      </c>
      <c r="U224" s="25">
        <v>0.79800000000000004</v>
      </c>
    </row>
    <row r="225" spans="1:21" hidden="1" x14ac:dyDescent="0.25">
      <c r="A225" t="s">
        <v>44</v>
      </c>
      <c r="B225">
        <v>35.39</v>
      </c>
      <c r="C225">
        <v>9.69</v>
      </c>
      <c r="D225">
        <v>1.97</v>
      </c>
      <c r="E225">
        <v>0</v>
      </c>
      <c r="F225" s="25">
        <v>7.0599999999999996E-2</v>
      </c>
      <c r="G225">
        <v>0</v>
      </c>
      <c r="H225">
        <v>0</v>
      </c>
      <c r="I225">
        <v>0</v>
      </c>
      <c r="J225">
        <v>0</v>
      </c>
      <c r="K225">
        <v>0</v>
      </c>
      <c r="L225">
        <v>0</v>
      </c>
      <c r="M225" s="25">
        <v>0</v>
      </c>
      <c r="N225" s="25">
        <v>0</v>
      </c>
      <c r="O225">
        <v>0</v>
      </c>
      <c r="P225" s="25">
        <v>0</v>
      </c>
      <c r="Q225" s="25">
        <v>0.20330000000000001</v>
      </c>
      <c r="R225" s="26">
        <v>743309000</v>
      </c>
      <c r="S225" s="26">
        <v>193682000000</v>
      </c>
      <c r="T225">
        <v>0</v>
      </c>
      <c r="U225" s="25">
        <v>0.79800000000000004</v>
      </c>
    </row>
    <row r="226" spans="1:21" hidden="1" x14ac:dyDescent="0.25">
      <c r="A226" t="s">
        <v>126</v>
      </c>
      <c r="B226">
        <v>3.51</v>
      </c>
      <c r="C226">
        <v>-19.04</v>
      </c>
      <c r="D226">
        <v>0.53</v>
      </c>
      <c r="E226">
        <v>0.45600000000000002</v>
      </c>
      <c r="F226" s="25">
        <v>1.9300000000000001E-2</v>
      </c>
      <c r="G226">
        <v>0.14899999999999999</v>
      </c>
      <c r="H226">
        <v>0.85</v>
      </c>
      <c r="I226">
        <v>3.58</v>
      </c>
      <c r="J226">
        <v>-0.38</v>
      </c>
      <c r="K226">
        <v>14.67</v>
      </c>
      <c r="L226">
        <v>3.21</v>
      </c>
      <c r="M226" s="25">
        <v>0.1275</v>
      </c>
      <c r="N226" s="25">
        <v>-2.3900000000000001E-2</v>
      </c>
      <c r="O226">
        <v>2.19</v>
      </c>
      <c r="P226" s="25">
        <v>5.1700000000000003E-2</v>
      </c>
      <c r="Q226" s="25">
        <v>-2.7900000000000001E-2</v>
      </c>
      <c r="R226" s="26">
        <v>2273380</v>
      </c>
      <c r="S226" s="26">
        <v>2003170000</v>
      </c>
      <c r="T226">
        <v>2.27</v>
      </c>
      <c r="U226" s="25">
        <v>0.19850000000000001</v>
      </c>
    </row>
    <row r="227" spans="1:21" hidden="1" x14ac:dyDescent="0.25">
      <c r="A227" t="s">
        <v>79</v>
      </c>
      <c r="B227">
        <v>39.03</v>
      </c>
      <c r="C227">
        <v>3.11</v>
      </c>
      <c r="D227">
        <v>0.78</v>
      </c>
      <c r="E227">
        <v>7.6999999999999999E-2</v>
      </c>
      <c r="F227" s="25">
        <v>0.39269999999999999</v>
      </c>
      <c r="G227">
        <v>0.14099999999999999</v>
      </c>
      <c r="H227">
        <v>0.88</v>
      </c>
      <c r="I227">
        <v>1.31</v>
      </c>
      <c r="J227">
        <v>-0.37</v>
      </c>
      <c r="K227">
        <v>4.58</v>
      </c>
      <c r="L227">
        <v>3.11</v>
      </c>
      <c r="M227" s="25">
        <v>5.8599999999999999E-2</v>
      </c>
      <c r="N227" s="25">
        <v>2.75E-2</v>
      </c>
      <c r="O227">
        <v>1.62</v>
      </c>
      <c r="P227" s="25">
        <v>0.14699999999999999</v>
      </c>
      <c r="Q227" s="25">
        <v>0.2515</v>
      </c>
      <c r="R227" s="26">
        <v>219747000</v>
      </c>
      <c r="S227" s="26">
        <v>43308500000</v>
      </c>
      <c r="T227">
        <v>2.64</v>
      </c>
      <c r="U227" s="25">
        <v>8.8700000000000001E-2</v>
      </c>
    </row>
    <row r="228" spans="1:21" hidden="1" x14ac:dyDescent="0.25">
      <c r="A228" t="s">
        <v>112</v>
      </c>
      <c r="B228">
        <v>1.52</v>
      </c>
      <c r="C228">
        <v>-0.08</v>
      </c>
      <c r="D228">
        <v>-0.48</v>
      </c>
      <c r="E228">
        <v>8.2000000000000003E-2</v>
      </c>
      <c r="F228" s="25">
        <v>0</v>
      </c>
      <c r="G228">
        <v>2.3E-2</v>
      </c>
      <c r="H228">
        <v>0.06</v>
      </c>
      <c r="I228">
        <v>-0.16</v>
      </c>
      <c r="J228">
        <v>-0.09</v>
      </c>
      <c r="K228">
        <v>-2.42</v>
      </c>
      <c r="L228">
        <v>-2.83</v>
      </c>
      <c r="M228" s="25">
        <v>-0.52080000000000004</v>
      </c>
      <c r="N228" s="25">
        <v>-1.0672999999999999</v>
      </c>
      <c r="O228">
        <v>1.76</v>
      </c>
      <c r="P228" s="25">
        <v>-0.15640000000000001</v>
      </c>
      <c r="Q228" s="25">
        <v>6.1649000000000003</v>
      </c>
      <c r="R228" s="26">
        <v>13272.6</v>
      </c>
      <c r="S228" s="26">
        <v>-39186000</v>
      </c>
      <c r="T228">
        <v>-6.97</v>
      </c>
      <c r="U228" s="25">
        <v>0.99990000000000001</v>
      </c>
    </row>
    <row r="229" spans="1:21" hidden="1" x14ac:dyDescent="0.25">
      <c r="A229" t="s">
        <v>214</v>
      </c>
      <c r="B229">
        <v>5.2</v>
      </c>
      <c r="C229">
        <v>3.32</v>
      </c>
      <c r="D229">
        <v>0.62</v>
      </c>
      <c r="E229">
        <v>2.0630000000000002</v>
      </c>
      <c r="F229" s="25">
        <v>7.7399999999999997E-2</v>
      </c>
      <c r="G229">
        <v>0.24299999999999999</v>
      </c>
      <c r="H229">
        <v>1.41</v>
      </c>
      <c r="I229">
        <v>5.82</v>
      </c>
      <c r="J229">
        <v>-0.99</v>
      </c>
      <c r="K229">
        <v>11.17</v>
      </c>
      <c r="L229">
        <v>9.9499999999999993</v>
      </c>
      <c r="M229" s="25">
        <v>0.35460000000000003</v>
      </c>
      <c r="N229" s="25">
        <v>0.61619999999999997</v>
      </c>
      <c r="O229">
        <v>2.1</v>
      </c>
      <c r="P229" s="25">
        <v>4.8099999999999997E-2</v>
      </c>
      <c r="Q229" s="25">
        <v>0.1855</v>
      </c>
      <c r="R229" s="26">
        <v>14425500</v>
      </c>
      <c r="S229" s="26">
        <v>5753280000</v>
      </c>
      <c r="T229">
        <v>0.9</v>
      </c>
      <c r="U229" s="25">
        <v>1.18E-2</v>
      </c>
    </row>
    <row r="230" spans="1:21" hidden="1" x14ac:dyDescent="0.25">
      <c r="A230" t="s">
        <v>409</v>
      </c>
      <c r="B230">
        <v>22</v>
      </c>
      <c r="C230">
        <v>11.62</v>
      </c>
      <c r="D230">
        <v>0.39</v>
      </c>
      <c r="E230">
        <v>0.106</v>
      </c>
      <c r="F230" s="25">
        <v>2.8799999999999999E-2</v>
      </c>
      <c r="G230">
        <v>0.10199999999999999</v>
      </c>
      <c r="H230">
        <v>0.32</v>
      </c>
      <c r="I230">
        <v>2.38</v>
      </c>
      <c r="J230">
        <v>1.75</v>
      </c>
      <c r="K230">
        <v>7.91</v>
      </c>
      <c r="L230">
        <v>6.95</v>
      </c>
      <c r="M230" s="25">
        <v>4.48E-2</v>
      </c>
      <c r="N230" s="25">
        <v>1.1599999999999999E-2</v>
      </c>
      <c r="O230">
        <v>1.82</v>
      </c>
      <c r="P230" s="25">
        <v>6.4000000000000001E-2</v>
      </c>
      <c r="Q230" s="25">
        <v>3.3300000000000003E-2</v>
      </c>
      <c r="R230" s="26">
        <v>2114.7600000000002</v>
      </c>
      <c r="S230" s="26">
        <v>602064000</v>
      </c>
      <c r="T230">
        <v>1.99</v>
      </c>
      <c r="U230" s="25">
        <v>6.0199999999999997E-2</v>
      </c>
    </row>
    <row r="231" spans="1:21" hidden="1" x14ac:dyDescent="0.25">
      <c r="A231" t="s">
        <v>410</v>
      </c>
      <c r="B231">
        <v>29.02</v>
      </c>
      <c r="C231">
        <v>20.27</v>
      </c>
      <c r="D231">
        <v>1.93</v>
      </c>
      <c r="E231">
        <v>4.6669999999999998</v>
      </c>
      <c r="F231" s="25">
        <v>2.8999999999999998E-3</v>
      </c>
      <c r="G231">
        <v>0.46800000000000003</v>
      </c>
      <c r="H231">
        <v>2.34</v>
      </c>
      <c r="I231">
        <v>12.96</v>
      </c>
      <c r="J231">
        <v>-1.68</v>
      </c>
      <c r="K231">
        <v>20.350000000000001</v>
      </c>
      <c r="L231">
        <v>12.83</v>
      </c>
      <c r="M231" s="25">
        <v>0.36020000000000002</v>
      </c>
      <c r="N231" s="25">
        <v>0.46310000000000001</v>
      </c>
      <c r="O231">
        <v>5.31</v>
      </c>
      <c r="P231" s="25">
        <v>4.5600000000000002E-2</v>
      </c>
      <c r="Q231" s="25">
        <v>9.5100000000000004E-2</v>
      </c>
      <c r="R231" s="26">
        <v>7666510</v>
      </c>
      <c r="S231" s="26">
        <v>1762140000</v>
      </c>
      <c r="T231">
        <v>1.94</v>
      </c>
      <c r="U231" s="25">
        <v>1.01E-2</v>
      </c>
    </row>
    <row r="232" spans="1:21" hidden="1" x14ac:dyDescent="0.25">
      <c r="A232" t="s">
        <v>207</v>
      </c>
      <c r="B232">
        <v>5.38</v>
      </c>
      <c r="C232">
        <v>7.49</v>
      </c>
      <c r="D232">
        <v>0.86</v>
      </c>
      <c r="E232">
        <v>0.16600000000000001</v>
      </c>
      <c r="F232" s="25">
        <v>7.8200000000000006E-2</v>
      </c>
      <c r="G232">
        <v>0.122</v>
      </c>
      <c r="H232">
        <v>0.86</v>
      </c>
      <c r="I232">
        <v>1.48</v>
      </c>
      <c r="J232">
        <v>-0.25</v>
      </c>
      <c r="K232">
        <v>7.63</v>
      </c>
      <c r="L232">
        <v>4.71</v>
      </c>
      <c r="M232" s="25">
        <v>0.11219999999999999</v>
      </c>
      <c r="N232" s="25">
        <v>2.2100000000000002E-2</v>
      </c>
      <c r="O232">
        <v>1.62</v>
      </c>
      <c r="P232" s="25">
        <v>0.1004</v>
      </c>
      <c r="Q232" s="25">
        <v>0.1148</v>
      </c>
      <c r="R232" s="26">
        <v>3179510</v>
      </c>
      <c r="S232" s="26">
        <v>1791170000</v>
      </c>
      <c r="T232">
        <v>4.6399999999999997</v>
      </c>
      <c r="U232" s="25">
        <v>0.55510000000000004</v>
      </c>
    </row>
    <row r="233" spans="1:21" hidden="1" x14ac:dyDescent="0.25">
      <c r="A233" t="s">
        <v>109</v>
      </c>
      <c r="B233">
        <v>7.27</v>
      </c>
      <c r="C233">
        <v>7.57</v>
      </c>
      <c r="D233">
        <v>1.83</v>
      </c>
      <c r="E233">
        <v>0.82499999999999996</v>
      </c>
      <c r="F233" s="25">
        <v>9.01E-2</v>
      </c>
      <c r="G233">
        <v>0.86199999999999999</v>
      </c>
      <c r="H233">
        <v>2.6</v>
      </c>
      <c r="I233">
        <v>5.39</v>
      </c>
      <c r="J233">
        <v>6.53</v>
      </c>
      <c r="K233">
        <v>5.26</v>
      </c>
      <c r="L233">
        <v>4.5199999999999996</v>
      </c>
      <c r="M233" s="25">
        <v>0.15290000000000001</v>
      </c>
      <c r="N233" s="25">
        <v>0.1089</v>
      </c>
      <c r="O233">
        <v>2.0099999999999998</v>
      </c>
      <c r="P233" s="25">
        <v>0.23169999999999999</v>
      </c>
      <c r="Q233" s="25">
        <v>0.2417</v>
      </c>
      <c r="R233" s="26">
        <v>9547520</v>
      </c>
      <c r="S233" s="26">
        <v>714159000</v>
      </c>
      <c r="T233">
        <v>0.45</v>
      </c>
      <c r="U233" s="25">
        <v>0.16320000000000001</v>
      </c>
    </row>
    <row r="234" spans="1:21" hidden="1" x14ac:dyDescent="0.25">
      <c r="A234" t="s">
        <v>411</v>
      </c>
      <c r="B234">
        <v>18.690000000000001</v>
      </c>
      <c r="C234">
        <v>12.79</v>
      </c>
      <c r="D234">
        <v>2.68</v>
      </c>
      <c r="E234">
        <v>1.151</v>
      </c>
      <c r="F234" s="25">
        <v>6.2700000000000006E-2</v>
      </c>
      <c r="G234">
        <v>0.40200000000000002</v>
      </c>
      <c r="H234">
        <v>3.63</v>
      </c>
      <c r="I234">
        <v>5.04</v>
      </c>
      <c r="J234">
        <v>-0.7</v>
      </c>
      <c r="K234">
        <v>11.53</v>
      </c>
      <c r="L234">
        <v>5.88</v>
      </c>
      <c r="M234" s="25">
        <v>0.22819999999999999</v>
      </c>
      <c r="N234" s="25">
        <v>0.1013</v>
      </c>
      <c r="O234">
        <v>1.96</v>
      </c>
      <c r="P234" s="25">
        <v>9.5799999999999996E-2</v>
      </c>
      <c r="Q234" s="25">
        <v>0.2094</v>
      </c>
      <c r="R234" s="26">
        <v>91900600</v>
      </c>
      <c r="S234" s="26">
        <v>8626520000</v>
      </c>
      <c r="T234">
        <v>4.1900000000000004</v>
      </c>
      <c r="U234" s="25">
        <v>9.4899999999999998E-2</v>
      </c>
    </row>
    <row r="235" spans="1:21" hidden="1" x14ac:dyDescent="0.25">
      <c r="A235" t="s">
        <v>138</v>
      </c>
      <c r="B235">
        <v>3.82</v>
      </c>
      <c r="C235">
        <v>13.07</v>
      </c>
      <c r="D235">
        <v>2.74</v>
      </c>
      <c r="E235">
        <v>1.1759999999999999</v>
      </c>
      <c r="F235" s="25">
        <v>6.1400000000000003E-2</v>
      </c>
      <c r="G235">
        <v>0.41099999999999998</v>
      </c>
      <c r="H235">
        <v>3.71</v>
      </c>
      <c r="I235">
        <v>5.15</v>
      </c>
      <c r="J235">
        <v>-0.71</v>
      </c>
      <c r="K235">
        <v>11.64</v>
      </c>
      <c r="L235">
        <v>5.93</v>
      </c>
      <c r="M235" s="25">
        <v>0.22819999999999999</v>
      </c>
      <c r="N235" s="25">
        <v>0.1013</v>
      </c>
      <c r="O235">
        <v>1.96</v>
      </c>
      <c r="P235" s="25">
        <v>9.5799999999999996E-2</v>
      </c>
      <c r="Q235" s="25">
        <v>0.2094</v>
      </c>
      <c r="R235" s="26">
        <v>1475960</v>
      </c>
      <c r="S235" s="26">
        <v>8626520000</v>
      </c>
      <c r="T235">
        <v>4.1900000000000004</v>
      </c>
      <c r="U235" s="25">
        <v>9.4899999999999998E-2</v>
      </c>
    </row>
    <row r="236" spans="1:21" hidden="1" x14ac:dyDescent="0.25">
      <c r="A236" t="s">
        <v>147</v>
      </c>
      <c r="B236">
        <v>3.7</v>
      </c>
      <c r="C236">
        <v>12.66</v>
      </c>
      <c r="D236">
        <v>2.65</v>
      </c>
      <c r="E236">
        <v>1.139</v>
      </c>
      <c r="F236" s="25">
        <v>6.3399999999999998E-2</v>
      </c>
      <c r="G236">
        <v>0.39800000000000002</v>
      </c>
      <c r="H236">
        <v>3.59</v>
      </c>
      <c r="I236">
        <v>4.99</v>
      </c>
      <c r="J236">
        <v>-0.69</v>
      </c>
      <c r="K236">
        <v>11.47</v>
      </c>
      <c r="L236">
        <v>5.85</v>
      </c>
      <c r="M236" s="25">
        <v>0.22819999999999999</v>
      </c>
      <c r="N236" s="25">
        <v>0.1013</v>
      </c>
      <c r="O236">
        <v>1.96</v>
      </c>
      <c r="P236" s="25">
        <v>9.5799999999999996E-2</v>
      </c>
      <c r="Q236" s="25">
        <v>0.2094</v>
      </c>
      <c r="R236" s="26">
        <v>6801430</v>
      </c>
      <c r="S236" s="26">
        <v>8626520000</v>
      </c>
      <c r="T236">
        <v>4.1900000000000004</v>
      </c>
      <c r="U236" s="25">
        <v>9.4899999999999998E-2</v>
      </c>
    </row>
    <row r="237" spans="1:21" hidden="1" x14ac:dyDescent="0.25">
      <c r="A237" t="s">
        <v>47</v>
      </c>
      <c r="B237">
        <v>10.38</v>
      </c>
      <c r="C237">
        <v>94.09</v>
      </c>
      <c r="D237">
        <v>1.37</v>
      </c>
      <c r="E237">
        <v>13.502000000000001</v>
      </c>
      <c r="F237" s="25">
        <v>7.0000000000000001E-3</v>
      </c>
      <c r="G237">
        <v>1.0449999999999999</v>
      </c>
      <c r="H237">
        <v>-67.3</v>
      </c>
      <c r="I237">
        <v>26.47</v>
      </c>
      <c r="J237">
        <v>-6.04</v>
      </c>
      <c r="K237">
        <v>29.06</v>
      </c>
      <c r="L237">
        <v>26.74</v>
      </c>
      <c r="M237" s="25">
        <v>0.51</v>
      </c>
      <c r="N237" s="25">
        <v>0.14349999999999999</v>
      </c>
      <c r="O237">
        <v>0.8</v>
      </c>
      <c r="P237" s="25">
        <v>3.9699999999999999E-2</v>
      </c>
      <c r="Q237" s="25">
        <v>1.46E-2</v>
      </c>
      <c r="R237" s="26">
        <v>401438</v>
      </c>
      <c r="S237" s="26">
        <v>729614000</v>
      </c>
      <c r="T237">
        <v>0.14000000000000001</v>
      </c>
      <c r="U237" s="25">
        <v>-7.0300000000000001E-2</v>
      </c>
    </row>
    <row r="238" spans="1:21" x14ac:dyDescent="0.25">
      <c r="A238" t="s">
        <v>89</v>
      </c>
      <c r="B238">
        <v>11.92</v>
      </c>
      <c r="C238">
        <v>6.48</v>
      </c>
      <c r="D238">
        <v>1.56</v>
      </c>
      <c r="E238">
        <v>1.4570000000000001</v>
      </c>
      <c r="F238" s="25">
        <v>8.6099999999999996E-2</v>
      </c>
      <c r="G238">
        <v>0.66</v>
      </c>
      <c r="H238">
        <v>1.0900000000000001</v>
      </c>
      <c r="I238">
        <v>6.72</v>
      </c>
      <c r="J238">
        <v>2.48</v>
      </c>
      <c r="K238">
        <v>6.74</v>
      </c>
      <c r="L238">
        <v>6.72</v>
      </c>
      <c r="M238" s="25">
        <v>0.21690000000000001</v>
      </c>
      <c r="N238" s="25">
        <v>0.2606</v>
      </c>
      <c r="O238">
        <v>4.8499999999999996</v>
      </c>
      <c r="P238" s="25">
        <v>0.12559999999999999</v>
      </c>
      <c r="Q238" s="25">
        <v>0.2407</v>
      </c>
      <c r="R238" s="26">
        <v>5872680</v>
      </c>
      <c r="S238" s="26">
        <v>1493340000</v>
      </c>
      <c r="T238">
        <v>0.48</v>
      </c>
      <c r="U238" s="25">
        <v>0.3831</v>
      </c>
    </row>
    <row r="239" spans="1:21" hidden="1" x14ac:dyDescent="0.25">
      <c r="A239" t="s">
        <v>18</v>
      </c>
      <c r="B239">
        <v>28.61</v>
      </c>
      <c r="C239">
        <v>7.76</v>
      </c>
      <c r="D239">
        <v>4.37</v>
      </c>
      <c r="E239">
        <v>0.80700000000000005</v>
      </c>
      <c r="F239" s="25">
        <v>9.2200000000000004E-2</v>
      </c>
      <c r="G239">
        <v>1.0449999999999999</v>
      </c>
      <c r="H239">
        <v>6.76</v>
      </c>
      <c r="I239">
        <v>4.72</v>
      </c>
      <c r="J239">
        <v>-7.13</v>
      </c>
      <c r="K239">
        <v>5.58</v>
      </c>
      <c r="L239">
        <v>4.9000000000000004</v>
      </c>
      <c r="M239" s="25">
        <v>0.17100000000000001</v>
      </c>
      <c r="N239" s="25">
        <v>0.104</v>
      </c>
      <c r="O239">
        <v>1.34</v>
      </c>
      <c r="P239" s="25">
        <v>0.34749999999999998</v>
      </c>
      <c r="Q239" s="25">
        <v>0.56359999999999999</v>
      </c>
      <c r="R239" s="26">
        <v>7525650</v>
      </c>
      <c r="S239" s="26">
        <v>886641000</v>
      </c>
      <c r="T239">
        <v>1.1599999999999999</v>
      </c>
      <c r="U239" s="25">
        <v>0.14410000000000001</v>
      </c>
    </row>
    <row r="240" spans="1:21" hidden="1" x14ac:dyDescent="0.25">
      <c r="A240" t="s">
        <v>156</v>
      </c>
      <c r="B240">
        <v>6.2</v>
      </c>
      <c r="C240">
        <v>0.95</v>
      </c>
      <c r="D240">
        <v>0.41</v>
      </c>
      <c r="E240">
        <v>0.151</v>
      </c>
      <c r="F240" s="25">
        <v>0</v>
      </c>
      <c r="G240">
        <v>8.5999999999999993E-2</v>
      </c>
      <c r="H240">
        <v>0.89</v>
      </c>
      <c r="I240">
        <v>1.2</v>
      </c>
      <c r="J240">
        <v>-0.18</v>
      </c>
      <c r="K240">
        <v>4.5</v>
      </c>
      <c r="L240">
        <v>3.07</v>
      </c>
      <c r="M240" s="25">
        <v>0.1263</v>
      </c>
      <c r="N240" s="25">
        <v>0.15820000000000001</v>
      </c>
      <c r="O240">
        <v>1.44</v>
      </c>
      <c r="P240" s="25">
        <v>9.2100000000000001E-2</v>
      </c>
      <c r="Q240" s="25">
        <v>0.42920000000000003</v>
      </c>
      <c r="R240" s="26">
        <v>8695410</v>
      </c>
      <c r="S240" s="26">
        <v>5639690000</v>
      </c>
      <c r="T240">
        <v>1.77</v>
      </c>
      <c r="U240" s="25">
        <v>1.54E-2</v>
      </c>
    </row>
    <row r="241" spans="1:21" hidden="1" x14ac:dyDescent="0.25">
      <c r="A241" t="s">
        <v>412</v>
      </c>
      <c r="B241">
        <v>36.01</v>
      </c>
      <c r="C241">
        <v>16.64</v>
      </c>
      <c r="D241">
        <v>1.82</v>
      </c>
      <c r="E241">
        <v>0</v>
      </c>
      <c r="F241" s="25">
        <v>3.95E-2</v>
      </c>
      <c r="G241">
        <v>1.706</v>
      </c>
      <c r="H241">
        <v>6.65</v>
      </c>
      <c r="I241">
        <v>-54.89</v>
      </c>
      <c r="J241">
        <v>7.07</v>
      </c>
      <c r="K241">
        <v>-45.91</v>
      </c>
      <c r="L241">
        <v>-45.91</v>
      </c>
      <c r="M241" s="25">
        <v>0</v>
      </c>
      <c r="N241" s="25">
        <v>0</v>
      </c>
      <c r="O241">
        <v>6.18</v>
      </c>
      <c r="P241" s="25">
        <v>-4.3099999999999999E-2</v>
      </c>
      <c r="Q241" s="25">
        <v>0.1096</v>
      </c>
      <c r="R241" s="26">
        <v>171.48</v>
      </c>
      <c r="S241" s="26">
        <v>232276000</v>
      </c>
      <c r="T241">
        <v>0</v>
      </c>
      <c r="U241" s="25">
        <v>0</v>
      </c>
    </row>
    <row r="242" spans="1:21" hidden="1" x14ac:dyDescent="0.25">
      <c r="A242" t="s">
        <v>253</v>
      </c>
      <c r="B242">
        <v>2.5299999999999998</v>
      </c>
      <c r="C242">
        <v>-5.81</v>
      </c>
      <c r="D242">
        <v>0.92</v>
      </c>
      <c r="E242">
        <v>0.17899999999999999</v>
      </c>
      <c r="F242" s="25">
        <v>4.82E-2</v>
      </c>
      <c r="G242">
        <v>0.14399999999999999</v>
      </c>
      <c r="H242">
        <v>0.59</v>
      </c>
      <c r="I242">
        <v>6.75</v>
      </c>
      <c r="J242">
        <v>-0.96</v>
      </c>
      <c r="K242">
        <v>9.07</v>
      </c>
      <c r="L242">
        <v>3.19</v>
      </c>
      <c r="M242" s="25">
        <v>2.6599999999999999E-2</v>
      </c>
      <c r="N242" s="25">
        <v>-3.09E-2</v>
      </c>
      <c r="O242">
        <v>1.54</v>
      </c>
      <c r="P242" s="25">
        <v>2.64E-2</v>
      </c>
      <c r="Q242" s="25">
        <v>-0.15840000000000001</v>
      </c>
      <c r="R242" s="26">
        <v>5515910</v>
      </c>
      <c r="S242" s="26">
        <v>536003000</v>
      </c>
      <c r="T242">
        <v>0.93</v>
      </c>
      <c r="U242" s="25">
        <v>0.1094</v>
      </c>
    </row>
    <row r="243" spans="1:21" hidden="1" x14ac:dyDescent="0.25">
      <c r="A243" t="s">
        <v>143</v>
      </c>
      <c r="B243">
        <v>19.78</v>
      </c>
      <c r="C243">
        <v>4.6399999999999997</v>
      </c>
      <c r="D243">
        <v>0.47</v>
      </c>
      <c r="E243">
        <v>7.8550000000000004</v>
      </c>
      <c r="F243" s="25">
        <v>9.8799999999999999E-2</v>
      </c>
      <c r="G243">
        <v>0.25800000000000001</v>
      </c>
      <c r="H243">
        <v>12.45</v>
      </c>
      <c r="I243">
        <v>10.9</v>
      </c>
      <c r="J243">
        <v>-0.81</v>
      </c>
      <c r="K243">
        <v>22.93</v>
      </c>
      <c r="L243">
        <v>22.06</v>
      </c>
      <c r="M243" s="25">
        <v>0.72060000000000002</v>
      </c>
      <c r="N243" s="25">
        <v>1.6971000000000001</v>
      </c>
      <c r="O243">
        <v>1.18</v>
      </c>
      <c r="P243" s="25">
        <v>2.4199999999999999E-2</v>
      </c>
      <c r="Q243" s="25">
        <v>0.10199999999999999</v>
      </c>
      <c r="R243" s="26">
        <v>4463590</v>
      </c>
      <c r="S243" s="26">
        <v>3672920000</v>
      </c>
      <c r="T243">
        <v>0.55000000000000004</v>
      </c>
      <c r="U243" s="25">
        <v>0.12239999999999999</v>
      </c>
    </row>
    <row r="244" spans="1:21" hidden="1" x14ac:dyDescent="0.25">
      <c r="A244" t="s">
        <v>212</v>
      </c>
      <c r="B244">
        <v>25.03</v>
      </c>
      <c r="C244">
        <v>37.39</v>
      </c>
      <c r="D244">
        <v>2.65</v>
      </c>
      <c r="E244">
        <v>0.93899999999999995</v>
      </c>
      <c r="F244" s="25">
        <v>0</v>
      </c>
      <c r="G244">
        <v>0.68100000000000005</v>
      </c>
      <c r="H244">
        <v>25.44</v>
      </c>
      <c r="I244">
        <v>10.07</v>
      </c>
      <c r="J244">
        <v>-1.42</v>
      </c>
      <c r="K244">
        <v>15.11</v>
      </c>
      <c r="L244">
        <v>7.28</v>
      </c>
      <c r="M244" s="25">
        <v>9.3200000000000005E-2</v>
      </c>
      <c r="N244" s="25">
        <v>2.5100000000000001E-2</v>
      </c>
      <c r="O244">
        <v>1.1100000000000001</v>
      </c>
      <c r="P244" s="25">
        <v>7.6499999999999999E-2</v>
      </c>
      <c r="Q244" s="25">
        <v>7.0999999999999994E-2</v>
      </c>
      <c r="R244" s="26">
        <v>388619</v>
      </c>
      <c r="S244" s="26">
        <v>1011710000</v>
      </c>
      <c r="T244">
        <v>1.66</v>
      </c>
      <c r="U244" s="25">
        <v>0.2581</v>
      </c>
    </row>
    <row r="245" spans="1:21" hidden="1" x14ac:dyDescent="0.25">
      <c r="A245" t="s">
        <v>163</v>
      </c>
      <c r="B245">
        <v>1.46</v>
      </c>
      <c r="C245">
        <v>10.41</v>
      </c>
      <c r="D245">
        <v>0.93</v>
      </c>
      <c r="E245">
        <v>1.0629999999999999</v>
      </c>
      <c r="F245" s="25">
        <v>4.99E-2</v>
      </c>
      <c r="G245">
        <v>0.52200000000000002</v>
      </c>
      <c r="H245">
        <v>4.7699999999999996</v>
      </c>
      <c r="I245">
        <v>5.59</v>
      </c>
      <c r="J245">
        <v>-3.68</v>
      </c>
      <c r="K245">
        <v>3.6</v>
      </c>
      <c r="L245">
        <v>2.38</v>
      </c>
      <c r="M245" s="25">
        <v>0.19009999999999999</v>
      </c>
      <c r="N245" s="25">
        <v>0.16400000000000001</v>
      </c>
      <c r="O245">
        <v>1.56</v>
      </c>
      <c r="P245" s="25">
        <v>0.1168</v>
      </c>
      <c r="Q245" s="25">
        <v>8.8999999999999996E-2</v>
      </c>
      <c r="R245" s="26">
        <v>150529</v>
      </c>
      <c r="S245" s="26">
        <v>232403000</v>
      </c>
      <c r="T245">
        <v>0</v>
      </c>
      <c r="U245" s="25">
        <v>-3.5000000000000001E-3</v>
      </c>
    </row>
    <row r="246" spans="1:21" hidden="1" x14ac:dyDescent="0.25">
      <c r="A246" t="s">
        <v>205</v>
      </c>
      <c r="B246">
        <v>17.63</v>
      </c>
      <c r="C246">
        <v>14.61</v>
      </c>
      <c r="D246">
        <v>1.82</v>
      </c>
      <c r="E246">
        <v>1.264</v>
      </c>
      <c r="F246" s="25">
        <v>4.0500000000000001E-2</v>
      </c>
      <c r="G246">
        <v>1.012</v>
      </c>
      <c r="H246">
        <v>4.41</v>
      </c>
      <c r="I246">
        <v>5.9</v>
      </c>
      <c r="J246">
        <v>7.9</v>
      </c>
      <c r="K246">
        <v>5.52</v>
      </c>
      <c r="L246">
        <v>3.95</v>
      </c>
      <c r="M246" s="25">
        <v>0.21429999999999999</v>
      </c>
      <c r="N246" s="25">
        <v>8.6499999999999994E-2</v>
      </c>
      <c r="O246">
        <v>1.67</v>
      </c>
      <c r="P246" s="25">
        <v>0.2056</v>
      </c>
      <c r="Q246" s="25">
        <v>0.1245</v>
      </c>
      <c r="R246" s="26">
        <v>230570000</v>
      </c>
      <c r="S246" s="26">
        <v>10265800000</v>
      </c>
      <c r="T246">
        <v>0.04</v>
      </c>
      <c r="U246" s="25">
        <v>0.1731</v>
      </c>
    </row>
    <row r="247" spans="1:21" hidden="1" x14ac:dyDescent="0.25">
      <c r="A247" t="s">
        <v>191</v>
      </c>
      <c r="B247">
        <v>1.17</v>
      </c>
      <c r="C247">
        <v>-1.43</v>
      </c>
      <c r="D247">
        <v>0.42</v>
      </c>
      <c r="E247">
        <v>0.48</v>
      </c>
      <c r="F247" s="25">
        <v>0</v>
      </c>
      <c r="G247">
        <v>0.10100000000000001</v>
      </c>
      <c r="H247">
        <v>3.17</v>
      </c>
      <c r="I247">
        <v>-2.95</v>
      </c>
      <c r="J247">
        <v>-0.21</v>
      </c>
      <c r="K247">
        <v>-13.25</v>
      </c>
      <c r="L247">
        <v>-13.25</v>
      </c>
      <c r="M247" s="25">
        <v>-0.16259999999999999</v>
      </c>
      <c r="N247" s="25">
        <v>-0.33560000000000001</v>
      </c>
      <c r="O247">
        <v>1.1299999999999999</v>
      </c>
      <c r="P247" s="25">
        <v>-3.5999999999999997E-2</v>
      </c>
      <c r="Q247" s="25">
        <v>-0.2949</v>
      </c>
      <c r="R247" s="26">
        <v>57600.3</v>
      </c>
      <c r="S247" s="26">
        <v>121242000</v>
      </c>
      <c r="T247">
        <v>1.49</v>
      </c>
      <c r="U247" s="25">
        <v>0.11890000000000001</v>
      </c>
    </row>
    <row r="248" spans="1:21" hidden="1" x14ac:dyDescent="0.25">
      <c r="A248" t="s">
        <v>413</v>
      </c>
      <c r="B248">
        <v>4.0999999999999996</v>
      </c>
      <c r="C248">
        <v>4.67</v>
      </c>
      <c r="D248">
        <v>1.08</v>
      </c>
      <c r="E248">
        <v>1.26</v>
      </c>
      <c r="F248" s="25">
        <v>2.8299999999999999E-2</v>
      </c>
      <c r="G248">
        <v>0.76900000000000002</v>
      </c>
      <c r="H248">
        <v>17.96</v>
      </c>
      <c r="I248">
        <v>9.0500000000000007</v>
      </c>
      <c r="J248">
        <v>-5.3</v>
      </c>
      <c r="K248">
        <v>9.08</v>
      </c>
      <c r="L248">
        <v>4.83</v>
      </c>
      <c r="M248" s="25">
        <v>0.13930000000000001</v>
      </c>
      <c r="N248" s="25">
        <v>0.26989999999999997</v>
      </c>
      <c r="O248">
        <v>1.41</v>
      </c>
      <c r="P248" s="25">
        <v>9.5500000000000002E-2</v>
      </c>
      <c r="Q248" s="25">
        <v>0.2324</v>
      </c>
      <c r="R248" s="26">
        <v>8469.43</v>
      </c>
      <c r="S248" s="26">
        <v>157085000</v>
      </c>
      <c r="T248">
        <v>0.12</v>
      </c>
      <c r="U248" s="25">
        <v>5.0099999999999999E-2</v>
      </c>
    </row>
    <row r="249" spans="1:21" hidden="1" x14ac:dyDescent="0.25">
      <c r="A249" t="s">
        <v>178</v>
      </c>
      <c r="B249">
        <v>3.65</v>
      </c>
      <c r="C249">
        <v>7.22</v>
      </c>
      <c r="D249">
        <v>0.35</v>
      </c>
      <c r="E249">
        <v>0.27500000000000002</v>
      </c>
      <c r="F249" s="25">
        <v>5.21E-2</v>
      </c>
      <c r="G249">
        <v>0.154</v>
      </c>
      <c r="H249">
        <v>0.73</v>
      </c>
      <c r="I249">
        <v>1.19</v>
      </c>
      <c r="J249">
        <v>-2.09</v>
      </c>
      <c r="K249">
        <v>0.45</v>
      </c>
      <c r="L249">
        <v>0.22</v>
      </c>
      <c r="M249" s="25">
        <v>0.23200000000000001</v>
      </c>
      <c r="N249" s="25">
        <v>3.8100000000000002E-2</v>
      </c>
      <c r="O249">
        <v>1.76</v>
      </c>
      <c r="P249" s="25">
        <v>0.15579999999999999</v>
      </c>
      <c r="Q249" s="25">
        <v>4.8399999999999999E-2</v>
      </c>
      <c r="R249" s="26">
        <v>318194</v>
      </c>
      <c r="S249" s="26">
        <v>662855000</v>
      </c>
      <c r="T249">
        <v>0</v>
      </c>
      <c r="U249" s="25">
        <v>-9.2299999999999993E-2</v>
      </c>
    </row>
    <row r="250" spans="1:21" hidden="1" x14ac:dyDescent="0.25">
      <c r="A250" t="s">
        <v>162</v>
      </c>
      <c r="B250">
        <v>3.9</v>
      </c>
      <c r="C250">
        <v>67.849999999999994</v>
      </c>
      <c r="D250">
        <v>0.81</v>
      </c>
      <c r="E250">
        <v>1.579</v>
      </c>
      <c r="F250" s="25">
        <v>1.83E-2</v>
      </c>
      <c r="G250">
        <v>0.55200000000000005</v>
      </c>
      <c r="H250">
        <v>11.37</v>
      </c>
      <c r="I250">
        <v>17.96</v>
      </c>
      <c r="J250">
        <v>31.39</v>
      </c>
      <c r="K250">
        <v>14.74</v>
      </c>
      <c r="L250">
        <v>7.07</v>
      </c>
      <c r="M250" s="25">
        <v>8.7900000000000006E-2</v>
      </c>
      <c r="N250" s="25">
        <v>2.3300000000000001E-2</v>
      </c>
      <c r="O250">
        <v>1.17</v>
      </c>
      <c r="P250" s="25">
        <v>3.5299999999999998E-2</v>
      </c>
      <c r="Q250" s="25">
        <v>1.1900000000000001E-2</v>
      </c>
      <c r="R250" s="26">
        <v>25443600</v>
      </c>
      <c r="S250" s="26">
        <v>2736470000</v>
      </c>
      <c r="T250">
        <v>0.03</v>
      </c>
      <c r="U250" s="25">
        <v>0.2555</v>
      </c>
    </row>
    <row r="251" spans="1:21" hidden="1" x14ac:dyDescent="0.25">
      <c r="A251" t="s">
        <v>414</v>
      </c>
      <c r="B251">
        <v>3.05</v>
      </c>
      <c r="C251">
        <v>-17.41</v>
      </c>
      <c r="D251">
        <v>-0.43</v>
      </c>
      <c r="E251">
        <v>0</v>
      </c>
      <c r="F251" s="25">
        <v>0</v>
      </c>
      <c r="G251">
        <v>3.621</v>
      </c>
      <c r="H251">
        <v>-49.17</v>
      </c>
      <c r="I251">
        <v>-22.79</v>
      </c>
      <c r="J251">
        <v>-0.39</v>
      </c>
      <c r="K251">
        <v>-22.78</v>
      </c>
      <c r="L251">
        <v>-22.78</v>
      </c>
      <c r="M251" s="25">
        <v>0</v>
      </c>
      <c r="N251" s="25">
        <v>0</v>
      </c>
      <c r="O251">
        <v>0.02</v>
      </c>
      <c r="P251" s="25">
        <v>-0.1595</v>
      </c>
      <c r="Q251" s="25">
        <v>2.4899999999999999E-2</v>
      </c>
      <c r="R251" s="26">
        <v>7.26</v>
      </c>
      <c r="S251" s="26">
        <v>-6474000</v>
      </c>
      <c r="T251">
        <v>0</v>
      </c>
      <c r="U251" s="25">
        <v>0</v>
      </c>
    </row>
    <row r="252" spans="1:21" hidden="1" x14ac:dyDescent="0.25">
      <c r="A252" t="s">
        <v>415</v>
      </c>
      <c r="B252">
        <v>3.8</v>
      </c>
      <c r="C252">
        <v>-21.69</v>
      </c>
      <c r="D252">
        <v>-0.54</v>
      </c>
      <c r="E252">
        <v>0</v>
      </c>
      <c r="F252" s="25">
        <v>0</v>
      </c>
      <c r="G252">
        <v>4.5119999999999996</v>
      </c>
      <c r="H252">
        <v>-61.27</v>
      </c>
      <c r="I252">
        <v>-28.39</v>
      </c>
      <c r="J252">
        <v>-0.48</v>
      </c>
      <c r="K252">
        <v>-28.38</v>
      </c>
      <c r="L252">
        <v>-28.38</v>
      </c>
      <c r="M252" s="25">
        <v>0</v>
      </c>
      <c r="N252" s="25">
        <v>0</v>
      </c>
      <c r="O252">
        <v>0.02</v>
      </c>
      <c r="P252" s="25">
        <v>-0.1595</v>
      </c>
      <c r="Q252" s="25">
        <v>2.4899999999999999E-2</v>
      </c>
      <c r="R252" s="26">
        <v>5760.69</v>
      </c>
      <c r="S252" s="26">
        <v>-6474000</v>
      </c>
      <c r="T252">
        <v>0</v>
      </c>
      <c r="U252" s="25">
        <v>0</v>
      </c>
    </row>
    <row r="253" spans="1:21" hidden="1" x14ac:dyDescent="0.25">
      <c r="A253" t="s">
        <v>188</v>
      </c>
      <c r="B253">
        <v>4.3499999999999996</v>
      </c>
      <c r="C253">
        <v>-4.09</v>
      </c>
      <c r="D253">
        <v>1.02</v>
      </c>
      <c r="E253">
        <v>0.68899999999999995</v>
      </c>
      <c r="F253" s="25">
        <v>1.72E-2</v>
      </c>
      <c r="G253">
        <v>0.33700000000000002</v>
      </c>
      <c r="H253">
        <v>1.47</v>
      </c>
      <c r="I253">
        <v>4.5</v>
      </c>
      <c r="J253">
        <v>-1.08</v>
      </c>
      <c r="K253">
        <v>6.82</v>
      </c>
      <c r="L253">
        <v>5.12</v>
      </c>
      <c r="M253" s="25">
        <v>0.153</v>
      </c>
      <c r="N253" s="25">
        <v>-0.16320000000000001</v>
      </c>
      <c r="O253">
        <v>2.95</v>
      </c>
      <c r="P253" s="25">
        <v>9.1899999999999996E-2</v>
      </c>
      <c r="Q253" s="25">
        <v>-0.248</v>
      </c>
      <c r="R253" s="26">
        <v>1372410</v>
      </c>
      <c r="S253" s="26">
        <v>1454640000</v>
      </c>
      <c r="T253">
        <v>0.98</v>
      </c>
      <c r="U253" s="25">
        <v>0.33379999999999999</v>
      </c>
    </row>
    <row r="254" spans="1:21" hidden="1" x14ac:dyDescent="0.25">
      <c r="A254" t="s">
        <v>85</v>
      </c>
      <c r="B254">
        <v>25.19</v>
      </c>
      <c r="C254">
        <v>15.24</v>
      </c>
      <c r="D254">
        <v>1.07</v>
      </c>
      <c r="E254">
        <v>0.878</v>
      </c>
      <c r="F254" s="25">
        <v>2.3E-2</v>
      </c>
      <c r="G254">
        <v>0.66700000000000004</v>
      </c>
      <c r="H254" s="26">
        <v>2.69</v>
      </c>
      <c r="I254">
        <v>9.9700000000000006</v>
      </c>
      <c r="J254">
        <v>8.01</v>
      </c>
      <c r="K254">
        <v>10</v>
      </c>
      <c r="L254">
        <v>6.93</v>
      </c>
      <c r="M254" s="25">
        <v>8.7999999999999995E-2</v>
      </c>
      <c r="N254" s="25">
        <v>5.7599999999999998E-2</v>
      </c>
      <c r="O254">
        <v>2.15</v>
      </c>
      <c r="P254" s="25">
        <v>9.0499999999999997E-2</v>
      </c>
      <c r="Q254" s="25">
        <v>7.0400000000000004E-2</v>
      </c>
      <c r="R254" s="26">
        <v>13998900</v>
      </c>
      <c r="S254" s="26">
        <v>7956180000</v>
      </c>
      <c r="T254">
        <v>0.28999999999999998</v>
      </c>
      <c r="U254" s="25">
        <v>9.1300000000000006E-2</v>
      </c>
    </row>
    <row r="255" spans="1:21" hidden="1" x14ac:dyDescent="0.25">
      <c r="A255" t="s">
        <v>171</v>
      </c>
      <c r="B255">
        <v>21.35</v>
      </c>
      <c r="C255">
        <v>6.49</v>
      </c>
      <c r="D255">
        <v>1.1200000000000001</v>
      </c>
      <c r="E255">
        <v>1.0660000000000001</v>
      </c>
      <c r="F255" s="25">
        <v>5.8099999999999999E-2</v>
      </c>
      <c r="G255">
        <v>0.43099999999999999</v>
      </c>
      <c r="H255" s="26">
        <v>1.43</v>
      </c>
      <c r="I255">
        <v>5.73</v>
      </c>
      <c r="J255">
        <v>-3.25</v>
      </c>
      <c r="K255">
        <v>6.13</v>
      </c>
      <c r="L255">
        <v>5.91</v>
      </c>
      <c r="M255" s="25">
        <v>0.18609999999999999</v>
      </c>
      <c r="N255" s="25">
        <v>0.16420000000000001</v>
      </c>
      <c r="O255">
        <v>2.62</v>
      </c>
      <c r="P255" s="25">
        <v>8.6800000000000002E-2</v>
      </c>
      <c r="Q255" s="25">
        <v>0.17330000000000001</v>
      </c>
      <c r="R255" s="26">
        <v>18106800</v>
      </c>
      <c r="S255" s="26">
        <v>1611720000</v>
      </c>
      <c r="T255">
        <v>0.33</v>
      </c>
      <c r="U255" s="25">
        <v>0.31069999999999998</v>
      </c>
    </row>
    <row r="256" spans="1:21" hidden="1" x14ac:dyDescent="0.25">
      <c r="A256" t="s">
        <v>41</v>
      </c>
      <c r="B256">
        <v>1.36</v>
      </c>
      <c r="C256">
        <v>-4.4800000000000004</v>
      </c>
      <c r="D256">
        <v>0.39</v>
      </c>
      <c r="E256">
        <v>0.17499999999999999</v>
      </c>
      <c r="F256" s="25">
        <v>0</v>
      </c>
      <c r="G256">
        <v>0.14699999999999999</v>
      </c>
      <c r="H256">
        <v>-1.83</v>
      </c>
      <c r="I256">
        <v>-3.64</v>
      </c>
      <c r="J256">
        <v>-0.31</v>
      </c>
      <c r="K256">
        <v>-7.31</v>
      </c>
      <c r="L256">
        <v>5.53</v>
      </c>
      <c r="M256" s="25">
        <v>-4.82E-2</v>
      </c>
      <c r="N256" s="25">
        <v>-3.9199999999999999E-2</v>
      </c>
      <c r="O256">
        <v>0.66</v>
      </c>
      <c r="P256" s="25">
        <v>-4.7500000000000001E-2</v>
      </c>
      <c r="Q256" s="25">
        <v>-8.8099999999999998E-2</v>
      </c>
      <c r="R256" s="26">
        <v>464184</v>
      </c>
      <c r="S256" s="26">
        <v>987889000</v>
      </c>
      <c r="T256">
        <v>0.59</v>
      </c>
      <c r="U256" s="25">
        <v>0.1593</v>
      </c>
    </row>
    <row r="257" spans="1:21" hidden="1" x14ac:dyDescent="0.25">
      <c r="A257" t="s">
        <v>102</v>
      </c>
      <c r="B257">
        <v>3.4</v>
      </c>
      <c r="C257">
        <v>12.88</v>
      </c>
      <c r="D257">
        <v>0.65</v>
      </c>
      <c r="E257">
        <v>0.69499999999999995</v>
      </c>
      <c r="F257" s="25">
        <v>0.34539999999999998</v>
      </c>
      <c r="G257">
        <v>0.28199999999999997</v>
      </c>
      <c r="H257">
        <v>0.56999999999999995</v>
      </c>
      <c r="I257">
        <v>11.02</v>
      </c>
      <c r="J257">
        <v>1.06</v>
      </c>
      <c r="K257">
        <v>11.01</v>
      </c>
      <c r="L257">
        <v>10.37</v>
      </c>
      <c r="M257" s="25">
        <v>6.3100000000000003E-2</v>
      </c>
      <c r="N257" s="25">
        <v>0.11459999999999999</v>
      </c>
      <c r="O257">
        <v>2.78</v>
      </c>
      <c r="P257" s="25">
        <v>3.0599999999999999E-2</v>
      </c>
      <c r="Q257" s="25">
        <v>5.0299999999999997E-2</v>
      </c>
      <c r="R257" s="26">
        <v>1382540</v>
      </c>
      <c r="S257" s="26">
        <v>1083040000</v>
      </c>
      <c r="T257">
        <v>0.32</v>
      </c>
      <c r="U257" s="25">
        <v>0.1419</v>
      </c>
    </row>
    <row r="258" spans="1:21" hidden="1" x14ac:dyDescent="0.25">
      <c r="A258" t="s">
        <v>262</v>
      </c>
      <c r="B258">
        <v>3.96</v>
      </c>
      <c r="C258">
        <v>-0.91</v>
      </c>
      <c r="D258">
        <v>2.46</v>
      </c>
      <c r="E258">
        <v>2.4E-2</v>
      </c>
      <c r="F258" s="25">
        <v>0</v>
      </c>
      <c r="G258">
        <v>2.9000000000000001E-2</v>
      </c>
      <c r="H258">
        <v>0.17</v>
      </c>
      <c r="I258">
        <v>0.31</v>
      </c>
      <c r="J258">
        <v>-0.06</v>
      </c>
      <c r="K258">
        <v>7.88</v>
      </c>
      <c r="L258">
        <v>6.11</v>
      </c>
      <c r="M258" s="25">
        <v>7.6999999999999999E-2</v>
      </c>
      <c r="N258" s="25">
        <v>-2.5899999999999999E-2</v>
      </c>
      <c r="O258">
        <v>1.56</v>
      </c>
      <c r="P258" s="25">
        <v>0.1167</v>
      </c>
      <c r="Q258" s="25">
        <v>-2.6882999999999999</v>
      </c>
      <c r="R258" s="26">
        <v>12190.7</v>
      </c>
      <c r="S258" s="26">
        <v>9319000</v>
      </c>
      <c r="T258">
        <v>66.91</v>
      </c>
      <c r="U258" s="25">
        <v>9.9000000000000005E-2</v>
      </c>
    </row>
    <row r="259" spans="1:21" hidden="1" x14ac:dyDescent="0.25">
      <c r="A259" t="s">
        <v>416</v>
      </c>
      <c r="B259">
        <v>7.8</v>
      </c>
      <c r="C259">
        <v>13.3</v>
      </c>
      <c r="D259">
        <v>0.51</v>
      </c>
      <c r="E259">
        <v>0.151</v>
      </c>
      <c r="F259" s="25">
        <v>3.9199999999999999E-2</v>
      </c>
      <c r="G259">
        <v>0.16200000000000001</v>
      </c>
      <c r="H259">
        <v>1.9</v>
      </c>
      <c r="I259">
        <v>3.19</v>
      </c>
      <c r="J259">
        <v>-0.94</v>
      </c>
      <c r="K259">
        <v>4.7699999999999996</v>
      </c>
      <c r="L259">
        <v>2.75</v>
      </c>
      <c r="M259" s="25">
        <v>4.7300000000000002E-2</v>
      </c>
      <c r="N259" s="25">
        <v>1.14E-2</v>
      </c>
      <c r="O259">
        <v>1.2</v>
      </c>
      <c r="P259" s="25">
        <v>7.2499999999999995E-2</v>
      </c>
      <c r="Q259" s="25">
        <v>3.8199999999999998E-2</v>
      </c>
      <c r="R259" s="26">
        <v>252933000</v>
      </c>
      <c r="S259" s="26">
        <v>11357900000</v>
      </c>
      <c r="T259">
        <v>0.4</v>
      </c>
      <c r="U259" s="25">
        <v>3.7999999999999999E-2</v>
      </c>
    </row>
    <row r="260" spans="1:21" hidden="1" x14ac:dyDescent="0.25">
      <c r="A260" t="s">
        <v>159</v>
      </c>
      <c r="B260">
        <v>10.93</v>
      </c>
      <c r="C260">
        <v>8.98</v>
      </c>
      <c r="D260">
        <v>1.72</v>
      </c>
      <c r="E260">
        <v>1.5660000000000001</v>
      </c>
      <c r="F260" s="25">
        <v>4.7300000000000002E-2</v>
      </c>
      <c r="G260">
        <v>0.65700000000000003</v>
      </c>
      <c r="H260">
        <v>3.43</v>
      </c>
      <c r="I260">
        <v>4.58</v>
      </c>
      <c r="J260">
        <v>-2.52</v>
      </c>
      <c r="K260">
        <v>6.7</v>
      </c>
      <c r="L260">
        <v>4.6900000000000004</v>
      </c>
      <c r="M260" s="25">
        <v>0.34150000000000003</v>
      </c>
      <c r="N260" s="25">
        <v>0.17460000000000001</v>
      </c>
      <c r="O260">
        <v>2.17</v>
      </c>
      <c r="P260" s="25">
        <v>0.18529999999999999</v>
      </c>
      <c r="Q260" s="25">
        <v>0.19170000000000001</v>
      </c>
      <c r="R260" s="26">
        <v>7773120</v>
      </c>
      <c r="S260" s="26">
        <v>1487240000</v>
      </c>
      <c r="T260">
        <v>1.28</v>
      </c>
      <c r="U260" s="25">
        <v>0.32</v>
      </c>
    </row>
    <row r="261" spans="1:21" hidden="1" x14ac:dyDescent="0.25">
      <c r="A261" t="s">
        <v>181</v>
      </c>
      <c r="B261">
        <v>1.05</v>
      </c>
      <c r="C261">
        <v>-4.59</v>
      </c>
      <c r="D261">
        <v>0.28999999999999998</v>
      </c>
      <c r="E261">
        <v>0.252</v>
      </c>
      <c r="F261" s="25">
        <v>0</v>
      </c>
      <c r="G261">
        <v>0.16300000000000001</v>
      </c>
      <c r="H261">
        <v>0.46</v>
      </c>
      <c r="I261">
        <v>-5.97</v>
      </c>
      <c r="J261">
        <v>0.71</v>
      </c>
      <c r="K261">
        <v>-7.47</v>
      </c>
      <c r="L261">
        <v>-12.78</v>
      </c>
      <c r="M261" s="25">
        <v>-4.2200000000000001E-2</v>
      </c>
      <c r="N261" s="25">
        <v>-5.4800000000000001E-2</v>
      </c>
      <c r="O261">
        <v>2.11</v>
      </c>
      <c r="P261" s="25">
        <v>-3.78E-2</v>
      </c>
      <c r="Q261" s="25">
        <v>-6.3500000000000001E-2</v>
      </c>
      <c r="R261" s="26">
        <v>1495160</v>
      </c>
      <c r="S261" s="26">
        <v>2953430000</v>
      </c>
      <c r="T261">
        <v>0.23</v>
      </c>
      <c r="U261" s="25">
        <v>-9.1899999999999996E-2</v>
      </c>
    </row>
    <row r="262" spans="1:21" hidden="1" x14ac:dyDescent="0.25">
      <c r="A262" t="s">
        <v>417</v>
      </c>
      <c r="B262">
        <v>17.399999999999999</v>
      </c>
      <c r="C262">
        <v>66.39</v>
      </c>
      <c r="D262">
        <v>1.08</v>
      </c>
      <c r="E262">
        <v>0.17399999999999999</v>
      </c>
      <c r="F262" s="25">
        <v>0</v>
      </c>
      <c r="G262">
        <v>0.122</v>
      </c>
      <c r="H262">
        <v>-1.25</v>
      </c>
      <c r="I262">
        <v>1.72</v>
      </c>
      <c r="J262">
        <v>-0.26</v>
      </c>
      <c r="K262">
        <v>6.46</v>
      </c>
      <c r="L262">
        <v>5.59</v>
      </c>
      <c r="M262" s="25">
        <v>0.10150000000000001</v>
      </c>
      <c r="N262" s="25">
        <v>2.5999999999999999E-3</v>
      </c>
      <c r="O262">
        <v>0.81</v>
      </c>
      <c r="P262" s="25">
        <v>7.6300000000000007E-2</v>
      </c>
      <c r="Q262" s="25">
        <v>1.6199999999999999E-2</v>
      </c>
      <c r="R262" s="26">
        <v>22725</v>
      </c>
      <c r="S262" s="26">
        <v>160158000</v>
      </c>
      <c r="T262">
        <v>3</v>
      </c>
      <c r="U262" s="25">
        <v>0.1429</v>
      </c>
    </row>
    <row r="263" spans="1:21" hidden="1" x14ac:dyDescent="0.25">
      <c r="A263" t="s">
        <v>418</v>
      </c>
      <c r="B263">
        <v>26.09</v>
      </c>
      <c r="C263">
        <v>12.76</v>
      </c>
      <c r="D263">
        <v>-0.62</v>
      </c>
      <c r="E263">
        <v>0.51</v>
      </c>
      <c r="F263" s="25">
        <v>0</v>
      </c>
      <c r="G263">
        <v>0.48699999999999999</v>
      </c>
      <c r="H263">
        <v>-0.5</v>
      </c>
      <c r="I263">
        <v>2.83</v>
      </c>
      <c r="J263">
        <v>-0.4</v>
      </c>
      <c r="K263">
        <v>2.83</v>
      </c>
      <c r="L263">
        <v>2.4900000000000002</v>
      </c>
      <c r="M263" s="25">
        <v>0.1804</v>
      </c>
      <c r="N263" s="25">
        <v>4.0099999999999997E-2</v>
      </c>
      <c r="O263">
        <v>0.37</v>
      </c>
      <c r="P263" s="25">
        <v>0.1817</v>
      </c>
      <c r="Q263" s="25">
        <v>-4.8300000000000003E-2</v>
      </c>
      <c r="R263" s="26">
        <v>31172.7</v>
      </c>
      <c r="S263" s="26">
        <v>-300501000</v>
      </c>
      <c r="T263">
        <v>0</v>
      </c>
      <c r="U263" s="25">
        <v>7.1999999999999995E-2</v>
      </c>
    </row>
    <row r="264" spans="1:21" hidden="1" x14ac:dyDescent="0.25">
      <c r="A264" t="s">
        <v>419</v>
      </c>
      <c r="B264">
        <v>131</v>
      </c>
      <c r="C264">
        <v>-19.78</v>
      </c>
      <c r="D264">
        <v>1.62</v>
      </c>
      <c r="E264">
        <v>0</v>
      </c>
      <c r="F264" s="25">
        <v>0.38319999999999999</v>
      </c>
      <c r="G264">
        <v>0.75700000000000001</v>
      </c>
      <c r="H264">
        <v>1.5</v>
      </c>
      <c r="I264">
        <v>-62.85</v>
      </c>
      <c r="J264">
        <v>10.58</v>
      </c>
      <c r="K264">
        <v>-41.56</v>
      </c>
      <c r="L264">
        <v>-42.68</v>
      </c>
      <c r="M264" s="25">
        <v>0</v>
      </c>
      <c r="N264" s="25">
        <v>0</v>
      </c>
      <c r="O264">
        <v>6.12</v>
      </c>
      <c r="P264" s="25">
        <v>-2.8299999999999999E-2</v>
      </c>
      <c r="Q264" s="25">
        <v>-8.1900000000000001E-2</v>
      </c>
      <c r="R264" s="26">
        <v>42073.8</v>
      </c>
      <c r="S264" s="26">
        <v>990925000</v>
      </c>
      <c r="T264">
        <v>0.68</v>
      </c>
      <c r="U264" s="25">
        <v>-0.99450000000000005</v>
      </c>
    </row>
    <row r="265" spans="1:21" hidden="1" x14ac:dyDescent="0.25">
      <c r="A265" t="s">
        <v>420</v>
      </c>
      <c r="B265">
        <v>12.53</v>
      </c>
      <c r="C265">
        <v>17.420000000000002</v>
      </c>
      <c r="D265">
        <v>1.78</v>
      </c>
      <c r="E265">
        <v>1.167</v>
      </c>
      <c r="F265" s="25">
        <v>2.4799999999999999E-2</v>
      </c>
      <c r="G265">
        <v>0.40400000000000003</v>
      </c>
      <c r="H265">
        <v>5.48</v>
      </c>
      <c r="I265">
        <v>4.5</v>
      </c>
      <c r="J265">
        <v>-0.67</v>
      </c>
      <c r="K265">
        <v>10.02</v>
      </c>
      <c r="L265">
        <v>7.76</v>
      </c>
      <c r="M265" s="25">
        <v>0.25929999999999997</v>
      </c>
      <c r="N265" s="25">
        <v>7.0199999999999999E-2</v>
      </c>
      <c r="O265">
        <v>1.81</v>
      </c>
      <c r="P265" s="25">
        <v>0.1021</v>
      </c>
      <c r="Q265" s="25">
        <v>0.1023</v>
      </c>
      <c r="R265" s="26">
        <v>88725400</v>
      </c>
      <c r="S265" s="26">
        <v>14199100000</v>
      </c>
      <c r="T265">
        <v>2.65</v>
      </c>
      <c r="U265" s="25">
        <v>0.16200000000000001</v>
      </c>
    </row>
    <row r="266" spans="1:21" hidden="1" x14ac:dyDescent="0.25">
      <c r="A266" t="s">
        <v>236</v>
      </c>
      <c r="B266">
        <v>6.26</v>
      </c>
      <c r="C266">
        <v>8.33</v>
      </c>
      <c r="D266">
        <v>0.84</v>
      </c>
      <c r="E266">
        <v>0.155</v>
      </c>
      <c r="F266" s="25">
        <v>2.9499999999999998E-2</v>
      </c>
      <c r="G266">
        <v>7.4999999999999997E-2</v>
      </c>
      <c r="H266">
        <v>-1.94</v>
      </c>
      <c r="I266">
        <v>0.72</v>
      </c>
      <c r="J266">
        <v>-0.11</v>
      </c>
      <c r="K266">
        <v>6.34</v>
      </c>
      <c r="L266">
        <v>3.66</v>
      </c>
      <c r="M266" s="25">
        <v>0.21510000000000001</v>
      </c>
      <c r="N266" s="25">
        <v>1.8599999999999998E-2</v>
      </c>
      <c r="O266">
        <v>0.87</v>
      </c>
      <c r="P266" s="25">
        <v>0.1331</v>
      </c>
      <c r="Q266" s="25">
        <v>0.1002</v>
      </c>
      <c r="R266" s="26">
        <v>47628900</v>
      </c>
      <c r="S266" s="26">
        <v>2607680000</v>
      </c>
      <c r="T266">
        <v>7.66</v>
      </c>
      <c r="U266" s="25">
        <v>0.3589</v>
      </c>
    </row>
    <row r="267" spans="1:21" hidden="1" x14ac:dyDescent="0.25">
      <c r="A267" t="s">
        <v>111</v>
      </c>
      <c r="B267">
        <v>23.22</v>
      </c>
      <c r="C267">
        <v>7.06</v>
      </c>
      <c r="D267">
        <v>7.07</v>
      </c>
      <c r="E267">
        <v>0.127</v>
      </c>
      <c r="F267" s="25">
        <v>0.12889999999999999</v>
      </c>
      <c r="G267">
        <v>0.14699999999999999</v>
      </c>
      <c r="H267">
        <v>2.21</v>
      </c>
      <c r="I267">
        <v>3.02</v>
      </c>
      <c r="J267">
        <v>-0.31</v>
      </c>
      <c r="K267">
        <v>9.6</v>
      </c>
      <c r="L267">
        <v>4.5599999999999996</v>
      </c>
      <c r="M267" s="25">
        <v>4.2099999999999999E-2</v>
      </c>
      <c r="N267" s="25">
        <v>2.64E-2</v>
      </c>
      <c r="O267">
        <v>1.22</v>
      </c>
      <c r="P267" s="25">
        <v>6.9900000000000004E-2</v>
      </c>
      <c r="Q267" s="25">
        <v>1.0015000000000001</v>
      </c>
      <c r="R267" s="26">
        <v>157257000</v>
      </c>
      <c r="S267" s="26">
        <v>2816470000</v>
      </c>
      <c r="T267">
        <v>22.57</v>
      </c>
      <c r="U267" s="25">
        <v>0.21590000000000001</v>
      </c>
    </row>
    <row r="268" spans="1:21" hidden="1" x14ac:dyDescent="0.25">
      <c r="A268" t="s">
        <v>421</v>
      </c>
      <c r="B268">
        <v>26.5</v>
      </c>
      <c r="C268">
        <v>6.48</v>
      </c>
      <c r="D268">
        <v>1.1599999999999999</v>
      </c>
      <c r="E268">
        <v>1.2689999999999999</v>
      </c>
      <c r="F268" s="25">
        <v>0</v>
      </c>
      <c r="G268">
        <v>0.438</v>
      </c>
      <c r="H268">
        <v>4.62</v>
      </c>
      <c r="I268">
        <v>3.75</v>
      </c>
      <c r="J268">
        <v>-1.1399999999999999</v>
      </c>
      <c r="K268">
        <v>5.68</v>
      </c>
      <c r="L268">
        <v>3.95</v>
      </c>
      <c r="M268" s="25">
        <v>0.33810000000000001</v>
      </c>
      <c r="N268" s="25">
        <v>0.19589999999999999</v>
      </c>
      <c r="O268">
        <v>1.67</v>
      </c>
      <c r="P268" s="25">
        <v>0.1474</v>
      </c>
      <c r="Q268" s="25">
        <v>0.1784</v>
      </c>
      <c r="R268" s="26">
        <v>1525.86</v>
      </c>
      <c r="S268" s="26">
        <v>7748660000</v>
      </c>
      <c r="T268">
        <v>1.07</v>
      </c>
      <c r="U268" s="25">
        <v>0.1729</v>
      </c>
    </row>
    <row r="269" spans="1:21" hidden="1" x14ac:dyDescent="0.25">
      <c r="A269" t="s">
        <v>421</v>
      </c>
      <c r="B269">
        <v>26.5</v>
      </c>
      <c r="C269">
        <v>6.48</v>
      </c>
      <c r="D269">
        <v>1.1599999999999999</v>
      </c>
      <c r="E269">
        <v>1.2689999999999999</v>
      </c>
      <c r="F269" s="25">
        <v>0</v>
      </c>
      <c r="G269">
        <v>0.438</v>
      </c>
      <c r="H269">
        <v>4.62</v>
      </c>
      <c r="I269">
        <v>3.75</v>
      </c>
      <c r="J269">
        <v>-1.1399999999999999</v>
      </c>
      <c r="K269">
        <v>5.68</v>
      </c>
      <c r="L269">
        <v>3.95</v>
      </c>
      <c r="M269" s="25">
        <v>0.33810000000000001</v>
      </c>
      <c r="N269" s="25">
        <v>0.19589999999999999</v>
      </c>
      <c r="O269">
        <v>1.67</v>
      </c>
      <c r="P269" s="25">
        <v>0.1474</v>
      </c>
      <c r="Q269" s="25">
        <v>0.1784</v>
      </c>
      <c r="R269" s="26">
        <v>1525.86</v>
      </c>
      <c r="S269" s="26">
        <v>7748660000</v>
      </c>
      <c r="T269">
        <v>1.07</v>
      </c>
      <c r="U269" s="25">
        <v>0.1729</v>
      </c>
    </row>
    <row r="270" spans="1:21" hidden="1" x14ac:dyDescent="0.25">
      <c r="A270" t="s">
        <v>422</v>
      </c>
      <c r="B270">
        <v>25</v>
      </c>
      <c r="C270">
        <v>6.11</v>
      </c>
      <c r="D270">
        <v>1.0900000000000001</v>
      </c>
      <c r="E270">
        <v>1.1970000000000001</v>
      </c>
      <c r="F270" s="25">
        <v>4.19E-2</v>
      </c>
      <c r="G270">
        <v>0.41299999999999998</v>
      </c>
      <c r="H270">
        <v>4.3499999999999996</v>
      </c>
      <c r="I270">
        <v>3.54</v>
      </c>
      <c r="J270">
        <v>-1.07</v>
      </c>
      <c r="K270">
        <v>5.47</v>
      </c>
      <c r="L270">
        <v>3.8</v>
      </c>
      <c r="M270" s="25">
        <v>0.33810000000000001</v>
      </c>
      <c r="N270" s="25">
        <v>0.19589999999999999</v>
      </c>
      <c r="O270">
        <v>1.67</v>
      </c>
      <c r="P270" s="25">
        <v>0.1474</v>
      </c>
      <c r="Q270" s="25">
        <v>0.1784</v>
      </c>
      <c r="R270" s="26">
        <v>233.21</v>
      </c>
      <c r="S270" s="26">
        <v>7748660000</v>
      </c>
      <c r="T270">
        <v>1.07</v>
      </c>
      <c r="U270" s="25">
        <v>0.1729</v>
      </c>
    </row>
    <row r="271" spans="1:21" hidden="1" x14ac:dyDescent="0.25">
      <c r="A271" t="s">
        <v>422</v>
      </c>
      <c r="B271">
        <v>25</v>
      </c>
      <c r="C271">
        <v>6.11</v>
      </c>
      <c r="D271">
        <v>1.0900000000000001</v>
      </c>
      <c r="E271">
        <v>1.1970000000000001</v>
      </c>
      <c r="F271" s="25">
        <v>4.19E-2</v>
      </c>
      <c r="G271">
        <v>0.41299999999999998</v>
      </c>
      <c r="H271">
        <v>4.3499999999999996</v>
      </c>
      <c r="I271">
        <v>3.54</v>
      </c>
      <c r="J271">
        <v>-1.07</v>
      </c>
      <c r="K271">
        <v>5.47</v>
      </c>
      <c r="L271">
        <v>3.8</v>
      </c>
      <c r="M271" s="25">
        <v>0.33810000000000001</v>
      </c>
      <c r="N271" s="25">
        <v>0.19589999999999999</v>
      </c>
      <c r="O271">
        <v>1.67</v>
      </c>
      <c r="P271" s="25">
        <v>0.1474</v>
      </c>
      <c r="Q271" s="25">
        <v>0.1784</v>
      </c>
      <c r="R271" s="26">
        <v>233.21</v>
      </c>
      <c r="S271" s="26">
        <v>7748660000</v>
      </c>
      <c r="T271">
        <v>1.07</v>
      </c>
      <c r="U271" s="25">
        <v>0.1729</v>
      </c>
    </row>
    <row r="272" spans="1:21" hidden="1" x14ac:dyDescent="0.25">
      <c r="A272" t="s">
        <v>423</v>
      </c>
      <c r="B272">
        <v>25</v>
      </c>
      <c r="C272">
        <v>6.11</v>
      </c>
      <c r="D272">
        <v>1.0900000000000001</v>
      </c>
      <c r="E272">
        <v>1.1970000000000001</v>
      </c>
      <c r="F272" s="25">
        <v>4.19E-2</v>
      </c>
      <c r="G272">
        <v>0.41299999999999998</v>
      </c>
      <c r="H272">
        <v>4.3499999999999996</v>
      </c>
      <c r="I272">
        <v>3.54</v>
      </c>
      <c r="J272">
        <v>-1.07</v>
      </c>
      <c r="K272">
        <v>5.47</v>
      </c>
      <c r="L272">
        <v>3.8</v>
      </c>
      <c r="M272" s="25">
        <v>0.33810000000000001</v>
      </c>
      <c r="N272" s="25">
        <v>0.19589999999999999</v>
      </c>
      <c r="O272">
        <v>1.67</v>
      </c>
      <c r="P272" s="25">
        <v>0.1474</v>
      </c>
      <c r="Q272" s="25">
        <v>0.1784</v>
      </c>
      <c r="R272" s="26">
        <v>298.81</v>
      </c>
      <c r="S272" s="26">
        <v>7748660000</v>
      </c>
      <c r="T272">
        <v>1.07</v>
      </c>
      <c r="U272" s="25">
        <v>0.1729</v>
      </c>
    </row>
    <row r="273" spans="1:21" hidden="1" x14ac:dyDescent="0.25">
      <c r="A273" t="s">
        <v>423</v>
      </c>
      <c r="B273">
        <v>25</v>
      </c>
      <c r="C273">
        <v>6.11</v>
      </c>
      <c r="D273">
        <v>1.0900000000000001</v>
      </c>
      <c r="E273">
        <v>1.1970000000000001</v>
      </c>
      <c r="F273" s="25">
        <v>4.19E-2</v>
      </c>
      <c r="G273">
        <v>0.41299999999999998</v>
      </c>
      <c r="H273">
        <v>4.3499999999999996</v>
      </c>
      <c r="I273">
        <v>3.54</v>
      </c>
      <c r="J273">
        <v>-1.07</v>
      </c>
      <c r="K273">
        <v>5.47</v>
      </c>
      <c r="L273">
        <v>3.8</v>
      </c>
      <c r="M273" s="25">
        <v>0.33810000000000001</v>
      </c>
      <c r="N273" s="25">
        <v>0.19589999999999999</v>
      </c>
      <c r="O273">
        <v>1.67</v>
      </c>
      <c r="P273" s="25">
        <v>0.1474</v>
      </c>
      <c r="Q273" s="25">
        <v>0.1784</v>
      </c>
      <c r="R273" s="26">
        <v>298.81</v>
      </c>
      <c r="S273" s="26">
        <v>7748660000</v>
      </c>
      <c r="T273">
        <v>1.07</v>
      </c>
      <c r="U273" s="25">
        <v>0.1729</v>
      </c>
    </row>
    <row r="274" spans="1:21" hidden="1" x14ac:dyDescent="0.25">
      <c r="A274" t="s">
        <v>235</v>
      </c>
      <c r="B274">
        <v>6.21</v>
      </c>
      <c r="C274">
        <v>-5.05</v>
      </c>
      <c r="D274">
        <v>0.57999999999999996</v>
      </c>
      <c r="E274">
        <v>0.372</v>
      </c>
      <c r="F274" s="25">
        <v>0</v>
      </c>
      <c r="G274">
        <v>0.122</v>
      </c>
      <c r="H274">
        <v>0.85</v>
      </c>
      <c r="I274">
        <v>3.46</v>
      </c>
      <c r="J274">
        <v>-0.39</v>
      </c>
      <c r="K274">
        <v>12.21</v>
      </c>
      <c r="L274">
        <v>10.210000000000001</v>
      </c>
      <c r="M274" s="25">
        <v>0.1075</v>
      </c>
      <c r="N274" s="25">
        <v>-7.2099999999999997E-2</v>
      </c>
      <c r="O274">
        <v>1.47</v>
      </c>
      <c r="P274" s="25">
        <v>3.6799999999999999E-2</v>
      </c>
      <c r="Q274" s="25">
        <v>-0.11550000000000001</v>
      </c>
      <c r="R274" s="26">
        <v>66451900</v>
      </c>
      <c r="S274" s="26">
        <v>5996120000</v>
      </c>
      <c r="T274">
        <v>1.56</v>
      </c>
      <c r="U274" s="25">
        <v>7.5300000000000006E-2</v>
      </c>
    </row>
    <row r="275" spans="1:21" hidden="1" x14ac:dyDescent="0.25">
      <c r="A275" t="s">
        <v>164</v>
      </c>
      <c r="B275">
        <v>3.73</v>
      </c>
      <c r="C275">
        <v>6.65</v>
      </c>
      <c r="D275">
        <v>0.4</v>
      </c>
      <c r="E275">
        <v>0.33600000000000002</v>
      </c>
      <c r="F275" s="25">
        <v>0.13159999999999999</v>
      </c>
      <c r="G275">
        <v>0.17699999999999999</v>
      </c>
      <c r="H275">
        <v>0.37</v>
      </c>
      <c r="I275">
        <v>4.12</v>
      </c>
      <c r="J275">
        <v>0.62</v>
      </c>
      <c r="K275">
        <v>9.1</v>
      </c>
      <c r="L275">
        <v>7.09</v>
      </c>
      <c r="M275" s="25">
        <v>8.1600000000000006E-2</v>
      </c>
      <c r="N275" s="25">
        <v>7.0999999999999994E-2</v>
      </c>
      <c r="O275">
        <v>2.4500000000000002</v>
      </c>
      <c r="P275" s="25">
        <v>4.7300000000000002E-2</v>
      </c>
      <c r="Q275" s="25">
        <v>5.9499999999999997E-2</v>
      </c>
      <c r="R275" s="26">
        <v>2051230</v>
      </c>
      <c r="S275" s="26">
        <v>997155000</v>
      </c>
      <c r="T275">
        <v>0.63</v>
      </c>
      <c r="U275" s="25">
        <v>0.2676</v>
      </c>
    </row>
    <row r="276" spans="1:21" hidden="1" x14ac:dyDescent="0.25">
      <c r="A276" t="s">
        <v>26</v>
      </c>
      <c r="B276">
        <v>42.99</v>
      </c>
      <c r="C276">
        <v>10.28</v>
      </c>
      <c r="D276">
        <v>0.81</v>
      </c>
      <c r="E276">
        <v>0.72599999999999998</v>
      </c>
      <c r="F276" s="25">
        <v>6.4000000000000001E-2</v>
      </c>
      <c r="G276">
        <v>0.68200000000000005</v>
      </c>
      <c r="H276">
        <v>1.1000000000000001</v>
      </c>
      <c r="I276">
        <v>9.89</v>
      </c>
      <c r="J276">
        <v>1.1299999999999999</v>
      </c>
      <c r="K276">
        <v>5.92</v>
      </c>
      <c r="L276">
        <v>4.38</v>
      </c>
      <c r="M276" s="25">
        <v>7.3400000000000007E-2</v>
      </c>
      <c r="N276" s="25">
        <v>7.0599999999999996E-2</v>
      </c>
      <c r="O276">
        <v>5.36</v>
      </c>
      <c r="P276" s="25">
        <v>0.1055</v>
      </c>
      <c r="Q276" s="25">
        <v>7.9100000000000004E-2</v>
      </c>
      <c r="R276" s="26">
        <v>140878</v>
      </c>
      <c r="S276" s="26">
        <v>464622000</v>
      </c>
      <c r="T276">
        <v>0.03</v>
      </c>
      <c r="U276" s="25">
        <v>2.6100000000000002E-2</v>
      </c>
    </row>
    <row r="277" spans="1:21" hidden="1" x14ac:dyDescent="0.25">
      <c r="A277" t="s">
        <v>158</v>
      </c>
      <c r="B277">
        <v>25.75</v>
      </c>
      <c r="C277">
        <v>10.1</v>
      </c>
      <c r="D277">
        <v>2.2999999999999998</v>
      </c>
      <c r="E277">
        <v>5.1879999999999997</v>
      </c>
      <c r="F277" s="25">
        <v>4.36E-2</v>
      </c>
      <c r="G277">
        <v>1.0469999999999999</v>
      </c>
      <c r="H277">
        <v>20.67</v>
      </c>
      <c r="I277">
        <v>7.21</v>
      </c>
      <c r="J277">
        <v>-2.82</v>
      </c>
      <c r="K277">
        <v>9.52</v>
      </c>
      <c r="L277">
        <v>8.83</v>
      </c>
      <c r="M277" s="25">
        <v>0.7198</v>
      </c>
      <c r="N277" s="25">
        <v>0.51359999999999995</v>
      </c>
      <c r="O277">
        <v>1.41</v>
      </c>
      <c r="P277" s="25">
        <v>0.1653</v>
      </c>
      <c r="Q277" s="25">
        <v>0.2276</v>
      </c>
      <c r="R277" s="26">
        <v>92705800</v>
      </c>
      <c r="S277" s="26">
        <v>5746470000</v>
      </c>
      <c r="T277">
        <v>0.95</v>
      </c>
      <c r="U277" s="25">
        <v>0.2457</v>
      </c>
    </row>
    <row r="278" spans="1:21" hidden="1" x14ac:dyDescent="0.25">
      <c r="A278" t="s">
        <v>499</v>
      </c>
      <c r="B278">
        <v>13</v>
      </c>
      <c r="C278">
        <v>1.03</v>
      </c>
      <c r="D278">
        <v>1.35</v>
      </c>
      <c r="E278">
        <v>9.9000000000000005E-2</v>
      </c>
      <c r="F278" s="25">
        <v>0</v>
      </c>
      <c r="G278">
        <v>8.7999999999999995E-2</v>
      </c>
      <c r="H278">
        <v>-0.89</v>
      </c>
      <c r="I278">
        <v>-0.78</v>
      </c>
      <c r="J278">
        <v>-0.16</v>
      </c>
      <c r="K278">
        <v>-3.1</v>
      </c>
      <c r="L278">
        <v>-3.72</v>
      </c>
      <c r="M278" s="25">
        <v>-0.12770000000000001</v>
      </c>
      <c r="N278" s="25">
        <v>9.69E-2</v>
      </c>
      <c r="O278">
        <v>0.79</v>
      </c>
      <c r="P278" s="25">
        <v>-0.128</v>
      </c>
      <c r="Q278" s="25">
        <v>1.3137000000000001</v>
      </c>
      <c r="R278" s="26">
        <v>60.88</v>
      </c>
      <c r="S278" s="26">
        <v>19835000</v>
      </c>
      <c r="T278">
        <v>4.4400000000000004</v>
      </c>
      <c r="U278" s="25">
        <v>0.113</v>
      </c>
    </row>
    <row r="279" spans="1:21" hidden="1" x14ac:dyDescent="0.25">
      <c r="A279" t="s">
        <v>424</v>
      </c>
      <c r="B279">
        <v>11.8</v>
      </c>
      <c r="C279">
        <v>0.93</v>
      </c>
      <c r="D279">
        <v>1.22</v>
      </c>
      <c r="E279">
        <v>0.09</v>
      </c>
      <c r="F279" s="25">
        <v>0</v>
      </c>
      <c r="G279">
        <v>7.9000000000000001E-2</v>
      </c>
      <c r="H279">
        <v>-0.81</v>
      </c>
      <c r="I279">
        <v>-0.71</v>
      </c>
      <c r="J279">
        <v>-0.14000000000000001</v>
      </c>
      <c r="K279">
        <v>-3.03</v>
      </c>
      <c r="L279">
        <v>-3.64</v>
      </c>
      <c r="M279" s="25">
        <v>-0.12770000000000001</v>
      </c>
      <c r="N279" s="25">
        <v>9.69E-2</v>
      </c>
      <c r="O279">
        <v>0.79</v>
      </c>
      <c r="P279" s="25">
        <v>-0.128</v>
      </c>
      <c r="Q279" s="25">
        <v>1.3137000000000001</v>
      </c>
      <c r="R279" s="26">
        <v>7148.79</v>
      </c>
      <c r="S279" s="26">
        <v>19835000</v>
      </c>
      <c r="T279">
        <v>4.4400000000000004</v>
      </c>
      <c r="U279" s="25">
        <v>0.113</v>
      </c>
    </row>
    <row r="280" spans="1:21" hidden="1" x14ac:dyDescent="0.25">
      <c r="A280" t="s">
        <v>150</v>
      </c>
      <c r="B280">
        <v>13.92</v>
      </c>
      <c r="C280">
        <v>9.5</v>
      </c>
      <c r="D280">
        <v>0.5</v>
      </c>
      <c r="E280">
        <v>0.13700000000000001</v>
      </c>
      <c r="F280" s="25">
        <v>4.19E-2</v>
      </c>
      <c r="G280">
        <v>0.14000000000000001</v>
      </c>
      <c r="H280">
        <v>0.79</v>
      </c>
      <c r="I280">
        <v>2.0699999999999998</v>
      </c>
      <c r="J280">
        <v>-0.63</v>
      </c>
      <c r="K280">
        <v>5.83</v>
      </c>
      <c r="L280">
        <v>3.87</v>
      </c>
      <c r="M280" s="25">
        <v>6.6000000000000003E-2</v>
      </c>
      <c r="N280" s="25">
        <v>2.1299999999999999E-2</v>
      </c>
      <c r="O280">
        <v>1.61</v>
      </c>
      <c r="P280" s="25">
        <v>9.4700000000000006E-2</v>
      </c>
      <c r="Q280" s="25">
        <v>5.2299999999999999E-2</v>
      </c>
      <c r="R280" s="26">
        <v>9725900</v>
      </c>
      <c r="S280" s="26">
        <v>4306800000</v>
      </c>
      <c r="T280">
        <v>1.35</v>
      </c>
      <c r="U280" s="25">
        <v>9.9299999999999999E-2</v>
      </c>
    </row>
    <row r="281" spans="1:21" hidden="1" x14ac:dyDescent="0.25">
      <c r="A281" t="s">
        <v>768</v>
      </c>
      <c r="B281">
        <v>9.5299999999999994</v>
      </c>
      <c r="C281">
        <v>14.25</v>
      </c>
      <c r="D281">
        <v>1.43</v>
      </c>
      <c r="E281">
        <v>0.59299999999999997</v>
      </c>
      <c r="F281" s="25">
        <v>0</v>
      </c>
      <c r="G281">
        <v>0.66200000000000003</v>
      </c>
      <c r="H281">
        <v>2.0299999999999998</v>
      </c>
      <c r="I281">
        <v>4.24</v>
      </c>
      <c r="J281">
        <v>5.25</v>
      </c>
      <c r="K281">
        <v>4.07</v>
      </c>
      <c r="L281">
        <v>3.31</v>
      </c>
      <c r="M281" s="25">
        <v>0.1399</v>
      </c>
      <c r="N281" s="25">
        <v>4.1599999999999998E-2</v>
      </c>
      <c r="O281">
        <v>1.97</v>
      </c>
      <c r="P281" s="25">
        <v>0.2475</v>
      </c>
      <c r="Q281" s="25">
        <v>0.1004</v>
      </c>
      <c r="R281" s="26">
        <v>19229100</v>
      </c>
      <c r="S281" s="26">
        <v>9154310000</v>
      </c>
      <c r="T281">
        <v>0.27</v>
      </c>
      <c r="U281" s="25">
        <v>4.07E-2</v>
      </c>
    </row>
    <row r="282" spans="1:21" hidden="1" x14ac:dyDescent="0.25">
      <c r="A282" t="s">
        <v>82</v>
      </c>
      <c r="B282">
        <v>24.49</v>
      </c>
      <c r="C282">
        <v>6.87</v>
      </c>
      <c r="D282">
        <v>0.84</v>
      </c>
      <c r="E282">
        <v>0.58299999999999996</v>
      </c>
      <c r="F282" s="25">
        <v>3.3799999999999997E-2</v>
      </c>
      <c r="G282">
        <v>0.26800000000000002</v>
      </c>
      <c r="H282">
        <v>9.74</v>
      </c>
      <c r="I282">
        <v>2.71</v>
      </c>
      <c r="J282">
        <v>-0.55000000000000004</v>
      </c>
      <c r="K282">
        <v>6.81</v>
      </c>
      <c r="L282">
        <v>5.36</v>
      </c>
      <c r="M282" s="25">
        <v>0.215</v>
      </c>
      <c r="N282" s="25">
        <v>8.5300000000000001E-2</v>
      </c>
      <c r="O282">
        <v>1.17</v>
      </c>
      <c r="P282" s="25">
        <v>0.10879999999999999</v>
      </c>
      <c r="Q282" s="25">
        <v>0.12280000000000001</v>
      </c>
      <c r="R282" s="26">
        <v>25271300</v>
      </c>
      <c r="S282" s="26">
        <v>35221000000</v>
      </c>
      <c r="T282">
        <v>1.44</v>
      </c>
      <c r="U282" s="25">
        <v>6.25E-2</v>
      </c>
    </row>
    <row r="283" spans="1:21" hidden="1" x14ac:dyDescent="0.25">
      <c r="A283" t="s">
        <v>425</v>
      </c>
      <c r="B283">
        <v>3.77</v>
      </c>
      <c r="C283">
        <v>0.1</v>
      </c>
      <c r="D283">
        <v>-0.2</v>
      </c>
      <c r="E283">
        <v>0.113</v>
      </c>
      <c r="F283" s="25">
        <v>0</v>
      </c>
      <c r="G283">
        <v>0.27700000000000002</v>
      </c>
      <c r="H283">
        <v>-0.54</v>
      </c>
      <c r="I283">
        <v>-0.75</v>
      </c>
      <c r="J283">
        <v>-0.15</v>
      </c>
      <c r="K283">
        <v>-0.12</v>
      </c>
      <c r="L283">
        <v>-13.26</v>
      </c>
      <c r="M283" s="25">
        <v>-0.15079999999999999</v>
      </c>
      <c r="N283" s="25">
        <v>1.1241000000000001</v>
      </c>
      <c r="O283">
        <v>0.53</v>
      </c>
      <c r="P283" s="25">
        <v>-0.52859999999999996</v>
      </c>
      <c r="Q283" s="25">
        <v>-1.9732000000000001</v>
      </c>
      <c r="R283" s="26">
        <v>1999.52</v>
      </c>
      <c r="S283" s="26">
        <v>-50521000</v>
      </c>
      <c r="T283">
        <v>-0.03</v>
      </c>
      <c r="U283" s="25">
        <v>-4.6100000000000002E-2</v>
      </c>
    </row>
    <row r="284" spans="1:21" hidden="1" x14ac:dyDescent="0.25">
      <c r="A284" t="s">
        <v>197</v>
      </c>
      <c r="B284">
        <v>25.7</v>
      </c>
      <c r="C284">
        <v>-7.54</v>
      </c>
      <c r="D284">
        <v>0.52</v>
      </c>
      <c r="E284">
        <v>0.85299999999999998</v>
      </c>
      <c r="F284" s="25">
        <v>0</v>
      </c>
      <c r="G284">
        <v>0.39300000000000002</v>
      </c>
      <c r="H284">
        <v>1.78</v>
      </c>
      <c r="I284">
        <v>-8.34</v>
      </c>
      <c r="J284">
        <v>3.48</v>
      </c>
      <c r="K284">
        <v>-4.07</v>
      </c>
      <c r="L284">
        <v>4</v>
      </c>
      <c r="M284" s="25">
        <v>-0.1023</v>
      </c>
      <c r="N284" s="25">
        <v>-0.11310000000000001</v>
      </c>
      <c r="O284">
        <v>2.54</v>
      </c>
      <c r="P284" s="25">
        <v>-6.5699999999999995E-2</v>
      </c>
      <c r="Q284" s="25">
        <v>-6.9599999999999995E-2</v>
      </c>
      <c r="R284" s="26">
        <v>209846</v>
      </c>
      <c r="S284" s="26">
        <v>447975000</v>
      </c>
      <c r="T284">
        <v>0.04</v>
      </c>
      <c r="U284" s="25">
        <v>5.1499999999999997E-2</v>
      </c>
    </row>
    <row r="285" spans="1:21" hidden="1" x14ac:dyDescent="0.25">
      <c r="A285" t="s">
        <v>426</v>
      </c>
      <c r="B285">
        <v>5.95</v>
      </c>
      <c r="C285">
        <v>0.95</v>
      </c>
      <c r="D285">
        <v>-0.32</v>
      </c>
      <c r="E285">
        <v>15.359</v>
      </c>
      <c r="F285" s="25">
        <v>0</v>
      </c>
      <c r="G285">
        <v>2.0350000000000001</v>
      </c>
      <c r="H285">
        <v>-0.32</v>
      </c>
      <c r="I285">
        <v>-47.12</v>
      </c>
      <c r="J285">
        <v>-0.28000000000000003</v>
      </c>
      <c r="K285">
        <v>-92.5</v>
      </c>
      <c r="L285">
        <v>-92.5</v>
      </c>
      <c r="M285" s="25">
        <v>-0.32590000000000002</v>
      </c>
      <c r="N285" s="25">
        <v>16.138000000000002</v>
      </c>
      <c r="O285">
        <v>0.01</v>
      </c>
      <c r="P285" s="25">
        <v>-4.3499999999999997E-2</v>
      </c>
      <c r="Q285" s="25">
        <v>-0.33439999999999998</v>
      </c>
      <c r="R285" s="26">
        <v>2312.69</v>
      </c>
      <c r="S285" s="26">
        <v>-123781000</v>
      </c>
      <c r="T285">
        <v>-0.31</v>
      </c>
      <c r="U285" s="25">
        <v>0.12959999999999999</v>
      </c>
    </row>
    <row r="286" spans="1:21" hidden="1" x14ac:dyDescent="0.25">
      <c r="A286" t="s">
        <v>121</v>
      </c>
      <c r="B286">
        <v>10.8</v>
      </c>
      <c r="C286">
        <v>-1.82</v>
      </c>
      <c r="D286">
        <v>0.98</v>
      </c>
      <c r="E286">
        <v>0.60199999999999998</v>
      </c>
      <c r="F286" s="25">
        <v>0</v>
      </c>
      <c r="G286">
        <v>0.42199999999999999</v>
      </c>
      <c r="H286">
        <v>2.98</v>
      </c>
      <c r="I286">
        <v>5.85</v>
      </c>
      <c r="J286">
        <v>-2.59</v>
      </c>
      <c r="K286">
        <v>7</v>
      </c>
      <c r="L286">
        <v>5.08</v>
      </c>
      <c r="M286" s="25">
        <v>0.10290000000000001</v>
      </c>
      <c r="N286" s="25">
        <v>-0.33029999999999998</v>
      </c>
      <c r="O286">
        <v>1.53</v>
      </c>
      <c r="P286" s="25">
        <v>9.9699999999999997E-2</v>
      </c>
      <c r="Q286" s="25">
        <v>-0.53959999999999997</v>
      </c>
      <c r="R286" s="26">
        <v>50283900</v>
      </c>
      <c r="S286" s="26">
        <v>15095900000</v>
      </c>
      <c r="T286">
        <v>0.44</v>
      </c>
      <c r="U286" s="25">
        <v>-0.12470000000000001</v>
      </c>
    </row>
    <row r="287" spans="1:21" hidden="1" x14ac:dyDescent="0.25">
      <c r="A287" t="s">
        <v>427</v>
      </c>
      <c r="B287">
        <v>2.81</v>
      </c>
      <c r="C287">
        <v>6.62</v>
      </c>
      <c r="D287">
        <v>0.87</v>
      </c>
      <c r="E287">
        <v>0.191</v>
      </c>
      <c r="F287" s="25">
        <v>0</v>
      </c>
      <c r="G287">
        <v>0.33500000000000002</v>
      </c>
      <c r="H287" s="26">
        <v>1.05</v>
      </c>
      <c r="I287">
        <v>4.6500000000000004</v>
      </c>
      <c r="J287">
        <v>3.55</v>
      </c>
      <c r="K287">
        <v>5.98</v>
      </c>
      <c r="L287">
        <v>5.42</v>
      </c>
      <c r="M287" s="25">
        <v>4.1000000000000002E-2</v>
      </c>
      <c r="N287" s="25">
        <v>2.8799999999999999E-2</v>
      </c>
      <c r="O287">
        <v>1.81</v>
      </c>
      <c r="P287" s="25">
        <v>9.1600000000000001E-2</v>
      </c>
      <c r="Q287" s="25">
        <v>0.13170000000000001</v>
      </c>
      <c r="R287" s="26">
        <v>17117.2</v>
      </c>
      <c r="S287" s="26">
        <v>42690000</v>
      </c>
      <c r="T287">
        <v>0.31</v>
      </c>
      <c r="U287" s="25">
        <v>0.22720000000000001</v>
      </c>
    </row>
    <row r="288" spans="1:21" hidden="1" x14ac:dyDescent="0.25">
      <c r="A288" t="s">
        <v>169</v>
      </c>
      <c r="B288">
        <v>11.54</v>
      </c>
      <c r="C288">
        <v>11.2</v>
      </c>
      <c r="D288">
        <v>4.62</v>
      </c>
      <c r="E288">
        <v>2.7210000000000001</v>
      </c>
      <c r="F288" s="25">
        <v>8.0100000000000005E-2</v>
      </c>
      <c r="G288">
        <v>2.8170000000000002</v>
      </c>
      <c r="H288">
        <v>-56.34</v>
      </c>
      <c r="I288">
        <v>8.7200000000000006</v>
      </c>
      <c r="J288">
        <v>-24.98</v>
      </c>
      <c r="K288">
        <v>8.0299999999999994</v>
      </c>
      <c r="L288">
        <v>7.49</v>
      </c>
      <c r="M288" s="25">
        <v>0.31230000000000002</v>
      </c>
      <c r="N288" s="25">
        <v>0.24279999999999999</v>
      </c>
      <c r="O288">
        <v>0.85</v>
      </c>
      <c r="P288" s="25">
        <v>0.42630000000000001</v>
      </c>
      <c r="Q288" s="25">
        <v>0.41210000000000002</v>
      </c>
      <c r="R288" s="26">
        <v>23895100</v>
      </c>
      <c r="S288" s="26">
        <v>1364460000</v>
      </c>
      <c r="T288">
        <v>0</v>
      </c>
      <c r="U288" s="25">
        <v>7.2499999999999995E-2</v>
      </c>
    </row>
    <row r="289" spans="1:21" hidden="1" x14ac:dyDescent="0.25">
      <c r="A289" t="s">
        <v>428</v>
      </c>
      <c r="B289">
        <v>22.29</v>
      </c>
      <c r="C289">
        <v>9.73</v>
      </c>
      <c r="D289">
        <v>1.89</v>
      </c>
      <c r="E289">
        <v>1.161</v>
      </c>
      <c r="F289" s="25">
        <v>0.13270000000000001</v>
      </c>
      <c r="G289">
        <v>0.94899999999999995</v>
      </c>
      <c r="H289">
        <v>2.5499999999999998</v>
      </c>
      <c r="I289">
        <v>6.99</v>
      </c>
      <c r="J289">
        <v>8.44</v>
      </c>
      <c r="K289">
        <v>8.15</v>
      </c>
      <c r="L289">
        <v>6.69</v>
      </c>
      <c r="M289" s="25">
        <v>0.1661</v>
      </c>
      <c r="N289" s="25">
        <v>0.1192</v>
      </c>
      <c r="O289">
        <v>2.56</v>
      </c>
      <c r="P289" s="25">
        <v>0.17610000000000001</v>
      </c>
      <c r="Q289" s="25">
        <v>0.19439999999999999</v>
      </c>
      <c r="R289" s="26">
        <v>113639</v>
      </c>
      <c r="S289" s="26">
        <v>635559000</v>
      </c>
      <c r="T289">
        <v>0.55000000000000004</v>
      </c>
      <c r="U289" s="25">
        <v>5.8299999999999998E-2</v>
      </c>
    </row>
    <row r="290" spans="1:21" hidden="1" x14ac:dyDescent="0.25">
      <c r="A290" t="s">
        <v>245</v>
      </c>
      <c r="B290">
        <v>0.49</v>
      </c>
      <c r="C290">
        <v>0.01</v>
      </c>
      <c r="D290">
        <v>-0.01</v>
      </c>
      <c r="E290">
        <v>9.8000000000000004E-2</v>
      </c>
      <c r="F290" s="25">
        <v>0</v>
      </c>
      <c r="G290">
        <v>8.0000000000000002E-3</v>
      </c>
      <c r="H290">
        <v>-7.0000000000000007E-2</v>
      </c>
      <c r="I290">
        <v>-0.06</v>
      </c>
      <c r="J290">
        <v>-0.01</v>
      </c>
      <c r="K290">
        <v>-3.57</v>
      </c>
      <c r="L290">
        <v>-4.84</v>
      </c>
      <c r="M290" s="25">
        <v>-1.6903999999999999</v>
      </c>
      <c r="N290" s="25">
        <v>8.4742999999999995</v>
      </c>
      <c r="O290">
        <v>0.7</v>
      </c>
      <c r="P290" s="25">
        <v>-0.18210000000000001</v>
      </c>
      <c r="Q290" s="25">
        <v>-0.9587</v>
      </c>
      <c r="R290" s="26">
        <v>2392390</v>
      </c>
      <c r="S290" s="26">
        <v>-14660000000</v>
      </c>
      <c r="T290">
        <v>-0.77</v>
      </c>
      <c r="U290" s="25">
        <v>-0.25540000000000002</v>
      </c>
    </row>
    <row r="291" spans="1:21" hidden="1" x14ac:dyDescent="0.25">
      <c r="A291" t="s">
        <v>219</v>
      </c>
      <c r="B291">
        <v>8.02</v>
      </c>
      <c r="C291">
        <v>0.19</v>
      </c>
      <c r="D291">
        <v>-0.18</v>
      </c>
      <c r="E291">
        <v>1.5960000000000001</v>
      </c>
      <c r="F291" s="25">
        <v>0</v>
      </c>
      <c r="G291">
        <v>0.13500000000000001</v>
      </c>
      <c r="H291">
        <v>-1.1499999999999999</v>
      </c>
      <c r="I291">
        <v>-0.94</v>
      </c>
      <c r="J291">
        <v>-0.09</v>
      </c>
      <c r="K291">
        <v>-4.46</v>
      </c>
      <c r="L291">
        <v>-6.04</v>
      </c>
      <c r="M291" s="25">
        <v>-1.6903999999999999</v>
      </c>
      <c r="N291" s="25">
        <v>8.4742999999999995</v>
      </c>
      <c r="O291">
        <v>0.7</v>
      </c>
      <c r="P291" s="25">
        <v>-0.18210000000000001</v>
      </c>
      <c r="Q291" s="25">
        <v>-0.9587</v>
      </c>
      <c r="R291" s="26">
        <v>282899</v>
      </c>
      <c r="S291" s="26">
        <v>-14660000000</v>
      </c>
      <c r="T291">
        <v>-0.77</v>
      </c>
      <c r="U291" s="25">
        <v>-0.25540000000000002</v>
      </c>
    </row>
    <row r="292" spans="1:21" hidden="1" x14ac:dyDescent="0.25">
      <c r="A292" t="s">
        <v>208</v>
      </c>
      <c r="B292">
        <v>5.45</v>
      </c>
      <c r="C292">
        <v>-4.43</v>
      </c>
      <c r="D292">
        <v>1.19</v>
      </c>
      <c r="E292">
        <v>0.56699999999999995</v>
      </c>
      <c r="F292" s="25">
        <v>0</v>
      </c>
      <c r="G292">
        <v>0.32800000000000001</v>
      </c>
      <c r="H292">
        <v>1.89</v>
      </c>
      <c r="I292">
        <v>6.44</v>
      </c>
      <c r="J292">
        <v>-1.05</v>
      </c>
      <c r="K292">
        <v>13.36</v>
      </c>
      <c r="L292">
        <v>8.33</v>
      </c>
      <c r="M292" s="25">
        <v>8.8099999999999998E-2</v>
      </c>
      <c r="N292" s="25">
        <v>-0.13880000000000001</v>
      </c>
      <c r="O292">
        <v>1.81</v>
      </c>
      <c r="P292" s="25">
        <v>6.7299999999999999E-2</v>
      </c>
      <c r="Q292" s="25">
        <v>-0.26779999999999998</v>
      </c>
      <c r="R292" s="26">
        <v>9014340</v>
      </c>
      <c r="S292" s="26">
        <v>2995770000</v>
      </c>
      <c r="T292">
        <v>1.82</v>
      </c>
      <c r="U292" s="25">
        <v>0.28739999999999999</v>
      </c>
    </row>
    <row r="293" spans="1:21" hidden="1" x14ac:dyDescent="0.25">
      <c r="A293" t="s">
        <v>123</v>
      </c>
      <c r="B293">
        <v>6.37</v>
      </c>
      <c r="C293">
        <v>-55.19</v>
      </c>
      <c r="D293">
        <v>1.35</v>
      </c>
      <c r="E293">
        <v>0.754</v>
      </c>
      <c r="F293" s="25">
        <v>0</v>
      </c>
      <c r="G293">
        <v>0.437</v>
      </c>
      <c r="H293">
        <v>3.32</v>
      </c>
      <c r="I293">
        <v>5.54</v>
      </c>
      <c r="J293">
        <v>-1.25</v>
      </c>
      <c r="K293">
        <v>10.79</v>
      </c>
      <c r="L293">
        <v>4.9400000000000004</v>
      </c>
      <c r="M293" s="25">
        <v>0.13600000000000001</v>
      </c>
      <c r="N293" s="25">
        <v>-1.37E-2</v>
      </c>
      <c r="O293">
        <v>1.67</v>
      </c>
      <c r="P293" s="25">
        <v>9.5699999999999993E-2</v>
      </c>
      <c r="Q293" s="25">
        <v>-2.4400000000000002E-2</v>
      </c>
      <c r="R293" s="26">
        <v>2467750</v>
      </c>
      <c r="S293" s="26">
        <v>944915000</v>
      </c>
      <c r="T293">
        <v>1.72</v>
      </c>
      <c r="U293" s="25">
        <v>0.28570000000000001</v>
      </c>
    </row>
    <row r="294" spans="1:21" hidden="1" x14ac:dyDescent="0.25">
      <c r="A294" t="s">
        <v>72</v>
      </c>
      <c r="B294">
        <v>48.24</v>
      </c>
      <c r="C294">
        <v>159.72999999999999</v>
      </c>
      <c r="D294">
        <v>6.01</v>
      </c>
      <c r="E294">
        <v>4.9589999999999996</v>
      </c>
      <c r="F294" s="25">
        <v>0</v>
      </c>
      <c r="G294">
        <v>1.369</v>
      </c>
      <c r="H294">
        <v>10.92</v>
      </c>
      <c r="I294">
        <v>18.68</v>
      </c>
      <c r="J294">
        <v>-2.84</v>
      </c>
      <c r="K294">
        <v>24.81</v>
      </c>
      <c r="L294">
        <v>14.7</v>
      </c>
      <c r="M294" s="25">
        <v>0.26540000000000002</v>
      </c>
      <c r="N294" s="25">
        <v>4.36E-2</v>
      </c>
      <c r="O294">
        <v>1.93</v>
      </c>
      <c r="P294" s="25">
        <v>8.6599999999999996E-2</v>
      </c>
      <c r="Q294" s="25">
        <v>3.7600000000000001E-2</v>
      </c>
      <c r="R294" s="26">
        <v>21450400</v>
      </c>
      <c r="S294" s="26">
        <v>771834000</v>
      </c>
      <c r="T294">
        <v>2.5</v>
      </c>
      <c r="U294" s="25">
        <v>0.26319999999999999</v>
      </c>
    </row>
    <row r="295" spans="1:21" hidden="1" x14ac:dyDescent="0.25">
      <c r="A295" t="s">
        <v>429</v>
      </c>
      <c r="B295">
        <v>2.66</v>
      </c>
      <c r="C295">
        <v>-0.01</v>
      </c>
      <c r="D295">
        <v>0</v>
      </c>
      <c r="E295">
        <v>0.121</v>
      </c>
      <c r="F295" s="25">
        <v>0</v>
      </c>
      <c r="G295">
        <v>6.0000000000000001E-3</v>
      </c>
      <c r="H295">
        <v>-0.01</v>
      </c>
      <c r="I295">
        <v>-0.11</v>
      </c>
      <c r="J295">
        <v>0</v>
      </c>
      <c r="K295">
        <v>-89.73</v>
      </c>
      <c r="L295">
        <v>-108.44</v>
      </c>
      <c r="M295" s="25">
        <v>-1.1141000000000001</v>
      </c>
      <c r="N295" s="25">
        <v>-23.5822</v>
      </c>
      <c r="O295">
        <v>0.01</v>
      </c>
      <c r="P295" s="25">
        <v>-5.57E-2</v>
      </c>
      <c r="Q295" s="25">
        <v>0.18410000000000001</v>
      </c>
      <c r="R295" s="26">
        <v>5832.45</v>
      </c>
      <c r="S295" s="26">
        <v>-8625440000</v>
      </c>
      <c r="T295">
        <v>-0.8</v>
      </c>
      <c r="U295" s="25">
        <v>0.48499999999999999</v>
      </c>
    </row>
    <row r="296" spans="1:21" hidden="1" x14ac:dyDescent="0.25">
      <c r="A296" t="s">
        <v>430</v>
      </c>
      <c r="B296">
        <v>39.979999999999997</v>
      </c>
      <c r="C296">
        <v>11.01</v>
      </c>
      <c r="D296">
        <v>1.22</v>
      </c>
      <c r="E296">
        <v>0.439</v>
      </c>
      <c r="F296" s="25">
        <v>0.17960000000000001</v>
      </c>
      <c r="G296">
        <v>0.59299999999999997</v>
      </c>
      <c r="H296">
        <v>1.48</v>
      </c>
      <c r="I296">
        <v>7.81</v>
      </c>
      <c r="J296">
        <v>2.64</v>
      </c>
      <c r="K296">
        <v>8.1999999999999993</v>
      </c>
      <c r="L296">
        <v>7.3</v>
      </c>
      <c r="M296" s="25">
        <v>5.62E-2</v>
      </c>
      <c r="N296" s="25">
        <v>3.9899999999999998E-2</v>
      </c>
      <c r="O296">
        <v>2.2000000000000002</v>
      </c>
      <c r="P296" s="25">
        <v>0.13750000000000001</v>
      </c>
      <c r="Q296" s="25">
        <v>0.1105</v>
      </c>
      <c r="R296" s="26">
        <v>5193.4799999999996</v>
      </c>
      <c r="S296" s="26">
        <v>786260000</v>
      </c>
      <c r="T296">
        <v>0.59</v>
      </c>
      <c r="U296" s="25">
        <v>4.5999999999999999E-3</v>
      </c>
    </row>
    <row r="297" spans="1:21" hidden="1" x14ac:dyDescent="0.25">
      <c r="A297" t="s">
        <v>431</v>
      </c>
      <c r="B297">
        <v>31.51</v>
      </c>
      <c r="C297">
        <v>8.68</v>
      </c>
      <c r="D297">
        <v>0.96</v>
      </c>
      <c r="E297">
        <v>0.34599999999999997</v>
      </c>
      <c r="F297" s="25">
        <v>0.26240000000000002</v>
      </c>
      <c r="G297">
        <v>0.46800000000000003</v>
      </c>
      <c r="H297">
        <v>1.1599999999999999</v>
      </c>
      <c r="I297">
        <v>6.16</v>
      </c>
      <c r="J297">
        <v>2.08</v>
      </c>
      <c r="K297">
        <v>6.55</v>
      </c>
      <c r="L297">
        <v>5.82</v>
      </c>
      <c r="M297" s="25">
        <v>5.62E-2</v>
      </c>
      <c r="N297" s="25">
        <v>3.9899999999999998E-2</v>
      </c>
      <c r="O297">
        <v>2.2000000000000002</v>
      </c>
      <c r="P297" s="25">
        <v>0.13750000000000001</v>
      </c>
      <c r="Q297" s="25">
        <v>0.1105</v>
      </c>
      <c r="R297" s="26">
        <v>3001.24</v>
      </c>
      <c r="S297" s="26">
        <v>786260000</v>
      </c>
      <c r="T297">
        <v>0.59</v>
      </c>
      <c r="U297" s="25">
        <v>4.5999999999999999E-3</v>
      </c>
    </row>
    <row r="298" spans="1:21" hidden="1" x14ac:dyDescent="0.25">
      <c r="A298" t="s">
        <v>225</v>
      </c>
      <c r="B298">
        <v>3.44</v>
      </c>
      <c r="C298">
        <v>-0.88</v>
      </c>
      <c r="D298">
        <v>0.61</v>
      </c>
      <c r="E298">
        <v>8.8999999999999996E-2</v>
      </c>
      <c r="F298" s="25">
        <v>0</v>
      </c>
      <c r="G298">
        <v>8.6999999999999994E-2</v>
      </c>
      <c r="H298">
        <v>-12.68</v>
      </c>
      <c r="I298">
        <v>1.1100000000000001</v>
      </c>
      <c r="J298">
        <v>-0.15</v>
      </c>
      <c r="K298">
        <v>2.67</v>
      </c>
      <c r="L298">
        <v>1.52</v>
      </c>
      <c r="M298" s="25">
        <v>8.0299999999999996E-2</v>
      </c>
      <c r="N298" s="25">
        <v>-0.1008</v>
      </c>
      <c r="O298">
        <v>0.98</v>
      </c>
      <c r="P298" s="25">
        <v>0.10539999999999999</v>
      </c>
      <c r="Q298" s="25">
        <v>-0.69320000000000004</v>
      </c>
      <c r="R298" s="26">
        <v>29217200</v>
      </c>
      <c r="S298" s="26">
        <v>2764000000</v>
      </c>
      <c r="T298">
        <v>1.65</v>
      </c>
      <c r="U298" s="25">
        <v>-0.2298</v>
      </c>
    </row>
    <row r="299" spans="1:21" hidden="1" x14ac:dyDescent="0.25">
      <c r="A299" t="s">
        <v>193</v>
      </c>
      <c r="B299">
        <v>0.22</v>
      </c>
      <c r="C299">
        <v>-0.01</v>
      </c>
      <c r="D299">
        <v>0</v>
      </c>
      <c r="E299">
        <v>4.7E-2</v>
      </c>
      <c r="F299" s="25">
        <v>0</v>
      </c>
      <c r="G299">
        <v>1.2E-2</v>
      </c>
      <c r="H299">
        <v>-0.01</v>
      </c>
      <c r="I299">
        <v>-0.09</v>
      </c>
      <c r="J299">
        <v>0</v>
      </c>
      <c r="K299">
        <v>-2.58</v>
      </c>
      <c r="L299">
        <v>-2.59</v>
      </c>
      <c r="M299" s="25">
        <v>-0.53349999999999997</v>
      </c>
      <c r="N299" s="25">
        <v>-3.3603000000000001</v>
      </c>
      <c r="O299">
        <v>0.32</v>
      </c>
      <c r="P299" s="25">
        <v>-0.32540000000000002</v>
      </c>
      <c r="Q299" s="25">
        <v>0.13800000000000001</v>
      </c>
      <c r="R299" s="26">
        <v>680444</v>
      </c>
      <c r="S299" s="26">
        <v>-3363560000</v>
      </c>
      <c r="T299">
        <v>-0.06</v>
      </c>
      <c r="U299" s="25">
        <v>-0.22470000000000001</v>
      </c>
    </row>
    <row r="300" spans="1:21" hidden="1" x14ac:dyDescent="0.25">
      <c r="A300" t="s">
        <v>432</v>
      </c>
      <c r="B300">
        <v>1.02</v>
      </c>
      <c r="C300">
        <v>-6.07</v>
      </c>
      <c r="D300">
        <v>0.66</v>
      </c>
      <c r="E300">
        <v>0.25900000000000001</v>
      </c>
      <c r="F300" s="25">
        <v>0</v>
      </c>
      <c r="G300">
        <v>0.11799999999999999</v>
      </c>
      <c r="H300">
        <v>0.3</v>
      </c>
      <c r="I300">
        <v>8.77</v>
      </c>
      <c r="J300">
        <v>-0.8</v>
      </c>
      <c r="K300">
        <v>30.2</v>
      </c>
      <c r="L300">
        <v>8.43</v>
      </c>
      <c r="M300" s="25">
        <v>2.9499999999999998E-2</v>
      </c>
      <c r="N300" s="25">
        <v>-4.2700000000000002E-2</v>
      </c>
      <c r="O300">
        <v>2.4</v>
      </c>
      <c r="P300" s="25">
        <v>1.83E-2</v>
      </c>
      <c r="Q300" s="25">
        <v>-0.10829999999999999</v>
      </c>
      <c r="R300" s="26">
        <v>38597</v>
      </c>
      <c r="S300" s="26">
        <v>123253000</v>
      </c>
      <c r="T300">
        <v>2.72</v>
      </c>
      <c r="U300" s="25">
        <v>-8.3299999999999999E-2</v>
      </c>
    </row>
    <row r="301" spans="1:21" hidden="1" x14ac:dyDescent="0.25">
      <c r="A301" t="s">
        <v>433</v>
      </c>
      <c r="B301">
        <v>40.299999999999997</v>
      </c>
      <c r="C301">
        <v>21.24</v>
      </c>
      <c r="D301">
        <v>0.85</v>
      </c>
      <c r="E301">
        <v>7.8289999999999997</v>
      </c>
      <c r="F301" s="25">
        <v>2.06E-2</v>
      </c>
      <c r="G301">
        <v>0.58899999999999997</v>
      </c>
      <c r="H301">
        <v>3.43</v>
      </c>
      <c r="I301">
        <v>-42.52</v>
      </c>
      <c r="J301">
        <v>-6.13</v>
      </c>
      <c r="K301">
        <v>-39.630000000000003</v>
      </c>
      <c r="L301">
        <v>-224.09</v>
      </c>
      <c r="M301" s="25">
        <v>-0.18410000000000001</v>
      </c>
      <c r="N301" s="25">
        <v>0.36859999999999998</v>
      </c>
      <c r="O301">
        <v>5.51</v>
      </c>
      <c r="P301" s="25">
        <v>-1.67E-2</v>
      </c>
      <c r="Q301" s="25">
        <v>3.9899999999999998E-2</v>
      </c>
      <c r="R301" s="26">
        <v>13713.7</v>
      </c>
      <c r="S301" s="26">
        <v>898730000</v>
      </c>
      <c r="T301">
        <v>0.18</v>
      </c>
      <c r="U301" s="25">
        <v>5.8700000000000002E-2</v>
      </c>
    </row>
    <row r="302" spans="1:21" hidden="1" x14ac:dyDescent="0.25">
      <c r="A302" t="s">
        <v>434</v>
      </c>
      <c r="B302">
        <v>38</v>
      </c>
      <c r="C302">
        <v>20.03</v>
      </c>
      <c r="D302">
        <v>0.8</v>
      </c>
      <c r="E302">
        <v>7.3819999999999997</v>
      </c>
      <c r="F302" s="25">
        <v>2.2800000000000001E-2</v>
      </c>
      <c r="G302">
        <v>0.55500000000000005</v>
      </c>
      <c r="H302">
        <v>3.24</v>
      </c>
      <c r="I302">
        <v>-40.1</v>
      </c>
      <c r="J302">
        <v>-5.78</v>
      </c>
      <c r="K302">
        <v>-37.200000000000003</v>
      </c>
      <c r="L302">
        <v>-210.37</v>
      </c>
      <c r="M302" s="25">
        <v>-0.18410000000000001</v>
      </c>
      <c r="N302" s="25">
        <v>0.36859999999999998</v>
      </c>
      <c r="O302">
        <v>5.51</v>
      </c>
      <c r="P302" s="25">
        <v>-1.67E-2</v>
      </c>
      <c r="Q302" s="25">
        <v>3.9899999999999998E-2</v>
      </c>
      <c r="R302" s="26">
        <v>4129</v>
      </c>
      <c r="S302" s="26">
        <v>898730000</v>
      </c>
      <c r="T302">
        <v>0.18</v>
      </c>
      <c r="U302" s="25">
        <v>5.8700000000000002E-2</v>
      </c>
    </row>
    <row r="303" spans="1:21" hidden="1" x14ac:dyDescent="0.25">
      <c r="A303" t="s">
        <v>94</v>
      </c>
      <c r="B303">
        <v>34.840000000000003</v>
      </c>
      <c r="C303">
        <v>9.33</v>
      </c>
      <c r="D303">
        <v>1.1299999999999999</v>
      </c>
      <c r="E303">
        <v>0.90500000000000003</v>
      </c>
      <c r="F303" s="25">
        <v>0.16070000000000001</v>
      </c>
      <c r="G303">
        <v>0.39100000000000001</v>
      </c>
      <c r="H303">
        <v>-9.17</v>
      </c>
      <c r="I303">
        <v>2.14</v>
      </c>
      <c r="J303">
        <v>-0.72</v>
      </c>
      <c r="K303">
        <v>3.69</v>
      </c>
      <c r="L303">
        <v>2.77</v>
      </c>
      <c r="M303" s="25">
        <v>0.42370000000000002</v>
      </c>
      <c r="N303" s="25">
        <v>9.7799999999999998E-2</v>
      </c>
      <c r="O303">
        <v>0.72</v>
      </c>
      <c r="P303" s="25">
        <v>0.1961</v>
      </c>
      <c r="Q303" s="25">
        <v>0.1216</v>
      </c>
      <c r="R303" s="26">
        <v>350100000</v>
      </c>
      <c r="S303" s="26">
        <v>395841000000</v>
      </c>
      <c r="T303">
        <v>0.94</v>
      </c>
      <c r="U303" s="25">
        <v>0.11509999999999999</v>
      </c>
    </row>
    <row r="304" spans="1:21" hidden="1" x14ac:dyDescent="0.25">
      <c r="A304" t="s">
        <v>15</v>
      </c>
      <c r="B304">
        <v>31.99</v>
      </c>
      <c r="C304">
        <v>8.57</v>
      </c>
      <c r="D304">
        <v>1.04</v>
      </c>
      <c r="E304">
        <v>0.83099999999999996</v>
      </c>
      <c r="F304" s="25">
        <v>0.17499999999999999</v>
      </c>
      <c r="G304">
        <v>0.35899999999999999</v>
      </c>
      <c r="H304">
        <v>-8.42</v>
      </c>
      <c r="I304">
        <v>1.96</v>
      </c>
      <c r="J304">
        <v>-0.66</v>
      </c>
      <c r="K304">
        <v>3.51</v>
      </c>
      <c r="L304">
        <v>2.64</v>
      </c>
      <c r="M304" s="25">
        <v>0.42370000000000002</v>
      </c>
      <c r="N304" s="25">
        <v>9.7799999999999998E-2</v>
      </c>
      <c r="O304">
        <v>0.72</v>
      </c>
      <c r="P304" s="25">
        <v>0.1961</v>
      </c>
      <c r="Q304" s="25">
        <v>0.1216</v>
      </c>
      <c r="R304" s="26">
        <v>1080610000</v>
      </c>
      <c r="S304" s="26">
        <v>395841000000</v>
      </c>
      <c r="T304">
        <v>0.94</v>
      </c>
      <c r="U304" s="25">
        <v>0.11509999999999999</v>
      </c>
    </row>
    <row r="305" spans="1:21" hidden="1" x14ac:dyDescent="0.25">
      <c r="A305" t="s">
        <v>204</v>
      </c>
      <c r="B305">
        <v>3.99</v>
      </c>
      <c r="C305">
        <v>-45.34</v>
      </c>
      <c r="D305">
        <v>1.1100000000000001</v>
      </c>
      <c r="E305">
        <v>0.54600000000000004</v>
      </c>
      <c r="F305" s="25">
        <v>7.22E-2</v>
      </c>
      <c r="G305">
        <v>0.47799999999999998</v>
      </c>
      <c r="H305">
        <v>3.32</v>
      </c>
      <c r="I305">
        <v>10.59</v>
      </c>
      <c r="J305">
        <v>-2.21</v>
      </c>
      <c r="K305">
        <v>11.13</v>
      </c>
      <c r="L305">
        <v>3.71</v>
      </c>
      <c r="M305" s="25">
        <v>5.1499999999999997E-2</v>
      </c>
      <c r="N305" s="25">
        <v>-1.2E-2</v>
      </c>
      <c r="O305">
        <v>1.68</v>
      </c>
      <c r="P305" s="25">
        <v>5.5800000000000002E-2</v>
      </c>
      <c r="Q305" s="25">
        <v>-2.4500000000000001E-2</v>
      </c>
      <c r="R305" s="26">
        <v>29938800</v>
      </c>
      <c r="S305" s="26">
        <v>1658800000</v>
      </c>
      <c r="T305">
        <v>0.27</v>
      </c>
      <c r="U305" s="25">
        <v>0.20250000000000001</v>
      </c>
    </row>
    <row r="306" spans="1:21" hidden="1" x14ac:dyDescent="0.25">
      <c r="A306" t="s">
        <v>80</v>
      </c>
      <c r="B306">
        <v>8.08</v>
      </c>
      <c r="C306">
        <v>8.0299999999999994</v>
      </c>
      <c r="D306">
        <v>0.76</v>
      </c>
      <c r="E306">
        <v>9.4E-2</v>
      </c>
      <c r="F306" s="25">
        <v>7.1199999999999999E-2</v>
      </c>
      <c r="G306">
        <v>0.17299999999999999</v>
      </c>
      <c r="H306">
        <v>1.0900000000000001</v>
      </c>
      <c r="I306">
        <v>3.25</v>
      </c>
      <c r="J306">
        <v>-62.46</v>
      </c>
      <c r="K306">
        <v>5.46</v>
      </c>
      <c r="L306">
        <v>3.47</v>
      </c>
      <c r="M306" s="25">
        <v>2.9000000000000001E-2</v>
      </c>
      <c r="N306" s="25">
        <v>1.2500000000000001E-2</v>
      </c>
      <c r="O306">
        <v>1.28</v>
      </c>
      <c r="P306" s="25">
        <v>9.6100000000000005E-2</v>
      </c>
      <c r="Q306" s="25">
        <v>9.4700000000000006E-2</v>
      </c>
      <c r="R306" s="26">
        <v>1472670</v>
      </c>
      <c r="S306" s="26">
        <v>1315040000</v>
      </c>
      <c r="T306">
        <v>0.72</v>
      </c>
      <c r="U306" s="25">
        <v>0.17050000000000001</v>
      </c>
    </row>
    <row r="307" spans="1:21" hidden="1" x14ac:dyDescent="0.25">
      <c r="A307" t="s">
        <v>153</v>
      </c>
      <c r="B307">
        <v>3.55</v>
      </c>
      <c r="C307">
        <v>15.25</v>
      </c>
      <c r="D307">
        <v>0.81</v>
      </c>
      <c r="E307">
        <v>0.16800000000000001</v>
      </c>
      <c r="F307" s="25">
        <v>6.5100000000000005E-2</v>
      </c>
      <c r="G307">
        <v>0.255</v>
      </c>
      <c r="H307">
        <v>1.73</v>
      </c>
      <c r="I307">
        <v>3.57</v>
      </c>
      <c r="J307">
        <v>-1.44</v>
      </c>
      <c r="K307">
        <v>5.66</v>
      </c>
      <c r="L307">
        <v>3.08</v>
      </c>
      <c r="M307" s="25">
        <v>4.7199999999999999E-2</v>
      </c>
      <c r="N307" s="25">
        <v>1.11E-2</v>
      </c>
      <c r="O307">
        <v>1.41</v>
      </c>
      <c r="P307" s="25">
        <v>9.5000000000000001E-2</v>
      </c>
      <c r="Q307" s="25">
        <v>5.3199999999999997E-2</v>
      </c>
      <c r="R307" s="26">
        <v>2989680</v>
      </c>
      <c r="S307" s="26">
        <v>2722920000</v>
      </c>
      <c r="T307">
        <v>0.52</v>
      </c>
      <c r="U307" s="25">
        <v>0.1807</v>
      </c>
    </row>
    <row r="308" spans="1:21" hidden="1" x14ac:dyDescent="0.25">
      <c r="A308" t="s">
        <v>435</v>
      </c>
      <c r="B308">
        <v>5.87</v>
      </c>
      <c r="C308">
        <v>4.95</v>
      </c>
      <c r="D308">
        <v>1.18</v>
      </c>
      <c r="E308">
        <v>0</v>
      </c>
      <c r="F308" s="25">
        <v>0</v>
      </c>
      <c r="G308">
        <v>0</v>
      </c>
      <c r="H308">
        <v>0</v>
      </c>
      <c r="I308">
        <v>0</v>
      </c>
      <c r="J308">
        <v>0</v>
      </c>
      <c r="K308">
        <v>0</v>
      </c>
      <c r="L308">
        <v>0</v>
      </c>
      <c r="M308" s="25">
        <v>0</v>
      </c>
      <c r="N308" s="25">
        <v>0</v>
      </c>
      <c r="O308">
        <v>0</v>
      </c>
      <c r="P308" s="25">
        <v>0</v>
      </c>
      <c r="Q308" s="25">
        <v>0.2392</v>
      </c>
      <c r="R308" s="26">
        <v>24092.3</v>
      </c>
      <c r="S308" s="26">
        <v>1123630000</v>
      </c>
      <c r="T308">
        <v>0</v>
      </c>
      <c r="U308" s="25">
        <v>0.49669999999999997</v>
      </c>
    </row>
    <row r="309" spans="1:21" hidden="1" x14ac:dyDescent="0.25">
      <c r="A309" t="s">
        <v>39</v>
      </c>
      <c r="B309">
        <v>5.87</v>
      </c>
      <c r="C309">
        <v>4.95</v>
      </c>
      <c r="D309">
        <v>1.18</v>
      </c>
      <c r="E309">
        <v>0</v>
      </c>
      <c r="F309" s="25">
        <v>9.0200000000000002E-2</v>
      </c>
      <c r="G309">
        <v>0</v>
      </c>
      <c r="H309" s="26">
        <v>0</v>
      </c>
      <c r="I309">
        <v>0</v>
      </c>
      <c r="J309">
        <v>0</v>
      </c>
      <c r="K309">
        <v>0</v>
      </c>
      <c r="L309">
        <v>0</v>
      </c>
      <c r="M309" s="25">
        <v>0</v>
      </c>
      <c r="N309" s="25">
        <v>0</v>
      </c>
      <c r="O309">
        <v>0</v>
      </c>
      <c r="P309" s="25">
        <v>0</v>
      </c>
      <c r="Q309" s="25">
        <v>0.2392</v>
      </c>
      <c r="R309" s="26">
        <v>1421880</v>
      </c>
      <c r="S309" s="26">
        <v>1123630000</v>
      </c>
      <c r="T309">
        <v>0</v>
      </c>
      <c r="U309" s="25">
        <v>0.49669999999999997</v>
      </c>
    </row>
    <row r="310" spans="1:21" hidden="1" x14ac:dyDescent="0.25">
      <c r="A310" t="s">
        <v>436</v>
      </c>
      <c r="B310">
        <v>5.15</v>
      </c>
      <c r="C310">
        <v>-0.46</v>
      </c>
      <c r="D310">
        <v>-0.11</v>
      </c>
      <c r="E310">
        <v>5.6000000000000001E-2</v>
      </c>
      <c r="F310" s="25">
        <v>0</v>
      </c>
      <c r="G310">
        <v>0.10100000000000001</v>
      </c>
      <c r="H310">
        <v>-0.2</v>
      </c>
      <c r="I310">
        <v>-6.02</v>
      </c>
      <c r="J310">
        <v>-0.06</v>
      </c>
      <c r="K310">
        <v>-33.369999999999997</v>
      </c>
      <c r="L310">
        <v>7.4</v>
      </c>
      <c r="M310" s="25">
        <v>-9.2999999999999992E-3</v>
      </c>
      <c r="N310" s="25">
        <v>-0.1202</v>
      </c>
      <c r="O310">
        <v>0.39</v>
      </c>
      <c r="P310" s="25">
        <v>-2.01E-2</v>
      </c>
      <c r="Q310" s="25">
        <v>0.2389</v>
      </c>
      <c r="R310" s="26">
        <v>800.69</v>
      </c>
      <c r="S310" s="26">
        <v>-577159000</v>
      </c>
      <c r="T310">
        <v>-0.54</v>
      </c>
      <c r="U310" s="25">
        <v>0.27039999999999997</v>
      </c>
    </row>
    <row r="311" spans="1:21" hidden="1" x14ac:dyDescent="0.25">
      <c r="A311" t="s">
        <v>437</v>
      </c>
      <c r="B311">
        <v>13.49</v>
      </c>
      <c r="C311">
        <v>7.45</v>
      </c>
      <c r="D311">
        <v>3.43</v>
      </c>
      <c r="E311">
        <v>1.02</v>
      </c>
      <c r="F311" s="25">
        <v>7.46E-2</v>
      </c>
      <c r="G311">
        <v>1.1000000000000001</v>
      </c>
      <c r="H311">
        <v>1.91</v>
      </c>
      <c r="I311">
        <v>3.77</v>
      </c>
      <c r="J311">
        <v>5.67</v>
      </c>
      <c r="K311">
        <v>3.95</v>
      </c>
      <c r="L311">
        <v>3.84</v>
      </c>
      <c r="M311" s="25">
        <v>0.27060000000000001</v>
      </c>
      <c r="N311" s="25">
        <v>0.15640000000000001</v>
      </c>
      <c r="O311">
        <v>3.12</v>
      </c>
      <c r="P311" s="25">
        <v>0.45750000000000002</v>
      </c>
      <c r="Q311" s="25">
        <v>0.4607</v>
      </c>
      <c r="R311" s="26">
        <v>13864400</v>
      </c>
      <c r="S311" s="26">
        <v>801581000</v>
      </c>
      <c r="T311">
        <v>0.75</v>
      </c>
      <c r="U311" s="25">
        <v>0.2828</v>
      </c>
    </row>
    <row r="312" spans="1:21" hidden="1" x14ac:dyDescent="0.25">
      <c r="A312" t="s">
        <v>260</v>
      </c>
      <c r="B312">
        <v>1.65</v>
      </c>
      <c r="C312">
        <v>-7.0000000000000007E-2</v>
      </c>
      <c r="D312">
        <v>-0.02</v>
      </c>
      <c r="E312">
        <v>0.25600000000000001</v>
      </c>
      <c r="F312" s="25">
        <v>0</v>
      </c>
      <c r="G312">
        <v>8.4000000000000005E-2</v>
      </c>
      <c r="H312">
        <v>-0.02</v>
      </c>
      <c r="I312">
        <v>-0.54</v>
      </c>
      <c r="J312">
        <v>-0.02</v>
      </c>
      <c r="K312">
        <v>-21.61</v>
      </c>
      <c r="L312">
        <v>-32.9</v>
      </c>
      <c r="M312" s="25">
        <v>-0.4743</v>
      </c>
      <c r="N312" s="25">
        <v>-3.7662</v>
      </c>
      <c r="O312">
        <v>0.06</v>
      </c>
      <c r="P312" s="25">
        <v>-0.28239999999999998</v>
      </c>
      <c r="Q312" s="25">
        <v>0.30370000000000003</v>
      </c>
      <c r="R312" s="26">
        <v>739903</v>
      </c>
      <c r="S312" s="26">
        <v>-6411200000</v>
      </c>
      <c r="T312">
        <v>-0.81</v>
      </c>
      <c r="U312" s="25">
        <v>-0.47</v>
      </c>
    </row>
    <row r="313" spans="1:21" hidden="1" x14ac:dyDescent="0.25">
      <c r="A313" t="s">
        <v>145</v>
      </c>
      <c r="B313">
        <v>9.2799999999999994</v>
      </c>
      <c r="C313">
        <v>14.32</v>
      </c>
      <c r="D313">
        <v>1.1200000000000001</v>
      </c>
      <c r="E313">
        <v>0.28100000000000003</v>
      </c>
      <c r="F313" s="25">
        <v>3.9100000000000003E-2</v>
      </c>
      <c r="G313">
        <v>0.44</v>
      </c>
      <c r="H313">
        <v>1.65</v>
      </c>
      <c r="I313">
        <v>8.48</v>
      </c>
      <c r="J313">
        <v>-9.9</v>
      </c>
      <c r="K313">
        <v>14.67</v>
      </c>
      <c r="L313">
        <v>6.35</v>
      </c>
      <c r="M313" s="25">
        <v>3.3099999999999997E-2</v>
      </c>
      <c r="N313" s="25">
        <v>1.9599999999999999E-2</v>
      </c>
      <c r="O313">
        <v>1.9</v>
      </c>
      <c r="P313" s="25">
        <v>6.5500000000000003E-2</v>
      </c>
      <c r="Q313" s="25">
        <v>7.8200000000000006E-2</v>
      </c>
      <c r="R313" s="26">
        <v>4079320</v>
      </c>
      <c r="S313" s="26">
        <v>1245830000</v>
      </c>
      <c r="T313">
        <v>0.98</v>
      </c>
      <c r="U313" s="25">
        <v>0.1522</v>
      </c>
    </row>
    <row r="314" spans="1:21" hidden="1" x14ac:dyDescent="0.25">
      <c r="A314" t="s">
        <v>24</v>
      </c>
      <c r="B314">
        <v>6.65</v>
      </c>
      <c r="C314">
        <v>6.67</v>
      </c>
      <c r="D314">
        <v>1.91</v>
      </c>
      <c r="E314">
        <v>0.877</v>
      </c>
      <c r="F314" s="25">
        <v>8.6499999999999994E-2</v>
      </c>
      <c r="G314">
        <v>0.84099999999999997</v>
      </c>
      <c r="H314">
        <v>3.5</v>
      </c>
      <c r="I314">
        <v>5.6</v>
      </c>
      <c r="J314">
        <v>27.69</v>
      </c>
      <c r="K314">
        <v>6.59</v>
      </c>
      <c r="L314">
        <v>5.87</v>
      </c>
      <c r="M314" s="25">
        <v>0.15670000000000001</v>
      </c>
      <c r="N314" s="25">
        <v>0.1333</v>
      </c>
      <c r="O314">
        <v>1.7</v>
      </c>
      <c r="P314" s="25">
        <v>0.2054</v>
      </c>
      <c r="Q314" s="25">
        <v>0.28589999999999999</v>
      </c>
      <c r="R314" s="26">
        <v>1370680</v>
      </c>
      <c r="S314" s="26">
        <v>3960140000</v>
      </c>
      <c r="T314">
        <v>0.78</v>
      </c>
      <c r="U314" s="25">
        <v>0.2727</v>
      </c>
    </row>
    <row r="315" spans="1:21" hidden="1" x14ac:dyDescent="0.25">
      <c r="A315" t="s">
        <v>96</v>
      </c>
      <c r="B315">
        <v>8.3699999999999992</v>
      </c>
      <c r="C315">
        <v>8.4</v>
      </c>
      <c r="D315">
        <v>2.4</v>
      </c>
      <c r="E315">
        <v>1.1040000000000001</v>
      </c>
      <c r="F315" s="25">
        <v>6.8699999999999997E-2</v>
      </c>
      <c r="G315">
        <v>1.0589999999999999</v>
      </c>
      <c r="H315">
        <v>4.4000000000000004</v>
      </c>
      <c r="I315">
        <v>7.04</v>
      </c>
      <c r="J315">
        <v>34.85</v>
      </c>
      <c r="K315">
        <v>8.0399999999999991</v>
      </c>
      <c r="L315">
        <v>7.16</v>
      </c>
      <c r="M315" s="25">
        <v>0.15670000000000001</v>
      </c>
      <c r="N315" s="25">
        <v>0.1333</v>
      </c>
      <c r="O315">
        <v>1.7</v>
      </c>
      <c r="P315" s="25">
        <v>0.2054</v>
      </c>
      <c r="Q315" s="25">
        <v>0.28589999999999999</v>
      </c>
      <c r="R315" s="26">
        <v>68065600</v>
      </c>
      <c r="S315" s="26">
        <v>3960140000</v>
      </c>
      <c r="T315">
        <v>0.78</v>
      </c>
      <c r="U315" s="25">
        <v>0.2727</v>
      </c>
    </row>
    <row r="316" spans="1:21" hidden="1" x14ac:dyDescent="0.25">
      <c r="A316" t="s">
        <v>38</v>
      </c>
      <c r="B316">
        <v>17.670000000000002</v>
      </c>
      <c r="C316">
        <v>13.63</v>
      </c>
      <c r="D316">
        <v>2.84</v>
      </c>
      <c r="E316">
        <v>2.5529999999999999</v>
      </c>
      <c r="F316" s="25">
        <v>6.2799999999999995E-2</v>
      </c>
      <c r="G316">
        <v>1.1970000000000001</v>
      </c>
      <c r="H316">
        <v>57.87</v>
      </c>
      <c r="I316">
        <v>8.44</v>
      </c>
      <c r="J316">
        <v>-3.08</v>
      </c>
      <c r="K316">
        <v>10.74</v>
      </c>
      <c r="L316">
        <v>7.92</v>
      </c>
      <c r="M316" s="25">
        <v>0.30259999999999998</v>
      </c>
      <c r="N316" s="25">
        <v>0.18940000000000001</v>
      </c>
      <c r="O316">
        <v>1.1200000000000001</v>
      </c>
      <c r="P316" s="25">
        <v>0.16070000000000001</v>
      </c>
      <c r="Q316" s="25">
        <v>0.20810000000000001</v>
      </c>
      <c r="R316" s="26">
        <v>19269300</v>
      </c>
      <c r="S316" s="26">
        <v>2747140000</v>
      </c>
      <c r="T316">
        <v>0.99</v>
      </c>
      <c r="U316" s="25">
        <v>4.9299999999999997E-2</v>
      </c>
    </row>
    <row r="317" spans="1:21" hidden="1" x14ac:dyDescent="0.25">
      <c r="A317" t="s">
        <v>83</v>
      </c>
      <c r="B317">
        <v>4.3</v>
      </c>
      <c r="C317">
        <v>208.53</v>
      </c>
      <c r="D317">
        <v>0.38</v>
      </c>
      <c r="E317">
        <v>0.17899999999999999</v>
      </c>
      <c r="F317" s="25">
        <v>6.3700000000000007E-2</v>
      </c>
      <c r="G317">
        <v>0.14499999999999999</v>
      </c>
      <c r="H317">
        <v>0.44</v>
      </c>
      <c r="I317">
        <v>2.7</v>
      </c>
      <c r="J317">
        <v>3.65</v>
      </c>
      <c r="K317">
        <v>6.12</v>
      </c>
      <c r="L317">
        <v>4.78</v>
      </c>
      <c r="M317" s="25">
        <v>6.6199999999999995E-2</v>
      </c>
      <c r="N317" s="25">
        <v>2.3999999999999998E-3</v>
      </c>
      <c r="O317">
        <v>2.0299999999999998</v>
      </c>
      <c r="P317" s="25">
        <v>6.9900000000000004E-2</v>
      </c>
      <c r="Q317" s="25">
        <v>1.8E-3</v>
      </c>
      <c r="R317" s="26">
        <v>4346680</v>
      </c>
      <c r="S317" s="26">
        <v>1607650000</v>
      </c>
      <c r="T317">
        <v>0.77</v>
      </c>
      <c r="U317" s="25">
        <v>7.8299999999999995E-2</v>
      </c>
    </row>
    <row r="318" spans="1:21" hidden="1" x14ac:dyDescent="0.25">
      <c r="A318" t="s">
        <v>168</v>
      </c>
      <c r="B318">
        <v>42.47</v>
      </c>
      <c r="C318">
        <v>3.36</v>
      </c>
      <c r="D318">
        <v>1.43</v>
      </c>
      <c r="E318">
        <v>2.44</v>
      </c>
      <c r="F318" s="25">
        <v>0</v>
      </c>
      <c r="G318">
        <v>0.69499999999999995</v>
      </c>
      <c r="H318">
        <v>6.68</v>
      </c>
      <c r="I318">
        <v>6.21</v>
      </c>
      <c r="J318">
        <v>-1.91</v>
      </c>
      <c r="K318">
        <v>9.1300000000000008</v>
      </c>
      <c r="L318">
        <v>5.86</v>
      </c>
      <c r="M318" s="25">
        <v>0.39279999999999998</v>
      </c>
      <c r="N318" s="25">
        <v>0.72609999999999997</v>
      </c>
      <c r="O318">
        <v>3.19</v>
      </c>
      <c r="P318" s="25">
        <v>0.1234</v>
      </c>
      <c r="Q318" s="25">
        <v>0.42580000000000001</v>
      </c>
      <c r="R318" s="26">
        <v>387303000</v>
      </c>
      <c r="S318" s="26">
        <v>26603200000</v>
      </c>
      <c r="T318">
        <v>0.83</v>
      </c>
      <c r="U318" s="25">
        <v>0.59109999999999996</v>
      </c>
    </row>
    <row r="319" spans="1:21" hidden="1" x14ac:dyDescent="0.25">
      <c r="A319" t="s">
        <v>21</v>
      </c>
      <c r="B319">
        <v>15</v>
      </c>
      <c r="C319">
        <v>67.5</v>
      </c>
      <c r="D319">
        <v>2.04</v>
      </c>
      <c r="E319">
        <v>0.55900000000000005</v>
      </c>
      <c r="F319" s="25">
        <v>3.3999999999999998E-3</v>
      </c>
      <c r="G319">
        <v>0.496</v>
      </c>
      <c r="H319">
        <v>1.8</v>
      </c>
      <c r="I319">
        <v>7.19</v>
      </c>
      <c r="J319">
        <v>-2.72</v>
      </c>
      <c r="K319">
        <v>10.38</v>
      </c>
      <c r="L319">
        <v>6.58</v>
      </c>
      <c r="M319" s="25">
        <v>7.7799999999999994E-2</v>
      </c>
      <c r="N319" s="25">
        <v>2.3099999999999999E-2</v>
      </c>
      <c r="O319">
        <v>1.96</v>
      </c>
      <c r="P319" s="25">
        <v>9.6100000000000005E-2</v>
      </c>
      <c r="Q319" s="25">
        <v>3.0200000000000001E-2</v>
      </c>
      <c r="R319" s="26">
        <v>4697250</v>
      </c>
      <c r="S319" s="26">
        <v>343979000</v>
      </c>
      <c r="T319">
        <v>1.95</v>
      </c>
      <c r="U319" s="25">
        <v>0.48799999999999999</v>
      </c>
    </row>
    <row r="320" spans="1:21" hidden="1" x14ac:dyDescent="0.25">
      <c r="A320" t="s">
        <v>16</v>
      </c>
      <c r="B320">
        <v>52.1</v>
      </c>
      <c r="C320">
        <v>11.92</v>
      </c>
      <c r="D320">
        <v>2.4300000000000002</v>
      </c>
      <c r="E320">
        <v>0.92900000000000005</v>
      </c>
      <c r="F320" s="25">
        <v>3.3500000000000002E-2</v>
      </c>
      <c r="G320">
        <v>0.68100000000000005</v>
      </c>
      <c r="H320">
        <v>10.78</v>
      </c>
      <c r="I320">
        <v>1.1299999999999999</v>
      </c>
      <c r="J320">
        <v>-4.13</v>
      </c>
      <c r="K320">
        <v>0.8</v>
      </c>
      <c r="L320">
        <v>0.79</v>
      </c>
      <c r="M320" s="25">
        <v>0.81850000000000001</v>
      </c>
      <c r="N320" s="25">
        <v>7.9200000000000007E-2</v>
      </c>
      <c r="O320">
        <v>1.1299999999999999</v>
      </c>
      <c r="P320" s="25">
        <v>0.75109999999999999</v>
      </c>
      <c r="Q320" s="25">
        <v>0.2039</v>
      </c>
      <c r="R320" s="26">
        <v>107605000</v>
      </c>
      <c r="S320" s="26">
        <v>13856800000</v>
      </c>
      <c r="T320">
        <v>0</v>
      </c>
      <c r="U320" s="25">
        <v>0.18590000000000001</v>
      </c>
    </row>
    <row r="321" spans="1:21" hidden="1" x14ac:dyDescent="0.25">
      <c r="A321" t="s">
        <v>221</v>
      </c>
      <c r="B321">
        <v>3.94</v>
      </c>
      <c r="C321">
        <v>-4.87</v>
      </c>
      <c r="D321">
        <v>1.76</v>
      </c>
      <c r="E321">
        <v>0.22500000000000001</v>
      </c>
      <c r="F321" s="25">
        <v>0</v>
      </c>
      <c r="G321">
        <v>0.154</v>
      </c>
      <c r="H321">
        <v>-2.79</v>
      </c>
      <c r="I321">
        <v>7.06</v>
      </c>
      <c r="J321">
        <v>-0.28999999999999998</v>
      </c>
      <c r="K321">
        <v>19.88</v>
      </c>
      <c r="L321">
        <v>5.82</v>
      </c>
      <c r="M321" s="25">
        <v>3.1800000000000002E-2</v>
      </c>
      <c r="N321" s="25">
        <v>-4.6100000000000002E-2</v>
      </c>
      <c r="O321">
        <v>0.87</v>
      </c>
      <c r="P321" s="25">
        <v>3.15E-2</v>
      </c>
      <c r="Q321" s="25">
        <v>-0.36120000000000002</v>
      </c>
      <c r="R321" s="26">
        <v>1626920</v>
      </c>
      <c r="S321" s="26">
        <v>315773000</v>
      </c>
      <c r="T321">
        <v>4.5</v>
      </c>
      <c r="U321" s="25">
        <v>0.1201</v>
      </c>
    </row>
    <row r="322" spans="1:21" hidden="1" x14ac:dyDescent="0.25">
      <c r="A322" t="s">
        <v>438</v>
      </c>
      <c r="B322">
        <v>8.94</v>
      </c>
      <c r="C322">
        <v>11.14</v>
      </c>
      <c r="D322">
        <v>0.98</v>
      </c>
      <c r="E322">
        <v>0.52200000000000002</v>
      </c>
      <c r="F322" s="25">
        <v>3.0300000000000001E-2</v>
      </c>
      <c r="G322">
        <v>0.40400000000000003</v>
      </c>
      <c r="H322">
        <v>1.19</v>
      </c>
      <c r="I322">
        <v>12.07</v>
      </c>
      <c r="J322">
        <v>6.97</v>
      </c>
      <c r="K322">
        <v>16.05</v>
      </c>
      <c r="L322">
        <v>7.92</v>
      </c>
      <c r="M322" s="25">
        <v>4.3200000000000002E-2</v>
      </c>
      <c r="N322" s="25">
        <v>7.2099999999999997E-2</v>
      </c>
      <c r="O322">
        <v>2.56</v>
      </c>
      <c r="P322" s="25">
        <v>4.9299999999999997E-2</v>
      </c>
      <c r="Q322" s="25">
        <v>8.77E-2</v>
      </c>
      <c r="R322" s="26">
        <v>2411.1</v>
      </c>
      <c r="S322" s="26">
        <v>439823000</v>
      </c>
      <c r="T322">
        <v>0.88</v>
      </c>
      <c r="U322" s="25">
        <v>5.5800000000000002E-2</v>
      </c>
    </row>
    <row r="323" spans="1:21" hidden="1" x14ac:dyDescent="0.25">
      <c r="A323" t="s">
        <v>106</v>
      </c>
      <c r="B323">
        <v>4.75</v>
      </c>
      <c r="C323">
        <v>5.92</v>
      </c>
      <c r="D323">
        <v>0.52</v>
      </c>
      <c r="E323">
        <v>0.27700000000000002</v>
      </c>
      <c r="F323" s="25">
        <v>5.7000000000000002E-2</v>
      </c>
      <c r="G323">
        <v>0.215</v>
      </c>
      <c r="H323">
        <v>0.63</v>
      </c>
      <c r="I323">
        <v>6.41</v>
      </c>
      <c r="J323">
        <v>3.7</v>
      </c>
      <c r="K323">
        <v>10.39</v>
      </c>
      <c r="L323">
        <v>5.13</v>
      </c>
      <c r="M323" s="25">
        <v>4.3200000000000002E-2</v>
      </c>
      <c r="N323" s="25">
        <v>7.2099999999999997E-2</v>
      </c>
      <c r="O323">
        <v>2.56</v>
      </c>
      <c r="P323" s="25">
        <v>4.9299999999999997E-2</v>
      </c>
      <c r="Q323" s="25">
        <v>8.77E-2</v>
      </c>
      <c r="R323" s="26">
        <v>68324.7</v>
      </c>
      <c r="S323" s="26">
        <v>439823000</v>
      </c>
      <c r="T323">
        <v>0.88</v>
      </c>
      <c r="U323" s="25">
        <v>5.5800000000000002E-2</v>
      </c>
    </row>
    <row r="324" spans="1:21" hidden="1" x14ac:dyDescent="0.25">
      <c r="A324" t="s">
        <v>144</v>
      </c>
      <c r="B324">
        <v>1.67</v>
      </c>
      <c r="C324">
        <v>125.91</v>
      </c>
      <c r="D324">
        <v>0.37</v>
      </c>
      <c r="E324">
        <v>0.30599999999999999</v>
      </c>
      <c r="F324" s="25">
        <v>3.3E-3</v>
      </c>
      <c r="G324">
        <v>0.107</v>
      </c>
      <c r="H324">
        <v>3.44</v>
      </c>
      <c r="I324">
        <v>0.9</v>
      </c>
      <c r="J324">
        <v>-0.36</v>
      </c>
      <c r="K324">
        <v>2.56</v>
      </c>
      <c r="L324">
        <v>1.5</v>
      </c>
      <c r="M324" s="25">
        <v>0.33879999999999999</v>
      </c>
      <c r="N324" s="25">
        <v>8.0000000000000002E-3</v>
      </c>
      <c r="O324">
        <v>1.08</v>
      </c>
      <c r="P324" s="25">
        <v>0.1847</v>
      </c>
      <c r="Q324" s="25">
        <v>2.8999999999999998E-3</v>
      </c>
      <c r="R324" s="26">
        <v>3381620</v>
      </c>
      <c r="S324" s="26">
        <v>1297730000</v>
      </c>
      <c r="T324">
        <v>1.49</v>
      </c>
      <c r="U324" s="25">
        <v>-7.3200000000000001E-2</v>
      </c>
    </row>
    <row r="325" spans="1:21" hidden="1" x14ac:dyDescent="0.25">
      <c r="A325" t="s">
        <v>98</v>
      </c>
      <c r="B325">
        <v>14.17</v>
      </c>
      <c r="C325">
        <v>20.7</v>
      </c>
      <c r="D325">
        <v>3.75</v>
      </c>
      <c r="E325">
        <v>0.61099999999999999</v>
      </c>
      <c r="F325" s="25">
        <v>2.87E-2</v>
      </c>
      <c r="G325">
        <v>1.0760000000000001</v>
      </c>
      <c r="H325">
        <v>7.24</v>
      </c>
      <c r="I325">
        <v>10.56</v>
      </c>
      <c r="J325">
        <v>-8.0500000000000007</v>
      </c>
      <c r="K325">
        <v>11.73</v>
      </c>
      <c r="L325">
        <v>6.51</v>
      </c>
      <c r="M325" s="25">
        <v>5.79E-2</v>
      </c>
      <c r="N325" s="25">
        <v>2.9700000000000001E-2</v>
      </c>
      <c r="O325">
        <v>1.34</v>
      </c>
      <c r="P325" s="25">
        <v>0.1431</v>
      </c>
      <c r="Q325" s="25">
        <v>0.18129999999999999</v>
      </c>
      <c r="R325" s="26">
        <v>188858000</v>
      </c>
      <c r="S325" s="26">
        <v>6485910000</v>
      </c>
      <c r="T325">
        <v>0.49</v>
      </c>
      <c r="U325" s="25">
        <v>0.17849999999999999</v>
      </c>
    </row>
    <row r="326" spans="1:21" hidden="1" x14ac:dyDescent="0.25">
      <c r="A326" t="s">
        <v>54</v>
      </c>
      <c r="B326">
        <v>17.09</v>
      </c>
      <c r="C326">
        <v>-22.2</v>
      </c>
      <c r="D326">
        <v>2.17</v>
      </c>
      <c r="E326">
        <v>2.3039999999999998</v>
      </c>
      <c r="F326" s="25">
        <v>4.7399999999999998E-2</v>
      </c>
      <c r="G326">
        <v>0.61599999999999999</v>
      </c>
      <c r="H326">
        <v>6.22</v>
      </c>
      <c r="I326">
        <v>5.61</v>
      </c>
      <c r="J326">
        <v>-1.22</v>
      </c>
      <c r="K326">
        <v>7.92</v>
      </c>
      <c r="L326">
        <v>3.94</v>
      </c>
      <c r="M326" s="25">
        <v>0.41110000000000002</v>
      </c>
      <c r="N326" s="25">
        <v>-0.1028</v>
      </c>
      <c r="O326">
        <v>1.9</v>
      </c>
      <c r="P326" s="25">
        <v>0.13270000000000001</v>
      </c>
      <c r="Q326" s="25">
        <v>-9.7799999999999998E-2</v>
      </c>
      <c r="R326" s="26">
        <v>195166000</v>
      </c>
      <c r="S326" s="26">
        <v>14598900000</v>
      </c>
      <c r="T326">
        <v>1.44</v>
      </c>
      <c r="U326" s="25">
        <v>0.18099999999999999</v>
      </c>
    </row>
    <row r="327" spans="1:21" hidden="1" x14ac:dyDescent="0.25">
      <c r="A327" t="s">
        <v>231</v>
      </c>
      <c r="B327">
        <v>1.54</v>
      </c>
      <c r="C327">
        <v>-3.75</v>
      </c>
      <c r="D327">
        <v>0.91</v>
      </c>
      <c r="E327">
        <v>6.2E-2</v>
      </c>
      <c r="F327" s="25">
        <v>6.4999999999999997E-3</v>
      </c>
      <c r="G327">
        <v>0.113</v>
      </c>
      <c r="H327">
        <v>1.05</v>
      </c>
      <c r="I327">
        <v>6.52</v>
      </c>
      <c r="J327">
        <v>-0.26</v>
      </c>
      <c r="K327">
        <v>25.63</v>
      </c>
      <c r="L327">
        <v>5.31</v>
      </c>
      <c r="M327" s="25">
        <v>9.5999999999999992E-3</v>
      </c>
      <c r="N327" s="25">
        <v>-1.6400000000000001E-2</v>
      </c>
      <c r="O327">
        <v>1.33</v>
      </c>
      <c r="P327" s="25">
        <v>2.5100000000000001E-2</v>
      </c>
      <c r="Q327" s="25">
        <v>-0.24199999999999999</v>
      </c>
      <c r="R327" s="26">
        <v>25375700</v>
      </c>
      <c r="S327" s="26">
        <v>17588500000</v>
      </c>
      <c r="T327">
        <v>3.89</v>
      </c>
      <c r="U327" s="25">
        <v>0.25109999999999999</v>
      </c>
    </row>
    <row r="328" spans="1:21" hidden="1" x14ac:dyDescent="0.25">
      <c r="A328" t="s">
        <v>203</v>
      </c>
      <c r="B328">
        <v>7.25</v>
      </c>
      <c r="C328">
        <v>5.39</v>
      </c>
      <c r="D328">
        <v>1.23</v>
      </c>
      <c r="E328">
        <v>1.0429999999999999</v>
      </c>
      <c r="F328" s="25">
        <v>9.1399999999999995E-2</v>
      </c>
      <c r="G328">
        <v>0.47199999999999998</v>
      </c>
      <c r="H328">
        <v>1.86</v>
      </c>
      <c r="I328">
        <v>4.57</v>
      </c>
      <c r="J328">
        <v>-1.81</v>
      </c>
      <c r="K328">
        <v>7.47</v>
      </c>
      <c r="L328">
        <v>4.8600000000000003</v>
      </c>
      <c r="M328" s="25">
        <v>0.22800000000000001</v>
      </c>
      <c r="N328" s="25">
        <v>0.19350000000000001</v>
      </c>
      <c r="O328">
        <v>3.51</v>
      </c>
      <c r="P328" s="25">
        <v>0.13189999999999999</v>
      </c>
      <c r="Q328" s="25">
        <v>0.22839999999999999</v>
      </c>
      <c r="R328" s="26">
        <v>4789930</v>
      </c>
      <c r="S328" s="26">
        <v>1412250000</v>
      </c>
      <c r="T328">
        <v>1.25</v>
      </c>
      <c r="U328" s="25">
        <v>7.1400000000000005E-2</v>
      </c>
    </row>
    <row r="329" spans="1:21" hidden="1" x14ac:dyDescent="0.25">
      <c r="A329" t="s">
        <v>131</v>
      </c>
      <c r="B329">
        <v>7.15</v>
      </c>
      <c r="C329">
        <v>7.38</v>
      </c>
      <c r="D329">
        <v>0.76</v>
      </c>
      <c r="E329">
        <v>0.187</v>
      </c>
      <c r="F329" s="25">
        <v>3.5799999999999998E-2</v>
      </c>
      <c r="G329">
        <v>0.13</v>
      </c>
      <c r="H329">
        <v>0.46</v>
      </c>
      <c r="I329">
        <v>1.65</v>
      </c>
      <c r="J329">
        <v>-0.6</v>
      </c>
      <c r="K329">
        <v>6.41</v>
      </c>
      <c r="L329">
        <v>5.08</v>
      </c>
      <c r="M329" s="25">
        <v>0.1138</v>
      </c>
      <c r="N329" s="25">
        <v>4.6100000000000002E-2</v>
      </c>
      <c r="O329">
        <v>2.06</v>
      </c>
      <c r="P329" s="25">
        <v>9.9099999999999994E-2</v>
      </c>
      <c r="Q329" s="25">
        <v>0.1027</v>
      </c>
      <c r="R329" s="26">
        <v>269444</v>
      </c>
      <c r="S329" s="26">
        <v>3105150000</v>
      </c>
      <c r="T329">
        <v>2.93</v>
      </c>
      <c r="U329" s="25">
        <v>0.16830000000000001</v>
      </c>
    </row>
    <row r="330" spans="1:21" hidden="1" x14ac:dyDescent="0.25">
      <c r="A330" t="s">
        <v>130</v>
      </c>
      <c r="B330">
        <v>7.29</v>
      </c>
      <c r="C330">
        <v>7.53</v>
      </c>
      <c r="D330">
        <v>0.77</v>
      </c>
      <c r="E330">
        <v>0.191</v>
      </c>
      <c r="F330" s="25">
        <v>3.5099999999999999E-2</v>
      </c>
      <c r="G330">
        <v>0.13200000000000001</v>
      </c>
      <c r="H330">
        <v>0.47</v>
      </c>
      <c r="I330">
        <v>1.68</v>
      </c>
      <c r="J330">
        <v>-0.61</v>
      </c>
      <c r="K330">
        <v>6.45</v>
      </c>
      <c r="L330">
        <v>5.1100000000000003</v>
      </c>
      <c r="M330" s="25">
        <v>0.1138</v>
      </c>
      <c r="N330" s="25">
        <v>4.6100000000000002E-2</v>
      </c>
      <c r="O330">
        <v>2.06</v>
      </c>
      <c r="P330" s="25">
        <v>9.9099999999999994E-2</v>
      </c>
      <c r="Q330" s="25">
        <v>0.1027</v>
      </c>
      <c r="R330" s="26">
        <v>27828400</v>
      </c>
      <c r="S330" s="26">
        <v>3105150000</v>
      </c>
      <c r="T330">
        <v>2.93</v>
      </c>
      <c r="U330" s="25">
        <v>0.16830000000000001</v>
      </c>
    </row>
    <row r="331" spans="1:21" hidden="1" x14ac:dyDescent="0.25">
      <c r="A331" t="s">
        <v>263</v>
      </c>
      <c r="B331">
        <v>1.99</v>
      </c>
      <c r="C331">
        <v>-3.33</v>
      </c>
      <c r="D331">
        <v>-3.27</v>
      </c>
      <c r="E331">
        <v>5.8079999999999998</v>
      </c>
      <c r="F331" s="25">
        <v>0</v>
      </c>
      <c r="G331">
        <v>1.357</v>
      </c>
      <c r="H331">
        <v>-8.76</v>
      </c>
      <c r="I331">
        <v>-13.66</v>
      </c>
      <c r="J331">
        <v>-1.25</v>
      </c>
      <c r="K331">
        <v>-13.66</v>
      </c>
      <c r="L331">
        <v>-26.54</v>
      </c>
      <c r="M331" s="25">
        <v>-0.42530000000000001</v>
      </c>
      <c r="N331" s="25">
        <v>-1.8663000000000001</v>
      </c>
      <c r="O331">
        <v>0.68</v>
      </c>
      <c r="P331" s="25">
        <v>-0.1026</v>
      </c>
      <c r="Q331" s="25">
        <v>0.98080000000000001</v>
      </c>
      <c r="R331" s="26">
        <v>502996</v>
      </c>
      <c r="S331" s="26">
        <v>-19381000</v>
      </c>
      <c r="T331">
        <v>0</v>
      </c>
      <c r="U331" s="25">
        <v>-0.2402</v>
      </c>
    </row>
    <row r="332" spans="1:21" hidden="1" x14ac:dyDescent="0.25">
      <c r="A332" t="s">
        <v>172</v>
      </c>
      <c r="B332">
        <v>1.0900000000000001</v>
      </c>
      <c r="C332">
        <v>-1.82</v>
      </c>
      <c r="D332">
        <v>-1.79</v>
      </c>
      <c r="E332">
        <v>3.181</v>
      </c>
      <c r="F332" s="25">
        <v>0</v>
      </c>
      <c r="G332">
        <v>0.74399999999999999</v>
      </c>
      <c r="H332">
        <v>-4.8</v>
      </c>
      <c r="I332">
        <v>-7.48</v>
      </c>
      <c r="J332">
        <v>-0.69</v>
      </c>
      <c r="K332">
        <v>-7.48</v>
      </c>
      <c r="L332">
        <v>-14.54</v>
      </c>
      <c r="M332" s="25">
        <v>-0.42530000000000001</v>
      </c>
      <c r="N332" s="25">
        <v>-1.8663000000000001</v>
      </c>
      <c r="O332">
        <v>0.68</v>
      </c>
      <c r="P332" s="25">
        <v>-0.1026</v>
      </c>
      <c r="Q332" s="25">
        <v>0.98080000000000001</v>
      </c>
      <c r="R332" s="26">
        <v>3442960</v>
      </c>
      <c r="S332" s="26">
        <v>-19381000</v>
      </c>
      <c r="T332">
        <v>0</v>
      </c>
      <c r="U332" s="25">
        <v>-0.2402</v>
      </c>
    </row>
    <row r="333" spans="1:21" hidden="1" x14ac:dyDescent="0.25">
      <c r="A333" t="s">
        <v>224</v>
      </c>
      <c r="B333">
        <v>2.2999999999999998</v>
      </c>
      <c r="C333">
        <v>-0.73</v>
      </c>
      <c r="D333">
        <v>0.46</v>
      </c>
      <c r="E333">
        <v>0.20799999999999999</v>
      </c>
      <c r="F333" s="25">
        <v>0</v>
      </c>
      <c r="G333">
        <v>7.5999999999999998E-2</v>
      </c>
      <c r="H333">
        <v>0.35</v>
      </c>
      <c r="I333">
        <v>-1.86</v>
      </c>
      <c r="J333">
        <v>-0.23</v>
      </c>
      <c r="K333">
        <v>-11.72</v>
      </c>
      <c r="L333">
        <v>-13.33</v>
      </c>
      <c r="M333" s="25">
        <v>-0.1118</v>
      </c>
      <c r="N333" s="25">
        <v>-0.2767</v>
      </c>
      <c r="O333">
        <v>1.79</v>
      </c>
      <c r="P333" s="25">
        <v>-4.2700000000000002E-2</v>
      </c>
      <c r="Q333" s="25">
        <v>-0.62760000000000005</v>
      </c>
      <c r="R333" s="26">
        <v>16910.5</v>
      </c>
      <c r="S333" s="26">
        <v>220547000</v>
      </c>
      <c r="T333">
        <v>2.5499999999999998</v>
      </c>
      <c r="U333" s="25">
        <v>4.4600000000000001E-2</v>
      </c>
    </row>
    <row r="334" spans="1:21" hidden="1" x14ac:dyDescent="0.25">
      <c r="A334" t="s">
        <v>176</v>
      </c>
      <c r="B334">
        <v>33.1</v>
      </c>
      <c r="C334">
        <v>18.559999999999999</v>
      </c>
      <c r="D334">
        <v>3.03</v>
      </c>
      <c r="E334">
        <v>1.476</v>
      </c>
      <c r="F334" s="25">
        <v>2.2499999999999999E-2</v>
      </c>
      <c r="G334">
        <v>0.72599999999999998</v>
      </c>
      <c r="H334">
        <v>2.21</v>
      </c>
      <c r="I334">
        <v>9.6199999999999992</v>
      </c>
      <c r="J334">
        <v>-3.16</v>
      </c>
      <c r="K334">
        <v>9.35</v>
      </c>
      <c r="L334">
        <v>7.7</v>
      </c>
      <c r="M334" s="25">
        <v>0.15340000000000001</v>
      </c>
      <c r="N334" s="25">
        <v>8.1100000000000005E-2</v>
      </c>
      <c r="O334">
        <v>2.87</v>
      </c>
      <c r="P334" s="25">
        <v>0.12540000000000001</v>
      </c>
      <c r="Q334" s="25">
        <v>0.1633</v>
      </c>
      <c r="R334" s="26">
        <v>182197000</v>
      </c>
      <c r="S334" s="26">
        <v>25003000000</v>
      </c>
      <c r="T334">
        <v>1.51</v>
      </c>
      <c r="U334" s="25">
        <v>0.37930000000000003</v>
      </c>
    </row>
    <row r="335" spans="1:21" hidden="1" x14ac:dyDescent="0.25">
      <c r="A335" t="s">
        <v>439</v>
      </c>
      <c r="B335">
        <v>4.05</v>
      </c>
      <c r="C335">
        <v>42.91</v>
      </c>
      <c r="D335">
        <v>1.94</v>
      </c>
      <c r="E335">
        <v>9.3800000000000008</v>
      </c>
      <c r="F335" s="25">
        <v>0</v>
      </c>
      <c r="G335">
        <v>1.8240000000000001</v>
      </c>
      <c r="H335">
        <v>1.99</v>
      </c>
      <c r="I335">
        <v>-30.03</v>
      </c>
      <c r="J335">
        <v>2</v>
      </c>
      <c r="K335">
        <v>-14.61</v>
      </c>
      <c r="L335">
        <v>-20</v>
      </c>
      <c r="M335" s="25">
        <v>-0.31230000000000002</v>
      </c>
      <c r="N335" s="25">
        <v>0.21859999999999999</v>
      </c>
      <c r="O335">
        <v>16.47</v>
      </c>
      <c r="P335" s="25">
        <v>-1.5592999999999999</v>
      </c>
      <c r="Q335" s="25">
        <v>4.53E-2</v>
      </c>
      <c r="R335" s="26">
        <v>52716.5</v>
      </c>
      <c r="S335" s="26">
        <v>293687000</v>
      </c>
      <c r="T335">
        <v>0</v>
      </c>
      <c r="U335" s="25">
        <v>1.7399999999999999E-2</v>
      </c>
    </row>
    <row r="336" spans="1:21" hidden="1" x14ac:dyDescent="0.25">
      <c r="A336" t="s">
        <v>170</v>
      </c>
      <c r="B336">
        <v>13.55</v>
      </c>
      <c r="C336">
        <v>7.17</v>
      </c>
      <c r="D336">
        <v>0.89</v>
      </c>
      <c r="E336">
        <v>1.1759999999999999</v>
      </c>
      <c r="F336" s="25">
        <v>0.16189999999999999</v>
      </c>
      <c r="G336">
        <v>0.53300000000000003</v>
      </c>
      <c r="H336">
        <v>4.24</v>
      </c>
      <c r="I336">
        <v>3.9</v>
      </c>
      <c r="J336">
        <v>-2.81</v>
      </c>
      <c r="K336">
        <v>4.72</v>
      </c>
      <c r="L336">
        <v>2.79</v>
      </c>
      <c r="M336" s="25">
        <v>0.30180000000000001</v>
      </c>
      <c r="N336" s="25">
        <v>0.16420000000000001</v>
      </c>
      <c r="O336">
        <v>2.4700000000000002</v>
      </c>
      <c r="P336" s="25">
        <v>0.1681</v>
      </c>
      <c r="Q336" s="25">
        <v>0.12429999999999999</v>
      </c>
      <c r="R336" s="26">
        <v>38384100</v>
      </c>
      <c r="S336" s="26">
        <v>4463790000</v>
      </c>
      <c r="T336">
        <v>0.42</v>
      </c>
      <c r="U336" s="25">
        <v>0.26989999999999997</v>
      </c>
    </row>
    <row r="337" spans="1:21" hidden="1" x14ac:dyDescent="0.25">
      <c r="A337" t="s">
        <v>69</v>
      </c>
      <c r="B337">
        <v>6.4</v>
      </c>
      <c r="C337">
        <v>10.17</v>
      </c>
      <c r="D337">
        <v>3.25</v>
      </c>
      <c r="E337">
        <v>0.747</v>
      </c>
      <c r="F337" s="25">
        <v>6.6100000000000006E-2</v>
      </c>
      <c r="G337">
        <v>0.44900000000000001</v>
      </c>
      <c r="H337">
        <v>6.14</v>
      </c>
      <c r="I337">
        <v>3.92</v>
      </c>
      <c r="J337">
        <v>-0.85</v>
      </c>
      <c r="K337">
        <v>7.72</v>
      </c>
      <c r="L337">
        <v>6.11</v>
      </c>
      <c r="M337" s="25">
        <v>0.1908</v>
      </c>
      <c r="N337" s="25">
        <v>0.10059999999999999</v>
      </c>
      <c r="O337">
        <v>1.38</v>
      </c>
      <c r="P337" s="25">
        <v>0.13450000000000001</v>
      </c>
      <c r="Q337" s="25">
        <v>0.31929999999999997</v>
      </c>
      <c r="R337" s="26">
        <v>8768.36</v>
      </c>
      <c r="S337" s="26">
        <v>4157530000</v>
      </c>
      <c r="T337">
        <v>3.88</v>
      </c>
      <c r="U337" s="25">
        <v>9.06E-2</v>
      </c>
    </row>
    <row r="338" spans="1:21" hidden="1" x14ac:dyDescent="0.25">
      <c r="A338" t="s">
        <v>129</v>
      </c>
      <c r="B338">
        <v>36.229999999999997</v>
      </c>
      <c r="C338">
        <v>20.399999999999999</v>
      </c>
      <c r="D338">
        <v>1.48</v>
      </c>
      <c r="E338">
        <v>1.0129999999999999</v>
      </c>
      <c r="F338" s="25">
        <v>4.87E-2</v>
      </c>
      <c r="G338">
        <v>0.48499999999999999</v>
      </c>
      <c r="H338">
        <v>7.44</v>
      </c>
      <c r="I338">
        <v>6.52</v>
      </c>
      <c r="J338">
        <v>-1.06</v>
      </c>
      <c r="K338">
        <v>12.27</v>
      </c>
      <c r="L338">
        <v>5.99</v>
      </c>
      <c r="M338" s="25">
        <v>0.15540000000000001</v>
      </c>
      <c r="N338" s="25">
        <v>4.9599999999999998E-2</v>
      </c>
      <c r="O338">
        <v>1.43</v>
      </c>
      <c r="P338" s="25">
        <v>8.9300000000000004E-2</v>
      </c>
      <c r="Q338" s="25">
        <v>7.2800000000000004E-2</v>
      </c>
      <c r="R338" s="26">
        <v>355454000</v>
      </c>
      <c r="S338" s="26">
        <v>26432600000</v>
      </c>
      <c r="T338">
        <v>1.62</v>
      </c>
      <c r="U338" s="25">
        <v>0.4466</v>
      </c>
    </row>
    <row r="339" spans="1:21" hidden="1" x14ac:dyDescent="0.25">
      <c r="A339" t="s">
        <v>440</v>
      </c>
      <c r="B339">
        <v>3.9</v>
      </c>
      <c r="C339">
        <v>-4.29</v>
      </c>
      <c r="D339">
        <v>0.64</v>
      </c>
      <c r="E339">
        <v>1.609</v>
      </c>
      <c r="F339" s="25">
        <v>0</v>
      </c>
      <c r="G339">
        <v>0.153</v>
      </c>
      <c r="H339">
        <v>-3.24</v>
      </c>
      <c r="I339">
        <v>-6.51</v>
      </c>
      <c r="J339">
        <v>-0.24</v>
      </c>
      <c r="K339">
        <v>-20.52</v>
      </c>
      <c r="L339">
        <v>48.8</v>
      </c>
      <c r="M339" s="25">
        <v>-0.247</v>
      </c>
      <c r="N339" s="25">
        <v>-0.37469999999999998</v>
      </c>
      <c r="O339">
        <v>0.72</v>
      </c>
      <c r="P339" s="25">
        <v>-2.4899999999999999E-2</v>
      </c>
      <c r="Q339" s="25">
        <v>-0.14860000000000001</v>
      </c>
      <c r="R339" s="26">
        <v>24228.1</v>
      </c>
      <c r="S339" s="26">
        <v>758413000</v>
      </c>
      <c r="T339">
        <v>1.51</v>
      </c>
      <c r="U339" s="25">
        <v>0.39360000000000001</v>
      </c>
    </row>
    <row r="340" spans="1:21" hidden="1" x14ac:dyDescent="0.25">
      <c r="A340" t="s">
        <v>70</v>
      </c>
      <c r="B340">
        <v>1.3</v>
      </c>
      <c r="C340">
        <v>-4.29</v>
      </c>
      <c r="D340">
        <v>0.64</v>
      </c>
      <c r="E340">
        <v>1.609</v>
      </c>
      <c r="F340" s="25">
        <v>0</v>
      </c>
      <c r="G340">
        <v>0.153</v>
      </c>
      <c r="H340">
        <v>-3.24</v>
      </c>
      <c r="I340">
        <v>-6.51</v>
      </c>
      <c r="J340">
        <v>-0.24</v>
      </c>
      <c r="K340">
        <v>-20.52</v>
      </c>
      <c r="L340">
        <v>48.8</v>
      </c>
      <c r="M340" s="25">
        <v>-0.247</v>
      </c>
      <c r="N340" s="25">
        <v>-0.37469999999999998</v>
      </c>
      <c r="O340">
        <v>0.72</v>
      </c>
      <c r="P340" s="25">
        <v>-2.4899999999999999E-2</v>
      </c>
      <c r="Q340" s="25">
        <v>-0.14860000000000001</v>
      </c>
      <c r="R340" s="26">
        <v>100664</v>
      </c>
      <c r="S340" s="26">
        <v>758413000</v>
      </c>
      <c r="T340">
        <v>1.51</v>
      </c>
      <c r="U340" s="25">
        <v>0.39360000000000001</v>
      </c>
    </row>
    <row r="341" spans="1:21" hidden="1" x14ac:dyDescent="0.25">
      <c r="A341" t="s">
        <v>88</v>
      </c>
      <c r="B341">
        <v>1.3</v>
      </c>
      <c r="C341">
        <v>-4.29</v>
      </c>
      <c r="D341">
        <v>0.64</v>
      </c>
      <c r="E341">
        <v>1.609</v>
      </c>
      <c r="F341" s="25">
        <v>0</v>
      </c>
      <c r="G341">
        <v>0.153</v>
      </c>
      <c r="H341">
        <v>-3.24</v>
      </c>
      <c r="I341">
        <v>-6.51</v>
      </c>
      <c r="J341">
        <v>-0.24</v>
      </c>
      <c r="K341">
        <v>-20.52</v>
      </c>
      <c r="L341">
        <v>48.8</v>
      </c>
      <c r="M341" s="25">
        <v>-0.247</v>
      </c>
      <c r="N341" s="25">
        <v>-0.37469999999999998</v>
      </c>
      <c r="O341">
        <v>0.72</v>
      </c>
      <c r="P341" s="25">
        <v>-2.4899999999999999E-2</v>
      </c>
      <c r="Q341" s="25">
        <v>-0.14860000000000001</v>
      </c>
      <c r="R341" s="26">
        <v>211746</v>
      </c>
      <c r="S341" s="26">
        <v>758413000</v>
      </c>
      <c r="T341">
        <v>1.51</v>
      </c>
      <c r="U341" s="25">
        <v>0.39360000000000001</v>
      </c>
    </row>
    <row r="342" spans="1:21" hidden="1" x14ac:dyDescent="0.25">
      <c r="A342" t="s">
        <v>52</v>
      </c>
      <c r="B342">
        <v>8.43</v>
      </c>
      <c r="C342">
        <v>8.59</v>
      </c>
      <c r="D342">
        <v>0.64</v>
      </c>
      <c r="E342">
        <v>0.60199999999999998</v>
      </c>
      <c r="F342" s="25">
        <v>9.7299999999999998E-2</v>
      </c>
      <c r="G342">
        <v>0.313</v>
      </c>
      <c r="H342">
        <v>0.97</v>
      </c>
      <c r="I342">
        <v>10.72</v>
      </c>
      <c r="J342">
        <v>3.7</v>
      </c>
      <c r="K342">
        <v>17.93</v>
      </c>
      <c r="L342">
        <v>9.49</v>
      </c>
      <c r="M342" s="25">
        <v>5.6099999999999997E-2</v>
      </c>
      <c r="N342" s="25">
        <v>7.0800000000000002E-2</v>
      </c>
      <c r="O342">
        <v>2.17</v>
      </c>
      <c r="P342" s="25">
        <v>3.39E-2</v>
      </c>
      <c r="Q342" s="25">
        <v>7.4800000000000005E-2</v>
      </c>
      <c r="R342" s="26">
        <v>980563</v>
      </c>
      <c r="S342" s="26">
        <v>1221270000</v>
      </c>
      <c r="T342">
        <v>0.63</v>
      </c>
      <c r="U342" s="25">
        <v>-3.8999999999999998E-3</v>
      </c>
    </row>
    <row r="343" spans="1:21" hidden="1" x14ac:dyDescent="0.25">
      <c r="A343" t="s">
        <v>441</v>
      </c>
      <c r="B343">
        <v>4.5999999999999996</v>
      </c>
      <c r="C343">
        <v>-3.26</v>
      </c>
      <c r="D343">
        <v>0.41</v>
      </c>
      <c r="E343">
        <v>0</v>
      </c>
      <c r="F343" s="25">
        <v>0</v>
      </c>
      <c r="G343">
        <v>0.40600000000000003</v>
      </c>
      <c r="H343">
        <v>3.18</v>
      </c>
      <c r="I343">
        <v>-202.46</v>
      </c>
      <c r="J343">
        <v>3.37</v>
      </c>
      <c r="K343">
        <v>-138.32</v>
      </c>
      <c r="L343">
        <v>-138.32</v>
      </c>
      <c r="M343" s="25">
        <v>0</v>
      </c>
      <c r="N343" s="25">
        <v>0</v>
      </c>
      <c r="O343">
        <v>31.58</v>
      </c>
      <c r="P343" s="25">
        <v>-2.3E-3</v>
      </c>
      <c r="Q343" s="25">
        <v>-0.12570000000000001</v>
      </c>
      <c r="R343" s="26">
        <v>539.19000000000005</v>
      </c>
      <c r="S343" s="26">
        <v>949721000</v>
      </c>
      <c r="T343">
        <v>0</v>
      </c>
      <c r="U343" s="25">
        <v>0</v>
      </c>
    </row>
    <row r="344" spans="1:21" hidden="1" x14ac:dyDescent="0.25">
      <c r="A344" t="s">
        <v>442</v>
      </c>
      <c r="B344">
        <v>7.15</v>
      </c>
      <c r="C344">
        <v>-5.07</v>
      </c>
      <c r="D344">
        <v>0.64</v>
      </c>
      <c r="E344">
        <v>0</v>
      </c>
      <c r="F344" s="25">
        <v>8.6499999999999994E-2</v>
      </c>
      <c r="G344">
        <v>0.63</v>
      </c>
      <c r="H344">
        <v>4.95</v>
      </c>
      <c r="I344">
        <v>-314.7</v>
      </c>
      <c r="J344">
        <v>5.23</v>
      </c>
      <c r="K344">
        <v>-250.55</v>
      </c>
      <c r="L344">
        <v>-250.55</v>
      </c>
      <c r="M344" s="25">
        <v>0</v>
      </c>
      <c r="N344" s="25">
        <v>0</v>
      </c>
      <c r="O344">
        <v>31.58</v>
      </c>
      <c r="P344" s="25">
        <v>-2.3E-3</v>
      </c>
      <c r="Q344" s="25">
        <v>-0.12570000000000001</v>
      </c>
      <c r="R344" s="26">
        <v>208.21</v>
      </c>
      <c r="S344" s="26">
        <v>949721000</v>
      </c>
      <c r="T344">
        <v>0</v>
      </c>
      <c r="U344" s="25">
        <v>0</v>
      </c>
    </row>
    <row r="345" spans="1:21" hidden="1" x14ac:dyDescent="0.25">
      <c r="A345" t="s">
        <v>443</v>
      </c>
      <c r="B345">
        <v>4.04</v>
      </c>
      <c r="C345">
        <v>-2.87</v>
      </c>
      <c r="D345">
        <v>0.36</v>
      </c>
      <c r="E345">
        <v>0</v>
      </c>
      <c r="F345" s="25">
        <v>0</v>
      </c>
      <c r="G345">
        <v>0.35599999999999998</v>
      </c>
      <c r="H345">
        <v>2.79</v>
      </c>
      <c r="I345">
        <v>-177.82</v>
      </c>
      <c r="J345">
        <v>2.96</v>
      </c>
      <c r="K345">
        <v>-113.67</v>
      </c>
      <c r="L345">
        <v>-113.67</v>
      </c>
      <c r="M345" s="25">
        <v>0</v>
      </c>
      <c r="N345" s="25">
        <v>0</v>
      </c>
      <c r="O345">
        <v>31.58</v>
      </c>
      <c r="P345" s="25">
        <v>-2.3E-3</v>
      </c>
      <c r="Q345" s="25">
        <v>-0.12570000000000001</v>
      </c>
      <c r="R345" s="26">
        <v>240.17</v>
      </c>
      <c r="S345" s="26">
        <v>949721000</v>
      </c>
      <c r="T345">
        <v>0</v>
      </c>
      <c r="U345" s="25">
        <v>0</v>
      </c>
    </row>
    <row r="346" spans="1:21" hidden="1" x14ac:dyDescent="0.25">
      <c r="A346" t="s">
        <v>8</v>
      </c>
      <c r="B346">
        <v>2.98</v>
      </c>
      <c r="C346">
        <v>-0.15</v>
      </c>
      <c r="D346">
        <v>-0.03</v>
      </c>
      <c r="E346">
        <v>2.7E-2</v>
      </c>
      <c r="F346" s="25">
        <v>0</v>
      </c>
      <c r="G346">
        <v>2.1999999999999999E-2</v>
      </c>
      <c r="H346">
        <v>-0.08</v>
      </c>
      <c r="I346">
        <v>-0.13</v>
      </c>
      <c r="J346">
        <v>-0.03</v>
      </c>
      <c r="K346">
        <v>-0.1</v>
      </c>
      <c r="L346">
        <v>-0.1</v>
      </c>
      <c r="M346" s="25">
        <v>-0.21099999999999999</v>
      </c>
      <c r="N346" s="25">
        <v>-0.17660000000000001</v>
      </c>
      <c r="O346">
        <v>0.78</v>
      </c>
      <c r="P346" s="25">
        <v>-0.17799999999999999</v>
      </c>
      <c r="Q346" s="25">
        <v>0.19389999999999999</v>
      </c>
      <c r="R346" s="26">
        <v>12343.3</v>
      </c>
      <c r="S346" s="26">
        <v>-6919010000</v>
      </c>
      <c r="T346">
        <v>0</v>
      </c>
      <c r="U346" s="25">
        <v>0.46329999999999999</v>
      </c>
    </row>
    <row r="347" spans="1:21" hidden="1" x14ac:dyDescent="0.25">
      <c r="A347" t="s">
        <v>256</v>
      </c>
      <c r="B347">
        <v>1.96</v>
      </c>
      <c r="C347">
        <v>0.14000000000000001</v>
      </c>
      <c r="D347">
        <v>-0.04</v>
      </c>
      <c r="E347">
        <v>0.47099999999999997</v>
      </c>
      <c r="F347" s="25">
        <v>0</v>
      </c>
      <c r="G347">
        <v>7.9000000000000001E-2</v>
      </c>
      <c r="H347">
        <v>-0.13</v>
      </c>
      <c r="I347">
        <v>-3.38</v>
      </c>
      <c r="J347">
        <v>-0.03</v>
      </c>
      <c r="K347">
        <v>-33.26</v>
      </c>
      <c r="L347">
        <v>-33.700000000000003</v>
      </c>
      <c r="M347" s="25">
        <v>-0.13950000000000001</v>
      </c>
      <c r="N347" s="25">
        <v>3.2847</v>
      </c>
      <c r="O347">
        <v>0.45</v>
      </c>
      <c r="P347" s="25">
        <v>-2.5100000000000001E-2</v>
      </c>
      <c r="Q347" s="25">
        <v>-0.28420000000000001</v>
      </c>
      <c r="R347" s="26">
        <v>46558</v>
      </c>
      <c r="S347" s="26">
        <v>-972057000</v>
      </c>
      <c r="T347">
        <v>-0.39</v>
      </c>
      <c r="U347" s="25">
        <v>2.1999999999999999E-2</v>
      </c>
    </row>
    <row r="348" spans="1:21" hidden="1" x14ac:dyDescent="0.25">
      <c r="A348" t="s">
        <v>444</v>
      </c>
      <c r="B348">
        <v>68.959999999999994</v>
      </c>
      <c r="C348">
        <v>7.14</v>
      </c>
      <c r="D348">
        <v>1.67</v>
      </c>
      <c r="E348">
        <v>1.08</v>
      </c>
      <c r="F348" s="25">
        <v>3.2599999999999997E-2</v>
      </c>
      <c r="G348">
        <v>1.0049999999999999</v>
      </c>
      <c r="H348">
        <v>2.86</v>
      </c>
      <c r="I348">
        <v>4.76</v>
      </c>
      <c r="J348">
        <v>5.99</v>
      </c>
      <c r="K348">
        <v>4.3099999999999996</v>
      </c>
      <c r="L348">
        <v>4.01</v>
      </c>
      <c r="M348" s="25">
        <v>0.2268</v>
      </c>
      <c r="N348" s="25">
        <v>0.15110000000000001</v>
      </c>
      <c r="O348">
        <v>2.65</v>
      </c>
      <c r="P348" s="25">
        <v>0.2596</v>
      </c>
      <c r="Q348" s="25">
        <v>0.2336</v>
      </c>
      <c r="R348" s="26">
        <v>80622.8</v>
      </c>
      <c r="S348" s="26">
        <v>250923000</v>
      </c>
      <c r="T348">
        <v>0.06</v>
      </c>
      <c r="U348" s="25">
        <v>0.1169</v>
      </c>
    </row>
    <row r="349" spans="1:21" hidden="1" x14ac:dyDescent="0.25">
      <c r="A349" t="s">
        <v>445</v>
      </c>
      <c r="B349">
        <v>26.52</v>
      </c>
      <c r="C349">
        <v>7.18</v>
      </c>
      <c r="D349">
        <v>1.1000000000000001</v>
      </c>
      <c r="E349">
        <v>0</v>
      </c>
      <c r="F349" s="25">
        <v>6.5699999999999995E-2</v>
      </c>
      <c r="G349">
        <v>0</v>
      </c>
      <c r="H349">
        <v>0</v>
      </c>
      <c r="I349">
        <v>0</v>
      </c>
      <c r="J349">
        <v>0</v>
      </c>
      <c r="K349">
        <v>0</v>
      </c>
      <c r="L349">
        <v>0</v>
      </c>
      <c r="M349" s="25">
        <v>0</v>
      </c>
      <c r="N349" s="25">
        <v>0</v>
      </c>
      <c r="O349">
        <v>0</v>
      </c>
      <c r="P349" s="25">
        <v>0</v>
      </c>
      <c r="Q349" s="25">
        <v>0.15379999999999999</v>
      </c>
      <c r="R349" s="26">
        <v>87122000</v>
      </c>
      <c r="S349" s="26">
        <v>90014800000</v>
      </c>
      <c r="T349">
        <v>0</v>
      </c>
      <c r="U349" s="25">
        <v>-8.0100000000000005E-2</v>
      </c>
    </row>
    <row r="350" spans="1:21" hidden="1" x14ac:dyDescent="0.25">
      <c r="A350" t="s">
        <v>30</v>
      </c>
      <c r="B350">
        <v>12.63</v>
      </c>
      <c r="C350">
        <v>6.84</v>
      </c>
      <c r="D350">
        <v>1.05</v>
      </c>
      <c r="E350">
        <v>0</v>
      </c>
      <c r="F350" s="25">
        <v>6.5699999999999995E-2</v>
      </c>
      <c r="G350">
        <v>0</v>
      </c>
      <c r="H350">
        <v>0</v>
      </c>
      <c r="I350">
        <v>0</v>
      </c>
      <c r="J350">
        <v>0</v>
      </c>
      <c r="K350">
        <v>0</v>
      </c>
      <c r="L350">
        <v>0</v>
      </c>
      <c r="M350" s="25">
        <v>0</v>
      </c>
      <c r="N350" s="25">
        <v>0</v>
      </c>
      <c r="O350">
        <v>0</v>
      </c>
      <c r="P350" s="25">
        <v>0</v>
      </c>
      <c r="Q350" s="25">
        <v>0.15379999999999999</v>
      </c>
      <c r="R350" s="26">
        <v>1073000</v>
      </c>
      <c r="S350" s="26">
        <v>90014800000</v>
      </c>
      <c r="T350">
        <v>0</v>
      </c>
      <c r="U350" s="25">
        <v>-8.0100000000000005E-2</v>
      </c>
    </row>
    <row r="351" spans="1:21" hidden="1" x14ac:dyDescent="0.25">
      <c r="A351" t="s">
        <v>12</v>
      </c>
      <c r="B351">
        <v>13.87</v>
      </c>
      <c r="C351">
        <v>7.51</v>
      </c>
      <c r="D351">
        <v>1.1599999999999999</v>
      </c>
      <c r="E351">
        <v>0</v>
      </c>
      <c r="F351" s="25">
        <v>6.5799999999999997E-2</v>
      </c>
      <c r="G351">
        <v>0</v>
      </c>
      <c r="H351">
        <v>0</v>
      </c>
      <c r="I351">
        <v>0</v>
      </c>
      <c r="J351">
        <v>0</v>
      </c>
      <c r="K351">
        <v>0</v>
      </c>
      <c r="L351">
        <v>0</v>
      </c>
      <c r="M351" s="25">
        <v>0</v>
      </c>
      <c r="N351" s="25">
        <v>0</v>
      </c>
      <c r="O351">
        <v>0</v>
      </c>
      <c r="P351" s="25">
        <v>0</v>
      </c>
      <c r="Q351" s="25">
        <v>0.15379999999999999</v>
      </c>
      <c r="R351" s="26">
        <v>1168520</v>
      </c>
      <c r="S351" s="26">
        <v>90014800000</v>
      </c>
      <c r="T351">
        <v>0</v>
      </c>
      <c r="U351" s="25">
        <v>-8.0100000000000005E-2</v>
      </c>
    </row>
    <row r="352" spans="1:21" hidden="1" x14ac:dyDescent="0.25">
      <c r="A352" t="s">
        <v>446</v>
      </c>
      <c r="B352">
        <v>35.1</v>
      </c>
      <c r="C352">
        <v>4.47</v>
      </c>
      <c r="D352">
        <v>0.88</v>
      </c>
      <c r="E352">
        <v>1.5249999999999999</v>
      </c>
      <c r="F352" s="25">
        <v>6.2899999999999998E-2</v>
      </c>
      <c r="G352">
        <v>0.42599999999999999</v>
      </c>
      <c r="H352">
        <v>9.81</v>
      </c>
      <c r="I352">
        <v>5.67</v>
      </c>
      <c r="J352">
        <v>-1.1200000000000001</v>
      </c>
      <c r="K352">
        <v>8.2200000000000006</v>
      </c>
      <c r="L352">
        <v>6.28</v>
      </c>
      <c r="M352" s="25">
        <v>0.26879999999999998</v>
      </c>
      <c r="N352" s="25">
        <v>0.34129999999999999</v>
      </c>
      <c r="O352">
        <v>1.47</v>
      </c>
      <c r="P352" s="25">
        <v>8.2299999999999998E-2</v>
      </c>
      <c r="Q352" s="25">
        <v>0.19719999999999999</v>
      </c>
      <c r="R352" s="26">
        <v>49478600</v>
      </c>
      <c r="S352" s="26">
        <v>12036700000</v>
      </c>
      <c r="T352">
        <v>0.55000000000000004</v>
      </c>
      <c r="U352" s="25">
        <v>9.9000000000000005E-2</v>
      </c>
    </row>
    <row r="353" spans="1:21" hidden="1" x14ac:dyDescent="0.25">
      <c r="A353" t="s">
        <v>35</v>
      </c>
      <c r="B353">
        <v>7.69</v>
      </c>
      <c r="C353">
        <v>4.9000000000000004</v>
      </c>
      <c r="D353">
        <v>0.97</v>
      </c>
      <c r="E353">
        <v>1.671</v>
      </c>
      <c r="F353" s="25">
        <v>5.3199999999999997E-2</v>
      </c>
      <c r="G353">
        <v>0.46700000000000003</v>
      </c>
      <c r="H353">
        <v>10.74</v>
      </c>
      <c r="I353">
        <v>6.21</v>
      </c>
      <c r="J353">
        <v>-1.23</v>
      </c>
      <c r="K353">
        <v>8.76</v>
      </c>
      <c r="L353">
        <v>6.69</v>
      </c>
      <c r="M353" s="25">
        <v>0.26879999999999998</v>
      </c>
      <c r="N353" s="25">
        <v>0.34129999999999999</v>
      </c>
      <c r="O353">
        <v>1.47</v>
      </c>
      <c r="P353" s="25">
        <v>8.2299999999999998E-2</v>
      </c>
      <c r="Q353" s="25">
        <v>0.19719999999999999</v>
      </c>
      <c r="R353" s="26">
        <v>1703430</v>
      </c>
      <c r="S353" s="26">
        <v>12036700000</v>
      </c>
      <c r="T353">
        <v>0.55000000000000004</v>
      </c>
      <c r="U353" s="25">
        <v>9.9000000000000005E-2</v>
      </c>
    </row>
    <row r="354" spans="1:21" hidden="1" x14ac:dyDescent="0.25">
      <c r="A354" t="s">
        <v>86</v>
      </c>
      <c r="B354">
        <v>6.81</v>
      </c>
      <c r="C354">
        <v>4.34</v>
      </c>
      <c r="D354">
        <v>0.85</v>
      </c>
      <c r="E354">
        <v>1.48</v>
      </c>
      <c r="F354" s="25">
        <v>6.6100000000000006E-2</v>
      </c>
      <c r="G354">
        <v>0.41399999999999998</v>
      </c>
      <c r="H354">
        <v>9.51</v>
      </c>
      <c r="I354">
        <v>5.5</v>
      </c>
      <c r="J354">
        <v>-1.0900000000000001</v>
      </c>
      <c r="K354">
        <v>8.0500000000000007</v>
      </c>
      <c r="L354">
        <v>6.15</v>
      </c>
      <c r="M354" s="25">
        <v>0.26879999999999998</v>
      </c>
      <c r="N354" s="25">
        <v>0.34129999999999999</v>
      </c>
      <c r="O354">
        <v>1.47</v>
      </c>
      <c r="P354" s="25">
        <v>8.2299999999999998E-2</v>
      </c>
      <c r="Q354" s="25">
        <v>0.19719999999999999</v>
      </c>
      <c r="R354" s="26">
        <v>9221860</v>
      </c>
      <c r="S354" s="26">
        <v>12036700000</v>
      </c>
      <c r="T354">
        <v>0.55000000000000004</v>
      </c>
      <c r="U354" s="25">
        <v>9.9000000000000005E-2</v>
      </c>
    </row>
    <row r="355" spans="1:21" hidden="1" x14ac:dyDescent="0.25">
      <c r="A355" t="s">
        <v>200</v>
      </c>
      <c r="B355">
        <v>12.15</v>
      </c>
      <c r="C355">
        <v>5.24</v>
      </c>
      <c r="D355">
        <v>1.02</v>
      </c>
      <c r="E355">
        <v>0.41099999999999998</v>
      </c>
      <c r="F355" s="25">
        <v>4.5100000000000001E-2</v>
      </c>
      <c r="G355">
        <v>0.35099999999999998</v>
      </c>
      <c r="H355">
        <v>2.09</v>
      </c>
      <c r="I355">
        <v>5.03</v>
      </c>
      <c r="J355">
        <v>-2.42</v>
      </c>
      <c r="K355">
        <v>8.1300000000000008</v>
      </c>
      <c r="L355">
        <v>4.72</v>
      </c>
      <c r="M355" s="25">
        <v>8.1799999999999998E-2</v>
      </c>
      <c r="N355" s="25">
        <v>7.8399999999999997E-2</v>
      </c>
      <c r="O355">
        <v>1.49</v>
      </c>
      <c r="P355" s="25">
        <v>8.8300000000000003E-2</v>
      </c>
      <c r="Q355" s="25">
        <v>0.1946</v>
      </c>
      <c r="R355" s="26">
        <v>19358000</v>
      </c>
      <c r="S355" s="26">
        <v>2907110000</v>
      </c>
      <c r="T355">
        <v>0.91</v>
      </c>
      <c r="U355" s="25">
        <v>0.24249999999999999</v>
      </c>
    </row>
    <row r="356" spans="1:21" hidden="1" x14ac:dyDescent="0.25">
      <c r="A356" t="s">
        <v>104</v>
      </c>
      <c r="B356">
        <v>110.94</v>
      </c>
      <c r="C356">
        <v>7.41</v>
      </c>
      <c r="D356">
        <v>1.97</v>
      </c>
      <c r="E356">
        <v>1.9950000000000001</v>
      </c>
      <c r="F356" s="25">
        <v>3.3599999999999998E-2</v>
      </c>
      <c r="G356">
        <v>0.88500000000000001</v>
      </c>
      <c r="H356">
        <v>69.599999999999994</v>
      </c>
      <c r="I356">
        <v>4.4800000000000004</v>
      </c>
      <c r="J356">
        <v>-2.2400000000000002</v>
      </c>
      <c r="K356">
        <v>5.63</v>
      </c>
      <c r="L356">
        <v>4.91</v>
      </c>
      <c r="M356" s="25">
        <v>0.44519999999999998</v>
      </c>
      <c r="N356" s="25">
        <v>0.26939999999999997</v>
      </c>
      <c r="O356">
        <v>1.0900000000000001</v>
      </c>
      <c r="P356" s="25">
        <v>0.2213</v>
      </c>
      <c r="Q356" s="25">
        <v>0.2666</v>
      </c>
      <c r="R356" s="26">
        <v>291991000</v>
      </c>
      <c r="S356" s="26">
        <v>38397900000</v>
      </c>
      <c r="T356">
        <v>0.72</v>
      </c>
      <c r="U356" s="25">
        <v>0.1903</v>
      </c>
    </row>
    <row r="357" spans="1:21" hidden="1" x14ac:dyDescent="0.25">
      <c r="A357" t="s">
        <v>161</v>
      </c>
      <c r="B357">
        <v>16.87</v>
      </c>
      <c r="C357">
        <v>-33.81</v>
      </c>
      <c r="D357">
        <v>0.63</v>
      </c>
      <c r="E357">
        <v>2.121</v>
      </c>
      <c r="F357" s="25">
        <v>0.10340000000000001</v>
      </c>
      <c r="G357">
        <v>0.35399999999999998</v>
      </c>
      <c r="H357">
        <v>1.88</v>
      </c>
      <c r="I357">
        <v>8.18</v>
      </c>
      <c r="J357">
        <v>-1.88</v>
      </c>
      <c r="K357">
        <v>16.48</v>
      </c>
      <c r="L357">
        <v>11.31</v>
      </c>
      <c r="M357" s="25">
        <v>0.25919999999999999</v>
      </c>
      <c r="N357" s="25">
        <v>-6.1699999999999998E-2</v>
      </c>
      <c r="O357">
        <v>3.95</v>
      </c>
      <c r="P357" s="25">
        <v>4.6100000000000002E-2</v>
      </c>
      <c r="Q357" s="25">
        <v>-1.8800000000000001E-2</v>
      </c>
      <c r="R357" s="26">
        <v>419820</v>
      </c>
      <c r="S357" s="26">
        <v>1533970000</v>
      </c>
      <c r="T357">
        <v>0.76</v>
      </c>
      <c r="U357" s="25">
        <v>0.23250000000000001</v>
      </c>
    </row>
    <row r="358" spans="1:21" hidden="1" x14ac:dyDescent="0.25">
      <c r="A358" t="s">
        <v>198</v>
      </c>
      <c r="B358">
        <v>8.24</v>
      </c>
      <c r="C358">
        <v>17.68</v>
      </c>
      <c r="D358">
        <v>0.85</v>
      </c>
      <c r="E358">
        <v>0.51200000000000001</v>
      </c>
      <c r="F358" s="25">
        <v>1.8700000000000001E-2</v>
      </c>
      <c r="G358">
        <v>0.311</v>
      </c>
      <c r="H358">
        <v>5.39</v>
      </c>
      <c r="I358">
        <v>2.89</v>
      </c>
      <c r="J358">
        <v>-0.88</v>
      </c>
      <c r="K358">
        <v>4.5</v>
      </c>
      <c r="L358">
        <v>2.81</v>
      </c>
      <c r="M358" s="25">
        <v>0.17699999999999999</v>
      </c>
      <c r="N358" s="25">
        <v>2.9000000000000001E-2</v>
      </c>
      <c r="O358">
        <v>1.26</v>
      </c>
      <c r="P358" s="25">
        <v>0.12</v>
      </c>
      <c r="Q358" s="25">
        <v>4.7899999999999998E-2</v>
      </c>
      <c r="R358" s="26">
        <v>6423830</v>
      </c>
      <c r="S358" s="26">
        <v>1251870000</v>
      </c>
      <c r="T358">
        <v>0.72</v>
      </c>
      <c r="U358" s="25">
        <v>0.1318</v>
      </c>
    </row>
    <row r="359" spans="1:21" hidden="1" x14ac:dyDescent="0.25">
      <c r="A359" t="s">
        <v>242</v>
      </c>
      <c r="B359">
        <v>1</v>
      </c>
      <c r="C359">
        <v>-0.05</v>
      </c>
      <c r="D359">
        <v>-7.0000000000000007E-2</v>
      </c>
      <c r="E359">
        <v>6.5000000000000002E-2</v>
      </c>
      <c r="F359" s="25">
        <v>0</v>
      </c>
      <c r="G359">
        <v>4.1000000000000002E-2</v>
      </c>
      <c r="H359">
        <v>-0.08</v>
      </c>
      <c r="I359">
        <v>-0.08</v>
      </c>
      <c r="J359">
        <v>-0.03</v>
      </c>
      <c r="K359">
        <v>-1.59</v>
      </c>
      <c r="L359">
        <v>-2.04</v>
      </c>
      <c r="M359" s="25">
        <v>-0.84799999999999998</v>
      </c>
      <c r="N359" s="25">
        <v>-1.6624000000000001</v>
      </c>
      <c r="O359">
        <v>0.24</v>
      </c>
      <c r="P359" s="25">
        <v>-0.75780000000000003</v>
      </c>
      <c r="Q359" s="25">
        <v>1.4429000000000001</v>
      </c>
      <c r="R359" s="26">
        <v>950943</v>
      </c>
      <c r="S359" s="26">
        <v>-758374000</v>
      </c>
      <c r="T359">
        <v>-1.33</v>
      </c>
      <c r="U359" s="25">
        <v>-0.1162</v>
      </c>
    </row>
    <row r="360" spans="1:21" hidden="1" x14ac:dyDescent="0.25">
      <c r="A360" t="s">
        <v>248</v>
      </c>
      <c r="B360">
        <v>6.67</v>
      </c>
      <c r="C360">
        <v>-0.57999999999999996</v>
      </c>
      <c r="D360">
        <v>0.35</v>
      </c>
      <c r="E360">
        <v>0.29199999999999998</v>
      </c>
      <c r="F360" s="25">
        <v>0</v>
      </c>
      <c r="G360">
        <v>0.113</v>
      </c>
      <c r="H360">
        <v>0.72</v>
      </c>
      <c r="I360">
        <v>-2.0499999999999998</v>
      </c>
      <c r="J360">
        <v>-1.1599999999999999</v>
      </c>
      <c r="K360">
        <v>-0.73</v>
      </c>
      <c r="L360">
        <v>-0.99</v>
      </c>
      <c r="M360" s="25">
        <v>-0.14249999999999999</v>
      </c>
      <c r="N360" s="25">
        <v>-0.49930000000000002</v>
      </c>
      <c r="O360">
        <v>1.37</v>
      </c>
      <c r="P360" s="25">
        <v>-0.1043</v>
      </c>
      <c r="Q360" s="25">
        <v>-0.60680000000000001</v>
      </c>
      <c r="R360" s="26">
        <v>169046</v>
      </c>
      <c r="S360" s="26">
        <v>128542000</v>
      </c>
      <c r="T360">
        <v>0.53</v>
      </c>
      <c r="U360" s="25">
        <v>0.87719999999999998</v>
      </c>
    </row>
    <row r="361" spans="1:21" hidden="1" x14ac:dyDescent="0.25">
      <c r="A361" t="s">
        <v>17</v>
      </c>
      <c r="B361">
        <v>5.07</v>
      </c>
      <c r="C361">
        <v>6.8</v>
      </c>
      <c r="D361">
        <v>1.23</v>
      </c>
      <c r="E361">
        <v>0.91300000000000003</v>
      </c>
      <c r="F361" s="25">
        <v>7.5899999999999995E-2</v>
      </c>
      <c r="G361">
        <v>0.64800000000000002</v>
      </c>
      <c r="H361">
        <v>1.48</v>
      </c>
      <c r="I361">
        <v>9.36</v>
      </c>
      <c r="J361">
        <v>3.84</v>
      </c>
      <c r="K361">
        <v>9.1300000000000008</v>
      </c>
      <c r="L361">
        <v>6.71</v>
      </c>
      <c r="M361" s="25">
        <v>9.7500000000000003E-2</v>
      </c>
      <c r="N361" s="25">
        <v>0.13420000000000001</v>
      </c>
      <c r="O361">
        <v>3.1</v>
      </c>
      <c r="P361" s="25">
        <v>0.111</v>
      </c>
      <c r="Q361" s="25">
        <v>0.18149999999999999</v>
      </c>
      <c r="R361" s="26">
        <v>2076630</v>
      </c>
      <c r="S361" s="26">
        <v>1468260000</v>
      </c>
      <c r="T361">
        <v>0.56999999999999995</v>
      </c>
      <c r="U361" s="25">
        <v>0.1152</v>
      </c>
    </row>
    <row r="362" spans="1:21" hidden="1" x14ac:dyDescent="0.25">
      <c r="A362" t="s">
        <v>215</v>
      </c>
      <c r="B362">
        <v>4.21</v>
      </c>
      <c r="C362">
        <v>-15.57</v>
      </c>
      <c r="D362">
        <v>1.3</v>
      </c>
      <c r="E362">
        <v>8.6999999999999994E-2</v>
      </c>
      <c r="F362" s="25">
        <v>1.67E-2</v>
      </c>
      <c r="G362">
        <v>4.3999999999999997E-2</v>
      </c>
      <c r="H362" s="26">
        <v>0.42</v>
      </c>
      <c r="I362">
        <v>0.51</v>
      </c>
      <c r="J362">
        <v>-7.0000000000000007E-2</v>
      </c>
      <c r="K362">
        <v>6.82</v>
      </c>
      <c r="L362">
        <v>4.3600000000000003</v>
      </c>
      <c r="M362" s="25">
        <v>0.1699</v>
      </c>
      <c r="N362" s="25">
        <v>4.0000000000000002E-4</v>
      </c>
      <c r="O362">
        <v>1.45</v>
      </c>
      <c r="P362" s="25">
        <v>0.1137</v>
      </c>
      <c r="Q362" s="25">
        <v>-8.3599999999999994E-2</v>
      </c>
      <c r="R362" s="26">
        <v>27007200</v>
      </c>
      <c r="S362" s="26">
        <v>2824120000</v>
      </c>
      <c r="T362">
        <v>20.98</v>
      </c>
      <c r="U362" s="25">
        <v>0.43680000000000002</v>
      </c>
    </row>
    <row r="363" spans="1:21" hidden="1" x14ac:dyDescent="0.25">
      <c r="A363" t="s">
        <v>10</v>
      </c>
      <c r="B363">
        <v>18.04</v>
      </c>
      <c r="C363">
        <v>10.71</v>
      </c>
      <c r="D363">
        <v>1.63</v>
      </c>
      <c r="E363">
        <v>0.92500000000000004</v>
      </c>
      <c r="F363" s="25">
        <v>3.0300000000000001E-2</v>
      </c>
      <c r="G363">
        <v>0.45800000000000002</v>
      </c>
      <c r="H363">
        <v>3.41</v>
      </c>
      <c r="I363">
        <v>4.2300000000000004</v>
      </c>
      <c r="J363">
        <v>-1.72</v>
      </c>
      <c r="K363">
        <v>6.91</v>
      </c>
      <c r="L363">
        <v>5.91</v>
      </c>
      <c r="M363" s="25">
        <v>0.21879999999999999</v>
      </c>
      <c r="N363" s="25">
        <v>8.8300000000000003E-2</v>
      </c>
      <c r="O363">
        <v>1.44</v>
      </c>
      <c r="P363" s="25">
        <v>0.1231</v>
      </c>
      <c r="Q363" s="25">
        <v>0.15210000000000001</v>
      </c>
      <c r="R363" s="26">
        <v>37879000</v>
      </c>
      <c r="S363" s="26">
        <v>4911400000</v>
      </c>
      <c r="T363">
        <v>1.29</v>
      </c>
      <c r="U363" s="25">
        <v>0.13589999999999999</v>
      </c>
    </row>
    <row r="364" spans="1:21" hidden="1" x14ac:dyDescent="0.25">
      <c r="A364" t="s">
        <v>50</v>
      </c>
      <c r="B364">
        <v>21.6</v>
      </c>
      <c r="C364">
        <v>27.82</v>
      </c>
      <c r="D364">
        <v>2.33</v>
      </c>
      <c r="E364">
        <v>2.1509999999999998</v>
      </c>
      <c r="F364" s="25">
        <v>2.6200000000000001E-2</v>
      </c>
      <c r="G364">
        <v>0.70699999999999996</v>
      </c>
      <c r="H364">
        <v>8.91</v>
      </c>
      <c r="I364">
        <v>9.32</v>
      </c>
      <c r="J364">
        <v>-1.51</v>
      </c>
      <c r="K364">
        <v>11.48</v>
      </c>
      <c r="L364">
        <v>5.52</v>
      </c>
      <c r="M364" s="25">
        <v>0.23089999999999999</v>
      </c>
      <c r="N364" s="25">
        <v>7.7899999999999997E-2</v>
      </c>
      <c r="O364">
        <v>1.53</v>
      </c>
      <c r="P364" s="25">
        <v>9.3399999999999997E-2</v>
      </c>
      <c r="Q364" s="25">
        <v>8.3900000000000002E-2</v>
      </c>
      <c r="R364" s="26">
        <v>95364000</v>
      </c>
      <c r="S364" s="26">
        <v>5527220000</v>
      </c>
      <c r="T364">
        <v>1.08</v>
      </c>
      <c r="U364" s="25">
        <v>0.54820000000000002</v>
      </c>
    </row>
    <row r="365" spans="1:21" hidden="1" x14ac:dyDescent="0.25">
      <c r="A365" t="s">
        <v>202</v>
      </c>
      <c r="B365">
        <v>17.899999999999999</v>
      </c>
      <c r="C365">
        <v>10.69</v>
      </c>
      <c r="D365">
        <v>0.89</v>
      </c>
      <c r="E365">
        <v>0.83099999999999996</v>
      </c>
      <c r="F365" s="25">
        <v>5.1499999999999997E-2</v>
      </c>
      <c r="G365">
        <v>0.27300000000000002</v>
      </c>
      <c r="H365">
        <v>1.6</v>
      </c>
      <c r="I365">
        <v>5.03</v>
      </c>
      <c r="J365">
        <v>-0.68</v>
      </c>
      <c r="K365">
        <v>11.66</v>
      </c>
      <c r="L365">
        <v>3.85</v>
      </c>
      <c r="M365" s="25">
        <v>0.1651</v>
      </c>
      <c r="N365" s="25">
        <v>7.7700000000000005E-2</v>
      </c>
      <c r="O365">
        <v>2.4300000000000002</v>
      </c>
      <c r="P365" s="25">
        <v>6.4699999999999994E-2</v>
      </c>
      <c r="Q365" s="25">
        <v>8.3099999999999993E-2</v>
      </c>
      <c r="R365" s="26">
        <v>31043700</v>
      </c>
      <c r="S365" s="26">
        <v>6699360000</v>
      </c>
      <c r="T365">
        <v>1.63</v>
      </c>
      <c r="U365" s="25">
        <v>0.128</v>
      </c>
    </row>
    <row r="366" spans="1:21" hidden="1" x14ac:dyDescent="0.25">
      <c r="A366" t="s">
        <v>175</v>
      </c>
      <c r="B366">
        <v>3.52</v>
      </c>
      <c r="C366">
        <v>-0.65</v>
      </c>
      <c r="D366">
        <v>-0.01</v>
      </c>
      <c r="E366">
        <v>2.8000000000000001E-2</v>
      </c>
      <c r="F366" s="25">
        <v>0</v>
      </c>
      <c r="G366">
        <v>4.7E-2</v>
      </c>
      <c r="H366">
        <v>-0.41</v>
      </c>
      <c r="I366">
        <v>1.23</v>
      </c>
      <c r="J366">
        <v>-0.01</v>
      </c>
      <c r="K366">
        <v>10.73</v>
      </c>
      <c r="L366">
        <v>5.91</v>
      </c>
      <c r="M366" s="25">
        <v>2.29E-2</v>
      </c>
      <c r="N366" s="25">
        <v>-4.1700000000000001E-2</v>
      </c>
      <c r="O366">
        <v>0.84</v>
      </c>
      <c r="P366" s="25">
        <v>4.4299999999999999E-2</v>
      </c>
      <c r="Q366" s="25">
        <v>2.0500000000000001E-2</v>
      </c>
      <c r="R366" s="26">
        <v>26325.5</v>
      </c>
      <c r="S366" s="26">
        <v>-2025590000</v>
      </c>
      <c r="T366">
        <v>-0.11</v>
      </c>
      <c r="U366" s="25">
        <v>0.1275</v>
      </c>
    </row>
    <row r="367" spans="1:21" hidden="1" x14ac:dyDescent="0.25">
      <c r="A367" t="s">
        <v>105</v>
      </c>
      <c r="B367">
        <v>10.53</v>
      </c>
      <c r="C367">
        <v>14.25</v>
      </c>
      <c r="D367">
        <v>1.06</v>
      </c>
      <c r="E367">
        <v>0.749</v>
      </c>
      <c r="F367" s="25">
        <v>2.8199999999999999E-2</v>
      </c>
      <c r="G367">
        <v>0.41</v>
      </c>
      <c r="H367">
        <v>0.8</v>
      </c>
      <c r="I367">
        <v>9.3699999999999992</v>
      </c>
      <c r="J367">
        <v>1.41</v>
      </c>
      <c r="K367">
        <v>9.09</v>
      </c>
      <c r="L367">
        <v>7.42</v>
      </c>
      <c r="M367" s="25">
        <v>7.9899999999999999E-2</v>
      </c>
      <c r="N367" s="25">
        <v>8.8900000000000007E-2</v>
      </c>
      <c r="O367">
        <v>3.46</v>
      </c>
      <c r="P367" s="25">
        <v>7.3999999999999996E-2</v>
      </c>
      <c r="Q367" s="25">
        <v>7.4200000000000002E-2</v>
      </c>
      <c r="R367" s="26">
        <v>4806650</v>
      </c>
      <c r="S367" s="26">
        <v>1347510000</v>
      </c>
      <c r="T367">
        <v>0.63</v>
      </c>
      <c r="U367" s="25">
        <v>0.33839999999999998</v>
      </c>
    </row>
    <row r="368" spans="1:21" hidden="1" x14ac:dyDescent="0.25">
      <c r="A368" t="s">
        <v>447</v>
      </c>
      <c r="B368">
        <v>44.96</v>
      </c>
      <c r="C368">
        <v>4.6399999999999997</v>
      </c>
      <c r="D368">
        <v>1.54</v>
      </c>
      <c r="E368">
        <v>0.53500000000000003</v>
      </c>
      <c r="F368" s="25">
        <v>0.13950000000000001</v>
      </c>
      <c r="G368">
        <v>0.94199999999999995</v>
      </c>
      <c r="H368">
        <v>3.25</v>
      </c>
      <c r="I368">
        <v>3.42</v>
      </c>
      <c r="J368">
        <v>5.51</v>
      </c>
      <c r="K368">
        <v>2.4500000000000002</v>
      </c>
      <c r="L368">
        <v>2.1</v>
      </c>
      <c r="M368" s="25">
        <v>0.15659999999999999</v>
      </c>
      <c r="N368" s="25">
        <v>0.1162</v>
      </c>
      <c r="O368">
        <v>2.0699999999999998</v>
      </c>
      <c r="P368" s="25">
        <v>0.38729999999999998</v>
      </c>
      <c r="Q368" s="25">
        <v>0.3327</v>
      </c>
      <c r="R368" s="26">
        <v>1030.05</v>
      </c>
      <c r="S368" s="26">
        <v>71604000</v>
      </c>
      <c r="T368">
        <v>0</v>
      </c>
      <c r="U368" s="25">
        <v>0.33150000000000002</v>
      </c>
    </row>
    <row r="369" spans="1:21" hidden="1" x14ac:dyDescent="0.25">
      <c r="A369" t="s">
        <v>448</v>
      </c>
      <c r="B369">
        <v>45.01</v>
      </c>
      <c r="C369">
        <v>4.6399999999999997</v>
      </c>
      <c r="D369">
        <v>1.55</v>
      </c>
      <c r="E369">
        <v>0.53600000000000003</v>
      </c>
      <c r="F369" s="25">
        <v>0.13930000000000001</v>
      </c>
      <c r="G369">
        <v>0.94299999999999995</v>
      </c>
      <c r="H369">
        <v>3.26</v>
      </c>
      <c r="I369">
        <v>3.42</v>
      </c>
      <c r="J369">
        <v>5.52</v>
      </c>
      <c r="K369">
        <v>2.46</v>
      </c>
      <c r="L369">
        <v>2.1</v>
      </c>
      <c r="M369" s="25">
        <v>0.15659999999999999</v>
      </c>
      <c r="N369" s="25">
        <v>0.1162</v>
      </c>
      <c r="O369">
        <v>2.0699999999999998</v>
      </c>
      <c r="P369" s="25">
        <v>0.38729999999999998</v>
      </c>
      <c r="Q369" s="25">
        <v>0.3327</v>
      </c>
      <c r="R369" s="26">
        <v>1970.43</v>
      </c>
      <c r="S369" s="26">
        <v>71604000</v>
      </c>
      <c r="T369">
        <v>0</v>
      </c>
      <c r="U369" s="25">
        <v>0.33150000000000002</v>
      </c>
    </row>
    <row r="370" spans="1:21" hidden="1" x14ac:dyDescent="0.25">
      <c r="A370" t="s">
        <v>449</v>
      </c>
      <c r="B370">
        <v>11.78</v>
      </c>
      <c r="C370" s="26">
        <v>1196.9000000000001</v>
      </c>
      <c r="D370">
        <v>1.35</v>
      </c>
      <c r="E370">
        <v>1.597</v>
      </c>
      <c r="F370" s="25">
        <v>0</v>
      </c>
      <c r="G370">
        <v>0.35499999999999998</v>
      </c>
      <c r="H370">
        <v>15.51</v>
      </c>
      <c r="I370">
        <v>6.23</v>
      </c>
      <c r="J370">
        <v>-0.62</v>
      </c>
      <c r="K370">
        <v>15.35</v>
      </c>
      <c r="L370">
        <v>9.16</v>
      </c>
      <c r="M370" s="25">
        <v>0.25619999999999998</v>
      </c>
      <c r="N370" s="25">
        <v>1.4E-3</v>
      </c>
      <c r="O370">
        <v>1.1599999999999999</v>
      </c>
      <c r="P370" s="25">
        <v>6.1699999999999998E-2</v>
      </c>
      <c r="Q370" s="25">
        <v>1.1000000000000001E-3</v>
      </c>
      <c r="R370" s="26">
        <v>68452700</v>
      </c>
      <c r="S370" s="26">
        <v>5443630000</v>
      </c>
      <c r="T370">
        <v>2.2000000000000002</v>
      </c>
      <c r="U370" s="25">
        <v>0.35930000000000001</v>
      </c>
    </row>
    <row r="371" spans="1:21" hidden="1" x14ac:dyDescent="0.25">
      <c r="A371" t="s">
        <v>63</v>
      </c>
      <c r="B371">
        <v>13.86</v>
      </c>
      <c r="C371">
        <v>15.11</v>
      </c>
      <c r="D371">
        <v>19.71</v>
      </c>
      <c r="E371">
        <v>3.8130000000000002</v>
      </c>
      <c r="F371" s="25">
        <v>0.18779999999999999</v>
      </c>
      <c r="G371">
        <v>2.2610000000000001</v>
      </c>
      <c r="H371" s="26">
        <v>2041.48</v>
      </c>
      <c r="I371">
        <v>8.84</v>
      </c>
      <c r="J371">
        <v>-3.12</v>
      </c>
      <c r="K371">
        <v>10.5</v>
      </c>
      <c r="L371">
        <v>8.76</v>
      </c>
      <c r="M371" s="25">
        <v>0.43120000000000003</v>
      </c>
      <c r="N371" s="25">
        <v>0.25230000000000002</v>
      </c>
      <c r="O371">
        <v>1.01</v>
      </c>
      <c r="P371" s="25">
        <v>0.28449999999999998</v>
      </c>
      <c r="Q371" s="25">
        <v>1.3043</v>
      </c>
      <c r="R371" s="26">
        <v>51013100</v>
      </c>
      <c r="S371" s="26">
        <v>607731000</v>
      </c>
      <c r="T371">
        <v>4.32</v>
      </c>
      <c r="U371" s="25">
        <v>0.29670000000000002</v>
      </c>
    </row>
    <row r="372" spans="1:21" hidden="1" x14ac:dyDescent="0.25">
      <c r="A372" t="s">
        <v>91</v>
      </c>
      <c r="B372">
        <v>51.75</v>
      </c>
      <c r="C372" s="26">
        <v>-68.61</v>
      </c>
      <c r="D372">
        <v>1.7</v>
      </c>
      <c r="E372">
        <v>1.3220000000000001</v>
      </c>
      <c r="F372" s="25">
        <v>3.9E-2</v>
      </c>
      <c r="G372">
        <v>0.42099999999999999</v>
      </c>
      <c r="H372">
        <v>3.07</v>
      </c>
      <c r="I372">
        <v>4.5999999999999996</v>
      </c>
      <c r="J372">
        <v>-0.8</v>
      </c>
      <c r="K372">
        <v>9.84</v>
      </c>
      <c r="L372">
        <v>5.84</v>
      </c>
      <c r="M372" s="25">
        <v>0.28760000000000002</v>
      </c>
      <c r="N372" s="25">
        <v>-1.8499999999999999E-2</v>
      </c>
      <c r="O372">
        <v>2.61</v>
      </c>
      <c r="P372" s="25">
        <v>0.1069</v>
      </c>
      <c r="Q372" s="25">
        <v>-2.4799999999999999E-2</v>
      </c>
      <c r="R372" s="26">
        <v>304271000</v>
      </c>
      <c r="S372" s="26">
        <v>38398300000</v>
      </c>
      <c r="T372">
        <v>2.37</v>
      </c>
      <c r="U372" s="25">
        <v>7.8100000000000003E-2</v>
      </c>
    </row>
    <row r="373" spans="1:21" hidden="1" x14ac:dyDescent="0.25">
      <c r="A373" t="s">
        <v>234</v>
      </c>
      <c r="B373">
        <v>6.6</v>
      </c>
      <c r="C373">
        <v>1.8</v>
      </c>
      <c r="D373">
        <v>0.92</v>
      </c>
      <c r="E373">
        <v>0.75800000000000001</v>
      </c>
      <c r="F373" s="25">
        <v>1.0621</v>
      </c>
      <c r="G373">
        <v>0.318</v>
      </c>
      <c r="H373" s="26">
        <v>1.03</v>
      </c>
      <c r="I373">
        <v>2.15</v>
      </c>
      <c r="J373">
        <v>-8.4499999999999993</v>
      </c>
      <c r="K373">
        <v>3</v>
      </c>
      <c r="L373">
        <v>2.57</v>
      </c>
      <c r="M373" s="25">
        <v>0.3533</v>
      </c>
      <c r="N373" s="25">
        <v>0.50480000000000003</v>
      </c>
      <c r="O373">
        <v>5.43</v>
      </c>
      <c r="P373" s="25">
        <v>0.1726</v>
      </c>
      <c r="Q373" s="25">
        <v>0.51129999999999998</v>
      </c>
      <c r="R373" s="26">
        <v>3141270</v>
      </c>
      <c r="S373" s="26">
        <v>1091940000</v>
      </c>
      <c r="T373">
        <v>0.77</v>
      </c>
      <c r="U373" s="25">
        <v>3.9E-2</v>
      </c>
    </row>
    <row r="374" spans="1:21" hidden="1" x14ac:dyDescent="0.25">
      <c r="A374" t="s">
        <v>450</v>
      </c>
      <c r="B374">
        <v>33.700000000000003</v>
      </c>
      <c r="C374">
        <v>6.89</v>
      </c>
      <c r="D374">
        <v>1.59</v>
      </c>
      <c r="E374">
        <v>2.9249999999999998</v>
      </c>
      <c r="F374" s="25">
        <v>8.1299999999999997E-2</v>
      </c>
      <c r="G374">
        <v>0.55200000000000005</v>
      </c>
      <c r="H374">
        <v>8.09</v>
      </c>
      <c r="I374">
        <v>5.18</v>
      </c>
      <c r="J374">
        <v>-1.0900000000000001</v>
      </c>
      <c r="K374">
        <v>9.39</v>
      </c>
      <c r="L374">
        <v>9.27</v>
      </c>
      <c r="M374" s="25">
        <v>0.56499999999999995</v>
      </c>
      <c r="N374" s="25">
        <v>0.42449999999999999</v>
      </c>
      <c r="O374">
        <v>1.85</v>
      </c>
      <c r="P374" s="25">
        <v>0.1118</v>
      </c>
      <c r="Q374" s="25">
        <v>0.23089999999999999</v>
      </c>
      <c r="R374" s="26">
        <v>51535400</v>
      </c>
      <c r="S374" s="26">
        <v>7297940000</v>
      </c>
      <c r="T374">
        <v>1.41</v>
      </c>
      <c r="U374" s="25">
        <v>1.11E-2</v>
      </c>
    </row>
    <row r="375" spans="1:21" hidden="1" x14ac:dyDescent="0.25">
      <c r="A375" t="s">
        <v>267</v>
      </c>
      <c r="B375">
        <v>11.23</v>
      </c>
      <c r="C375">
        <v>6.89</v>
      </c>
      <c r="D375">
        <v>1.59</v>
      </c>
      <c r="E375">
        <v>2.9239999999999999</v>
      </c>
      <c r="F375" s="25">
        <v>8.1299999999999997E-2</v>
      </c>
      <c r="G375">
        <v>0.55200000000000005</v>
      </c>
      <c r="H375">
        <v>8.08</v>
      </c>
      <c r="I375">
        <v>5.17</v>
      </c>
      <c r="J375">
        <v>-1.0900000000000001</v>
      </c>
      <c r="K375">
        <v>9.39</v>
      </c>
      <c r="L375">
        <v>9.27</v>
      </c>
      <c r="M375" s="25">
        <v>0.56499999999999995</v>
      </c>
      <c r="N375" s="25">
        <v>0.42449999999999999</v>
      </c>
      <c r="O375">
        <v>1.85</v>
      </c>
      <c r="P375" s="25">
        <v>0.1118</v>
      </c>
      <c r="Q375" s="25">
        <v>0.23089999999999999</v>
      </c>
      <c r="R375" s="26">
        <v>721959</v>
      </c>
      <c r="S375" s="26">
        <v>7297940000</v>
      </c>
      <c r="T375">
        <v>1.41</v>
      </c>
      <c r="U375" s="25">
        <v>1.11E-2</v>
      </c>
    </row>
    <row r="376" spans="1:21" hidden="1" x14ac:dyDescent="0.25">
      <c r="A376" t="s">
        <v>53</v>
      </c>
      <c r="B376">
        <v>11.25</v>
      </c>
      <c r="C376">
        <v>6.9</v>
      </c>
      <c r="D376">
        <v>1.59</v>
      </c>
      <c r="E376">
        <v>2.9289999999999998</v>
      </c>
      <c r="F376" s="25">
        <v>8.1199999999999994E-2</v>
      </c>
      <c r="G376">
        <v>0.55300000000000005</v>
      </c>
      <c r="H376">
        <v>8.1</v>
      </c>
      <c r="I376">
        <v>5.18</v>
      </c>
      <c r="J376">
        <v>-1.1000000000000001</v>
      </c>
      <c r="K376">
        <v>9.4</v>
      </c>
      <c r="L376">
        <v>9.2799999999999994</v>
      </c>
      <c r="M376" s="25">
        <v>0.56499999999999995</v>
      </c>
      <c r="N376" s="25">
        <v>0.42449999999999999</v>
      </c>
      <c r="O376">
        <v>1.85</v>
      </c>
      <c r="P376" s="25">
        <v>0.1118</v>
      </c>
      <c r="Q376" s="25">
        <v>0.23089999999999999</v>
      </c>
      <c r="R376" s="26">
        <v>1433720</v>
      </c>
      <c r="S376" s="26">
        <v>7297940000</v>
      </c>
      <c r="T376">
        <v>1.41</v>
      </c>
      <c r="U376" s="25">
        <v>1.11E-2</v>
      </c>
    </row>
    <row r="377" spans="1:21" hidden="1" x14ac:dyDescent="0.25">
      <c r="A377" t="s">
        <v>199</v>
      </c>
      <c r="B377">
        <v>6.39</v>
      </c>
      <c r="C377">
        <v>11.67</v>
      </c>
      <c r="D377">
        <v>0.7</v>
      </c>
      <c r="E377">
        <v>0.56599999999999995</v>
      </c>
      <c r="F377" s="25">
        <v>2.8799999999999999E-2</v>
      </c>
      <c r="G377">
        <v>0.35099999999999998</v>
      </c>
      <c r="H377">
        <v>1.48</v>
      </c>
      <c r="I377">
        <v>8.5500000000000007</v>
      </c>
      <c r="J377">
        <v>4.59</v>
      </c>
      <c r="K377">
        <v>13.7</v>
      </c>
      <c r="L377">
        <v>9.5</v>
      </c>
      <c r="M377" s="25">
        <v>6.6199999999999995E-2</v>
      </c>
      <c r="N377" s="25">
        <v>4.8500000000000001E-2</v>
      </c>
      <c r="O377">
        <v>1.7</v>
      </c>
      <c r="P377" s="25">
        <v>4.7100000000000003E-2</v>
      </c>
      <c r="Q377" s="25">
        <v>6.0100000000000001E-2</v>
      </c>
      <c r="R377" s="26">
        <v>73434.2</v>
      </c>
      <c r="S377" s="26">
        <v>1268180000</v>
      </c>
      <c r="T377">
        <v>0.59</v>
      </c>
      <c r="U377" s="25">
        <v>-9.3700000000000006E-2</v>
      </c>
    </row>
    <row r="378" spans="1:21" hidden="1" x14ac:dyDescent="0.25">
      <c r="A378" t="s">
        <v>174</v>
      </c>
      <c r="B378">
        <v>5.27</v>
      </c>
      <c r="C378">
        <v>9.6199999999999992</v>
      </c>
      <c r="D378">
        <v>0.57999999999999996</v>
      </c>
      <c r="E378">
        <v>0.46700000000000003</v>
      </c>
      <c r="F378" s="25">
        <v>3.5000000000000003E-2</v>
      </c>
      <c r="G378">
        <v>0.28899999999999998</v>
      </c>
      <c r="H378">
        <v>1.22</v>
      </c>
      <c r="I378">
        <v>7.05</v>
      </c>
      <c r="J378">
        <v>3.78</v>
      </c>
      <c r="K378">
        <v>12.2</v>
      </c>
      <c r="L378">
        <v>8.4600000000000009</v>
      </c>
      <c r="M378" s="25">
        <v>6.6199999999999995E-2</v>
      </c>
      <c r="N378" s="25">
        <v>4.8500000000000001E-2</v>
      </c>
      <c r="O378">
        <v>1.7</v>
      </c>
      <c r="P378" s="25">
        <v>4.7100000000000003E-2</v>
      </c>
      <c r="Q378" s="25">
        <v>6.0100000000000001E-2</v>
      </c>
      <c r="R378" s="26">
        <v>1912790</v>
      </c>
      <c r="S378" s="26">
        <v>1268180000</v>
      </c>
      <c r="T378">
        <v>0.59</v>
      </c>
      <c r="U378" s="25">
        <v>-9.3700000000000006E-2</v>
      </c>
    </row>
    <row r="379" spans="1:21" hidden="1" x14ac:dyDescent="0.25">
      <c r="A379" t="s">
        <v>257</v>
      </c>
      <c r="B379">
        <v>1.75</v>
      </c>
      <c r="C379">
        <v>-0.95</v>
      </c>
      <c r="D379">
        <v>0.34</v>
      </c>
      <c r="E379">
        <v>0.3</v>
      </c>
      <c r="F379" s="25">
        <v>0</v>
      </c>
      <c r="G379">
        <v>0.10299999999999999</v>
      </c>
      <c r="H379">
        <v>3.99</v>
      </c>
      <c r="I379">
        <v>-1.1499999999999999</v>
      </c>
      <c r="J379">
        <v>-0.31</v>
      </c>
      <c r="K379">
        <v>-5.15</v>
      </c>
      <c r="L379">
        <v>-5.53</v>
      </c>
      <c r="M379" s="25">
        <v>-0.26050000000000001</v>
      </c>
      <c r="N379" s="25">
        <v>-0.32219999999999999</v>
      </c>
      <c r="O379">
        <v>1.08</v>
      </c>
      <c r="P379" s="25">
        <v>-0.10299999999999999</v>
      </c>
      <c r="Q379" s="25">
        <v>-0.3579</v>
      </c>
      <c r="R379" s="26">
        <v>311579</v>
      </c>
      <c r="S379" s="26">
        <v>378640000</v>
      </c>
      <c r="T379">
        <v>1.57</v>
      </c>
      <c r="U379" s="25">
        <v>0.31459999999999999</v>
      </c>
    </row>
    <row r="380" spans="1:21" hidden="1" x14ac:dyDescent="0.25">
      <c r="A380" t="s">
        <v>201</v>
      </c>
      <c r="B380">
        <v>6.31</v>
      </c>
      <c r="C380">
        <v>6.15</v>
      </c>
      <c r="D380">
        <v>0.96</v>
      </c>
      <c r="E380">
        <v>0.93300000000000005</v>
      </c>
      <c r="F380" s="25">
        <v>3.9199999999999999E-2</v>
      </c>
      <c r="G380">
        <v>0.56899999999999995</v>
      </c>
      <c r="H380">
        <v>1.24</v>
      </c>
      <c r="I380">
        <v>5.03</v>
      </c>
      <c r="J380">
        <v>2.1800000000000002</v>
      </c>
      <c r="K380">
        <v>5.19</v>
      </c>
      <c r="L380">
        <v>5.99</v>
      </c>
      <c r="M380" s="25">
        <v>0.18540000000000001</v>
      </c>
      <c r="N380" s="25">
        <v>0.1517</v>
      </c>
      <c r="O380">
        <v>3.2</v>
      </c>
      <c r="P380" s="25">
        <v>0.1444</v>
      </c>
      <c r="Q380" s="25">
        <v>0.15529999999999999</v>
      </c>
      <c r="R380" s="26">
        <v>633380</v>
      </c>
      <c r="S380" s="26">
        <v>408423000</v>
      </c>
      <c r="T380">
        <v>0.25</v>
      </c>
      <c r="U380" s="25">
        <v>0.1166</v>
      </c>
    </row>
    <row r="381" spans="1:21" hidden="1" x14ac:dyDescent="0.25">
      <c r="A381" t="s">
        <v>451</v>
      </c>
      <c r="B381">
        <v>12.36</v>
      </c>
      <c r="C381">
        <v>208.52</v>
      </c>
      <c r="D381">
        <v>0.79</v>
      </c>
      <c r="E381">
        <v>2.57</v>
      </c>
      <c r="F381" s="25">
        <v>0</v>
      </c>
      <c r="G381">
        <v>0.28100000000000003</v>
      </c>
      <c r="H381">
        <v>0.71</v>
      </c>
      <c r="I381">
        <v>-3.75</v>
      </c>
      <c r="J381">
        <v>-1.6</v>
      </c>
      <c r="K381">
        <v>0.45</v>
      </c>
      <c r="L381">
        <v>4.1100000000000003</v>
      </c>
      <c r="M381" s="25">
        <v>-0.68459999999999999</v>
      </c>
      <c r="N381" s="25">
        <v>1.23E-2</v>
      </c>
      <c r="O381">
        <v>6.45</v>
      </c>
      <c r="P381" s="25">
        <v>-0.1178</v>
      </c>
      <c r="Q381" s="25">
        <v>3.8E-3</v>
      </c>
      <c r="R381" s="26">
        <v>31367.1</v>
      </c>
      <c r="S381" s="26">
        <v>1467590000</v>
      </c>
      <c r="T381">
        <v>0.01</v>
      </c>
      <c r="U381" s="25">
        <v>0.1429</v>
      </c>
    </row>
    <row r="382" spans="1:21" hidden="1" x14ac:dyDescent="0.25">
      <c r="A382" t="s">
        <v>14</v>
      </c>
      <c r="B382">
        <v>7.65</v>
      </c>
      <c r="C382">
        <v>129.06</v>
      </c>
      <c r="D382">
        <v>0.49</v>
      </c>
      <c r="E382">
        <v>1.591</v>
      </c>
      <c r="F382" s="25">
        <v>0</v>
      </c>
      <c r="G382">
        <v>0.17399999999999999</v>
      </c>
      <c r="H382">
        <v>0.44</v>
      </c>
      <c r="I382">
        <v>-2.3199999999999998</v>
      </c>
      <c r="J382">
        <v>-0.99</v>
      </c>
      <c r="K382">
        <v>1.88</v>
      </c>
      <c r="L382">
        <v>17.05</v>
      </c>
      <c r="M382" s="25">
        <v>-0.68459999999999999</v>
      </c>
      <c r="N382" s="25">
        <v>1.23E-2</v>
      </c>
      <c r="O382">
        <v>6.45</v>
      </c>
      <c r="P382" s="25">
        <v>-0.1178</v>
      </c>
      <c r="Q382" s="25">
        <v>3.8E-3</v>
      </c>
      <c r="R382" s="26">
        <v>41124.6</v>
      </c>
      <c r="S382" s="26">
        <v>1467590000</v>
      </c>
      <c r="T382">
        <v>0.01</v>
      </c>
      <c r="U382" s="25">
        <v>0.1429</v>
      </c>
    </row>
    <row r="383" spans="1:21" hidden="1" x14ac:dyDescent="0.25">
      <c r="A383" t="s">
        <v>64</v>
      </c>
      <c r="B383">
        <v>22.16</v>
      </c>
      <c r="C383">
        <v>14.49</v>
      </c>
      <c r="D383">
        <v>2.5099999999999998</v>
      </c>
      <c r="E383">
        <v>0.79800000000000004</v>
      </c>
      <c r="F383" s="25">
        <v>7.7000000000000002E-3</v>
      </c>
      <c r="G383">
        <v>0.52900000000000003</v>
      </c>
      <c r="H383">
        <v>2.0499999999999998</v>
      </c>
      <c r="I383">
        <v>6.19</v>
      </c>
      <c r="J383">
        <v>-2.73</v>
      </c>
      <c r="K383">
        <v>7.2</v>
      </c>
      <c r="L383">
        <v>6.22</v>
      </c>
      <c r="M383" s="25">
        <v>0.12889999999999999</v>
      </c>
      <c r="N383" s="25">
        <v>5.0799999999999998E-2</v>
      </c>
      <c r="O383">
        <v>1.77</v>
      </c>
      <c r="P383" s="25">
        <v>0.1028</v>
      </c>
      <c r="Q383" s="25">
        <v>0.17299999999999999</v>
      </c>
      <c r="R383" s="26">
        <v>39394100</v>
      </c>
      <c r="S383" s="26">
        <v>1083720000</v>
      </c>
      <c r="T383">
        <v>0.95</v>
      </c>
      <c r="U383" s="25">
        <v>8.5000000000000006E-2</v>
      </c>
    </row>
    <row r="384" spans="1:21" hidden="1" x14ac:dyDescent="0.25">
      <c r="A384" t="s">
        <v>154</v>
      </c>
      <c r="B384">
        <v>14.2</v>
      </c>
      <c r="C384">
        <v>17.25</v>
      </c>
      <c r="D384">
        <v>4.5</v>
      </c>
      <c r="E384">
        <v>2.4660000000000002</v>
      </c>
      <c r="F384" s="25">
        <v>1.7100000000000001E-2</v>
      </c>
      <c r="G384">
        <v>2.6230000000000002</v>
      </c>
      <c r="H384">
        <v>6.01</v>
      </c>
      <c r="I384">
        <v>12.34</v>
      </c>
      <c r="J384">
        <v>9.59</v>
      </c>
      <c r="K384">
        <v>12.89</v>
      </c>
      <c r="L384">
        <v>11.75</v>
      </c>
      <c r="M384" s="25">
        <v>0.19980000000000001</v>
      </c>
      <c r="N384" s="25">
        <v>0.14299999999999999</v>
      </c>
      <c r="O384">
        <v>2.72</v>
      </c>
      <c r="P384" s="25">
        <v>0.25069999999999998</v>
      </c>
      <c r="Q384" s="25">
        <v>0.2606</v>
      </c>
      <c r="R384" s="26">
        <v>6789090</v>
      </c>
      <c r="S384" s="26">
        <v>484021000</v>
      </c>
      <c r="T384">
        <v>0.3</v>
      </c>
      <c r="U384" s="25">
        <v>0.31109999999999999</v>
      </c>
    </row>
    <row r="385" spans="1:21" hidden="1" x14ac:dyDescent="0.25">
      <c r="A385" t="s">
        <v>68</v>
      </c>
      <c r="B385">
        <v>34.79</v>
      </c>
      <c r="C385">
        <v>8.31</v>
      </c>
      <c r="D385">
        <v>2.38</v>
      </c>
      <c r="E385">
        <v>1.0720000000000001</v>
      </c>
      <c r="F385" s="25">
        <v>7.4200000000000002E-2</v>
      </c>
      <c r="G385">
        <v>1.702</v>
      </c>
      <c r="H385">
        <v>4.72</v>
      </c>
      <c r="I385">
        <v>6.51</v>
      </c>
      <c r="J385">
        <v>7.09</v>
      </c>
      <c r="K385">
        <v>6.11</v>
      </c>
      <c r="L385">
        <v>5.67</v>
      </c>
      <c r="M385" s="25">
        <v>0.16470000000000001</v>
      </c>
      <c r="N385" s="25">
        <v>0.1293</v>
      </c>
      <c r="O385">
        <v>3.2</v>
      </c>
      <c r="P385" s="25">
        <v>0.36659999999999998</v>
      </c>
      <c r="Q385" s="25">
        <v>0.28620000000000001</v>
      </c>
      <c r="R385" s="26">
        <v>10310400</v>
      </c>
      <c r="S385" s="26">
        <v>965143000</v>
      </c>
      <c r="T385">
        <v>0.21</v>
      </c>
      <c r="U385" s="25">
        <v>0.23</v>
      </c>
    </row>
    <row r="386" spans="1:21" hidden="1" x14ac:dyDescent="0.25">
      <c r="A386" t="s">
        <v>140</v>
      </c>
      <c r="B386">
        <v>20</v>
      </c>
      <c r="C386">
        <v>174.03</v>
      </c>
      <c r="D386">
        <v>1.98</v>
      </c>
      <c r="E386">
        <v>162.40899999999999</v>
      </c>
      <c r="F386" s="25">
        <v>8.2400000000000001E-2</v>
      </c>
      <c r="G386">
        <v>0.85799999999999998</v>
      </c>
      <c r="H386">
        <v>-27.34</v>
      </c>
      <c r="I386">
        <v>309.45999999999998</v>
      </c>
      <c r="J386">
        <v>-2.54</v>
      </c>
      <c r="K386">
        <v>294.64</v>
      </c>
      <c r="L386">
        <v>312.27999999999997</v>
      </c>
      <c r="M386" s="25">
        <v>0.52480000000000004</v>
      </c>
      <c r="N386" s="25">
        <v>0.93320000000000003</v>
      </c>
      <c r="O386">
        <v>0.88</v>
      </c>
      <c r="P386" s="25">
        <v>3.3999999999999998E-3</v>
      </c>
      <c r="Q386" s="25">
        <v>1.14E-2</v>
      </c>
      <c r="R386" s="26">
        <v>135686000</v>
      </c>
      <c r="S386" s="26">
        <v>24455500000</v>
      </c>
      <c r="T386">
        <v>0.12</v>
      </c>
      <c r="U386" s="25">
        <v>-0.54420000000000002</v>
      </c>
    </row>
    <row r="387" spans="1:21" hidden="1" x14ac:dyDescent="0.25">
      <c r="A387" t="s">
        <v>452</v>
      </c>
      <c r="B387">
        <v>77.709999999999994</v>
      </c>
      <c r="C387">
        <v>4.7699999999999996</v>
      </c>
      <c r="D387">
        <v>0.71</v>
      </c>
      <c r="E387">
        <v>0.76900000000000002</v>
      </c>
      <c r="F387" s="25">
        <v>9.0700000000000003E-2</v>
      </c>
      <c r="G387">
        <v>0.55900000000000005</v>
      </c>
      <c r="H387">
        <v>1.33</v>
      </c>
      <c r="I387">
        <v>5.33</v>
      </c>
      <c r="J387">
        <v>1.45</v>
      </c>
      <c r="K387">
        <v>3.73</v>
      </c>
      <c r="L387">
        <v>3.16</v>
      </c>
      <c r="M387" s="25">
        <v>0.1444</v>
      </c>
      <c r="N387" s="25">
        <v>0.16120000000000001</v>
      </c>
      <c r="O387">
        <v>3.45</v>
      </c>
      <c r="P387" s="25">
        <v>0.1416</v>
      </c>
      <c r="Q387" s="25">
        <v>0.1479</v>
      </c>
      <c r="R387" s="26">
        <v>2737.52</v>
      </c>
      <c r="S387" s="26">
        <v>324623000</v>
      </c>
      <c r="T387">
        <v>0.01</v>
      </c>
      <c r="U387" s="25">
        <v>6.6100000000000006E-2</v>
      </c>
    </row>
    <row r="388" spans="1:21" hidden="1" x14ac:dyDescent="0.25">
      <c r="A388" t="s">
        <v>769</v>
      </c>
      <c r="B388">
        <v>0.99</v>
      </c>
      <c r="C388">
        <v>-0.76</v>
      </c>
      <c r="D388">
        <v>0.37</v>
      </c>
      <c r="E388">
        <v>0.11600000000000001</v>
      </c>
      <c r="F388" s="25">
        <v>0</v>
      </c>
      <c r="G388">
        <v>6.3E-2</v>
      </c>
      <c r="H388">
        <v>1.79</v>
      </c>
      <c r="I388">
        <v>-2.19</v>
      </c>
      <c r="J388">
        <v>-0.11</v>
      </c>
      <c r="K388">
        <v>-12.97</v>
      </c>
      <c r="L388">
        <v>10.220000000000001</v>
      </c>
      <c r="M388" s="25">
        <v>-5.2900000000000003E-2</v>
      </c>
      <c r="N388" s="25">
        <v>-0.1782</v>
      </c>
      <c r="O388">
        <v>1.1200000000000001</v>
      </c>
      <c r="P388" s="25">
        <v>-3.2099999999999997E-2</v>
      </c>
      <c r="Q388" s="25">
        <v>-0.49370000000000003</v>
      </c>
      <c r="R388" s="26">
        <v>521977</v>
      </c>
      <c r="S388" s="26">
        <v>324818000</v>
      </c>
      <c r="T388">
        <v>1.94</v>
      </c>
      <c r="U388" s="25">
        <v>6.8500000000000005E-2</v>
      </c>
    </row>
    <row r="389" spans="1:21" hidden="1" x14ac:dyDescent="0.25">
      <c r="A389" t="s">
        <v>32</v>
      </c>
      <c r="B389">
        <v>42.87</v>
      </c>
      <c r="C389">
        <v>32.71</v>
      </c>
      <c r="D389">
        <v>5.35</v>
      </c>
      <c r="E389">
        <v>4.7249999999999996</v>
      </c>
      <c r="F389" s="25">
        <v>1.7600000000000001E-2</v>
      </c>
      <c r="G389">
        <v>2.9590000000000001</v>
      </c>
      <c r="H389">
        <v>14.57</v>
      </c>
      <c r="I389">
        <v>12.83</v>
      </c>
      <c r="J389">
        <v>-39.39</v>
      </c>
      <c r="K389">
        <v>12.67</v>
      </c>
      <c r="L389">
        <v>10.84</v>
      </c>
      <c r="M389" s="25">
        <v>0.36840000000000001</v>
      </c>
      <c r="N389" s="25">
        <v>0.14829999999999999</v>
      </c>
      <c r="O389">
        <v>2.52</v>
      </c>
      <c r="P389" s="25">
        <v>0.30780000000000002</v>
      </c>
      <c r="Q389" s="25">
        <v>0.16370000000000001</v>
      </c>
      <c r="R389" s="26">
        <v>137309000</v>
      </c>
      <c r="S389" s="26">
        <v>4799780000</v>
      </c>
      <c r="T389">
        <v>0.34</v>
      </c>
      <c r="U389" s="25">
        <v>0.18229999999999999</v>
      </c>
    </row>
    <row r="390" spans="1:21" hidden="1" x14ac:dyDescent="0.25">
      <c r="A390" t="s">
        <v>173</v>
      </c>
      <c r="B390">
        <v>4.03</v>
      </c>
      <c r="C390">
        <v>8.7799999999999994</v>
      </c>
      <c r="D390">
        <v>0.19</v>
      </c>
      <c r="E390">
        <v>0.13700000000000001</v>
      </c>
      <c r="F390" s="25">
        <v>5.7200000000000001E-2</v>
      </c>
      <c r="G390">
        <v>6.5000000000000002E-2</v>
      </c>
      <c r="H390">
        <v>-0.15</v>
      </c>
      <c r="I390">
        <v>0.74</v>
      </c>
      <c r="J390">
        <v>-0.11</v>
      </c>
      <c r="K390">
        <v>6.25</v>
      </c>
      <c r="L390">
        <v>3.8</v>
      </c>
      <c r="M390" s="25">
        <v>0.185</v>
      </c>
      <c r="N390" s="25">
        <v>2.9999999999999997E-4</v>
      </c>
      <c r="O390">
        <v>0.13</v>
      </c>
      <c r="P390" s="25">
        <v>9.3100000000000002E-2</v>
      </c>
      <c r="Q390" s="25">
        <v>2.2100000000000002E-2</v>
      </c>
      <c r="R390" s="26">
        <v>40894.5</v>
      </c>
      <c r="S390" s="26">
        <v>912716000</v>
      </c>
      <c r="T390">
        <v>1.5</v>
      </c>
      <c r="U390" s="25">
        <v>7.6100000000000001E-2</v>
      </c>
    </row>
    <row r="391" spans="1:21" hidden="1" x14ac:dyDescent="0.25">
      <c r="A391" t="s">
        <v>189</v>
      </c>
      <c r="B391">
        <v>7.45</v>
      </c>
      <c r="C391">
        <v>-3.47</v>
      </c>
      <c r="D391">
        <v>1.59</v>
      </c>
      <c r="E391">
        <v>7.1740000000000004</v>
      </c>
      <c r="F391" s="25">
        <v>0</v>
      </c>
      <c r="G391">
        <v>1.458</v>
      </c>
      <c r="H391">
        <v>6.76</v>
      </c>
      <c r="I391">
        <v>-5.99</v>
      </c>
      <c r="J391">
        <v>7.4</v>
      </c>
      <c r="K391">
        <v>-5.47</v>
      </c>
      <c r="L391">
        <v>-7.27</v>
      </c>
      <c r="M391" s="25">
        <v>-1.1986000000000001</v>
      </c>
      <c r="N391" s="25">
        <v>-2.0678999999999998</v>
      </c>
      <c r="O391">
        <v>4.05</v>
      </c>
      <c r="P391" s="25">
        <v>-0.28270000000000001</v>
      </c>
      <c r="Q391" s="25">
        <v>-0.45900000000000002</v>
      </c>
      <c r="R391" s="26">
        <v>269373</v>
      </c>
      <c r="S391" s="26">
        <v>186999000</v>
      </c>
      <c r="T391">
        <v>0.01</v>
      </c>
      <c r="U391" s="25">
        <v>-0.26050000000000001</v>
      </c>
    </row>
    <row r="392" spans="1:21" hidden="1" x14ac:dyDescent="0.25">
      <c r="A392" t="s">
        <v>117</v>
      </c>
      <c r="B392">
        <v>6.29</v>
      </c>
      <c r="C392">
        <v>6.44</v>
      </c>
      <c r="D392">
        <v>0.78</v>
      </c>
      <c r="E392">
        <v>0.89200000000000002</v>
      </c>
      <c r="F392" s="25">
        <v>4.7800000000000002E-2</v>
      </c>
      <c r="G392">
        <v>0.376</v>
      </c>
      <c r="H392">
        <v>0.62</v>
      </c>
      <c r="I392">
        <v>6.19</v>
      </c>
      <c r="J392">
        <v>1.1399999999999999</v>
      </c>
      <c r="K392">
        <v>8.07</v>
      </c>
      <c r="L392">
        <v>6.96</v>
      </c>
      <c r="M392" s="25">
        <v>0.14410000000000001</v>
      </c>
      <c r="N392" s="25">
        <v>0.1419</v>
      </c>
      <c r="O392">
        <v>3.57</v>
      </c>
      <c r="P392" s="25">
        <v>7.4899999999999994E-2</v>
      </c>
      <c r="Q392" s="25">
        <v>0.1216</v>
      </c>
      <c r="R392" s="26">
        <v>3606510</v>
      </c>
      <c r="S392" s="26">
        <v>1500220000</v>
      </c>
      <c r="T392">
        <v>0.59</v>
      </c>
      <c r="U392" s="25">
        <v>0.12130000000000001</v>
      </c>
    </row>
    <row r="393" spans="1:21" hidden="1" x14ac:dyDescent="0.25">
      <c r="A393" t="s">
        <v>453</v>
      </c>
      <c r="B393">
        <v>13.63</v>
      </c>
      <c r="C393">
        <v>8.58</v>
      </c>
      <c r="D393">
        <v>1.64</v>
      </c>
      <c r="E393">
        <v>0.499</v>
      </c>
      <c r="F393" s="25">
        <v>1.4E-2</v>
      </c>
      <c r="G393">
        <v>0.69199999999999995</v>
      </c>
      <c r="H393">
        <v>3.43</v>
      </c>
      <c r="I393">
        <v>5.68</v>
      </c>
      <c r="J393">
        <v>9</v>
      </c>
      <c r="K393">
        <v>6.14</v>
      </c>
      <c r="L393">
        <v>5.67</v>
      </c>
      <c r="M393" s="25">
        <v>8.7800000000000003E-2</v>
      </c>
      <c r="N393" s="25">
        <v>5.8099999999999999E-2</v>
      </c>
      <c r="O393">
        <v>1.45</v>
      </c>
      <c r="P393" s="25">
        <v>0.23599999999999999</v>
      </c>
      <c r="Q393" s="25">
        <v>0.19109999999999999</v>
      </c>
      <c r="R393" s="26">
        <v>24898400</v>
      </c>
      <c r="S393" s="26">
        <v>4153040000</v>
      </c>
      <c r="T393">
        <v>0.53</v>
      </c>
      <c r="U393" s="25">
        <v>0.32719999999999999</v>
      </c>
    </row>
    <row r="394" spans="1:21" hidden="1" x14ac:dyDescent="0.25">
      <c r="A394" t="s">
        <v>160</v>
      </c>
      <c r="B394">
        <v>17.18</v>
      </c>
      <c r="C394">
        <v>-53.2</v>
      </c>
      <c r="D394">
        <v>0.69</v>
      </c>
      <c r="E394">
        <v>0.216</v>
      </c>
      <c r="F394" s="25">
        <v>8.8200000000000001E-2</v>
      </c>
      <c r="G394">
        <v>0.21299999999999999</v>
      </c>
      <c r="H394">
        <v>0.57999999999999996</v>
      </c>
      <c r="I394">
        <v>2.69</v>
      </c>
      <c r="J394">
        <v>-4.1500000000000004</v>
      </c>
      <c r="K394">
        <v>5.69</v>
      </c>
      <c r="L394" s="26">
        <v>3.89</v>
      </c>
      <c r="M394" s="25">
        <v>8.0299999999999996E-2</v>
      </c>
      <c r="N394" s="25">
        <v>-4.1999999999999997E-3</v>
      </c>
      <c r="O394">
        <v>2.33</v>
      </c>
      <c r="P394" s="25">
        <v>0.1144</v>
      </c>
      <c r="Q394" s="25">
        <v>-1.29E-2</v>
      </c>
      <c r="R394" s="26">
        <v>7967230</v>
      </c>
      <c r="S394" s="26">
        <v>3314060000</v>
      </c>
      <c r="T394">
        <v>1.28</v>
      </c>
      <c r="U394" s="25">
        <v>0.21640000000000001</v>
      </c>
    </row>
    <row r="395" spans="1:21" hidden="1" x14ac:dyDescent="0.25">
      <c r="A395" t="s">
        <v>454</v>
      </c>
      <c r="B395">
        <v>9.98</v>
      </c>
      <c r="C395">
        <v>-0.97</v>
      </c>
      <c r="D395">
        <v>-0.12</v>
      </c>
      <c r="E395">
        <v>0.36099999999999999</v>
      </c>
      <c r="F395" s="25">
        <v>0</v>
      </c>
      <c r="G395">
        <v>0.252</v>
      </c>
      <c r="H395">
        <v>-0.25</v>
      </c>
      <c r="I395">
        <v>-8.68</v>
      </c>
      <c r="J395">
        <v>-0.09</v>
      </c>
      <c r="K395">
        <v>-74.67</v>
      </c>
      <c r="L395" s="26">
        <v>-1349.04</v>
      </c>
      <c r="M395" s="25">
        <v>-4.1599999999999998E-2</v>
      </c>
      <c r="N395" s="25">
        <v>-0.37230000000000002</v>
      </c>
      <c r="O395">
        <v>0.27</v>
      </c>
      <c r="P395" s="25">
        <v>-3.0599999999999999E-2</v>
      </c>
      <c r="Q395" s="25">
        <v>0.1215</v>
      </c>
      <c r="R395" s="26">
        <v>44</v>
      </c>
      <c r="S395" s="26">
        <v>-360582000</v>
      </c>
      <c r="T395">
        <v>-0.9</v>
      </c>
      <c r="U395" s="25">
        <v>-5.1999999999999998E-3</v>
      </c>
    </row>
    <row r="396" spans="1:21" hidden="1" x14ac:dyDescent="0.25">
      <c r="A396" t="s">
        <v>455</v>
      </c>
      <c r="B396">
        <v>1.68</v>
      </c>
      <c r="C396">
        <v>-0.16</v>
      </c>
      <c r="D396">
        <v>-0.02</v>
      </c>
      <c r="E396">
        <v>6.0999999999999999E-2</v>
      </c>
      <c r="F396" s="25">
        <v>0</v>
      </c>
      <c r="G396">
        <v>4.2000000000000003E-2</v>
      </c>
      <c r="H396">
        <v>-0.04</v>
      </c>
      <c r="I396">
        <v>-1.46</v>
      </c>
      <c r="J396">
        <v>-0.02</v>
      </c>
      <c r="K396">
        <v>-67.45</v>
      </c>
      <c r="L396" s="26">
        <v>-1218.5999999999999</v>
      </c>
      <c r="M396" s="25">
        <v>-4.1599999999999998E-2</v>
      </c>
      <c r="N396" s="25">
        <v>-0.37230000000000002</v>
      </c>
      <c r="O396">
        <v>0.27</v>
      </c>
      <c r="P396" s="25">
        <v>-3.0599999999999999E-2</v>
      </c>
      <c r="Q396" s="25">
        <v>0.1215</v>
      </c>
      <c r="R396" s="26">
        <v>340.21</v>
      </c>
      <c r="S396" s="26">
        <v>-360582000</v>
      </c>
      <c r="T396">
        <v>-0.9</v>
      </c>
      <c r="U396" s="25">
        <v>-5.1999999999999998E-3</v>
      </c>
    </row>
    <row r="397" spans="1:21" hidden="1" x14ac:dyDescent="0.25">
      <c r="A397" t="s">
        <v>124</v>
      </c>
      <c r="B397">
        <v>1.4</v>
      </c>
      <c r="C397" s="26">
        <v>21.91</v>
      </c>
      <c r="D397">
        <v>0.5</v>
      </c>
      <c r="E397">
        <v>0.41599999999999998</v>
      </c>
      <c r="F397" s="25">
        <v>0.12970000000000001</v>
      </c>
      <c r="G397">
        <v>0.23799999999999999</v>
      </c>
      <c r="H397">
        <v>3.2</v>
      </c>
      <c r="I397">
        <v>-14.01</v>
      </c>
      <c r="J397">
        <v>-1.19</v>
      </c>
      <c r="K397">
        <v>-22.78</v>
      </c>
      <c r="L397" s="26">
        <v>16.64</v>
      </c>
      <c r="M397" s="25">
        <v>-2.9700000000000001E-2</v>
      </c>
      <c r="N397" s="25">
        <v>1.9E-2</v>
      </c>
      <c r="O397">
        <v>1.3</v>
      </c>
      <c r="P397" s="25">
        <v>-2.06E-2</v>
      </c>
      <c r="Q397" s="25">
        <v>2.2599999999999999E-2</v>
      </c>
      <c r="R397" s="26">
        <v>44554</v>
      </c>
      <c r="S397" s="26">
        <v>186424000</v>
      </c>
      <c r="T397">
        <v>0.59</v>
      </c>
      <c r="U397" s="25">
        <v>5.11E-2</v>
      </c>
    </row>
    <row r="398" spans="1:21" hidden="1" x14ac:dyDescent="0.25">
      <c r="A398" t="s">
        <v>115</v>
      </c>
      <c r="B398">
        <v>16.260000000000002</v>
      </c>
      <c r="C398">
        <v>8.01</v>
      </c>
      <c r="D398">
        <v>1.19</v>
      </c>
      <c r="E398">
        <v>0.13300000000000001</v>
      </c>
      <c r="F398" s="25">
        <v>4.2999999999999997E-2</v>
      </c>
      <c r="G398">
        <v>0.48</v>
      </c>
      <c r="H398">
        <v>2.89</v>
      </c>
      <c r="I398">
        <v>3.43</v>
      </c>
      <c r="J398">
        <v>-2.4900000000000002</v>
      </c>
      <c r="K398">
        <v>5.76</v>
      </c>
      <c r="L398">
        <v>4.67</v>
      </c>
      <c r="M398" s="25">
        <v>3.8699999999999998E-2</v>
      </c>
      <c r="N398" s="25">
        <v>1.78E-2</v>
      </c>
      <c r="O398">
        <v>1.76</v>
      </c>
      <c r="P398" s="25">
        <v>0.16789999999999999</v>
      </c>
      <c r="Q398" s="25">
        <v>0.14899999999999999</v>
      </c>
      <c r="R398" s="26">
        <v>86493800</v>
      </c>
      <c r="S398" s="26">
        <v>15195500000</v>
      </c>
      <c r="T398">
        <v>0.99</v>
      </c>
      <c r="U398" s="25">
        <v>0.11020000000000001</v>
      </c>
    </row>
    <row r="399" spans="1:21" hidden="1" x14ac:dyDescent="0.25">
      <c r="A399" t="s">
        <v>456</v>
      </c>
      <c r="B399">
        <v>49.36</v>
      </c>
      <c r="C399">
        <v>8.58</v>
      </c>
      <c r="D399">
        <v>2.11</v>
      </c>
      <c r="E399">
        <v>0.99099999999999999</v>
      </c>
      <c r="F399" s="25">
        <v>9.3299999999999994E-2</v>
      </c>
      <c r="G399">
        <v>0.76700000000000002</v>
      </c>
      <c r="H399">
        <v>3.53</v>
      </c>
      <c r="I399">
        <v>7.28</v>
      </c>
      <c r="J399">
        <v>-3.2</v>
      </c>
      <c r="K399">
        <v>8.5500000000000007</v>
      </c>
      <c r="L399">
        <v>5.97</v>
      </c>
      <c r="M399" s="25">
        <v>0.1361</v>
      </c>
      <c r="N399" s="25">
        <v>0.11559999999999999</v>
      </c>
      <c r="O399">
        <v>2.2400000000000002</v>
      </c>
      <c r="P399" s="25">
        <v>0.14269999999999999</v>
      </c>
      <c r="Q399" s="25">
        <v>0.2457</v>
      </c>
      <c r="R399" s="26">
        <v>189018</v>
      </c>
      <c r="S399" s="26">
        <v>2649660000</v>
      </c>
      <c r="T399">
        <v>0.93</v>
      </c>
      <c r="U399" s="25">
        <v>8.0000000000000002E-3</v>
      </c>
    </row>
    <row r="400" spans="1:21" hidden="1" x14ac:dyDescent="0.25">
      <c r="A400" t="s">
        <v>457</v>
      </c>
      <c r="B400">
        <v>56</v>
      </c>
      <c r="C400">
        <v>9.74</v>
      </c>
      <c r="D400">
        <v>2.39</v>
      </c>
      <c r="E400">
        <v>1.125</v>
      </c>
      <c r="F400" s="25">
        <v>9.0399999999999994E-2</v>
      </c>
      <c r="G400">
        <v>0.87</v>
      </c>
      <c r="H400">
        <v>4</v>
      </c>
      <c r="I400">
        <v>8.26</v>
      </c>
      <c r="J400">
        <v>-3.63</v>
      </c>
      <c r="K400">
        <v>9.5299999999999994</v>
      </c>
      <c r="L400">
        <v>6.65</v>
      </c>
      <c r="M400" s="25">
        <v>0.1361</v>
      </c>
      <c r="N400" s="25">
        <v>0.11559999999999999</v>
      </c>
      <c r="O400">
        <v>2.2400000000000002</v>
      </c>
      <c r="P400" s="25">
        <v>0.14269999999999999</v>
      </c>
      <c r="Q400" s="25">
        <v>0.2457</v>
      </c>
      <c r="R400" s="26">
        <v>11387</v>
      </c>
      <c r="S400" s="26">
        <v>2649660000</v>
      </c>
      <c r="T400">
        <v>0.93</v>
      </c>
      <c r="U400" s="25">
        <v>8.0000000000000002E-3</v>
      </c>
    </row>
    <row r="401" spans="1:21" hidden="1" x14ac:dyDescent="0.25">
      <c r="A401" t="s">
        <v>151</v>
      </c>
      <c r="B401">
        <v>55.39</v>
      </c>
      <c r="C401">
        <v>9.6300000000000008</v>
      </c>
      <c r="D401">
        <v>2.37</v>
      </c>
      <c r="E401">
        <v>1.1120000000000001</v>
      </c>
      <c r="F401" s="25">
        <v>9.1399999999999995E-2</v>
      </c>
      <c r="G401">
        <v>0.86099999999999999</v>
      </c>
      <c r="H401">
        <v>3.96</v>
      </c>
      <c r="I401">
        <v>8.17</v>
      </c>
      <c r="J401">
        <v>-3.59</v>
      </c>
      <c r="K401">
        <v>9.44</v>
      </c>
      <c r="L401">
        <v>6.59</v>
      </c>
      <c r="M401" s="25">
        <v>0.1361</v>
      </c>
      <c r="N401" s="25">
        <v>0.11559999999999999</v>
      </c>
      <c r="O401">
        <v>2.2400000000000002</v>
      </c>
      <c r="P401" s="25">
        <v>0.14269999999999999</v>
      </c>
      <c r="Q401" s="25">
        <v>0.2457</v>
      </c>
      <c r="R401" s="26">
        <v>7190220</v>
      </c>
      <c r="S401" s="26">
        <v>2649660000</v>
      </c>
      <c r="T401">
        <v>0.93</v>
      </c>
      <c r="U401" s="25">
        <v>8.0000000000000002E-3</v>
      </c>
    </row>
    <row r="402" spans="1:21" hidden="1" x14ac:dyDescent="0.25">
      <c r="A402" t="s">
        <v>113</v>
      </c>
      <c r="B402">
        <v>4.5199999999999996</v>
      </c>
      <c r="C402">
        <v>40.31</v>
      </c>
      <c r="D402">
        <v>0.23</v>
      </c>
      <c r="E402">
        <v>0.214</v>
      </c>
      <c r="F402" s="25">
        <v>0</v>
      </c>
      <c r="G402">
        <v>0.13900000000000001</v>
      </c>
      <c r="H402">
        <v>0.4</v>
      </c>
      <c r="I402">
        <v>6.04</v>
      </c>
      <c r="J402">
        <v>1.23</v>
      </c>
      <c r="K402">
        <v>7.37</v>
      </c>
      <c r="L402">
        <v>3.18</v>
      </c>
      <c r="M402" s="25">
        <v>3.5400000000000001E-2</v>
      </c>
      <c r="N402" s="25">
        <v>1.15E-2</v>
      </c>
      <c r="O402">
        <v>4.26</v>
      </c>
      <c r="P402" s="25">
        <v>2.98E-2</v>
      </c>
      <c r="Q402" s="25">
        <v>5.7999999999999996E-3</v>
      </c>
      <c r="R402" s="26">
        <v>2136120</v>
      </c>
      <c r="S402" s="26">
        <v>24175800000</v>
      </c>
      <c r="T402">
        <v>0.32</v>
      </c>
      <c r="U402" s="25">
        <v>3.7600000000000001E-2</v>
      </c>
    </row>
    <row r="403" spans="1:21" hidden="1" x14ac:dyDescent="0.25">
      <c r="A403" t="s">
        <v>125</v>
      </c>
      <c r="B403">
        <v>4.3600000000000003</v>
      </c>
      <c r="C403">
        <v>38.880000000000003</v>
      </c>
      <c r="D403">
        <v>0.23</v>
      </c>
      <c r="E403">
        <v>0.20599999999999999</v>
      </c>
      <c r="F403" s="25">
        <v>0</v>
      </c>
      <c r="G403">
        <v>0.13400000000000001</v>
      </c>
      <c r="H403">
        <v>0.39</v>
      </c>
      <c r="I403">
        <v>5.82</v>
      </c>
      <c r="J403">
        <v>1.19</v>
      </c>
      <c r="K403">
        <v>7.16</v>
      </c>
      <c r="L403">
        <v>3.09</v>
      </c>
      <c r="M403" s="25">
        <v>3.5400000000000001E-2</v>
      </c>
      <c r="N403" s="25">
        <v>1.15E-2</v>
      </c>
      <c r="O403">
        <v>4.26</v>
      </c>
      <c r="P403" s="25">
        <v>2.98E-2</v>
      </c>
      <c r="Q403" s="25">
        <v>5.7999999999999996E-3</v>
      </c>
      <c r="R403" s="26">
        <v>67185700</v>
      </c>
      <c r="S403" s="26">
        <v>24175800000</v>
      </c>
      <c r="T403">
        <v>0.32</v>
      </c>
      <c r="U403" s="25">
        <v>3.7600000000000001E-2</v>
      </c>
    </row>
    <row r="404" spans="1:21" hidden="1" x14ac:dyDescent="0.25">
      <c r="A404" t="s">
        <v>458</v>
      </c>
      <c r="B404">
        <v>8</v>
      </c>
      <c r="C404">
        <v>71.34</v>
      </c>
      <c r="D404">
        <v>0.41</v>
      </c>
      <c r="E404">
        <v>0.378</v>
      </c>
      <c r="F404" s="25">
        <v>0</v>
      </c>
      <c r="G404">
        <v>0.246</v>
      </c>
      <c r="H404">
        <v>0.71</v>
      </c>
      <c r="I404">
        <v>10.68</v>
      </c>
      <c r="J404">
        <v>2.17</v>
      </c>
      <c r="K404">
        <v>12.02</v>
      </c>
      <c r="L404">
        <v>5.19</v>
      </c>
      <c r="M404" s="25">
        <v>3.5400000000000001E-2</v>
      </c>
      <c r="N404" s="25">
        <v>1.15E-2</v>
      </c>
      <c r="O404">
        <v>4.26</v>
      </c>
      <c r="P404" s="25">
        <v>2.98E-2</v>
      </c>
      <c r="Q404" s="25">
        <v>5.7999999999999996E-3</v>
      </c>
      <c r="R404" s="26">
        <v>95.24</v>
      </c>
      <c r="S404" s="26">
        <v>24175800000</v>
      </c>
      <c r="T404">
        <v>0.32</v>
      </c>
      <c r="U404" s="25">
        <v>3.7600000000000001E-2</v>
      </c>
    </row>
    <row r="405" spans="1:21" hidden="1" x14ac:dyDescent="0.25">
      <c r="A405" t="s">
        <v>97</v>
      </c>
      <c r="B405">
        <v>57.42</v>
      </c>
      <c r="C405">
        <v>8.2799999999999994</v>
      </c>
      <c r="D405">
        <v>1.29</v>
      </c>
      <c r="E405">
        <v>1.232</v>
      </c>
      <c r="F405" s="25">
        <v>8.2799999999999999E-2</v>
      </c>
      <c r="G405">
        <v>0.54400000000000004</v>
      </c>
      <c r="H405">
        <v>31.23</v>
      </c>
      <c r="I405">
        <v>3.65</v>
      </c>
      <c r="J405">
        <v>-1.4</v>
      </c>
      <c r="K405">
        <v>4.63</v>
      </c>
      <c r="L405">
        <v>3.73</v>
      </c>
      <c r="M405" s="25">
        <v>0.33779999999999999</v>
      </c>
      <c r="N405" s="25">
        <v>0.1431</v>
      </c>
      <c r="O405">
        <v>1.1100000000000001</v>
      </c>
      <c r="P405" s="25">
        <v>0.1658</v>
      </c>
      <c r="Q405" s="25">
        <v>0.15570000000000001</v>
      </c>
      <c r="R405" s="26">
        <v>1215320000</v>
      </c>
      <c r="S405" s="26">
        <v>202082000000</v>
      </c>
      <c r="T405">
        <v>0.46</v>
      </c>
      <c r="U405" s="25">
        <v>-5.9799999999999999E-2</v>
      </c>
    </row>
    <row r="406" spans="1:21" hidden="1" x14ac:dyDescent="0.25">
      <c r="A406" t="s">
        <v>213</v>
      </c>
      <c r="B406">
        <v>3.89</v>
      </c>
      <c r="C406">
        <v>13.75</v>
      </c>
      <c r="D406">
        <v>1.69</v>
      </c>
      <c r="E406">
        <v>0.97699999999999998</v>
      </c>
      <c r="F406" s="25">
        <v>7.0400000000000004E-2</v>
      </c>
      <c r="G406">
        <v>0.188</v>
      </c>
      <c r="H406">
        <v>1.54</v>
      </c>
      <c r="I406">
        <v>1.53</v>
      </c>
      <c r="J406">
        <v>-0.3</v>
      </c>
      <c r="K406">
        <v>5.86</v>
      </c>
      <c r="L406">
        <v>4.51</v>
      </c>
      <c r="M406" s="25">
        <v>0.63870000000000005</v>
      </c>
      <c r="N406" s="25">
        <v>7.0999999999999994E-2</v>
      </c>
      <c r="O406">
        <v>1.86</v>
      </c>
      <c r="P406" s="25">
        <v>0.16239999999999999</v>
      </c>
      <c r="Q406" s="25">
        <v>0.1229</v>
      </c>
      <c r="R406" s="26">
        <v>64789800</v>
      </c>
      <c r="S406" s="26">
        <v>2488240000</v>
      </c>
      <c r="T406">
        <v>6.58</v>
      </c>
      <c r="U406" s="25">
        <v>0.27750000000000002</v>
      </c>
    </row>
    <row r="407" spans="1:21" hidden="1" x14ac:dyDescent="0.25">
      <c r="A407" t="s">
        <v>116</v>
      </c>
      <c r="B407">
        <v>20.21</v>
      </c>
      <c r="C407">
        <v>3.65</v>
      </c>
      <c r="D407">
        <v>1.1000000000000001</v>
      </c>
      <c r="E407">
        <v>0.127</v>
      </c>
      <c r="F407" s="25">
        <v>6.5100000000000005E-2</v>
      </c>
      <c r="G407">
        <v>0.36299999999999999</v>
      </c>
      <c r="H407">
        <v>1.8</v>
      </c>
      <c r="I407">
        <v>4.97</v>
      </c>
      <c r="J407">
        <v>-1.48</v>
      </c>
      <c r="K407">
        <v>9.56</v>
      </c>
      <c r="L407">
        <v>8.36</v>
      </c>
      <c r="M407" s="25">
        <v>2.5600000000000001E-2</v>
      </c>
      <c r="N407" s="25">
        <v>3.4799999999999998E-2</v>
      </c>
      <c r="O407">
        <v>1.94</v>
      </c>
      <c r="P407" s="25">
        <v>8.4500000000000006E-2</v>
      </c>
      <c r="Q407" s="25">
        <v>0.30130000000000001</v>
      </c>
      <c r="R407" s="26">
        <v>214664000</v>
      </c>
      <c r="S407" s="26">
        <v>20557000000</v>
      </c>
      <c r="T407">
        <v>1.28</v>
      </c>
      <c r="U407" s="25">
        <v>0.1709</v>
      </c>
    </row>
    <row r="408" spans="1:21" hidden="1" x14ac:dyDescent="0.25">
      <c r="A408" t="s">
        <v>220</v>
      </c>
      <c r="B408">
        <v>4.83</v>
      </c>
      <c r="C408">
        <v>9.9700000000000006</v>
      </c>
      <c r="D408">
        <v>1.1499999999999999</v>
      </c>
      <c r="E408">
        <v>0.90400000000000003</v>
      </c>
      <c r="F408" s="25">
        <v>6.4100000000000004E-2</v>
      </c>
      <c r="G408">
        <v>0.73599999999999999</v>
      </c>
      <c r="H408">
        <v>1.87</v>
      </c>
      <c r="I408">
        <v>8.61</v>
      </c>
      <c r="J408">
        <v>2.74</v>
      </c>
      <c r="K408">
        <v>11.58</v>
      </c>
      <c r="L408">
        <v>9.15</v>
      </c>
      <c r="M408" s="25">
        <v>0.105</v>
      </c>
      <c r="N408" s="25">
        <v>9.0399999999999994E-2</v>
      </c>
      <c r="O408">
        <v>2.67</v>
      </c>
      <c r="P408" s="25">
        <v>8.9099999999999999E-2</v>
      </c>
      <c r="Q408" s="25">
        <v>0.1159</v>
      </c>
      <c r="R408" s="26">
        <v>1098590</v>
      </c>
      <c r="S408" s="26">
        <v>628625000</v>
      </c>
      <c r="T408">
        <v>0.43</v>
      </c>
      <c r="U408" s="25">
        <v>5.5399999999999998E-2</v>
      </c>
    </row>
    <row r="409" spans="1:21" hidden="1" x14ac:dyDescent="0.25">
      <c r="A409" t="s">
        <v>142</v>
      </c>
      <c r="B409">
        <v>25.39</v>
      </c>
      <c r="C409">
        <v>8.19</v>
      </c>
      <c r="D409">
        <v>2.2999999999999998</v>
      </c>
      <c r="E409">
        <v>2.246</v>
      </c>
      <c r="F409" s="25">
        <v>2.5999999999999999E-2</v>
      </c>
      <c r="G409">
        <v>1.4179999999999999</v>
      </c>
      <c r="H409">
        <v>3.16</v>
      </c>
      <c r="I409">
        <v>9.19</v>
      </c>
      <c r="J409">
        <v>5.83</v>
      </c>
      <c r="K409">
        <v>9.6300000000000008</v>
      </c>
      <c r="L409">
        <v>7.79</v>
      </c>
      <c r="M409" s="25">
        <v>0.2445</v>
      </c>
      <c r="N409" s="25">
        <v>0.27439999999999998</v>
      </c>
      <c r="O409">
        <v>3.54</v>
      </c>
      <c r="P409" s="25">
        <v>0.16789999999999999</v>
      </c>
      <c r="Q409" s="25">
        <v>0.28050000000000003</v>
      </c>
      <c r="R409" s="26">
        <v>77080300</v>
      </c>
      <c r="S409" s="26">
        <v>2611940000</v>
      </c>
      <c r="T409">
        <v>0.18</v>
      </c>
      <c r="U409" s="25">
        <v>0.24540000000000001</v>
      </c>
    </row>
    <row r="410" spans="1:21" hidden="1" x14ac:dyDescent="0.25">
      <c r="A410" t="s">
        <v>254</v>
      </c>
      <c r="B410">
        <v>0.83</v>
      </c>
      <c r="C410">
        <v>-0.72</v>
      </c>
      <c r="D410">
        <v>0.22</v>
      </c>
      <c r="E410">
        <v>0.28199999999999997</v>
      </c>
      <c r="F410" s="25">
        <v>0</v>
      </c>
      <c r="G410">
        <v>0.114</v>
      </c>
      <c r="H410">
        <v>0.65</v>
      </c>
      <c r="I410">
        <v>12.78</v>
      </c>
      <c r="J410">
        <v>-2.46</v>
      </c>
      <c r="K410">
        <v>13.2</v>
      </c>
      <c r="L410">
        <v>11.31</v>
      </c>
      <c r="M410" s="25">
        <v>2.2100000000000002E-2</v>
      </c>
      <c r="N410" s="25">
        <v>-0.38350000000000001</v>
      </c>
      <c r="O410">
        <v>1.71</v>
      </c>
      <c r="P410" s="25">
        <v>9.7000000000000003E-3</v>
      </c>
      <c r="Q410" s="25">
        <v>-0.312</v>
      </c>
      <c r="R410" s="26">
        <v>24928</v>
      </c>
      <c r="S410" s="26">
        <v>142168000</v>
      </c>
      <c r="T410">
        <v>0.15</v>
      </c>
      <c r="U410" s="25">
        <v>0.2097</v>
      </c>
    </row>
    <row r="411" spans="1:21" hidden="1" x14ac:dyDescent="0.25">
      <c r="A411" t="s">
        <v>152</v>
      </c>
      <c r="B411">
        <v>30.7</v>
      </c>
      <c r="C411">
        <v>17.53</v>
      </c>
      <c r="D411">
        <v>1.47</v>
      </c>
      <c r="E411">
        <v>1.766</v>
      </c>
      <c r="F411" s="25">
        <v>5.2499999999999998E-2</v>
      </c>
      <c r="G411">
        <v>0.79100000000000004</v>
      </c>
      <c r="H411">
        <v>-104.25</v>
      </c>
      <c r="I411">
        <v>11.92</v>
      </c>
      <c r="J411">
        <v>-3.07</v>
      </c>
      <c r="K411">
        <v>13.39</v>
      </c>
      <c r="L411">
        <v>4.9000000000000004</v>
      </c>
      <c r="M411" s="25">
        <v>0.14810000000000001</v>
      </c>
      <c r="N411" s="25">
        <v>0.1009</v>
      </c>
      <c r="O411">
        <v>0.96</v>
      </c>
      <c r="P411" s="25">
        <v>7.7100000000000002E-2</v>
      </c>
      <c r="Q411" s="25">
        <v>8.3900000000000002E-2</v>
      </c>
      <c r="R411" s="26">
        <v>205485000</v>
      </c>
      <c r="S411" s="26">
        <v>68076000000</v>
      </c>
      <c r="T411">
        <v>0.3</v>
      </c>
      <c r="U411" s="25">
        <v>7.4499999999999997E-2</v>
      </c>
    </row>
    <row r="412" spans="1:21" hidden="1" x14ac:dyDescent="0.25">
      <c r="A412" t="s">
        <v>59</v>
      </c>
      <c r="B412">
        <v>22.33</v>
      </c>
      <c r="C412">
        <v>5.96</v>
      </c>
      <c r="D412">
        <v>1.04</v>
      </c>
      <c r="E412">
        <v>0.83499999999999996</v>
      </c>
      <c r="F412" s="25">
        <v>0.1211</v>
      </c>
      <c r="G412">
        <v>0.62</v>
      </c>
      <c r="H412">
        <v>1.86</v>
      </c>
      <c r="I412">
        <v>4.8099999999999996</v>
      </c>
      <c r="J412">
        <v>5.6</v>
      </c>
      <c r="K412">
        <v>4.6900000000000004</v>
      </c>
      <c r="L412">
        <v>3.68</v>
      </c>
      <c r="M412" s="25">
        <v>0.17369999999999999</v>
      </c>
      <c r="N412" s="25">
        <v>0.1401</v>
      </c>
      <c r="O412">
        <v>2.83</v>
      </c>
      <c r="P412" s="25">
        <v>0.1787</v>
      </c>
      <c r="Q412" s="25">
        <v>0.17510000000000001</v>
      </c>
      <c r="R412" s="26">
        <v>7060810</v>
      </c>
      <c r="S412" s="26">
        <v>1750530000</v>
      </c>
      <c r="T412">
        <v>0.34</v>
      </c>
      <c r="U412" s="25">
        <v>1.8200000000000001E-2</v>
      </c>
    </row>
    <row r="413" spans="1:21" hidden="1" x14ac:dyDescent="0.25">
      <c r="A413" t="s">
        <v>261</v>
      </c>
      <c r="B413">
        <v>5.99</v>
      </c>
      <c r="C413">
        <v>-73.06</v>
      </c>
      <c r="D413">
        <v>0.67</v>
      </c>
      <c r="E413">
        <v>0.60599999999999998</v>
      </c>
      <c r="F413" s="25">
        <v>2.0000000000000001E-4</v>
      </c>
      <c r="G413">
        <v>0.41599999999999998</v>
      </c>
      <c r="H413">
        <v>4.8600000000000003</v>
      </c>
      <c r="I413">
        <v>16.350000000000001</v>
      </c>
      <c r="J413">
        <v>-5.07</v>
      </c>
      <c r="K413">
        <v>23.47</v>
      </c>
      <c r="L413">
        <v>4.59</v>
      </c>
      <c r="M413" s="25">
        <v>3.7100000000000001E-2</v>
      </c>
      <c r="N413" s="25">
        <v>-8.3000000000000001E-3</v>
      </c>
      <c r="O413">
        <v>1.41</v>
      </c>
      <c r="P413" s="25">
        <v>2.8400000000000002E-2</v>
      </c>
      <c r="Q413" s="25">
        <v>-9.1000000000000004E-3</v>
      </c>
      <c r="R413" s="26">
        <v>180566</v>
      </c>
      <c r="S413" s="26">
        <v>1029440000</v>
      </c>
      <c r="T413">
        <v>0.33</v>
      </c>
      <c r="U413" s="25">
        <v>0.16880000000000001</v>
      </c>
    </row>
    <row r="414" spans="1:21" hidden="1" x14ac:dyDescent="0.25">
      <c r="A414" t="s">
        <v>459</v>
      </c>
      <c r="B414">
        <v>8.77</v>
      </c>
      <c r="C414">
        <v>3.56</v>
      </c>
      <c r="D414">
        <v>0.45</v>
      </c>
      <c r="E414">
        <v>0.53900000000000003</v>
      </c>
      <c r="F414" s="25">
        <v>2.5000000000000001E-3</v>
      </c>
      <c r="G414">
        <v>0.19800000000000001</v>
      </c>
      <c r="H414">
        <v>2.2999999999999998</v>
      </c>
      <c r="I414">
        <v>1.59</v>
      </c>
      <c r="J414">
        <v>-0.49</v>
      </c>
      <c r="K414">
        <v>4.09</v>
      </c>
      <c r="L414">
        <v>3.16</v>
      </c>
      <c r="M414" s="25">
        <v>0.33910000000000001</v>
      </c>
      <c r="N414" s="25">
        <v>0.1515</v>
      </c>
      <c r="O414">
        <v>2.15</v>
      </c>
      <c r="P414" s="25">
        <v>0.14149999999999999</v>
      </c>
      <c r="Q414" s="25">
        <v>0.1268</v>
      </c>
      <c r="R414" s="26">
        <v>6184850</v>
      </c>
      <c r="S414" s="26">
        <v>2608610000</v>
      </c>
      <c r="T414">
        <v>0.93</v>
      </c>
      <c r="U414" s="25">
        <v>0.1741</v>
      </c>
    </row>
    <row r="415" spans="1:21" hidden="1" x14ac:dyDescent="0.25">
      <c r="A415" t="s">
        <v>190</v>
      </c>
      <c r="B415">
        <v>18.600000000000001</v>
      </c>
      <c r="C415">
        <v>8.73</v>
      </c>
      <c r="D415">
        <v>2.3199999999999998</v>
      </c>
      <c r="E415">
        <v>1.6259999999999999</v>
      </c>
      <c r="F415" s="25">
        <v>8.72E-2</v>
      </c>
      <c r="G415">
        <v>1.7470000000000001</v>
      </c>
      <c r="H415">
        <v>3.41</v>
      </c>
      <c r="I415">
        <v>9.16</v>
      </c>
      <c r="J415">
        <v>3.87</v>
      </c>
      <c r="K415">
        <v>9.18</v>
      </c>
      <c r="L415">
        <v>7.66</v>
      </c>
      <c r="M415" s="25">
        <v>0.17749999999999999</v>
      </c>
      <c r="N415" s="25">
        <v>0.18629999999999999</v>
      </c>
      <c r="O415">
        <v>3.74</v>
      </c>
      <c r="P415" s="25">
        <v>0.22</v>
      </c>
      <c r="Q415" s="25">
        <v>0.26619999999999999</v>
      </c>
      <c r="R415" s="26">
        <v>11889900</v>
      </c>
      <c r="S415" s="26">
        <v>2205960000</v>
      </c>
      <c r="T415">
        <v>0.12</v>
      </c>
      <c r="U415" s="25">
        <v>0.24379999999999999</v>
      </c>
    </row>
    <row r="416" spans="1:21" hidden="1" x14ac:dyDescent="0.25">
      <c r="A416" t="s">
        <v>222</v>
      </c>
      <c r="B416">
        <v>1.1100000000000001</v>
      </c>
      <c r="C416">
        <v>-0.24</v>
      </c>
      <c r="D416">
        <v>0.19</v>
      </c>
      <c r="E416">
        <v>3.1E-2</v>
      </c>
      <c r="F416" s="25">
        <v>0</v>
      </c>
      <c r="G416">
        <v>3.7999999999999999E-2</v>
      </c>
      <c r="H416">
        <v>0.15</v>
      </c>
      <c r="I416">
        <v>-2.35</v>
      </c>
      <c r="J416">
        <v>-0.15</v>
      </c>
      <c r="K416">
        <v>-21.32</v>
      </c>
      <c r="L416">
        <v>19.72</v>
      </c>
      <c r="M416" s="25">
        <v>-1.3299999999999999E-2</v>
      </c>
      <c r="N416" s="25">
        <v>-0.1295</v>
      </c>
      <c r="O416">
        <v>1.85</v>
      </c>
      <c r="P416" s="25">
        <v>-2.3E-2</v>
      </c>
      <c r="Q416" s="25">
        <v>-0.79069999999999996</v>
      </c>
      <c r="R416" s="26">
        <v>830872</v>
      </c>
      <c r="S416" s="26">
        <v>1868630000</v>
      </c>
      <c r="T416">
        <v>2.02</v>
      </c>
      <c r="U416" s="25">
        <v>0.1948</v>
      </c>
    </row>
    <row r="417" spans="1:21" hidden="1" x14ac:dyDescent="0.25">
      <c r="A417" t="s">
        <v>77</v>
      </c>
      <c r="B417">
        <v>38.01</v>
      </c>
      <c r="C417">
        <v>24.89</v>
      </c>
      <c r="D417">
        <v>7.18</v>
      </c>
      <c r="E417">
        <v>3.895</v>
      </c>
      <c r="F417" s="25">
        <v>2.1399999999999999E-2</v>
      </c>
      <c r="G417">
        <v>4.0049999999999999</v>
      </c>
      <c r="H417">
        <v>14.45</v>
      </c>
      <c r="I417">
        <v>17.82</v>
      </c>
      <c r="J417">
        <v>18.53</v>
      </c>
      <c r="K417">
        <v>17.47</v>
      </c>
      <c r="L417">
        <v>15.84</v>
      </c>
      <c r="M417" s="25">
        <v>0.21859999999999999</v>
      </c>
      <c r="N417" s="25">
        <v>0.16500000000000001</v>
      </c>
      <c r="O417">
        <v>1.77</v>
      </c>
      <c r="P417" s="25">
        <v>0.2863</v>
      </c>
      <c r="Q417" s="25">
        <v>0.28860000000000002</v>
      </c>
      <c r="R417" s="26">
        <v>350176000</v>
      </c>
      <c r="S417" s="26">
        <v>22215900000</v>
      </c>
      <c r="T417">
        <v>0.12</v>
      </c>
      <c r="U417" s="25">
        <v>0.17599999999999999</v>
      </c>
    </row>
    <row r="418" spans="1:21" hidden="1" x14ac:dyDescent="0.25">
      <c r="A418" t="s">
        <v>84</v>
      </c>
      <c r="B418">
        <v>3.69</v>
      </c>
      <c r="C418">
        <v>-2.09</v>
      </c>
      <c r="D418">
        <v>0.19</v>
      </c>
      <c r="E418">
        <v>0.25600000000000001</v>
      </c>
      <c r="F418" s="25">
        <v>0</v>
      </c>
      <c r="G418">
        <v>0.13700000000000001</v>
      </c>
      <c r="H418">
        <v>0.36</v>
      </c>
      <c r="I418">
        <v>-0.94</v>
      </c>
      <c r="J418">
        <v>0.43</v>
      </c>
      <c r="K418">
        <v>1.36</v>
      </c>
      <c r="L418">
        <v>2.27</v>
      </c>
      <c r="M418" s="25">
        <v>-0.27200000000000002</v>
      </c>
      <c r="N418" s="25">
        <v>-0.12230000000000001</v>
      </c>
      <c r="O418">
        <v>2.91</v>
      </c>
      <c r="P418" s="25">
        <v>-0.2752</v>
      </c>
      <c r="Q418" s="25">
        <v>-8.8599999999999998E-2</v>
      </c>
      <c r="R418" s="26">
        <v>29836.2</v>
      </c>
      <c r="S418" s="26">
        <v>221569000</v>
      </c>
      <c r="T418">
        <v>0.05</v>
      </c>
      <c r="U418" s="25">
        <v>-0.12529999999999999</v>
      </c>
    </row>
    <row r="419" spans="1:21" hidden="1" x14ac:dyDescent="0.25">
      <c r="A419" t="s">
        <v>460</v>
      </c>
      <c r="B419">
        <v>4.18</v>
      </c>
      <c r="C419">
        <v>7.02</v>
      </c>
      <c r="D419">
        <v>2.29</v>
      </c>
      <c r="E419">
        <v>0.47699999999999998</v>
      </c>
      <c r="F419" s="25">
        <v>0.17180000000000001</v>
      </c>
      <c r="G419">
        <v>0.625</v>
      </c>
      <c r="H419">
        <v>14.81</v>
      </c>
      <c r="I419">
        <v>5.43</v>
      </c>
      <c r="J419">
        <v>-16.34</v>
      </c>
      <c r="K419">
        <v>3.9</v>
      </c>
      <c r="L419">
        <v>3.2</v>
      </c>
      <c r="M419" s="25">
        <v>8.7900000000000006E-2</v>
      </c>
      <c r="N419" s="25">
        <v>6.8099999999999994E-2</v>
      </c>
      <c r="O419">
        <v>1.07</v>
      </c>
      <c r="P419" s="25">
        <v>0.38919999999999999</v>
      </c>
      <c r="Q419" s="25">
        <v>0.32669999999999999</v>
      </c>
      <c r="R419" s="26">
        <v>23869.7</v>
      </c>
      <c r="S419" s="26">
        <v>2738890000</v>
      </c>
      <c r="T419">
        <v>0.41</v>
      </c>
      <c r="U419" s="25">
        <v>5.9700000000000003E-2</v>
      </c>
    </row>
    <row r="420" spans="1:21" hidden="1" x14ac:dyDescent="0.25">
      <c r="A420" t="s">
        <v>13</v>
      </c>
      <c r="B420">
        <v>4.1500000000000004</v>
      </c>
      <c r="C420">
        <v>6.97</v>
      </c>
      <c r="D420">
        <v>2.2799999999999998</v>
      </c>
      <c r="E420">
        <v>0.47399999999999998</v>
      </c>
      <c r="F420" s="25">
        <v>0.19040000000000001</v>
      </c>
      <c r="G420">
        <v>0.62</v>
      </c>
      <c r="H420">
        <v>14.7</v>
      </c>
      <c r="I420">
        <v>5.39</v>
      </c>
      <c r="J420">
        <v>-16.23</v>
      </c>
      <c r="K420">
        <v>3.87</v>
      </c>
      <c r="L420">
        <v>3.17</v>
      </c>
      <c r="M420" s="25">
        <v>8.7900000000000006E-2</v>
      </c>
      <c r="N420" s="25">
        <v>6.8099999999999994E-2</v>
      </c>
      <c r="O420">
        <v>1.07</v>
      </c>
      <c r="P420" s="25">
        <v>0.38919999999999999</v>
      </c>
      <c r="Q420" s="25">
        <v>0.32669999999999999</v>
      </c>
      <c r="R420" s="26">
        <v>141601</v>
      </c>
      <c r="S420" s="26">
        <v>2738890000</v>
      </c>
      <c r="T420">
        <v>0.41</v>
      </c>
      <c r="U420" s="25">
        <v>5.9700000000000003E-2</v>
      </c>
    </row>
    <row r="421" spans="1:21" hidden="1" x14ac:dyDescent="0.25">
      <c r="A421" t="s">
        <v>119</v>
      </c>
      <c r="B421">
        <v>7.19</v>
      </c>
      <c r="C421">
        <v>6.79</v>
      </c>
      <c r="D421">
        <v>1.94</v>
      </c>
      <c r="E421">
        <v>0.88100000000000001</v>
      </c>
      <c r="F421" s="25">
        <v>3.4799999999999998E-2</v>
      </c>
      <c r="G421">
        <v>0.44900000000000001</v>
      </c>
      <c r="H421">
        <v>48.83</v>
      </c>
      <c r="I421">
        <v>1.76</v>
      </c>
      <c r="J421">
        <v>-1.6</v>
      </c>
      <c r="K421">
        <v>1.71</v>
      </c>
      <c r="L421">
        <v>1.45</v>
      </c>
      <c r="M421" s="25">
        <v>0.49940000000000001</v>
      </c>
      <c r="N421" s="25">
        <v>0.2402</v>
      </c>
      <c r="O421">
        <v>1.04</v>
      </c>
      <c r="P421" s="25">
        <v>0.33579999999999999</v>
      </c>
      <c r="Q421" s="25">
        <v>0.28539999999999999</v>
      </c>
      <c r="R421" s="26">
        <v>3202290</v>
      </c>
      <c r="S421" s="26">
        <v>593034000</v>
      </c>
      <c r="T421">
        <v>0.68</v>
      </c>
      <c r="U421" s="25">
        <v>0.12720000000000001</v>
      </c>
    </row>
    <row r="422" spans="1:21" hidden="1" x14ac:dyDescent="0.25">
      <c r="A422" t="s">
        <v>461</v>
      </c>
      <c r="B422">
        <v>24</v>
      </c>
      <c r="C422">
        <v>7.01</v>
      </c>
      <c r="D422">
        <v>1.1000000000000001</v>
      </c>
      <c r="E422">
        <v>0.28599999999999998</v>
      </c>
      <c r="F422" s="25">
        <v>6.1100000000000002E-2</v>
      </c>
      <c r="G422">
        <v>0.61299999999999999</v>
      </c>
      <c r="H422">
        <v>1.79</v>
      </c>
      <c r="I422">
        <v>4.99</v>
      </c>
      <c r="J422">
        <v>4.09</v>
      </c>
      <c r="K422">
        <v>6.92</v>
      </c>
      <c r="L422">
        <v>6.68</v>
      </c>
      <c r="M422" s="25">
        <v>5.7299999999999997E-2</v>
      </c>
      <c r="N422" s="25">
        <v>4.0800000000000003E-2</v>
      </c>
      <c r="O422">
        <v>2.36</v>
      </c>
      <c r="P422" s="25">
        <v>0.1381</v>
      </c>
      <c r="Q422" s="25">
        <v>0.15690000000000001</v>
      </c>
      <c r="R422" s="26">
        <v>1131.19</v>
      </c>
      <c r="S422" s="26">
        <v>794718000</v>
      </c>
      <c r="T422">
        <v>0.53</v>
      </c>
      <c r="U422" s="25">
        <v>0.26329999999999998</v>
      </c>
    </row>
    <row r="423" spans="1:21" hidden="1" x14ac:dyDescent="0.25">
      <c r="A423" t="s">
        <v>462</v>
      </c>
      <c r="B423">
        <v>23.28</v>
      </c>
      <c r="C423">
        <v>6.8</v>
      </c>
      <c r="D423">
        <v>1.07</v>
      </c>
      <c r="E423">
        <v>0.27800000000000002</v>
      </c>
      <c r="F423" s="25">
        <v>6.93E-2</v>
      </c>
      <c r="G423">
        <v>0.59399999999999997</v>
      </c>
      <c r="H423">
        <v>1.74</v>
      </c>
      <c r="I423">
        <v>4.84</v>
      </c>
      <c r="J423">
        <v>3.97</v>
      </c>
      <c r="K423">
        <v>6.77</v>
      </c>
      <c r="L423">
        <v>6.53</v>
      </c>
      <c r="M423" s="25">
        <v>5.7299999999999997E-2</v>
      </c>
      <c r="N423" s="25">
        <v>4.0800000000000003E-2</v>
      </c>
      <c r="O423">
        <v>2.36</v>
      </c>
      <c r="P423" s="25">
        <v>0.1381</v>
      </c>
      <c r="Q423" s="25">
        <v>0.15690000000000001</v>
      </c>
      <c r="R423" s="26">
        <v>45706.8</v>
      </c>
      <c r="S423" s="26">
        <v>794718000</v>
      </c>
      <c r="T423">
        <v>0.53</v>
      </c>
      <c r="U423" s="25">
        <v>0.26329999999999998</v>
      </c>
    </row>
    <row r="424" spans="1:21" hidden="1" x14ac:dyDescent="0.25">
      <c r="A424" t="s">
        <v>206</v>
      </c>
      <c r="B424">
        <v>13.01</v>
      </c>
      <c r="C424">
        <v>11.16</v>
      </c>
      <c r="D424">
        <v>1.1499999999999999</v>
      </c>
      <c r="E424">
        <v>0.66300000000000003</v>
      </c>
      <c r="F424" s="25">
        <v>4.3900000000000002E-2</v>
      </c>
      <c r="G424">
        <v>0.36299999999999999</v>
      </c>
      <c r="H424">
        <v>5.58</v>
      </c>
      <c r="I424">
        <v>4.09</v>
      </c>
      <c r="J424">
        <v>-0.83</v>
      </c>
      <c r="K424" s="26">
        <v>9.19</v>
      </c>
      <c r="L424">
        <v>4.7300000000000004</v>
      </c>
      <c r="M424" s="25">
        <v>0.16200000000000001</v>
      </c>
      <c r="N424" s="25">
        <v>5.9400000000000001E-2</v>
      </c>
      <c r="O424">
        <v>1.36</v>
      </c>
      <c r="P424" s="25">
        <v>0.1003</v>
      </c>
      <c r="Q424" s="25">
        <v>0.10290000000000001</v>
      </c>
      <c r="R424" s="26">
        <v>55159900</v>
      </c>
      <c r="S424" s="26">
        <v>3103980000</v>
      </c>
      <c r="T424">
        <v>1.73</v>
      </c>
      <c r="U424" s="25">
        <v>7.7600000000000002E-2</v>
      </c>
    </row>
    <row r="425" spans="1:21" hidden="1" x14ac:dyDescent="0.25">
      <c r="A425" t="s">
        <v>243</v>
      </c>
      <c r="B425">
        <v>3.48</v>
      </c>
      <c r="C425" s="26">
        <v>-9.83</v>
      </c>
      <c r="D425">
        <v>0.93</v>
      </c>
      <c r="E425">
        <v>0.30199999999999999</v>
      </c>
      <c r="F425" s="25">
        <v>0</v>
      </c>
      <c r="G425">
        <v>0.32600000000000001</v>
      </c>
      <c r="H425">
        <v>11.67</v>
      </c>
      <c r="I425">
        <v>-903.42</v>
      </c>
      <c r="J425">
        <v>-0.78</v>
      </c>
      <c r="K425" s="26">
        <v>-1377.77</v>
      </c>
      <c r="L425">
        <v>4.3899999999999997</v>
      </c>
      <c r="M425" s="25">
        <v>-2.9999999999999997E-4</v>
      </c>
      <c r="N425" s="25">
        <v>-3.0700000000000002E-2</v>
      </c>
      <c r="O425">
        <v>1.1399999999999999</v>
      </c>
      <c r="P425" s="25">
        <v>-4.0000000000000002E-4</v>
      </c>
      <c r="Q425" s="25">
        <v>-9.4799999999999995E-2</v>
      </c>
      <c r="R425" s="26">
        <v>2629240</v>
      </c>
      <c r="S425" s="26">
        <v>1519080000</v>
      </c>
      <c r="T425">
        <v>0.74</v>
      </c>
      <c r="U425" s="25">
        <v>0.2024</v>
      </c>
    </row>
    <row r="426" spans="1:21" x14ac:dyDescent="0.25">
      <c r="C426" s="26"/>
      <c r="F426" s="25"/>
      <c r="K426" s="26"/>
      <c r="M426" s="25"/>
      <c r="N426" s="25"/>
      <c r="P426" s="25"/>
      <c r="Q426" s="25"/>
      <c r="R426" s="26"/>
      <c r="S426" s="26"/>
      <c r="U426" s="25"/>
    </row>
  </sheetData>
  <autoFilter ref="A1:U425" xr:uid="{3BAA95AD-4DCA-4F23-B841-B8419749550B}">
    <filterColumn colId="0">
      <filters>
        <filter val="LAVV3"/>
      </filters>
    </filterColumn>
  </autoFilter>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D2283-556C-4F35-8238-B84D10EF6A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Bovespa</vt:lpstr>
      <vt:lpstr>Streamlit</vt:lpstr>
      <vt:lpstr>BDR</vt:lpstr>
      <vt:lpstr>ETF</vt:lpstr>
      <vt:lpstr>FII</vt:lpstr>
      <vt:lpstr>Criptos</vt:lpstr>
      <vt:lpstr>Cotacoes</vt:lpstr>
      <vt:lpstr>Fundamentus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2025-08-17T00:18:48Z</dcterms:modified>
</cp:coreProperties>
</file>