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EstaPastaDeTrabalho"/>
  <mc:AlternateContent xmlns:mc="http://schemas.openxmlformats.org/markup-compatibility/2006">
    <mc:Choice Requires="x15">
      <x15ac:absPath xmlns:x15ac="http://schemas.microsoft.com/office/spreadsheetml/2010/11/ac" url="https://d.docs.live.net/3d97c270e6709578/Área de Trabalho/Painel/painel-analise-ativos/Localhost_Ciclo de ativos/"/>
    </mc:Choice>
  </mc:AlternateContent>
  <xr:revisionPtr revIDLastSave="165" documentId="14_{EDBF63A7-9F02-486B-8434-FB93C393AEC6}" xr6:coauthVersionLast="47" xr6:coauthVersionMax="47" xr10:uidLastSave="{0E8467E4-84DD-4500-89BF-A774CEA20A00}"/>
  <bookViews>
    <workbookView xWindow="-120" yWindow="-120" windowWidth="20730" windowHeight="11160" activeTab="1" xr2:uid="{00000000-000D-0000-FFFF-FFFF00000000}"/>
  </bookViews>
  <sheets>
    <sheet name="Bovespa" sheetId="1" r:id="rId1"/>
    <sheet name="Streamlit" sheetId="9" r:id="rId2"/>
    <sheet name="Criptos" sheetId="10" r:id="rId3"/>
    <sheet name="BDR" sheetId="13" r:id="rId4"/>
    <sheet name="ETF" sheetId="11" r:id="rId5"/>
    <sheet name="FII" sheetId="12" r:id="rId6"/>
    <sheet name="Cotacoes" sheetId="4" r:id="rId7"/>
    <sheet name="Fundamentus" sheetId="6" r:id="rId8"/>
  </sheets>
  <definedNames>
    <definedName name="_xlnm._FilterDatabase" localSheetId="0" hidden="1">Bovespa!$A$5:$FJ$271</definedName>
    <definedName name="_xlnm._FilterDatabase" localSheetId="7" hidden="1">Fundamentus!$A$1:$U$1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9" i="9" l="1"/>
  <c r="F266" i="9"/>
  <c r="DX7" i="1"/>
  <c r="DX8" i="1"/>
  <c r="DX9" i="1"/>
  <c r="DX10" i="1"/>
  <c r="DX11" i="1"/>
  <c r="DX12" i="1"/>
  <c r="DX13" i="1"/>
  <c r="DX14" i="1"/>
  <c r="DX15" i="1"/>
  <c r="DX16" i="1"/>
  <c r="DX17" i="1"/>
  <c r="DX18" i="1"/>
  <c r="DX19" i="1"/>
  <c r="DX20" i="1"/>
  <c r="DX21" i="1"/>
  <c r="DX22" i="1"/>
  <c r="DX23" i="1"/>
  <c r="DX24" i="1"/>
  <c r="DX25" i="1"/>
  <c r="DX26" i="1"/>
  <c r="DX27" i="1"/>
  <c r="DX28" i="1"/>
  <c r="DX29" i="1"/>
  <c r="DX30" i="1"/>
  <c r="DX31" i="1"/>
  <c r="DX32" i="1"/>
  <c r="DX33" i="1"/>
  <c r="DX34" i="1"/>
  <c r="DX35" i="1"/>
  <c r="DX36" i="1"/>
  <c r="DX37" i="1"/>
  <c r="DX38" i="1"/>
  <c r="DX39" i="1"/>
  <c r="DX40" i="1"/>
  <c r="DX41" i="1"/>
  <c r="DX42" i="1"/>
  <c r="DX43" i="1"/>
  <c r="DX44" i="1"/>
  <c r="DX45" i="1"/>
  <c r="DX46" i="1"/>
  <c r="DX47" i="1"/>
  <c r="DX48" i="1"/>
  <c r="DX49" i="1"/>
  <c r="DX50" i="1"/>
  <c r="DX51" i="1"/>
  <c r="DX52" i="1"/>
  <c r="DX53" i="1"/>
  <c r="DX54" i="1"/>
  <c r="DX55" i="1"/>
  <c r="DX56" i="1"/>
  <c r="DX57" i="1"/>
  <c r="DX58" i="1"/>
  <c r="DX59" i="1"/>
  <c r="DX60" i="1"/>
  <c r="DX61" i="1"/>
  <c r="DX62" i="1"/>
  <c r="DX63" i="1"/>
  <c r="DX64" i="1"/>
  <c r="DX65" i="1"/>
  <c r="DX66" i="1"/>
  <c r="DX67" i="1"/>
  <c r="DX68" i="1"/>
  <c r="DX69" i="1"/>
  <c r="DX70" i="1"/>
  <c r="DX71" i="1"/>
  <c r="DX72" i="1"/>
  <c r="DX73" i="1"/>
  <c r="DX74" i="1"/>
  <c r="DX75" i="1"/>
  <c r="DX76" i="1"/>
  <c r="DX77" i="1"/>
  <c r="DX78" i="1"/>
  <c r="DX79" i="1"/>
  <c r="DX80" i="1"/>
  <c r="DX81" i="1"/>
  <c r="DX82" i="1"/>
  <c r="DX83" i="1"/>
  <c r="DX84" i="1"/>
  <c r="DX85" i="1"/>
  <c r="DX86" i="1"/>
  <c r="DX87" i="1"/>
  <c r="DX88" i="1"/>
  <c r="DX89" i="1"/>
  <c r="DX90" i="1"/>
  <c r="DX91" i="1"/>
  <c r="DX92" i="1"/>
  <c r="DX93" i="1"/>
  <c r="DX94" i="1"/>
  <c r="DX95" i="1"/>
  <c r="DX96" i="1"/>
  <c r="DX97" i="1"/>
  <c r="DX98" i="1"/>
  <c r="DX99" i="1"/>
  <c r="DX100" i="1"/>
  <c r="DX101" i="1"/>
  <c r="DX102" i="1"/>
  <c r="DX103" i="1"/>
  <c r="DX104" i="1"/>
  <c r="DX105" i="1"/>
  <c r="DX106" i="1"/>
  <c r="DX107" i="1"/>
  <c r="DX108" i="1"/>
  <c r="DX109" i="1"/>
  <c r="DX110" i="1"/>
  <c r="DX111" i="1"/>
  <c r="DX112" i="1"/>
  <c r="DX113" i="1"/>
  <c r="DX114" i="1"/>
  <c r="DX115" i="1"/>
  <c r="DX116" i="1"/>
  <c r="DX117" i="1"/>
  <c r="DX118" i="1"/>
  <c r="DX119" i="1"/>
  <c r="DX120" i="1"/>
  <c r="DX121" i="1"/>
  <c r="DX122" i="1"/>
  <c r="DX123" i="1"/>
  <c r="DX124" i="1"/>
  <c r="DX125" i="1"/>
  <c r="DX126" i="1"/>
  <c r="DX127" i="1"/>
  <c r="DX128" i="1"/>
  <c r="DX129" i="1"/>
  <c r="DX130" i="1"/>
  <c r="DX131" i="1"/>
  <c r="DX132" i="1"/>
  <c r="DX133" i="1"/>
  <c r="DX134" i="1"/>
  <c r="DX135" i="1"/>
  <c r="DX136" i="1"/>
  <c r="DX137" i="1"/>
  <c r="DX138" i="1"/>
  <c r="DX139" i="1"/>
  <c r="DX140" i="1"/>
  <c r="DX141" i="1"/>
  <c r="DX142" i="1"/>
  <c r="DX143" i="1"/>
  <c r="DX144" i="1"/>
  <c r="DX145" i="1"/>
  <c r="DX146" i="1"/>
  <c r="DX147" i="1"/>
  <c r="DX148" i="1"/>
  <c r="DX149" i="1"/>
  <c r="DX150" i="1"/>
  <c r="DX151" i="1"/>
  <c r="DX152" i="1"/>
  <c r="DX153" i="1"/>
  <c r="DX154" i="1"/>
  <c r="DX155" i="1"/>
  <c r="DX156" i="1"/>
  <c r="DX157" i="1"/>
  <c r="DX158" i="1"/>
  <c r="DX159" i="1"/>
  <c r="DX160" i="1"/>
  <c r="DX161" i="1"/>
  <c r="DX162" i="1"/>
  <c r="DX163" i="1"/>
  <c r="DX164" i="1"/>
  <c r="DX165" i="1"/>
  <c r="DX166" i="1"/>
  <c r="DX167" i="1"/>
  <c r="DX168" i="1"/>
  <c r="DX169" i="1"/>
  <c r="DX170" i="1"/>
  <c r="DX171" i="1"/>
  <c r="DX172" i="1"/>
  <c r="DX173" i="1"/>
  <c r="DX174" i="1"/>
  <c r="DX175" i="1"/>
  <c r="DX176" i="1"/>
  <c r="DX177" i="1"/>
  <c r="DX178" i="1"/>
  <c r="DX179" i="1"/>
  <c r="DX180" i="1"/>
  <c r="DX181" i="1"/>
  <c r="DX182" i="1"/>
  <c r="DX183" i="1"/>
  <c r="DX184" i="1"/>
  <c r="DX185" i="1"/>
  <c r="DX186" i="1"/>
  <c r="DX187" i="1"/>
  <c r="DX188" i="1"/>
  <c r="DX189" i="1"/>
  <c r="DX190" i="1"/>
  <c r="DX191" i="1"/>
  <c r="DX192" i="1"/>
  <c r="DX193" i="1"/>
  <c r="DX194" i="1"/>
  <c r="DX195" i="1"/>
  <c r="DX196" i="1"/>
  <c r="DX197" i="1"/>
  <c r="DX198" i="1"/>
  <c r="DX199" i="1"/>
  <c r="DX200" i="1"/>
  <c r="DX201" i="1"/>
  <c r="DX202" i="1"/>
  <c r="DX203" i="1"/>
  <c r="DX204" i="1"/>
  <c r="DX205" i="1"/>
  <c r="DX206" i="1"/>
  <c r="DX207" i="1"/>
  <c r="DX208" i="1"/>
  <c r="DX209" i="1"/>
  <c r="DX210" i="1"/>
  <c r="DX211" i="1"/>
  <c r="DX212" i="1"/>
  <c r="DX213" i="1"/>
  <c r="DX214" i="1"/>
  <c r="DX215" i="1"/>
  <c r="DX216" i="1"/>
  <c r="DX217" i="1"/>
  <c r="DX218" i="1"/>
  <c r="DX219" i="1"/>
  <c r="DX220" i="1"/>
  <c r="DX221" i="1"/>
  <c r="DX222" i="1"/>
  <c r="DX223" i="1"/>
  <c r="DX224" i="1"/>
  <c r="DX225" i="1"/>
  <c r="DX226" i="1"/>
  <c r="DX227" i="1"/>
  <c r="DX228" i="1"/>
  <c r="DX229" i="1"/>
  <c r="DX230" i="1"/>
  <c r="DX231" i="1"/>
  <c r="DX232" i="1"/>
  <c r="DX233" i="1"/>
  <c r="DX234" i="1"/>
  <c r="DX235" i="1"/>
  <c r="DX236" i="1"/>
  <c r="DX237" i="1"/>
  <c r="DX238" i="1"/>
  <c r="DX239" i="1"/>
  <c r="DX240" i="1"/>
  <c r="DX241" i="1"/>
  <c r="DX242" i="1"/>
  <c r="DX243" i="1"/>
  <c r="DX244" i="1"/>
  <c r="DX245" i="1"/>
  <c r="DX246" i="1"/>
  <c r="DX247" i="1"/>
  <c r="DX248" i="1"/>
  <c r="DX249" i="1"/>
  <c r="DX250" i="1"/>
  <c r="DX251" i="1"/>
  <c r="DX252" i="1"/>
  <c r="DX253" i="1"/>
  <c r="DX254" i="1"/>
  <c r="DX255" i="1"/>
  <c r="DX256" i="1"/>
  <c r="DX257" i="1"/>
  <c r="DX258" i="1"/>
  <c r="DX259" i="1"/>
  <c r="DX260" i="1"/>
  <c r="DX261" i="1"/>
  <c r="DX262" i="1"/>
  <c r="DX263" i="1"/>
  <c r="DX264" i="1"/>
  <c r="DX265" i="1"/>
  <c r="DX266" i="1"/>
  <c r="DX267" i="1"/>
  <c r="DX268" i="1"/>
  <c r="DX269" i="1"/>
  <c r="DX270" i="1"/>
  <c r="DX271" i="1"/>
  <c r="DX6" i="1"/>
  <c r="CH7" i="1"/>
  <c r="CH8" i="1"/>
  <c r="CH9" i="1"/>
  <c r="CH10" i="1"/>
  <c r="CH11" i="1"/>
  <c r="CH12" i="1"/>
  <c r="CH13" i="1"/>
  <c r="CH14" i="1"/>
  <c r="CH15" i="1"/>
  <c r="CH16" i="1"/>
  <c r="CH17" i="1"/>
  <c r="CH18" i="1"/>
  <c r="CH19" i="1"/>
  <c r="CH20" i="1"/>
  <c r="CH21" i="1"/>
  <c r="CH22" i="1"/>
  <c r="CH23" i="1"/>
  <c r="CH24" i="1"/>
  <c r="CH25" i="1"/>
  <c r="CH26" i="1"/>
  <c r="CH27" i="1"/>
  <c r="CH28" i="1"/>
  <c r="CH29" i="1"/>
  <c r="CH30" i="1"/>
  <c r="CH31" i="1"/>
  <c r="CH32" i="1"/>
  <c r="CH33" i="1"/>
  <c r="CH34" i="1"/>
  <c r="CH35" i="1"/>
  <c r="CH36" i="1"/>
  <c r="CH37" i="1"/>
  <c r="CH38" i="1"/>
  <c r="CH39" i="1"/>
  <c r="CH40" i="1"/>
  <c r="CH41" i="1"/>
  <c r="CH42" i="1"/>
  <c r="CH43" i="1"/>
  <c r="CH44" i="1"/>
  <c r="CH45" i="1"/>
  <c r="CH46" i="1"/>
  <c r="CH47" i="1"/>
  <c r="CH48" i="1"/>
  <c r="CH49" i="1"/>
  <c r="CH50" i="1"/>
  <c r="CH51" i="1"/>
  <c r="CH52" i="1"/>
  <c r="CH53" i="1"/>
  <c r="CH54" i="1"/>
  <c r="CH55" i="1"/>
  <c r="CH56" i="1"/>
  <c r="CH57" i="1"/>
  <c r="CH58" i="1"/>
  <c r="CH59" i="1"/>
  <c r="CH60" i="1"/>
  <c r="CH61" i="1"/>
  <c r="CH62" i="1"/>
  <c r="CH63" i="1"/>
  <c r="CH64" i="1"/>
  <c r="CH65" i="1"/>
  <c r="CH66" i="1"/>
  <c r="CH67" i="1"/>
  <c r="CH68" i="1"/>
  <c r="CH69" i="1"/>
  <c r="CH70" i="1"/>
  <c r="CH71" i="1"/>
  <c r="CH72" i="1"/>
  <c r="CH73" i="1"/>
  <c r="CH74" i="1"/>
  <c r="CH75" i="1"/>
  <c r="CH76" i="1"/>
  <c r="CH77" i="1"/>
  <c r="CH78" i="1"/>
  <c r="CH79" i="1"/>
  <c r="CH80" i="1"/>
  <c r="CH81" i="1"/>
  <c r="CH82" i="1"/>
  <c r="CH83" i="1"/>
  <c r="CH84" i="1"/>
  <c r="CH85" i="1"/>
  <c r="CH86" i="1"/>
  <c r="CH87" i="1"/>
  <c r="CH88" i="1"/>
  <c r="CH89" i="1"/>
  <c r="CH90" i="1"/>
  <c r="CH91" i="1"/>
  <c r="CH92" i="1"/>
  <c r="CH93" i="1"/>
  <c r="CH94" i="1"/>
  <c r="CH95" i="1"/>
  <c r="CH96" i="1"/>
  <c r="CH97" i="1"/>
  <c r="CH98" i="1"/>
  <c r="CH99" i="1"/>
  <c r="CH100" i="1"/>
  <c r="CH101" i="1"/>
  <c r="CH102" i="1"/>
  <c r="CH103" i="1"/>
  <c r="CH104" i="1"/>
  <c r="CH105" i="1"/>
  <c r="CH106" i="1"/>
  <c r="CH107" i="1"/>
  <c r="CH108" i="1"/>
  <c r="CH109" i="1"/>
  <c r="CH110" i="1"/>
  <c r="CH111" i="1"/>
  <c r="CH112" i="1"/>
  <c r="CH113" i="1"/>
  <c r="CH114" i="1"/>
  <c r="CH115" i="1"/>
  <c r="CH116" i="1"/>
  <c r="CH117" i="1"/>
  <c r="CH118" i="1"/>
  <c r="CH119" i="1"/>
  <c r="CH120" i="1"/>
  <c r="CH121" i="1"/>
  <c r="CH122" i="1"/>
  <c r="CH123" i="1"/>
  <c r="CH124" i="1"/>
  <c r="CH125" i="1"/>
  <c r="CH126" i="1"/>
  <c r="CH127" i="1"/>
  <c r="CH128" i="1"/>
  <c r="CH129" i="1"/>
  <c r="CH130" i="1"/>
  <c r="CH131" i="1"/>
  <c r="CH132" i="1"/>
  <c r="CH133" i="1"/>
  <c r="CH134" i="1"/>
  <c r="CH135" i="1"/>
  <c r="CH136" i="1"/>
  <c r="CH137" i="1"/>
  <c r="CH138" i="1"/>
  <c r="CH139" i="1"/>
  <c r="CH140" i="1"/>
  <c r="CH141" i="1"/>
  <c r="CH142" i="1"/>
  <c r="CH143" i="1"/>
  <c r="CH144" i="1"/>
  <c r="CH145" i="1"/>
  <c r="CH146" i="1"/>
  <c r="CH147" i="1"/>
  <c r="CH148" i="1"/>
  <c r="CH149" i="1"/>
  <c r="CH150" i="1"/>
  <c r="CH151" i="1"/>
  <c r="CH152" i="1"/>
  <c r="CH153" i="1"/>
  <c r="CH154" i="1"/>
  <c r="CH155" i="1"/>
  <c r="CH156" i="1"/>
  <c r="CH157" i="1"/>
  <c r="CH158" i="1"/>
  <c r="CH159" i="1"/>
  <c r="CH160" i="1"/>
  <c r="CH161" i="1"/>
  <c r="CH162" i="1"/>
  <c r="CH163" i="1"/>
  <c r="CH164" i="1"/>
  <c r="CH165" i="1"/>
  <c r="CH166" i="1"/>
  <c r="CH167" i="1"/>
  <c r="CH168" i="1"/>
  <c r="CH169" i="1"/>
  <c r="CH170" i="1"/>
  <c r="CH171" i="1"/>
  <c r="CH172" i="1"/>
  <c r="CH173" i="1"/>
  <c r="CH174" i="1"/>
  <c r="CH175" i="1"/>
  <c r="CH176" i="1"/>
  <c r="CH177" i="1"/>
  <c r="CH178" i="1"/>
  <c r="CH179" i="1"/>
  <c r="CH180" i="1"/>
  <c r="CH181" i="1"/>
  <c r="CH182" i="1"/>
  <c r="CH183" i="1"/>
  <c r="CH184" i="1"/>
  <c r="CH185" i="1"/>
  <c r="CH186" i="1"/>
  <c r="CH187" i="1"/>
  <c r="CH188" i="1"/>
  <c r="CH189" i="1"/>
  <c r="CH190" i="1"/>
  <c r="CH191" i="1"/>
  <c r="CH192" i="1"/>
  <c r="CH193" i="1"/>
  <c r="CH194" i="1"/>
  <c r="CH195" i="1"/>
  <c r="CH196" i="1"/>
  <c r="CH197" i="1"/>
  <c r="CH198" i="1"/>
  <c r="CH199" i="1"/>
  <c r="CH200" i="1"/>
  <c r="CH201" i="1"/>
  <c r="CH202" i="1"/>
  <c r="CH203" i="1"/>
  <c r="CH204" i="1"/>
  <c r="CH205" i="1"/>
  <c r="CH206" i="1"/>
  <c r="CH207" i="1"/>
  <c r="CH208" i="1"/>
  <c r="CH209" i="1"/>
  <c r="CH210" i="1"/>
  <c r="CH211" i="1"/>
  <c r="CH212" i="1"/>
  <c r="CH213" i="1"/>
  <c r="CH214" i="1"/>
  <c r="CH215" i="1"/>
  <c r="CH216" i="1"/>
  <c r="CH217" i="1"/>
  <c r="CH218" i="1"/>
  <c r="CH219" i="1"/>
  <c r="CH220" i="1"/>
  <c r="CH221" i="1"/>
  <c r="CH222" i="1"/>
  <c r="CH223" i="1"/>
  <c r="CH224" i="1"/>
  <c r="CH225" i="1"/>
  <c r="CH226" i="1"/>
  <c r="CH227" i="1"/>
  <c r="CH228" i="1"/>
  <c r="CH229" i="1"/>
  <c r="CH230" i="1"/>
  <c r="CH231" i="1"/>
  <c r="CH232" i="1"/>
  <c r="CH233" i="1"/>
  <c r="CH234" i="1"/>
  <c r="CH235" i="1"/>
  <c r="CH236" i="1"/>
  <c r="CH237" i="1"/>
  <c r="CH238" i="1"/>
  <c r="CH239" i="1"/>
  <c r="CH240" i="1"/>
  <c r="CH241" i="1"/>
  <c r="CH242" i="1"/>
  <c r="CH243" i="1"/>
  <c r="CH244" i="1"/>
  <c r="CH245" i="1"/>
  <c r="CH246" i="1"/>
  <c r="CH247" i="1"/>
  <c r="CH248" i="1"/>
  <c r="CH249" i="1"/>
  <c r="CH250" i="1"/>
  <c r="CH251" i="1"/>
  <c r="CH252" i="1"/>
  <c r="CH253" i="1"/>
  <c r="CH254" i="1"/>
  <c r="CH255" i="1"/>
  <c r="CH256" i="1"/>
  <c r="CH257" i="1"/>
  <c r="CH258" i="1"/>
  <c r="CH259" i="1"/>
  <c r="CH260" i="1"/>
  <c r="CH261" i="1"/>
  <c r="CH262" i="1"/>
  <c r="CH263" i="1"/>
  <c r="CH264" i="1"/>
  <c r="CH265" i="1"/>
  <c r="CH266" i="1"/>
  <c r="CH267" i="1"/>
  <c r="CH268" i="1"/>
  <c r="CH269" i="1"/>
  <c r="CH270" i="1"/>
  <c r="CH271" i="1"/>
  <c r="CH6" i="1"/>
  <c r="CC7" i="1"/>
  <c r="CD7" i="1"/>
  <c r="CO7" i="1" s="1"/>
  <c r="CE7" i="1"/>
  <c r="CC8" i="1"/>
  <c r="CD8" i="1"/>
  <c r="CE8" i="1"/>
  <c r="CC9" i="1"/>
  <c r="CD9" i="1"/>
  <c r="CE9" i="1"/>
  <c r="CC10" i="1"/>
  <c r="CD10" i="1"/>
  <c r="CE10" i="1"/>
  <c r="CC11" i="1"/>
  <c r="CD11" i="1"/>
  <c r="CO11" i="1" s="1"/>
  <c r="CE11" i="1"/>
  <c r="CC12" i="1"/>
  <c r="CD12" i="1"/>
  <c r="CE12" i="1"/>
  <c r="CC13" i="1"/>
  <c r="CD13" i="1"/>
  <c r="CE13" i="1"/>
  <c r="CC14" i="1"/>
  <c r="CD14" i="1"/>
  <c r="CE14" i="1"/>
  <c r="CC15" i="1"/>
  <c r="CD15" i="1"/>
  <c r="CO15" i="1" s="1"/>
  <c r="CE15" i="1"/>
  <c r="CC16" i="1"/>
  <c r="CD16" i="1"/>
  <c r="CE16" i="1"/>
  <c r="CC17" i="1"/>
  <c r="CD17" i="1"/>
  <c r="CE17" i="1"/>
  <c r="CC18" i="1"/>
  <c r="CD18" i="1"/>
  <c r="CE18" i="1"/>
  <c r="CC19" i="1"/>
  <c r="CD19" i="1"/>
  <c r="CO19" i="1" s="1"/>
  <c r="CE19" i="1"/>
  <c r="CC20" i="1"/>
  <c r="CD20" i="1"/>
  <c r="CE20" i="1"/>
  <c r="CC21" i="1"/>
  <c r="CD21" i="1"/>
  <c r="CE21" i="1"/>
  <c r="CC22" i="1"/>
  <c r="CD22" i="1"/>
  <c r="CE22" i="1"/>
  <c r="CC23" i="1"/>
  <c r="CD23" i="1"/>
  <c r="CO23" i="1" s="1"/>
  <c r="CE23" i="1"/>
  <c r="CC24" i="1"/>
  <c r="CD24" i="1"/>
  <c r="CE24" i="1"/>
  <c r="CC25" i="1"/>
  <c r="CD25" i="1"/>
  <c r="CE25" i="1"/>
  <c r="CC26" i="1"/>
  <c r="CD26" i="1"/>
  <c r="CE26" i="1"/>
  <c r="CC27" i="1"/>
  <c r="CD27" i="1"/>
  <c r="CO27" i="1" s="1"/>
  <c r="CE27" i="1"/>
  <c r="CC28" i="1"/>
  <c r="CD28" i="1"/>
  <c r="CE28" i="1"/>
  <c r="CC29" i="1"/>
  <c r="CD29" i="1"/>
  <c r="CE29" i="1"/>
  <c r="CC30" i="1"/>
  <c r="CD30" i="1"/>
  <c r="CE30" i="1"/>
  <c r="CC31" i="1"/>
  <c r="CD31" i="1"/>
  <c r="CO31" i="1" s="1"/>
  <c r="CE31" i="1"/>
  <c r="CC32" i="1"/>
  <c r="CD32" i="1"/>
  <c r="CE32" i="1"/>
  <c r="CC33" i="1"/>
  <c r="CD33" i="1"/>
  <c r="CE33" i="1"/>
  <c r="CC34" i="1"/>
  <c r="CD34" i="1"/>
  <c r="CE34" i="1"/>
  <c r="CC35" i="1"/>
  <c r="CD35" i="1"/>
  <c r="CO35" i="1" s="1"/>
  <c r="CE35" i="1"/>
  <c r="CC36" i="1"/>
  <c r="CD36" i="1"/>
  <c r="CE36" i="1"/>
  <c r="CC37" i="1"/>
  <c r="CD37" i="1"/>
  <c r="CE37" i="1"/>
  <c r="CC38" i="1"/>
  <c r="CD38" i="1"/>
  <c r="CE38" i="1"/>
  <c r="CC39" i="1"/>
  <c r="CD39" i="1"/>
  <c r="CO39" i="1" s="1"/>
  <c r="CE39" i="1"/>
  <c r="CC40" i="1"/>
  <c r="CD40" i="1"/>
  <c r="CE40" i="1"/>
  <c r="CC41" i="1"/>
  <c r="CD41" i="1"/>
  <c r="CE41" i="1"/>
  <c r="CC42" i="1"/>
  <c r="CD42" i="1"/>
  <c r="CE42" i="1"/>
  <c r="CC43" i="1"/>
  <c r="CD43" i="1"/>
  <c r="CO43" i="1" s="1"/>
  <c r="CE43" i="1"/>
  <c r="CC44" i="1"/>
  <c r="CD44" i="1"/>
  <c r="CE44" i="1"/>
  <c r="CC45" i="1"/>
  <c r="CD45" i="1"/>
  <c r="CE45" i="1"/>
  <c r="CC46" i="1"/>
  <c r="CD46" i="1"/>
  <c r="CE46" i="1"/>
  <c r="CC47" i="1"/>
  <c r="CD47" i="1"/>
  <c r="CO47" i="1" s="1"/>
  <c r="CE47" i="1"/>
  <c r="CC48" i="1"/>
  <c r="CD48" i="1"/>
  <c r="CE48" i="1"/>
  <c r="CC49" i="1"/>
  <c r="CD49" i="1"/>
  <c r="CE49" i="1"/>
  <c r="CC50" i="1"/>
  <c r="CD50" i="1"/>
  <c r="CE50" i="1"/>
  <c r="CC51" i="1"/>
  <c r="CD51" i="1"/>
  <c r="CO51" i="1" s="1"/>
  <c r="CE51" i="1"/>
  <c r="CC52" i="1"/>
  <c r="CD52" i="1"/>
  <c r="CE52" i="1"/>
  <c r="CC53" i="1"/>
  <c r="CD53" i="1"/>
  <c r="CE53" i="1"/>
  <c r="CC54" i="1"/>
  <c r="CD54" i="1"/>
  <c r="CE54" i="1"/>
  <c r="CC55" i="1"/>
  <c r="CD55" i="1"/>
  <c r="CO55" i="1" s="1"/>
  <c r="CE55" i="1"/>
  <c r="CC56" i="1"/>
  <c r="CD56" i="1"/>
  <c r="CE56" i="1"/>
  <c r="CC57" i="1"/>
  <c r="CD57" i="1"/>
  <c r="CE57" i="1"/>
  <c r="CC58" i="1"/>
  <c r="CD58" i="1"/>
  <c r="CE58" i="1"/>
  <c r="CC59" i="1"/>
  <c r="CD59" i="1"/>
  <c r="CO59" i="1" s="1"/>
  <c r="CE59" i="1"/>
  <c r="CC60" i="1"/>
  <c r="CD60" i="1"/>
  <c r="CE60" i="1"/>
  <c r="CC61" i="1"/>
  <c r="CD61" i="1"/>
  <c r="CE61" i="1"/>
  <c r="CC62" i="1"/>
  <c r="CD62" i="1"/>
  <c r="CE62" i="1"/>
  <c r="CC63" i="1"/>
  <c r="CD63" i="1"/>
  <c r="CE63" i="1"/>
  <c r="CC64" i="1"/>
  <c r="CD64" i="1"/>
  <c r="CE64" i="1"/>
  <c r="CC65" i="1"/>
  <c r="CD65" i="1"/>
  <c r="CE65" i="1"/>
  <c r="CC66" i="1"/>
  <c r="CD66" i="1"/>
  <c r="CE66" i="1"/>
  <c r="CC67" i="1"/>
  <c r="CD67" i="1"/>
  <c r="CO67" i="1" s="1"/>
  <c r="CE67" i="1"/>
  <c r="CC68" i="1"/>
  <c r="CD68" i="1"/>
  <c r="CE68" i="1"/>
  <c r="CC69" i="1"/>
  <c r="CD69" i="1"/>
  <c r="CE69" i="1"/>
  <c r="CC70" i="1"/>
  <c r="CD70" i="1"/>
  <c r="CE70" i="1"/>
  <c r="CC71" i="1"/>
  <c r="CD71" i="1"/>
  <c r="CO71" i="1" s="1"/>
  <c r="CE71" i="1"/>
  <c r="CC72" i="1"/>
  <c r="CD72" i="1"/>
  <c r="CE72" i="1"/>
  <c r="CC73" i="1"/>
  <c r="CD73" i="1"/>
  <c r="CE73" i="1"/>
  <c r="CC74" i="1"/>
  <c r="CD74" i="1"/>
  <c r="CE74" i="1"/>
  <c r="CC75" i="1"/>
  <c r="CD75" i="1"/>
  <c r="CO75" i="1" s="1"/>
  <c r="CE75" i="1"/>
  <c r="CC76" i="1"/>
  <c r="CD76" i="1"/>
  <c r="CE76" i="1"/>
  <c r="CC77" i="1"/>
  <c r="CD77" i="1"/>
  <c r="CE77" i="1"/>
  <c r="CC78" i="1"/>
  <c r="CD78" i="1"/>
  <c r="CE78" i="1"/>
  <c r="CC79" i="1"/>
  <c r="CD79" i="1"/>
  <c r="CO79" i="1" s="1"/>
  <c r="CE79" i="1"/>
  <c r="CC80" i="1"/>
  <c r="CD80" i="1"/>
  <c r="CE80" i="1"/>
  <c r="CC81" i="1"/>
  <c r="CD81" i="1"/>
  <c r="CE81" i="1"/>
  <c r="CC82" i="1"/>
  <c r="CD82" i="1"/>
  <c r="CE82" i="1"/>
  <c r="CC83" i="1"/>
  <c r="CD83" i="1"/>
  <c r="CO83" i="1" s="1"/>
  <c r="CE83" i="1"/>
  <c r="CC84" i="1"/>
  <c r="CD84" i="1"/>
  <c r="CE84" i="1"/>
  <c r="CC85" i="1"/>
  <c r="CD85" i="1"/>
  <c r="CE85" i="1"/>
  <c r="CC86" i="1"/>
  <c r="CD86" i="1"/>
  <c r="CE86" i="1"/>
  <c r="CC87" i="1"/>
  <c r="CD87" i="1"/>
  <c r="CO87" i="1" s="1"/>
  <c r="CE87" i="1"/>
  <c r="CC88" i="1"/>
  <c r="CD88" i="1"/>
  <c r="CE88" i="1"/>
  <c r="CC89" i="1"/>
  <c r="CD89" i="1"/>
  <c r="CE89" i="1"/>
  <c r="CC90" i="1"/>
  <c r="CD90" i="1"/>
  <c r="CE90" i="1"/>
  <c r="CC91" i="1"/>
  <c r="CD91" i="1"/>
  <c r="CO91" i="1" s="1"/>
  <c r="CE91" i="1"/>
  <c r="CC92" i="1"/>
  <c r="CD92" i="1"/>
  <c r="CE92" i="1"/>
  <c r="CC93" i="1"/>
  <c r="CD93" i="1"/>
  <c r="CE93" i="1"/>
  <c r="CC94" i="1"/>
  <c r="CD94" i="1"/>
  <c r="CE94" i="1"/>
  <c r="CC95" i="1"/>
  <c r="CD95" i="1"/>
  <c r="CO95" i="1" s="1"/>
  <c r="CE95" i="1"/>
  <c r="CC96" i="1"/>
  <c r="CD96" i="1"/>
  <c r="CE96" i="1"/>
  <c r="CC97" i="1"/>
  <c r="CD97" i="1"/>
  <c r="CE97" i="1"/>
  <c r="CC98" i="1"/>
  <c r="CD98" i="1"/>
  <c r="CE98" i="1"/>
  <c r="CC99" i="1"/>
  <c r="CD99" i="1"/>
  <c r="CO99" i="1" s="1"/>
  <c r="CE99" i="1"/>
  <c r="CC100" i="1"/>
  <c r="CD100" i="1"/>
  <c r="CE100" i="1"/>
  <c r="CC101" i="1"/>
  <c r="CD101" i="1"/>
  <c r="CE101" i="1"/>
  <c r="CC102" i="1"/>
  <c r="CD102" i="1"/>
  <c r="CE102" i="1"/>
  <c r="CC103" i="1"/>
  <c r="CD103" i="1"/>
  <c r="CO103" i="1" s="1"/>
  <c r="CE103" i="1"/>
  <c r="CC104" i="1"/>
  <c r="CD104" i="1"/>
  <c r="CE104" i="1"/>
  <c r="CC105" i="1"/>
  <c r="CD105" i="1"/>
  <c r="CE105" i="1"/>
  <c r="CC106" i="1"/>
  <c r="CD106" i="1"/>
  <c r="CE106" i="1"/>
  <c r="CC107" i="1"/>
  <c r="CD107" i="1"/>
  <c r="CO107" i="1" s="1"/>
  <c r="CE107" i="1"/>
  <c r="CC108" i="1"/>
  <c r="CD108" i="1"/>
  <c r="CE108" i="1"/>
  <c r="CC109" i="1"/>
  <c r="CD109" i="1"/>
  <c r="CE109" i="1"/>
  <c r="CC110" i="1"/>
  <c r="CD110" i="1"/>
  <c r="CE110" i="1"/>
  <c r="CC111" i="1"/>
  <c r="CD111" i="1"/>
  <c r="CO111" i="1" s="1"/>
  <c r="CE111" i="1"/>
  <c r="CC112" i="1"/>
  <c r="CD112" i="1"/>
  <c r="CE112" i="1"/>
  <c r="CC113" i="1"/>
  <c r="CD113" i="1"/>
  <c r="CE113" i="1"/>
  <c r="CC114" i="1"/>
  <c r="CD114" i="1"/>
  <c r="CE114" i="1"/>
  <c r="CC115" i="1"/>
  <c r="CD115" i="1"/>
  <c r="CO115" i="1" s="1"/>
  <c r="CE115" i="1"/>
  <c r="CC116" i="1"/>
  <c r="CD116" i="1"/>
  <c r="CE116" i="1"/>
  <c r="CC117" i="1"/>
  <c r="CD117" i="1"/>
  <c r="CE117" i="1"/>
  <c r="CC118" i="1"/>
  <c r="CD118" i="1"/>
  <c r="CE118" i="1"/>
  <c r="CC119" i="1"/>
  <c r="CD119" i="1"/>
  <c r="CO119" i="1" s="1"/>
  <c r="CE119" i="1"/>
  <c r="CC120" i="1"/>
  <c r="CD120" i="1"/>
  <c r="CE120" i="1"/>
  <c r="CC121" i="1"/>
  <c r="CD121" i="1"/>
  <c r="CE121" i="1"/>
  <c r="CC122" i="1"/>
  <c r="CD122" i="1"/>
  <c r="CE122" i="1"/>
  <c r="CC123" i="1"/>
  <c r="CD123" i="1"/>
  <c r="CO123" i="1" s="1"/>
  <c r="CE123" i="1"/>
  <c r="CC124" i="1"/>
  <c r="CD124" i="1"/>
  <c r="CE124" i="1"/>
  <c r="CC125" i="1"/>
  <c r="CD125" i="1"/>
  <c r="CE125" i="1"/>
  <c r="CC126" i="1"/>
  <c r="CD126" i="1"/>
  <c r="CE126" i="1"/>
  <c r="CC127" i="1"/>
  <c r="CD127" i="1"/>
  <c r="CE127" i="1"/>
  <c r="CC128" i="1"/>
  <c r="CD128" i="1"/>
  <c r="CE128" i="1"/>
  <c r="CC129" i="1"/>
  <c r="CD129" i="1"/>
  <c r="CE129" i="1"/>
  <c r="CC130" i="1"/>
  <c r="CD130" i="1"/>
  <c r="CE130" i="1"/>
  <c r="CC131" i="1"/>
  <c r="CD131" i="1"/>
  <c r="CO131" i="1" s="1"/>
  <c r="CE131" i="1"/>
  <c r="CC132" i="1"/>
  <c r="CD132" i="1"/>
  <c r="CE132" i="1"/>
  <c r="CC133" i="1"/>
  <c r="CD133" i="1"/>
  <c r="CE133" i="1"/>
  <c r="CC134" i="1"/>
  <c r="CD134" i="1"/>
  <c r="CE134" i="1"/>
  <c r="CC135" i="1"/>
  <c r="CD135" i="1"/>
  <c r="CO135" i="1" s="1"/>
  <c r="CE135" i="1"/>
  <c r="CC136" i="1"/>
  <c r="CD136" i="1"/>
  <c r="CE136" i="1"/>
  <c r="CC137" i="1"/>
  <c r="CD137" i="1"/>
  <c r="CE137" i="1"/>
  <c r="CC138" i="1"/>
  <c r="CD138" i="1"/>
  <c r="CE138" i="1"/>
  <c r="CC139" i="1"/>
  <c r="CD139" i="1"/>
  <c r="CO139" i="1" s="1"/>
  <c r="CE139" i="1"/>
  <c r="CC140" i="1"/>
  <c r="CD140" i="1"/>
  <c r="CE140" i="1"/>
  <c r="CC141" i="1"/>
  <c r="CD141" i="1"/>
  <c r="CE141" i="1"/>
  <c r="CC142" i="1"/>
  <c r="CD142" i="1"/>
  <c r="CE142" i="1"/>
  <c r="CC143" i="1"/>
  <c r="CD143" i="1"/>
  <c r="CO143" i="1" s="1"/>
  <c r="CE143" i="1"/>
  <c r="CC144" i="1"/>
  <c r="CD144" i="1"/>
  <c r="CE144" i="1"/>
  <c r="CC145" i="1"/>
  <c r="CD145" i="1"/>
  <c r="CE145" i="1"/>
  <c r="CC146" i="1"/>
  <c r="CD146" i="1"/>
  <c r="CE146" i="1"/>
  <c r="CC147" i="1"/>
  <c r="CD147" i="1"/>
  <c r="CO147" i="1" s="1"/>
  <c r="CE147" i="1"/>
  <c r="CC148" i="1"/>
  <c r="CD148" i="1"/>
  <c r="CE148" i="1"/>
  <c r="CC149" i="1"/>
  <c r="CD149" i="1"/>
  <c r="CE149" i="1"/>
  <c r="CC150" i="1"/>
  <c r="CD150" i="1"/>
  <c r="CE150" i="1"/>
  <c r="CC151" i="1"/>
  <c r="CD151" i="1"/>
  <c r="CO151" i="1" s="1"/>
  <c r="CE151" i="1"/>
  <c r="CC152" i="1"/>
  <c r="CD152" i="1"/>
  <c r="CE152" i="1"/>
  <c r="CC153" i="1"/>
  <c r="CD153" i="1"/>
  <c r="CE153" i="1"/>
  <c r="CC154" i="1"/>
  <c r="CD154" i="1"/>
  <c r="CE154" i="1"/>
  <c r="CC155" i="1"/>
  <c r="CD155" i="1"/>
  <c r="CO155" i="1" s="1"/>
  <c r="CE155" i="1"/>
  <c r="CC156" i="1"/>
  <c r="CD156" i="1"/>
  <c r="CE156" i="1"/>
  <c r="CC157" i="1"/>
  <c r="CD157" i="1"/>
  <c r="CE157" i="1"/>
  <c r="CC158" i="1"/>
  <c r="CD158" i="1"/>
  <c r="CE158" i="1"/>
  <c r="CC159" i="1"/>
  <c r="CD159" i="1"/>
  <c r="CO159" i="1" s="1"/>
  <c r="CE159" i="1"/>
  <c r="CC160" i="1"/>
  <c r="CD160" i="1"/>
  <c r="CE160" i="1"/>
  <c r="CC161" i="1"/>
  <c r="CD161" i="1"/>
  <c r="CE161" i="1"/>
  <c r="CC162" i="1"/>
  <c r="CD162" i="1"/>
  <c r="CE162" i="1"/>
  <c r="CC163" i="1"/>
  <c r="CD163" i="1"/>
  <c r="CO163" i="1" s="1"/>
  <c r="CE163" i="1"/>
  <c r="CC164" i="1"/>
  <c r="CD164" i="1"/>
  <c r="CE164" i="1"/>
  <c r="CC165" i="1"/>
  <c r="CD165" i="1"/>
  <c r="CE165" i="1"/>
  <c r="CC166" i="1"/>
  <c r="CD166" i="1"/>
  <c r="CE166" i="1"/>
  <c r="CC167" i="1"/>
  <c r="CD167" i="1"/>
  <c r="CO167" i="1" s="1"/>
  <c r="CE167" i="1"/>
  <c r="CC168" i="1"/>
  <c r="CD168" i="1"/>
  <c r="CE168" i="1"/>
  <c r="CC169" i="1"/>
  <c r="CD169" i="1"/>
  <c r="CE169" i="1"/>
  <c r="CC170" i="1"/>
  <c r="CD170" i="1"/>
  <c r="CE170" i="1"/>
  <c r="CC171" i="1"/>
  <c r="CD171" i="1"/>
  <c r="CO171" i="1" s="1"/>
  <c r="CE171" i="1"/>
  <c r="CC172" i="1"/>
  <c r="CD172" i="1"/>
  <c r="CE172" i="1"/>
  <c r="CC173" i="1"/>
  <c r="CD173" i="1"/>
  <c r="CE173" i="1"/>
  <c r="CC174" i="1"/>
  <c r="CD174" i="1"/>
  <c r="CE174" i="1"/>
  <c r="CC175" i="1"/>
  <c r="CD175" i="1"/>
  <c r="CO175" i="1" s="1"/>
  <c r="CE175" i="1"/>
  <c r="CC176" i="1"/>
  <c r="CD176" i="1"/>
  <c r="CE176" i="1"/>
  <c r="CC177" i="1"/>
  <c r="CD177" i="1"/>
  <c r="CE177" i="1"/>
  <c r="CC178" i="1"/>
  <c r="CD178" i="1"/>
  <c r="CE178" i="1"/>
  <c r="CC179" i="1"/>
  <c r="CD179" i="1"/>
  <c r="CO179" i="1" s="1"/>
  <c r="CE179" i="1"/>
  <c r="CC180" i="1"/>
  <c r="CD180" i="1"/>
  <c r="CE180" i="1"/>
  <c r="CC181" i="1"/>
  <c r="CD181" i="1"/>
  <c r="CE181" i="1"/>
  <c r="CC182" i="1"/>
  <c r="CD182" i="1"/>
  <c r="CE182" i="1"/>
  <c r="CC183" i="1"/>
  <c r="CD183" i="1"/>
  <c r="CO183" i="1" s="1"/>
  <c r="CE183" i="1"/>
  <c r="CC184" i="1"/>
  <c r="CD184" i="1"/>
  <c r="CE184" i="1"/>
  <c r="CC185" i="1"/>
  <c r="CD185" i="1"/>
  <c r="CE185" i="1"/>
  <c r="CC186" i="1"/>
  <c r="CD186" i="1"/>
  <c r="CE186" i="1"/>
  <c r="CC187" i="1"/>
  <c r="CD187" i="1"/>
  <c r="CO187" i="1" s="1"/>
  <c r="CE187" i="1"/>
  <c r="CC188" i="1"/>
  <c r="CD188" i="1"/>
  <c r="CE188" i="1"/>
  <c r="CC189" i="1"/>
  <c r="CD189" i="1"/>
  <c r="CE189" i="1"/>
  <c r="CC190" i="1"/>
  <c r="CD190" i="1"/>
  <c r="CE190" i="1"/>
  <c r="CC191" i="1"/>
  <c r="CD191" i="1"/>
  <c r="CE191" i="1"/>
  <c r="CC192" i="1"/>
  <c r="CD192" i="1"/>
  <c r="CE192" i="1"/>
  <c r="CC193" i="1"/>
  <c r="CD193" i="1"/>
  <c r="CE193" i="1"/>
  <c r="CC194" i="1"/>
  <c r="CD194" i="1"/>
  <c r="CE194" i="1"/>
  <c r="CC195" i="1"/>
  <c r="CD195" i="1"/>
  <c r="CO195" i="1" s="1"/>
  <c r="CE195" i="1"/>
  <c r="CC196" i="1"/>
  <c r="CD196" i="1"/>
  <c r="CE196" i="1"/>
  <c r="CC197" i="1"/>
  <c r="CD197" i="1"/>
  <c r="CE197" i="1"/>
  <c r="CC198" i="1"/>
  <c r="CD198" i="1"/>
  <c r="CE198" i="1"/>
  <c r="CC199" i="1"/>
  <c r="CD199" i="1"/>
  <c r="CO199" i="1" s="1"/>
  <c r="CE199" i="1"/>
  <c r="CC200" i="1"/>
  <c r="CD200" i="1"/>
  <c r="CE200" i="1"/>
  <c r="CC201" i="1"/>
  <c r="CD201" i="1"/>
  <c r="CE201" i="1"/>
  <c r="CC202" i="1"/>
  <c r="CD202" i="1"/>
  <c r="CE202" i="1"/>
  <c r="CC203" i="1"/>
  <c r="CD203" i="1"/>
  <c r="CO203" i="1" s="1"/>
  <c r="CE203" i="1"/>
  <c r="CC204" i="1"/>
  <c r="CD204" i="1"/>
  <c r="CE204" i="1"/>
  <c r="CC205" i="1"/>
  <c r="CD205" i="1"/>
  <c r="CE205" i="1"/>
  <c r="CC206" i="1"/>
  <c r="CD206" i="1"/>
  <c r="CE206" i="1"/>
  <c r="CC207" i="1"/>
  <c r="CD207" i="1"/>
  <c r="CO207" i="1" s="1"/>
  <c r="CE207" i="1"/>
  <c r="CC208" i="1"/>
  <c r="CD208" i="1"/>
  <c r="CE208" i="1"/>
  <c r="CC209" i="1"/>
  <c r="CD209" i="1"/>
  <c r="CE209" i="1"/>
  <c r="CC210" i="1"/>
  <c r="CD210" i="1"/>
  <c r="CE210" i="1"/>
  <c r="CC211" i="1"/>
  <c r="CD211" i="1"/>
  <c r="CO211" i="1" s="1"/>
  <c r="CE211" i="1"/>
  <c r="CC212" i="1"/>
  <c r="CD212" i="1"/>
  <c r="CE212" i="1"/>
  <c r="CC213" i="1"/>
  <c r="CD213" i="1"/>
  <c r="CE213" i="1"/>
  <c r="CC214" i="1"/>
  <c r="CD214" i="1"/>
  <c r="CE214" i="1"/>
  <c r="CC215" i="1"/>
  <c r="CD215" i="1"/>
  <c r="CO215" i="1" s="1"/>
  <c r="CE215" i="1"/>
  <c r="CC216" i="1"/>
  <c r="CD216" i="1"/>
  <c r="CE216" i="1"/>
  <c r="CC217" i="1"/>
  <c r="CD217" i="1"/>
  <c r="CE217" i="1"/>
  <c r="CC218" i="1"/>
  <c r="CD218" i="1"/>
  <c r="CE218" i="1"/>
  <c r="CC219" i="1"/>
  <c r="CD219" i="1"/>
  <c r="CO219" i="1" s="1"/>
  <c r="CE219" i="1"/>
  <c r="CC220" i="1"/>
  <c r="CD220" i="1"/>
  <c r="CE220" i="1"/>
  <c r="CC221" i="1"/>
  <c r="CD221" i="1"/>
  <c r="CE221" i="1"/>
  <c r="CC222" i="1"/>
  <c r="CD222" i="1"/>
  <c r="CE222" i="1"/>
  <c r="CC223" i="1"/>
  <c r="CD223" i="1"/>
  <c r="CO223" i="1" s="1"/>
  <c r="CE223" i="1"/>
  <c r="CC224" i="1"/>
  <c r="CD224" i="1"/>
  <c r="CE224" i="1"/>
  <c r="CC225" i="1"/>
  <c r="CD225" i="1"/>
  <c r="CE225" i="1"/>
  <c r="CC226" i="1"/>
  <c r="CD226" i="1"/>
  <c r="CE226" i="1"/>
  <c r="CC227" i="1"/>
  <c r="CD227" i="1"/>
  <c r="CO227" i="1" s="1"/>
  <c r="CE227" i="1"/>
  <c r="CC228" i="1"/>
  <c r="CD228" i="1"/>
  <c r="CE228" i="1"/>
  <c r="CC229" i="1"/>
  <c r="CD229" i="1"/>
  <c r="CE229" i="1"/>
  <c r="CC230" i="1"/>
  <c r="CD230" i="1"/>
  <c r="CE230" i="1"/>
  <c r="CC231" i="1"/>
  <c r="CD231" i="1"/>
  <c r="CO231" i="1" s="1"/>
  <c r="CE231" i="1"/>
  <c r="CC232" i="1"/>
  <c r="CD232" i="1"/>
  <c r="CE232" i="1"/>
  <c r="CC233" i="1"/>
  <c r="CD233" i="1"/>
  <c r="CE233" i="1"/>
  <c r="CC234" i="1"/>
  <c r="CD234" i="1"/>
  <c r="CE234" i="1"/>
  <c r="CC235" i="1"/>
  <c r="CD235" i="1"/>
  <c r="CO235" i="1" s="1"/>
  <c r="CE235" i="1"/>
  <c r="CC236" i="1"/>
  <c r="CD236" i="1"/>
  <c r="CE236" i="1"/>
  <c r="CC237" i="1"/>
  <c r="CD237" i="1"/>
  <c r="CE237" i="1"/>
  <c r="CC238" i="1"/>
  <c r="CD238" i="1"/>
  <c r="CE238" i="1"/>
  <c r="CC239" i="1"/>
  <c r="CD239" i="1"/>
  <c r="CO239" i="1" s="1"/>
  <c r="CE239" i="1"/>
  <c r="CC240" i="1"/>
  <c r="CD240" i="1"/>
  <c r="CE240" i="1"/>
  <c r="CC241" i="1"/>
  <c r="CD241" i="1"/>
  <c r="CE241" i="1"/>
  <c r="CC242" i="1"/>
  <c r="CD242" i="1"/>
  <c r="CE242" i="1"/>
  <c r="CC243" i="1"/>
  <c r="CD243" i="1"/>
  <c r="CO243" i="1" s="1"/>
  <c r="CE243" i="1"/>
  <c r="CC244" i="1"/>
  <c r="CD244" i="1"/>
  <c r="CE244" i="1"/>
  <c r="CC245" i="1"/>
  <c r="CD245" i="1"/>
  <c r="CE245" i="1"/>
  <c r="CC246" i="1"/>
  <c r="CD246" i="1"/>
  <c r="CE246" i="1"/>
  <c r="CC247" i="1"/>
  <c r="CD247" i="1"/>
  <c r="CO247" i="1" s="1"/>
  <c r="CE247" i="1"/>
  <c r="CC248" i="1"/>
  <c r="CD248" i="1"/>
  <c r="CE248" i="1"/>
  <c r="CC249" i="1"/>
  <c r="CD249" i="1"/>
  <c r="CE249" i="1"/>
  <c r="CC250" i="1"/>
  <c r="CD250" i="1"/>
  <c r="CE250" i="1"/>
  <c r="CC251" i="1"/>
  <c r="CD251" i="1"/>
  <c r="CE251" i="1"/>
  <c r="CC252" i="1"/>
  <c r="CD252" i="1"/>
  <c r="CE252" i="1"/>
  <c r="CC253" i="1"/>
  <c r="CD253" i="1"/>
  <c r="CE253" i="1"/>
  <c r="CC254" i="1"/>
  <c r="CD254" i="1"/>
  <c r="CE254" i="1"/>
  <c r="CC255" i="1"/>
  <c r="CD255" i="1"/>
  <c r="CO255" i="1" s="1"/>
  <c r="CE255" i="1"/>
  <c r="CC256" i="1"/>
  <c r="CD256" i="1"/>
  <c r="CE256" i="1"/>
  <c r="CC257" i="1"/>
  <c r="CD257" i="1"/>
  <c r="CE257" i="1"/>
  <c r="CC258" i="1"/>
  <c r="CD258" i="1"/>
  <c r="CE258" i="1"/>
  <c r="CC259" i="1"/>
  <c r="CD259" i="1"/>
  <c r="CO259" i="1" s="1"/>
  <c r="CE259" i="1"/>
  <c r="CC260" i="1"/>
  <c r="CD260" i="1"/>
  <c r="CE260" i="1"/>
  <c r="CC261" i="1"/>
  <c r="CD261" i="1"/>
  <c r="CE261" i="1"/>
  <c r="CC262" i="1"/>
  <c r="CD262" i="1"/>
  <c r="CE262" i="1"/>
  <c r="CC263" i="1"/>
  <c r="CD263" i="1"/>
  <c r="CO263" i="1" s="1"/>
  <c r="CE263" i="1"/>
  <c r="CC264" i="1"/>
  <c r="CD264" i="1"/>
  <c r="CE264" i="1"/>
  <c r="CC265" i="1"/>
  <c r="CD265" i="1"/>
  <c r="CE265" i="1"/>
  <c r="CC266" i="1"/>
  <c r="CD266" i="1"/>
  <c r="CE266" i="1"/>
  <c r="CC267" i="1"/>
  <c r="CD267" i="1"/>
  <c r="CO267" i="1" s="1"/>
  <c r="CE267" i="1"/>
  <c r="CC268" i="1"/>
  <c r="CD268" i="1"/>
  <c r="CE268" i="1"/>
  <c r="CC269" i="1"/>
  <c r="CD269" i="1"/>
  <c r="CE269" i="1"/>
  <c r="CC270" i="1"/>
  <c r="CD270" i="1"/>
  <c r="CE270" i="1"/>
  <c r="CC271" i="1"/>
  <c r="CD271" i="1"/>
  <c r="CO271" i="1" s="1"/>
  <c r="CE271" i="1"/>
  <c r="CE6" i="1"/>
  <c r="CD6" i="1"/>
  <c r="CC6" i="1"/>
  <c r="CA113" i="1"/>
  <c r="BT66" i="1" a="1"/>
  <c r="BT66" i="1" s="1"/>
  <c r="BT90" i="1" a="1"/>
  <c r="BT90" i="1" s="1"/>
  <c r="BT132" i="1" a="1"/>
  <c r="BT132" i="1" s="1"/>
  <c r="BT180" i="1" a="1"/>
  <c r="BT180" i="1" s="1"/>
  <c r="BT191" i="1" a="1"/>
  <c r="BT191" i="1" s="1"/>
  <c r="CO63" i="1"/>
  <c r="CO127" i="1"/>
  <c r="CO191" i="1"/>
  <c r="CO236" i="1"/>
  <c r="CO251" i="1"/>
  <c r="BN132" i="1" a="1"/>
  <c r="BN132" i="1" s="1"/>
  <c r="CA132" i="1" s="1"/>
  <c r="BT2" i="1" a="1"/>
  <c r="BT2" i="1" s="1"/>
  <c r="BT4" i="1" a="1"/>
  <c r="BT4" i="1" s="1"/>
  <c r="BH2" i="1"/>
  <c r="BI2" i="1"/>
  <c r="BG2" i="1"/>
  <c r="BN1" i="1" a="1"/>
  <c r="BN1" i="1" s="1"/>
  <c r="BN2" i="1" s="1"/>
  <c r="BI4" i="1"/>
  <c r="BH4" i="1"/>
  <c r="BG4" i="1"/>
  <c r="BN90" i="1" a="1"/>
  <c r="BN90" i="1" s="1"/>
  <c r="CA90" i="1" s="1"/>
  <c r="BN124" i="1" a="1"/>
  <c r="BN124" i="1" s="1"/>
  <c r="CA124" i="1" s="1"/>
  <c r="BN180" i="1" a="1"/>
  <c r="BN180" i="1" s="1"/>
  <c r="CA180" i="1" s="1"/>
  <c r="BY113" i="1"/>
  <c r="BN3" i="1" a="1"/>
  <c r="BN3" i="1" s="1"/>
  <c r="BP67" i="1" a="1"/>
  <c r="BP67" i="1" s="1"/>
  <c r="BP68" i="1" a="1"/>
  <c r="BP68" i="1" s="1"/>
  <c r="BP69" i="1" a="1"/>
  <c r="BP69" i="1" s="1"/>
  <c r="BP70" i="1" a="1"/>
  <c r="BP70" i="1" s="1"/>
  <c r="BP71" i="1" a="1"/>
  <c r="BP71" i="1" s="1"/>
  <c r="BP72" i="1" a="1"/>
  <c r="BP72" i="1" s="1"/>
  <c r="BP73" i="1" a="1"/>
  <c r="BP73" i="1" s="1"/>
  <c r="BP74" i="1" a="1"/>
  <c r="BP74" i="1" s="1"/>
  <c r="BP75" i="1" a="1"/>
  <c r="BP75" i="1" s="1"/>
  <c r="BP76" i="1" a="1"/>
  <c r="BP76" i="1" s="1"/>
  <c r="BP77" i="1" a="1"/>
  <c r="BP77" i="1" s="1"/>
  <c r="BP78" i="1" a="1"/>
  <c r="BP78" i="1" s="1"/>
  <c r="BP79" i="1" a="1"/>
  <c r="BP79" i="1" s="1"/>
  <c r="BP80" i="1" a="1"/>
  <c r="BP80" i="1" s="1"/>
  <c r="BP81" i="1" a="1"/>
  <c r="BP81" i="1" s="1"/>
  <c r="BP82" i="1" a="1"/>
  <c r="BP82" i="1" s="1"/>
  <c r="BP83" i="1" a="1"/>
  <c r="BP83" i="1" s="1"/>
  <c r="BP84" i="1" a="1"/>
  <c r="BP84" i="1" s="1"/>
  <c r="BP85" i="1" a="1"/>
  <c r="BP85" i="1" s="1"/>
  <c r="BP86" i="1" a="1"/>
  <c r="BP86" i="1" s="1"/>
  <c r="BP87" i="1" a="1"/>
  <c r="BP87" i="1" s="1"/>
  <c r="BP88" i="1" a="1"/>
  <c r="BP88" i="1" s="1"/>
  <c r="BP89" i="1" a="1"/>
  <c r="BP89" i="1" s="1"/>
  <c r="BP90" i="1" a="1"/>
  <c r="BP90" i="1" s="1"/>
  <c r="BP91" i="1" a="1"/>
  <c r="BP91" i="1" s="1"/>
  <c r="BP92" i="1" a="1"/>
  <c r="BP92" i="1" s="1"/>
  <c r="BP93" i="1" a="1"/>
  <c r="BP93" i="1" s="1"/>
  <c r="BP94" i="1" a="1"/>
  <c r="BP94" i="1" s="1"/>
  <c r="BP95" i="1" a="1"/>
  <c r="BP95" i="1" s="1"/>
  <c r="BP96" i="1" a="1"/>
  <c r="BP96" i="1" s="1"/>
  <c r="BP97" i="1" a="1"/>
  <c r="BP97" i="1" s="1"/>
  <c r="BP98" i="1" a="1"/>
  <c r="BP98" i="1" s="1"/>
  <c r="BP99" i="1" a="1"/>
  <c r="BP99" i="1" s="1"/>
  <c r="BP100" i="1" a="1"/>
  <c r="BP100" i="1" s="1"/>
  <c r="BP101" i="1" a="1"/>
  <c r="BP101" i="1" s="1"/>
  <c r="BP102" i="1" a="1"/>
  <c r="BP102" i="1" s="1"/>
  <c r="BP103" i="1" a="1"/>
  <c r="BP103" i="1" s="1"/>
  <c r="BP104" i="1" a="1"/>
  <c r="BP104" i="1" s="1"/>
  <c r="BP105" i="1" a="1"/>
  <c r="BP105" i="1" s="1"/>
  <c r="BP106" i="1" a="1"/>
  <c r="BP106" i="1" s="1"/>
  <c r="BP107" i="1" a="1"/>
  <c r="BP107" i="1" s="1"/>
  <c r="BP108" i="1" a="1"/>
  <c r="BP108" i="1" s="1"/>
  <c r="BP109" i="1" a="1"/>
  <c r="BP109" i="1" s="1"/>
  <c r="BP110" i="1" a="1"/>
  <c r="BP110" i="1" s="1"/>
  <c r="BP111" i="1" a="1"/>
  <c r="BP111" i="1" s="1"/>
  <c r="BP112" i="1" a="1"/>
  <c r="BP112" i="1" s="1"/>
  <c r="BP113" i="1" a="1"/>
  <c r="BP113" i="1" s="1"/>
  <c r="BP114" i="1" a="1"/>
  <c r="BP114" i="1" s="1"/>
  <c r="BP115" i="1" a="1"/>
  <c r="BP115" i="1" s="1"/>
  <c r="BP116" i="1" a="1"/>
  <c r="BP116" i="1" s="1"/>
  <c r="BP117" i="1" a="1"/>
  <c r="BP117" i="1" s="1"/>
  <c r="BP118" i="1" a="1"/>
  <c r="BP118" i="1" s="1"/>
  <c r="BP119" i="1" a="1"/>
  <c r="BP119" i="1" s="1"/>
  <c r="BP120" i="1" a="1"/>
  <c r="BP120" i="1" s="1"/>
  <c r="BP121" i="1" a="1"/>
  <c r="BP121" i="1" s="1"/>
  <c r="BP122" i="1" a="1"/>
  <c r="BP122" i="1" s="1"/>
  <c r="BP123" i="1" a="1"/>
  <c r="BP123" i="1" s="1"/>
  <c r="BP124" i="1" a="1"/>
  <c r="BP124" i="1" s="1"/>
  <c r="BP125" i="1" a="1"/>
  <c r="BP125" i="1" s="1"/>
  <c r="BP126" i="1" a="1"/>
  <c r="BP126" i="1" s="1"/>
  <c r="BP127" i="1" a="1"/>
  <c r="BP127" i="1" s="1"/>
  <c r="BP128" i="1" a="1"/>
  <c r="BP128" i="1" s="1"/>
  <c r="BP129" i="1" a="1"/>
  <c r="BP129" i="1" s="1"/>
  <c r="BP130" i="1" a="1"/>
  <c r="BP130" i="1" s="1"/>
  <c r="BP131" i="1" a="1"/>
  <c r="BP131" i="1" s="1"/>
  <c r="BP132" i="1" a="1"/>
  <c r="BP132" i="1" s="1"/>
  <c r="BP133" i="1" a="1"/>
  <c r="BP133" i="1" s="1"/>
  <c r="BP134" i="1" a="1"/>
  <c r="BP134" i="1" s="1"/>
  <c r="BP135" i="1" a="1"/>
  <c r="BP135" i="1" s="1"/>
  <c r="BP136" i="1" a="1"/>
  <c r="BP136" i="1" s="1"/>
  <c r="BP137" i="1" a="1"/>
  <c r="BP137" i="1" s="1"/>
  <c r="BP138" i="1" a="1"/>
  <c r="BP138" i="1" s="1"/>
  <c r="BP139" i="1" a="1"/>
  <c r="BP139" i="1" s="1"/>
  <c r="BP140" i="1" a="1"/>
  <c r="BP140" i="1" s="1"/>
  <c r="BP141" i="1" a="1"/>
  <c r="BP141" i="1" s="1"/>
  <c r="BP142" i="1" a="1"/>
  <c r="BP142" i="1" s="1"/>
  <c r="BP143" i="1" a="1"/>
  <c r="BP143" i="1" s="1"/>
  <c r="BP144" i="1" a="1"/>
  <c r="BP144" i="1" s="1"/>
  <c r="BP145" i="1" a="1"/>
  <c r="BP145" i="1" s="1"/>
  <c r="BP146" i="1" a="1"/>
  <c r="BP146" i="1" s="1"/>
  <c r="BP147" i="1" a="1"/>
  <c r="BP147" i="1" s="1"/>
  <c r="BP148" i="1" a="1"/>
  <c r="BP148" i="1" s="1"/>
  <c r="BP149" i="1" a="1"/>
  <c r="BP149" i="1" s="1"/>
  <c r="BP150" i="1" a="1"/>
  <c r="BP150" i="1" s="1"/>
  <c r="BP151" i="1" a="1"/>
  <c r="BP151" i="1" s="1"/>
  <c r="BP152" i="1" a="1"/>
  <c r="BP152" i="1" s="1"/>
  <c r="BP153" i="1" a="1"/>
  <c r="BP153" i="1" s="1"/>
  <c r="BP154" i="1" a="1"/>
  <c r="BP154" i="1" s="1"/>
  <c r="BP155" i="1" a="1"/>
  <c r="BP155" i="1" s="1"/>
  <c r="BP156" i="1" a="1"/>
  <c r="BP156" i="1" s="1"/>
  <c r="BP157" i="1" a="1"/>
  <c r="BP157" i="1" s="1"/>
  <c r="BP158" i="1" a="1"/>
  <c r="BP158" i="1" s="1"/>
  <c r="BP159" i="1" a="1"/>
  <c r="BP159" i="1" s="1"/>
  <c r="BP160" i="1" a="1"/>
  <c r="BP160" i="1" s="1"/>
  <c r="BP161" i="1" a="1"/>
  <c r="BP161" i="1" s="1"/>
  <c r="BP162" i="1" a="1"/>
  <c r="BP162" i="1" s="1"/>
  <c r="BP163" i="1" a="1"/>
  <c r="BP163" i="1" s="1"/>
  <c r="BP164" i="1" a="1"/>
  <c r="BP164" i="1" s="1"/>
  <c r="BP165" i="1" a="1"/>
  <c r="BP165" i="1" s="1"/>
  <c r="BP166" i="1" a="1"/>
  <c r="BP166" i="1" s="1"/>
  <c r="BP167" i="1" a="1"/>
  <c r="BP167" i="1" s="1"/>
  <c r="BP168" i="1" a="1"/>
  <c r="BP168" i="1" s="1"/>
  <c r="BP169" i="1" a="1"/>
  <c r="BP169" i="1" s="1"/>
  <c r="BP170" i="1" a="1"/>
  <c r="BP170" i="1" s="1"/>
  <c r="BP171" i="1" a="1"/>
  <c r="BP171" i="1" s="1"/>
  <c r="BP172" i="1" a="1"/>
  <c r="BP172" i="1" s="1"/>
  <c r="BP173" i="1" a="1"/>
  <c r="BP173" i="1" s="1"/>
  <c r="BP174" i="1" a="1"/>
  <c r="BP174" i="1" s="1"/>
  <c r="BP175" i="1" a="1"/>
  <c r="BP175" i="1" s="1"/>
  <c r="BP176" i="1" a="1"/>
  <c r="BP176" i="1" s="1"/>
  <c r="BP177" i="1" a="1"/>
  <c r="BP177" i="1" s="1"/>
  <c r="BP178" i="1" a="1"/>
  <c r="BP178" i="1" s="1"/>
  <c r="BP179" i="1" a="1"/>
  <c r="BP179" i="1" s="1"/>
  <c r="BP180" i="1" a="1"/>
  <c r="BP180" i="1" s="1"/>
  <c r="BP181" i="1" a="1"/>
  <c r="BP181" i="1" s="1"/>
  <c r="BP182" i="1" a="1"/>
  <c r="BP182" i="1" s="1"/>
  <c r="BP183" i="1" a="1"/>
  <c r="BP183" i="1" s="1"/>
  <c r="BP184" i="1" a="1"/>
  <c r="BP184" i="1" s="1"/>
  <c r="BP185" i="1" a="1"/>
  <c r="BP185" i="1" s="1"/>
  <c r="BP186" i="1" a="1"/>
  <c r="BP186" i="1" s="1"/>
  <c r="BP187" i="1" a="1"/>
  <c r="BP187" i="1" s="1"/>
  <c r="BP188" i="1" a="1"/>
  <c r="BP188" i="1" s="1"/>
  <c r="BP189" i="1" a="1"/>
  <c r="BP189" i="1" s="1"/>
  <c r="BP190" i="1" a="1"/>
  <c r="BP190" i="1" s="1"/>
  <c r="BP191" i="1" a="1"/>
  <c r="BP191" i="1" s="1"/>
  <c r="BP192" i="1" a="1"/>
  <c r="BP192" i="1" s="1"/>
  <c r="BP193" i="1" a="1"/>
  <c r="BP193" i="1" s="1"/>
  <c r="BP194" i="1" a="1"/>
  <c r="BP194" i="1" s="1"/>
  <c r="BP195" i="1" a="1"/>
  <c r="BP195" i="1" s="1"/>
  <c r="BP196" i="1" a="1"/>
  <c r="BP196" i="1" s="1"/>
  <c r="BP197" i="1" a="1"/>
  <c r="BP197" i="1" s="1"/>
  <c r="BP198" i="1" a="1"/>
  <c r="BP198" i="1" s="1"/>
  <c r="BP199" i="1" a="1"/>
  <c r="BP199" i="1" s="1"/>
  <c r="BP200" i="1" a="1"/>
  <c r="BP200" i="1" s="1"/>
  <c r="BP201" i="1" a="1"/>
  <c r="BP201" i="1" s="1"/>
  <c r="BP202" i="1" a="1"/>
  <c r="BP202" i="1" s="1"/>
  <c r="BP203" i="1" a="1"/>
  <c r="BP203" i="1" s="1"/>
  <c r="BP204" i="1" a="1"/>
  <c r="BP204" i="1" s="1"/>
  <c r="BP205" i="1" a="1"/>
  <c r="BP205" i="1" s="1"/>
  <c r="BP206" i="1" a="1"/>
  <c r="BP206" i="1" s="1"/>
  <c r="BP207" i="1" a="1"/>
  <c r="BP207" i="1" s="1"/>
  <c r="BP208" i="1" a="1"/>
  <c r="BP208" i="1" s="1"/>
  <c r="BP209" i="1" a="1"/>
  <c r="BP209" i="1" s="1"/>
  <c r="BP210" i="1" a="1"/>
  <c r="BP210" i="1" s="1"/>
  <c r="BP211" i="1" a="1"/>
  <c r="BP211" i="1" s="1"/>
  <c r="BP212" i="1" a="1"/>
  <c r="BP212" i="1" s="1"/>
  <c r="BP213" i="1" a="1"/>
  <c r="BP213" i="1" s="1"/>
  <c r="BP214" i="1" a="1"/>
  <c r="BP214" i="1" s="1"/>
  <c r="BP215" i="1" a="1"/>
  <c r="BP215" i="1" s="1"/>
  <c r="BP216" i="1" a="1"/>
  <c r="BP216" i="1" s="1"/>
  <c r="BP217" i="1" a="1"/>
  <c r="BP217" i="1" s="1"/>
  <c r="BP218" i="1" a="1"/>
  <c r="BP218" i="1" s="1"/>
  <c r="BP219" i="1" a="1"/>
  <c r="BP219" i="1" s="1"/>
  <c r="BP220" i="1" a="1"/>
  <c r="BP220" i="1" s="1"/>
  <c r="BP221" i="1" a="1"/>
  <c r="BP221" i="1" s="1"/>
  <c r="BP222" i="1" a="1"/>
  <c r="BP222" i="1" s="1"/>
  <c r="BP223" i="1" a="1"/>
  <c r="BP223" i="1" s="1"/>
  <c r="BP224" i="1" a="1"/>
  <c r="BP224" i="1" s="1"/>
  <c r="BP225" i="1" a="1"/>
  <c r="BP225" i="1" s="1"/>
  <c r="BP226" i="1" a="1"/>
  <c r="BP226" i="1" s="1"/>
  <c r="BP227" i="1" a="1"/>
  <c r="BP227" i="1" s="1"/>
  <c r="BP228" i="1" a="1"/>
  <c r="BP228" i="1" s="1"/>
  <c r="BP229" i="1" a="1"/>
  <c r="BP229" i="1" s="1"/>
  <c r="BP230" i="1" a="1"/>
  <c r="BP230" i="1" s="1"/>
  <c r="BP231" i="1" a="1"/>
  <c r="BP231" i="1" s="1"/>
  <c r="BP232" i="1" a="1"/>
  <c r="BP232" i="1" s="1"/>
  <c r="BP233" i="1" a="1"/>
  <c r="BP233" i="1" s="1"/>
  <c r="BP234" i="1" a="1"/>
  <c r="BP234" i="1" s="1"/>
  <c r="BP235" i="1" a="1"/>
  <c r="BP235" i="1" s="1"/>
  <c r="BP236" i="1" a="1"/>
  <c r="BP236" i="1" s="1"/>
  <c r="BP237" i="1" a="1"/>
  <c r="BP237" i="1" s="1"/>
  <c r="BP238" i="1" a="1"/>
  <c r="BP238" i="1" s="1"/>
  <c r="BP239" i="1" a="1"/>
  <c r="BP239" i="1" s="1"/>
  <c r="BP240" i="1" a="1"/>
  <c r="BP240" i="1" s="1"/>
  <c r="BP241" i="1" a="1"/>
  <c r="BP241" i="1" s="1"/>
  <c r="BP242" i="1" a="1"/>
  <c r="BP242" i="1" s="1"/>
  <c r="BP243" i="1" a="1"/>
  <c r="BP243" i="1" s="1"/>
  <c r="BP244" i="1" a="1"/>
  <c r="BP244" i="1" s="1"/>
  <c r="BP245" i="1" a="1"/>
  <c r="BP245" i="1" s="1"/>
  <c r="BP246" i="1" a="1"/>
  <c r="BP246" i="1" s="1"/>
  <c r="BP247" i="1" a="1"/>
  <c r="BP247" i="1" s="1"/>
  <c r="BP248" i="1" a="1"/>
  <c r="BP248" i="1" s="1"/>
  <c r="BP249" i="1" a="1"/>
  <c r="BP249" i="1" s="1"/>
  <c r="BP250" i="1" a="1"/>
  <c r="BP250" i="1" s="1"/>
  <c r="BP251" i="1" a="1"/>
  <c r="BP251" i="1" s="1"/>
  <c r="BP252" i="1" a="1"/>
  <c r="BP252" i="1" s="1"/>
  <c r="BP253" i="1" a="1"/>
  <c r="BP253" i="1" s="1"/>
  <c r="BP254" i="1" a="1"/>
  <c r="BP254" i="1" s="1"/>
  <c r="BP255" i="1" a="1"/>
  <c r="BP255" i="1" s="1"/>
  <c r="BP256" i="1" a="1"/>
  <c r="BP256" i="1" s="1"/>
  <c r="BP257" i="1" a="1"/>
  <c r="BP257" i="1" s="1"/>
  <c r="BP258" i="1" a="1"/>
  <c r="BP258" i="1" s="1"/>
  <c r="BP259" i="1" a="1"/>
  <c r="BP259" i="1" s="1"/>
  <c r="BP260" i="1" a="1"/>
  <c r="BP260" i="1" s="1"/>
  <c r="BP261" i="1" a="1"/>
  <c r="BP261" i="1" s="1"/>
  <c r="BP262" i="1" a="1"/>
  <c r="BP262" i="1" s="1"/>
  <c r="BP263" i="1" a="1"/>
  <c r="BP263" i="1" s="1"/>
  <c r="BP264" i="1" a="1"/>
  <c r="BP264" i="1" s="1"/>
  <c r="BP265" i="1" a="1"/>
  <c r="BP265" i="1" s="1"/>
  <c r="BP266" i="1" a="1"/>
  <c r="BP266" i="1" s="1"/>
  <c r="BP267" i="1" a="1"/>
  <c r="BP267" i="1" s="1"/>
  <c r="BP268" i="1" a="1"/>
  <c r="BP268" i="1" s="1"/>
  <c r="BP269" i="1" a="1"/>
  <c r="BP269" i="1" s="1"/>
  <c r="BP270" i="1" a="1"/>
  <c r="BP270" i="1" s="1"/>
  <c r="BP271" i="1" a="1"/>
  <c r="BP271" i="1" s="1"/>
  <c r="BP6" i="1" a="1"/>
  <c r="BP6" i="1" s="1"/>
  <c r="BP7" i="1" a="1"/>
  <c r="BP7" i="1" s="1"/>
  <c r="BP8" i="1" a="1"/>
  <c r="BP8" i="1" s="1"/>
  <c r="BP9" i="1" a="1"/>
  <c r="BP9" i="1" s="1"/>
  <c r="BP10" i="1" a="1"/>
  <c r="BP10" i="1" s="1"/>
  <c r="BP11" i="1" a="1"/>
  <c r="BP11" i="1" s="1"/>
  <c r="BP12" i="1" a="1"/>
  <c r="BP12" i="1" s="1"/>
  <c r="BP13" i="1" a="1"/>
  <c r="BP13" i="1" s="1"/>
  <c r="BP14" i="1" a="1"/>
  <c r="BP14" i="1" s="1"/>
  <c r="BP15" i="1" a="1"/>
  <c r="BP15" i="1" s="1"/>
  <c r="BP16" i="1" a="1"/>
  <c r="BP16" i="1" s="1"/>
  <c r="BP17" i="1" a="1"/>
  <c r="BP17" i="1" s="1"/>
  <c r="BP18" i="1" a="1"/>
  <c r="BP18" i="1" s="1"/>
  <c r="BP19" i="1" a="1"/>
  <c r="BP19" i="1" s="1"/>
  <c r="BP20" i="1" a="1"/>
  <c r="BP20" i="1" s="1"/>
  <c r="BP21" i="1" a="1"/>
  <c r="BP21" i="1" s="1"/>
  <c r="BP22" i="1" a="1"/>
  <c r="BP22" i="1" s="1"/>
  <c r="BP23" i="1" a="1"/>
  <c r="BP23" i="1" s="1"/>
  <c r="BP24" i="1" a="1"/>
  <c r="BP24" i="1" s="1"/>
  <c r="BP25" i="1" a="1"/>
  <c r="BP25" i="1" s="1"/>
  <c r="BP26" i="1" a="1"/>
  <c r="BP26" i="1" s="1"/>
  <c r="BP27" i="1" a="1"/>
  <c r="BP27" i="1" s="1"/>
  <c r="BP28" i="1" a="1"/>
  <c r="BP28" i="1" s="1"/>
  <c r="BP29" i="1" a="1"/>
  <c r="BP29" i="1" s="1"/>
  <c r="BP30" i="1" a="1"/>
  <c r="BP30" i="1" s="1"/>
  <c r="BP31" i="1" a="1"/>
  <c r="BP31" i="1" s="1"/>
  <c r="BP32" i="1" a="1"/>
  <c r="BP32" i="1" s="1"/>
  <c r="BP33" i="1" a="1"/>
  <c r="BP33" i="1" s="1"/>
  <c r="BP34" i="1" a="1"/>
  <c r="BP34" i="1" s="1"/>
  <c r="BP35" i="1" a="1"/>
  <c r="BP35" i="1" s="1"/>
  <c r="BP36" i="1" a="1"/>
  <c r="BP36" i="1" s="1"/>
  <c r="BP37" i="1" a="1"/>
  <c r="BP37" i="1" s="1"/>
  <c r="BP38" i="1" a="1"/>
  <c r="BP38" i="1" s="1"/>
  <c r="BP39" i="1" a="1"/>
  <c r="BP39" i="1" s="1"/>
  <c r="BP40" i="1" a="1"/>
  <c r="BP40" i="1" s="1"/>
  <c r="BP41" i="1" a="1"/>
  <c r="BP41" i="1" s="1"/>
  <c r="BP42" i="1" a="1"/>
  <c r="BP42" i="1" s="1"/>
  <c r="BP43" i="1" a="1"/>
  <c r="BP43" i="1" s="1"/>
  <c r="BP44" i="1" a="1"/>
  <c r="BP44" i="1" s="1"/>
  <c r="BP45" i="1" a="1"/>
  <c r="BP45" i="1" s="1"/>
  <c r="BP46" i="1" a="1"/>
  <c r="BP46" i="1" s="1"/>
  <c r="BP47" i="1" a="1"/>
  <c r="BP47" i="1" s="1"/>
  <c r="BP48" i="1" a="1"/>
  <c r="BP48" i="1" s="1"/>
  <c r="BP49" i="1" a="1"/>
  <c r="BP49" i="1" s="1"/>
  <c r="BP50" i="1" a="1"/>
  <c r="BP50" i="1" s="1"/>
  <c r="BP51" i="1" a="1"/>
  <c r="BP51" i="1" s="1"/>
  <c r="BP52" i="1" a="1"/>
  <c r="BP52" i="1" s="1"/>
  <c r="BP53" i="1" a="1"/>
  <c r="BP53" i="1" s="1"/>
  <c r="BP54" i="1" a="1"/>
  <c r="BP54" i="1" s="1"/>
  <c r="BP55" i="1" a="1"/>
  <c r="BP55" i="1" s="1"/>
  <c r="BP56" i="1" a="1"/>
  <c r="BP56" i="1" s="1"/>
  <c r="BP57" i="1" a="1"/>
  <c r="BP57" i="1" s="1"/>
  <c r="BP58" i="1" a="1"/>
  <c r="BP58" i="1" s="1"/>
  <c r="BP59" i="1" a="1"/>
  <c r="BP59" i="1" s="1"/>
  <c r="BP60" i="1" a="1"/>
  <c r="BP60" i="1" s="1"/>
  <c r="BP61" i="1" a="1"/>
  <c r="BP61" i="1" s="1"/>
  <c r="BP62" i="1" a="1"/>
  <c r="BP62" i="1" s="1"/>
  <c r="BP63" i="1" a="1"/>
  <c r="BP63" i="1" s="1"/>
  <c r="BP64" i="1" a="1"/>
  <c r="BP64" i="1" s="1"/>
  <c r="BP65" i="1" a="1"/>
  <c r="BP65" i="1" s="1"/>
  <c r="BP66" i="1" a="1"/>
  <c r="BP66" i="1" s="1"/>
  <c r="BN186" i="1" a="1"/>
  <c r="BN186" i="1" s="1"/>
  <c r="CA186" i="1" s="1"/>
  <c r="DM180" i="1" a="1"/>
  <c r="DM180" i="1" s="1"/>
  <c r="BN6" i="1" a="1"/>
  <c r="BN6" i="1" s="1"/>
  <c r="CA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N70" i="1" a="1"/>
  <c r="BN70" i="1" s="1"/>
  <c r="CA70" i="1" s="1"/>
  <c r="BN209" i="1" a="1"/>
  <c r="BN209" i="1" s="1"/>
  <c r="CA209" i="1" s="1"/>
  <c r="BN155" i="1" a="1"/>
  <c r="BN155" i="1" s="1"/>
  <c r="CA155" i="1" s="1"/>
  <c r="EQ90" i="1"/>
  <c r="EM6" i="1"/>
  <c r="ES6" i="1"/>
  <c r="EM7" i="1"/>
  <c r="EM8" i="1"/>
  <c r="EM9" i="1"/>
  <c r="EM10" i="1"/>
  <c r="EM11" i="1"/>
  <c r="EM12" i="1"/>
  <c r="EM13" i="1"/>
  <c r="EM14" i="1"/>
  <c r="EM15" i="1"/>
  <c r="EM16" i="1"/>
  <c r="EM17" i="1"/>
  <c r="EM18" i="1"/>
  <c r="EM90" i="1"/>
  <c r="EM20" i="1"/>
  <c r="EM21" i="1"/>
  <c r="EM22" i="1"/>
  <c r="EM23" i="1"/>
  <c r="EM24" i="1"/>
  <c r="EM25" i="1"/>
  <c r="EM26" i="1"/>
  <c r="EM27" i="1"/>
  <c r="EM28" i="1"/>
  <c r="EM29" i="1"/>
  <c r="EM30" i="1"/>
  <c r="EM31" i="1"/>
  <c r="EM32" i="1"/>
  <c r="EM33" i="1"/>
  <c r="EM34" i="1"/>
  <c r="EM35" i="1"/>
  <c r="EM36" i="1"/>
  <c r="EM37" i="1"/>
  <c r="EM38" i="1"/>
  <c r="EM39" i="1"/>
  <c r="EM40" i="1"/>
  <c r="EM41" i="1"/>
  <c r="EM42" i="1"/>
  <c r="EM43" i="1"/>
  <c r="EM44" i="1"/>
  <c r="EM45" i="1"/>
  <c r="EM46" i="1"/>
  <c r="EM47" i="1"/>
  <c r="EM48" i="1"/>
  <c r="EM49" i="1"/>
  <c r="EM50" i="1"/>
  <c r="EM51" i="1"/>
  <c r="EM52" i="1"/>
  <c r="EM53" i="1"/>
  <c r="EM54" i="1"/>
  <c r="EM55" i="1"/>
  <c r="EM56" i="1"/>
  <c r="EM57" i="1"/>
  <c r="EM58" i="1"/>
  <c r="EM59" i="1"/>
  <c r="EM60" i="1"/>
  <c r="EM61" i="1"/>
  <c r="EM62" i="1"/>
  <c r="EM63" i="1"/>
  <c r="EM64" i="1"/>
  <c r="EM65" i="1"/>
  <c r="EM66" i="1"/>
  <c r="EM121" i="1"/>
  <c r="EM68" i="1"/>
  <c r="EM69" i="1"/>
  <c r="EM155" i="1"/>
  <c r="EM71" i="1"/>
  <c r="EM72" i="1"/>
  <c r="EM73" i="1"/>
  <c r="EM74" i="1"/>
  <c r="EM75" i="1"/>
  <c r="EM76" i="1"/>
  <c r="EM77" i="1"/>
  <c r="EM78" i="1"/>
  <c r="EM79" i="1"/>
  <c r="EM80" i="1"/>
  <c r="EM81" i="1"/>
  <c r="EM82" i="1"/>
  <c r="EM83" i="1"/>
  <c r="EM84" i="1"/>
  <c r="EM85" i="1"/>
  <c r="EM86" i="1"/>
  <c r="EM87" i="1"/>
  <c r="EM88" i="1"/>
  <c r="EM114" i="1"/>
  <c r="EM186" i="1"/>
  <c r="EM91" i="1"/>
  <c r="EM92" i="1"/>
  <c r="EM93" i="1"/>
  <c r="EM94" i="1"/>
  <c r="EM95" i="1"/>
  <c r="EM96" i="1"/>
  <c r="EM97" i="1"/>
  <c r="EM98" i="1"/>
  <c r="EM99" i="1"/>
  <c r="EM100" i="1"/>
  <c r="EM101" i="1"/>
  <c r="EM102" i="1"/>
  <c r="EM103" i="1"/>
  <c r="EM104" i="1"/>
  <c r="EM105" i="1"/>
  <c r="EM106" i="1"/>
  <c r="EM107" i="1"/>
  <c r="EM108" i="1"/>
  <c r="EM109" i="1"/>
  <c r="EM110" i="1"/>
  <c r="EM111" i="1"/>
  <c r="EM112" i="1"/>
  <c r="EM113" i="1"/>
  <c r="EM153" i="1"/>
  <c r="EM115" i="1"/>
  <c r="EM116" i="1"/>
  <c r="EM117" i="1"/>
  <c r="EM118" i="1"/>
  <c r="EM119" i="1"/>
  <c r="EM67" i="1"/>
  <c r="EM70" i="1"/>
  <c r="EM122" i="1"/>
  <c r="EM123" i="1"/>
  <c r="EM124" i="1"/>
  <c r="EM125" i="1"/>
  <c r="EM126" i="1"/>
  <c r="EM127" i="1"/>
  <c r="EM128" i="1"/>
  <c r="EM129" i="1"/>
  <c r="EM130" i="1"/>
  <c r="EM131" i="1"/>
  <c r="EM132" i="1"/>
  <c r="EM133" i="1"/>
  <c r="EM134" i="1"/>
  <c r="EM135" i="1"/>
  <c r="EM136" i="1"/>
  <c r="EM137" i="1"/>
  <c r="EM138" i="1"/>
  <c r="EM139" i="1"/>
  <c r="EM140" i="1"/>
  <c r="EM141" i="1"/>
  <c r="EM142" i="1"/>
  <c r="EM143" i="1"/>
  <c r="EM144" i="1"/>
  <c r="EM145" i="1"/>
  <c r="EM146" i="1"/>
  <c r="EM147" i="1"/>
  <c r="EM148" i="1"/>
  <c r="EM149" i="1"/>
  <c r="EM150" i="1"/>
  <c r="EM151" i="1"/>
  <c r="EM152" i="1"/>
  <c r="EM120" i="1"/>
  <c r="EM154" i="1"/>
  <c r="EM89" i="1"/>
  <c r="EM156" i="1"/>
  <c r="EM157" i="1"/>
  <c r="EM158" i="1"/>
  <c r="EM159" i="1"/>
  <c r="EM160" i="1"/>
  <c r="EM161" i="1"/>
  <c r="EM162" i="1"/>
  <c r="EM163" i="1"/>
  <c r="EM164" i="1"/>
  <c r="EM165" i="1"/>
  <c r="EM166" i="1"/>
  <c r="EM167" i="1"/>
  <c r="EM168" i="1"/>
  <c r="EM169" i="1"/>
  <c r="EM170" i="1"/>
  <c r="EM171" i="1"/>
  <c r="EM172" i="1"/>
  <c r="EM173" i="1"/>
  <c r="EM174" i="1"/>
  <c r="EM175" i="1"/>
  <c r="EM176" i="1"/>
  <c r="EM177" i="1"/>
  <c r="EM178" i="1"/>
  <c r="EM179" i="1"/>
  <c r="EM180" i="1"/>
  <c r="EM181" i="1"/>
  <c r="EM182" i="1"/>
  <c r="EM183" i="1"/>
  <c r="EM184" i="1"/>
  <c r="EM185" i="1"/>
  <c r="EM19" i="1"/>
  <c r="EM187" i="1"/>
  <c r="EM188" i="1"/>
  <c r="EM189" i="1"/>
  <c r="EM190" i="1"/>
  <c r="EM191" i="1"/>
  <c r="EM192" i="1"/>
  <c r="EM193" i="1"/>
  <c r="EM194" i="1"/>
  <c r="EM195" i="1"/>
  <c r="EM196" i="1"/>
  <c r="EM197" i="1"/>
  <c r="EM198" i="1"/>
  <c r="EM199" i="1"/>
  <c r="EM200" i="1"/>
  <c r="EM201" i="1"/>
  <c r="EM202" i="1"/>
  <c r="EM203" i="1"/>
  <c r="EM204" i="1"/>
  <c r="EM205" i="1"/>
  <c r="EM206" i="1"/>
  <c r="EM207" i="1"/>
  <c r="EM208" i="1"/>
  <c r="EM209" i="1"/>
  <c r="EM210" i="1"/>
  <c r="EM211" i="1"/>
  <c r="EM212" i="1"/>
  <c r="EM213" i="1"/>
  <c r="EM214" i="1"/>
  <c r="EM215" i="1"/>
  <c r="EM216" i="1"/>
  <c r="EM217" i="1"/>
  <c r="EM218" i="1"/>
  <c r="EM219" i="1"/>
  <c r="EM220" i="1"/>
  <c r="EM221" i="1"/>
  <c r="EM222" i="1"/>
  <c r="EM223" i="1"/>
  <c r="EM224" i="1"/>
  <c r="EM225" i="1"/>
  <c r="EM226" i="1"/>
  <c r="EM227" i="1"/>
  <c r="EM228" i="1"/>
  <c r="EM229" i="1"/>
  <c r="EM230" i="1"/>
  <c r="EM231" i="1"/>
  <c r="EM232" i="1"/>
  <c r="EM233" i="1"/>
  <c r="EM234" i="1"/>
  <c r="EM235" i="1"/>
  <c r="EM236" i="1"/>
  <c r="EM237" i="1"/>
  <c r="EM238" i="1"/>
  <c r="EM239" i="1"/>
  <c r="EM240" i="1"/>
  <c r="EM241" i="1"/>
  <c r="EM242" i="1"/>
  <c r="EM243" i="1"/>
  <c r="EM244" i="1"/>
  <c r="EM245" i="1"/>
  <c r="EM246" i="1"/>
  <c r="EM247" i="1"/>
  <c r="EM248" i="1"/>
  <c r="EM249" i="1"/>
  <c r="EM250" i="1"/>
  <c r="EM251" i="1"/>
  <c r="EM252" i="1"/>
  <c r="EM253" i="1"/>
  <c r="EM254" i="1"/>
  <c r="EM255" i="1"/>
  <c r="EM256" i="1"/>
  <c r="EM257" i="1"/>
  <c r="EM258" i="1"/>
  <c r="EM259" i="1"/>
  <c r="EM260" i="1"/>
  <c r="EM261" i="1"/>
  <c r="EM262" i="1"/>
  <c r="EM263" i="1"/>
  <c r="EM264" i="1"/>
  <c r="EM265" i="1"/>
  <c r="EM266" i="1"/>
  <c r="EM267" i="1"/>
  <c r="EM268" i="1"/>
  <c r="EM269" i="1"/>
  <c r="EM270" i="1"/>
  <c r="EM271" i="1"/>
  <c r="EU6" i="1"/>
  <c r="ES7" i="1"/>
  <c r="ES8" i="1"/>
  <c r="ES9" i="1"/>
  <c r="ES10" i="1"/>
  <c r="ES11" i="1"/>
  <c r="ES12" i="1"/>
  <c r="ES13" i="1"/>
  <c r="ES14" i="1"/>
  <c r="ES15" i="1"/>
  <c r="ES16" i="1"/>
  <c r="ES17" i="1"/>
  <c r="ES18" i="1"/>
  <c r="ES90"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66" i="1"/>
  <c r="ES121" i="1"/>
  <c r="ES68" i="1"/>
  <c r="ES69" i="1"/>
  <c r="ES155" i="1"/>
  <c r="ES71" i="1"/>
  <c r="ES72" i="1"/>
  <c r="ES73" i="1"/>
  <c r="ES74" i="1"/>
  <c r="ES75" i="1"/>
  <c r="ES76" i="1"/>
  <c r="ES77" i="1"/>
  <c r="ES78" i="1"/>
  <c r="ES79" i="1"/>
  <c r="ES80" i="1"/>
  <c r="ES81" i="1"/>
  <c r="ES82" i="1"/>
  <c r="ES83" i="1"/>
  <c r="ES84" i="1"/>
  <c r="ES85" i="1"/>
  <c r="ES86" i="1"/>
  <c r="ES87" i="1"/>
  <c r="ES88" i="1"/>
  <c r="ES114" i="1"/>
  <c r="ES186" i="1"/>
  <c r="ES91" i="1"/>
  <c r="ES92" i="1"/>
  <c r="ES93" i="1"/>
  <c r="ES94" i="1"/>
  <c r="ES95" i="1"/>
  <c r="ES96" i="1"/>
  <c r="ES97" i="1"/>
  <c r="ES98" i="1"/>
  <c r="ES99" i="1"/>
  <c r="ES100" i="1"/>
  <c r="ES101" i="1"/>
  <c r="ES102" i="1"/>
  <c r="ES103" i="1"/>
  <c r="ES104" i="1"/>
  <c r="ES105" i="1"/>
  <c r="ES106" i="1"/>
  <c r="ES107" i="1"/>
  <c r="ES108" i="1"/>
  <c r="ES109" i="1"/>
  <c r="ES110" i="1"/>
  <c r="ES111" i="1"/>
  <c r="ES112" i="1"/>
  <c r="ES113" i="1"/>
  <c r="ES153" i="1"/>
  <c r="ES115" i="1"/>
  <c r="ES116" i="1"/>
  <c r="ES117" i="1"/>
  <c r="ES118" i="1"/>
  <c r="ES119" i="1"/>
  <c r="ES67" i="1"/>
  <c r="ES70"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52" i="1"/>
  <c r="ES120" i="1"/>
  <c r="ES154" i="1"/>
  <c r="ES89"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5" i="1"/>
  <c r="ES19"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271" i="1"/>
  <c r="ER6" i="1"/>
  <c r="EQ7" i="1"/>
  <c r="EQ8" i="1"/>
  <c r="EQ9" i="1"/>
  <c r="EQ10" i="1"/>
  <c r="EQ11" i="1"/>
  <c r="EQ12" i="1"/>
  <c r="EQ13" i="1"/>
  <c r="EQ14" i="1"/>
  <c r="EQ15" i="1"/>
  <c r="EQ16" i="1"/>
  <c r="EQ17" i="1"/>
  <c r="EQ18" i="1"/>
  <c r="EQ20" i="1"/>
  <c r="EQ21" i="1"/>
  <c r="EQ22" i="1"/>
  <c r="EQ23" i="1"/>
  <c r="EQ24" i="1"/>
  <c r="EQ25" i="1"/>
  <c r="EQ26" i="1"/>
  <c r="EQ27" i="1"/>
  <c r="EQ28" i="1"/>
  <c r="EQ29"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66" i="1"/>
  <c r="EQ121" i="1"/>
  <c r="EQ68" i="1"/>
  <c r="EQ69" i="1"/>
  <c r="EQ155" i="1"/>
  <c r="EQ71" i="1"/>
  <c r="EQ72" i="1"/>
  <c r="EQ73" i="1"/>
  <c r="EQ74" i="1"/>
  <c r="EQ75" i="1"/>
  <c r="EQ76" i="1"/>
  <c r="EQ77" i="1"/>
  <c r="EQ78" i="1"/>
  <c r="EQ79" i="1"/>
  <c r="EQ80" i="1"/>
  <c r="EQ81" i="1"/>
  <c r="EQ82" i="1"/>
  <c r="EQ83" i="1"/>
  <c r="EQ84" i="1"/>
  <c r="EQ85" i="1"/>
  <c r="EQ86" i="1"/>
  <c r="EQ87" i="1"/>
  <c r="EQ88" i="1"/>
  <c r="EQ114" i="1"/>
  <c r="EQ186" i="1"/>
  <c r="EQ91" i="1"/>
  <c r="EQ92" i="1"/>
  <c r="EQ93" i="1"/>
  <c r="EQ94" i="1"/>
  <c r="EQ95" i="1"/>
  <c r="EQ96" i="1"/>
  <c r="EQ97" i="1"/>
  <c r="EQ98" i="1"/>
  <c r="EQ99" i="1"/>
  <c r="EQ100" i="1"/>
  <c r="EQ101" i="1"/>
  <c r="EQ102" i="1"/>
  <c r="EQ103" i="1"/>
  <c r="EQ104" i="1"/>
  <c r="EQ105" i="1"/>
  <c r="EQ106" i="1"/>
  <c r="EQ107" i="1"/>
  <c r="EQ108" i="1"/>
  <c r="EQ109" i="1"/>
  <c r="EQ110" i="1"/>
  <c r="EQ111" i="1"/>
  <c r="EQ112" i="1"/>
  <c r="EQ113" i="1"/>
  <c r="EQ153" i="1"/>
  <c r="EQ115" i="1"/>
  <c r="EQ116" i="1"/>
  <c r="EQ117" i="1"/>
  <c r="EQ118" i="1"/>
  <c r="EQ119" i="1"/>
  <c r="EQ67" i="1"/>
  <c r="EQ70" i="1"/>
  <c r="EQ122" i="1"/>
  <c r="EQ123" i="1"/>
  <c r="EQ124" i="1"/>
  <c r="EQ125" i="1"/>
  <c r="EQ126" i="1"/>
  <c r="EQ127" i="1"/>
  <c r="EQ128" i="1"/>
  <c r="EQ129" i="1"/>
  <c r="EQ130" i="1"/>
  <c r="EQ131" i="1"/>
  <c r="EQ132" i="1"/>
  <c r="EQ133" i="1"/>
  <c r="EQ134" i="1"/>
  <c r="EQ135" i="1"/>
  <c r="EQ136" i="1"/>
  <c r="EQ137" i="1"/>
  <c r="EQ138" i="1"/>
  <c r="EQ139" i="1"/>
  <c r="EQ140" i="1"/>
  <c r="EQ141" i="1"/>
  <c r="EQ142" i="1"/>
  <c r="EQ143" i="1"/>
  <c r="EQ144" i="1"/>
  <c r="EQ145" i="1"/>
  <c r="EQ146" i="1"/>
  <c r="EQ147" i="1"/>
  <c r="EQ148" i="1"/>
  <c r="EQ149" i="1"/>
  <c r="EQ150" i="1"/>
  <c r="EQ151" i="1"/>
  <c r="EQ152" i="1"/>
  <c r="EQ120" i="1"/>
  <c r="EQ154" i="1"/>
  <c r="EQ89" i="1"/>
  <c r="EQ156" i="1"/>
  <c r="EQ157" i="1"/>
  <c r="EQ158" i="1"/>
  <c r="EQ159" i="1"/>
  <c r="EQ160" i="1"/>
  <c r="EQ161" i="1"/>
  <c r="EQ162" i="1"/>
  <c r="EQ163" i="1"/>
  <c r="EQ164" i="1"/>
  <c r="EQ165" i="1"/>
  <c r="EQ166" i="1"/>
  <c r="EQ167" i="1"/>
  <c r="EQ168" i="1"/>
  <c r="EQ169" i="1"/>
  <c r="EQ170" i="1"/>
  <c r="EQ171" i="1"/>
  <c r="EQ172" i="1"/>
  <c r="EQ173" i="1"/>
  <c r="EQ174" i="1"/>
  <c r="EQ175" i="1"/>
  <c r="EQ176" i="1"/>
  <c r="EQ177" i="1"/>
  <c r="EQ178" i="1"/>
  <c r="EQ179" i="1"/>
  <c r="EQ180" i="1"/>
  <c r="EQ181" i="1"/>
  <c r="EQ182" i="1"/>
  <c r="EQ183" i="1"/>
  <c r="EQ184" i="1"/>
  <c r="EQ185" i="1"/>
  <c r="EQ19" i="1"/>
  <c r="EQ187" i="1"/>
  <c r="EQ188" i="1"/>
  <c r="EQ189" i="1"/>
  <c r="EQ190" i="1"/>
  <c r="EQ191" i="1"/>
  <c r="EQ192" i="1"/>
  <c r="EQ193" i="1"/>
  <c r="EQ194" i="1"/>
  <c r="EQ195" i="1"/>
  <c r="EQ196" i="1"/>
  <c r="EQ197" i="1"/>
  <c r="EQ198" i="1"/>
  <c r="EQ199" i="1"/>
  <c r="EQ200" i="1"/>
  <c r="EQ201" i="1"/>
  <c r="EQ202" i="1"/>
  <c r="EQ203" i="1"/>
  <c r="EQ204" i="1"/>
  <c r="EQ205" i="1"/>
  <c r="EQ206" i="1"/>
  <c r="EQ207" i="1"/>
  <c r="EQ208" i="1"/>
  <c r="EQ209" i="1"/>
  <c r="EQ210" i="1"/>
  <c r="EQ211" i="1"/>
  <c r="EQ212" i="1"/>
  <c r="EQ213" i="1"/>
  <c r="EQ214" i="1"/>
  <c r="EQ215" i="1"/>
  <c r="EQ216" i="1"/>
  <c r="EQ217" i="1"/>
  <c r="EQ218" i="1"/>
  <c r="EQ219" i="1"/>
  <c r="EQ220" i="1"/>
  <c r="EQ221" i="1"/>
  <c r="EQ222" i="1"/>
  <c r="EQ223" i="1"/>
  <c r="EQ224" i="1"/>
  <c r="EQ225" i="1"/>
  <c r="EQ226" i="1"/>
  <c r="EQ227" i="1"/>
  <c r="EQ228" i="1"/>
  <c r="EQ229" i="1"/>
  <c r="EQ230" i="1"/>
  <c r="EQ231" i="1"/>
  <c r="EQ232" i="1"/>
  <c r="EQ233" i="1"/>
  <c r="EQ234" i="1"/>
  <c r="EQ235" i="1"/>
  <c r="EQ236" i="1"/>
  <c r="EQ237" i="1"/>
  <c r="EQ238" i="1"/>
  <c r="EQ239" i="1"/>
  <c r="EQ240" i="1"/>
  <c r="EQ241" i="1"/>
  <c r="EQ242" i="1"/>
  <c r="EQ243" i="1"/>
  <c r="EQ244" i="1"/>
  <c r="EQ245" i="1"/>
  <c r="EQ246" i="1"/>
  <c r="EQ247" i="1"/>
  <c r="EQ248" i="1"/>
  <c r="EQ249" i="1"/>
  <c r="EQ250" i="1"/>
  <c r="EQ251" i="1"/>
  <c r="EQ252" i="1"/>
  <c r="EQ253" i="1"/>
  <c r="EQ254" i="1"/>
  <c r="EQ255" i="1"/>
  <c r="EQ256" i="1"/>
  <c r="EQ257" i="1"/>
  <c r="EQ258" i="1"/>
  <c r="EQ259" i="1"/>
  <c r="EQ260" i="1"/>
  <c r="EQ261" i="1"/>
  <c r="EQ262" i="1"/>
  <c r="EQ263" i="1"/>
  <c r="EQ264" i="1"/>
  <c r="EQ265" i="1"/>
  <c r="EQ266" i="1"/>
  <c r="EQ267" i="1"/>
  <c r="EQ268" i="1"/>
  <c r="EQ269" i="1"/>
  <c r="EQ270" i="1"/>
  <c r="EQ271" i="1"/>
  <c r="EQ6" i="1"/>
  <c r="ER7" i="1"/>
  <c r="ER8" i="1"/>
  <c r="ER9" i="1"/>
  <c r="ER10" i="1"/>
  <c r="ER11" i="1"/>
  <c r="ER12" i="1"/>
  <c r="ER13" i="1"/>
  <c r="ER14" i="1"/>
  <c r="ER15" i="1"/>
  <c r="ER16" i="1"/>
  <c r="ER17" i="1"/>
  <c r="ER18" i="1"/>
  <c r="ER90" i="1"/>
  <c r="ER20" i="1"/>
  <c r="ER21" i="1"/>
  <c r="ER22" i="1"/>
  <c r="ER23" i="1"/>
  <c r="ER24" i="1"/>
  <c r="ER25" i="1"/>
  <c r="ER26" i="1"/>
  <c r="ER27" i="1"/>
  <c r="ER28" i="1"/>
  <c r="ER29" i="1"/>
  <c r="ER30" i="1"/>
  <c r="ER31" i="1"/>
  <c r="ER32" i="1"/>
  <c r="ER33" i="1"/>
  <c r="ER34" i="1"/>
  <c r="ER35" i="1"/>
  <c r="ER36" i="1"/>
  <c r="ER37" i="1"/>
  <c r="ER38" i="1"/>
  <c r="ER39" i="1"/>
  <c r="ER40" i="1"/>
  <c r="ER41" i="1"/>
  <c r="ER42" i="1"/>
  <c r="ER43" i="1"/>
  <c r="ER44" i="1"/>
  <c r="ER45" i="1"/>
  <c r="ER46" i="1"/>
  <c r="ER47" i="1"/>
  <c r="ER48" i="1"/>
  <c r="ER49" i="1"/>
  <c r="ER50" i="1"/>
  <c r="ER51" i="1"/>
  <c r="ER52" i="1"/>
  <c r="ER53" i="1"/>
  <c r="ER54" i="1"/>
  <c r="ER55" i="1"/>
  <c r="ER56" i="1"/>
  <c r="ER57" i="1"/>
  <c r="ER58" i="1"/>
  <c r="ER59" i="1"/>
  <c r="ER60" i="1"/>
  <c r="ER61" i="1"/>
  <c r="ER62" i="1"/>
  <c r="ER63" i="1"/>
  <c r="ER64" i="1"/>
  <c r="ER65" i="1"/>
  <c r="ER66" i="1"/>
  <c r="ER121" i="1"/>
  <c r="ER68" i="1"/>
  <c r="ER69" i="1"/>
  <c r="ER155" i="1"/>
  <c r="ER71" i="1"/>
  <c r="ER72" i="1"/>
  <c r="ER73" i="1"/>
  <c r="ER74" i="1"/>
  <c r="ER75" i="1"/>
  <c r="ER76" i="1"/>
  <c r="ER77" i="1"/>
  <c r="ER78" i="1"/>
  <c r="ER79" i="1"/>
  <c r="ER80" i="1"/>
  <c r="ER81" i="1"/>
  <c r="ER82" i="1"/>
  <c r="ER83" i="1"/>
  <c r="ER84" i="1"/>
  <c r="ER85" i="1"/>
  <c r="ER86" i="1"/>
  <c r="ER87" i="1"/>
  <c r="ER88" i="1"/>
  <c r="ER114" i="1"/>
  <c r="ER186" i="1"/>
  <c r="ER91" i="1"/>
  <c r="ER92" i="1"/>
  <c r="ER93" i="1"/>
  <c r="ER94" i="1"/>
  <c r="ER95" i="1"/>
  <c r="ER96" i="1"/>
  <c r="ER97" i="1"/>
  <c r="ER98" i="1"/>
  <c r="ER99" i="1"/>
  <c r="ER100" i="1"/>
  <c r="ER101" i="1"/>
  <c r="ER102" i="1"/>
  <c r="ER103" i="1"/>
  <c r="ER104" i="1"/>
  <c r="ER105" i="1"/>
  <c r="ER106" i="1"/>
  <c r="ER107" i="1"/>
  <c r="ER108" i="1"/>
  <c r="ER109" i="1"/>
  <c r="ER110" i="1"/>
  <c r="ER111" i="1"/>
  <c r="ER112" i="1"/>
  <c r="ER113" i="1"/>
  <c r="ER153" i="1"/>
  <c r="ER115" i="1"/>
  <c r="ER116" i="1"/>
  <c r="ER117" i="1"/>
  <c r="ER118" i="1"/>
  <c r="ER119" i="1"/>
  <c r="ER67" i="1"/>
  <c r="ER70" i="1"/>
  <c r="ER122" i="1"/>
  <c r="ER123" i="1"/>
  <c r="ER124" i="1"/>
  <c r="ER125" i="1"/>
  <c r="ER126" i="1"/>
  <c r="ER127" i="1"/>
  <c r="ER128" i="1"/>
  <c r="ER129" i="1"/>
  <c r="ER130" i="1"/>
  <c r="ER131" i="1"/>
  <c r="ER132" i="1"/>
  <c r="ER133" i="1"/>
  <c r="ER134" i="1"/>
  <c r="ER135" i="1"/>
  <c r="ER136" i="1"/>
  <c r="ER137" i="1"/>
  <c r="ER138" i="1"/>
  <c r="ER139" i="1"/>
  <c r="ER140" i="1"/>
  <c r="ER141" i="1"/>
  <c r="ER142" i="1"/>
  <c r="ER143" i="1"/>
  <c r="ER144" i="1"/>
  <c r="ER145" i="1"/>
  <c r="ER146" i="1"/>
  <c r="ER147" i="1"/>
  <c r="ER148" i="1"/>
  <c r="ER149" i="1"/>
  <c r="ER150" i="1"/>
  <c r="ER151" i="1"/>
  <c r="ER152" i="1"/>
  <c r="ER120" i="1"/>
  <c r="ER154" i="1"/>
  <c r="ER89" i="1"/>
  <c r="ER156" i="1"/>
  <c r="ER157" i="1"/>
  <c r="ER158" i="1"/>
  <c r="ER159" i="1"/>
  <c r="ER160" i="1"/>
  <c r="ER161" i="1"/>
  <c r="ER162" i="1"/>
  <c r="ER163" i="1"/>
  <c r="ER164" i="1"/>
  <c r="ER165" i="1"/>
  <c r="ER166" i="1"/>
  <c r="ER167" i="1"/>
  <c r="ER168" i="1"/>
  <c r="ER169" i="1"/>
  <c r="ER170" i="1"/>
  <c r="ER171" i="1"/>
  <c r="ER172" i="1"/>
  <c r="ER173" i="1"/>
  <c r="ER174" i="1"/>
  <c r="ER175" i="1"/>
  <c r="ER176" i="1"/>
  <c r="ER177" i="1"/>
  <c r="ER178" i="1"/>
  <c r="ER179" i="1"/>
  <c r="ER180" i="1"/>
  <c r="ER181" i="1"/>
  <c r="ER182" i="1"/>
  <c r="ER183" i="1"/>
  <c r="ER184" i="1"/>
  <c r="ER185" i="1"/>
  <c r="ER19" i="1"/>
  <c r="ER187" i="1"/>
  <c r="ER188" i="1"/>
  <c r="ER189" i="1"/>
  <c r="ER190" i="1"/>
  <c r="ER191" i="1"/>
  <c r="ER192" i="1"/>
  <c r="ER193" i="1"/>
  <c r="ER194" i="1"/>
  <c r="ER195" i="1"/>
  <c r="ER196" i="1"/>
  <c r="ER197" i="1"/>
  <c r="ER198" i="1"/>
  <c r="ER199" i="1"/>
  <c r="ER200" i="1"/>
  <c r="ER201" i="1"/>
  <c r="ER202" i="1"/>
  <c r="ER203" i="1"/>
  <c r="ER204" i="1"/>
  <c r="ER205" i="1"/>
  <c r="ER206" i="1"/>
  <c r="ER207" i="1"/>
  <c r="ER208" i="1"/>
  <c r="ER209" i="1"/>
  <c r="ER210" i="1"/>
  <c r="ER211" i="1"/>
  <c r="ER212" i="1"/>
  <c r="ER213" i="1"/>
  <c r="ER214" i="1"/>
  <c r="ER215" i="1"/>
  <c r="ER216" i="1"/>
  <c r="ER217" i="1"/>
  <c r="ER218" i="1"/>
  <c r="ER219" i="1"/>
  <c r="ER220" i="1"/>
  <c r="ER221" i="1"/>
  <c r="ER222" i="1"/>
  <c r="ER223" i="1"/>
  <c r="ER224" i="1"/>
  <c r="ER225" i="1"/>
  <c r="ER226" i="1"/>
  <c r="ER227" i="1"/>
  <c r="ER228" i="1"/>
  <c r="ER229" i="1"/>
  <c r="ER230" i="1"/>
  <c r="ER231" i="1"/>
  <c r="ER232" i="1"/>
  <c r="ER233" i="1"/>
  <c r="ER234" i="1"/>
  <c r="ER235" i="1"/>
  <c r="ER236" i="1"/>
  <c r="ER237" i="1"/>
  <c r="ER238" i="1"/>
  <c r="ER239" i="1"/>
  <c r="ER240" i="1"/>
  <c r="ER241" i="1"/>
  <c r="ER242" i="1"/>
  <c r="ER243" i="1"/>
  <c r="ER244" i="1"/>
  <c r="ER245" i="1"/>
  <c r="ER246" i="1"/>
  <c r="ER247" i="1"/>
  <c r="ER248" i="1"/>
  <c r="ER249" i="1"/>
  <c r="ER250" i="1"/>
  <c r="ER251" i="1"/>
  <c r="ER252" i="1"/>
  <c r="ER253" i="1"/>
  <c r="ER254" i="1"/>
  <c r="ER255" i="1"/>
  <c r="ER256" i="1"/>
  <c r="ER257" i="1"/>
  <c r="ER258" i="1"/>
  <c r="ER259" i="1"/>
  <c r="ER260" i="1"/>
  <c r="ER261" i="1"/>
  <c r="ER262" i="1"/>
  <c r="ER263" i="1"/>
  <c r="ER264" i="1"/>
  <c r="ER265" i="1"/>
  <c r="ER266" i="1"/>
  <c r="ER267" i="1"/>
  <c r="ER268" i="1"/>
  <c r="ER269" i="1"/>
  <c r="ER270" i="1"/>
  <c r="ER271" i="1"/>
  <c r="EK6" i="1"/>
  <c r="EK7" i="1"/>
  <c r="EL7" i="1"/>
  <c r="EK8" i="1"/>
  <c r="EL8" i="1"/>
  <c r="EK9" i="1"/>
  <c r="EL9" i="1"/>
  <c r="EK10" i="1"/>
  <c r="EL10" i="1"/>
  <c r="EK11" i="1"/>
  <c r="EL11" i="1"/>
  <c r="EK12" i="1"/>
  <c r="EL12" i="1"/>
  <c r="EK13" i="1"/>
  <c r="EL13" i="1"/>
  <c r="EK14" i="1"/>
  <c r="EL14" i="1"/>
  <c r="EK15" i="1"/>
  <c r="EL15" i="1"/>
  <c r="EK16" i="1"/>
  <c r="EL16" i="1"/>
  <c r="EK17" i="1"/>
  <c r="EL17" i="1"/>
  <c r="EK18" i="1"/>
  <c r="EL18" i="1"/>
  <c r="EK90" i="1"/>
  <c r="EL90" i="1"/>
  <c r="EK20" i="1"/>
  <c r="EL20" i="1"/>
  <c r="EK21" i="1"/>
  <c r="EL21" i="1"/>
  <c r="EK22" i="1"/>
  <c r="EL22" i="1"/>
  <c r="EK23" i="1"/>
  <c r="EL23" i="1"/>
  <c r="EK24" i="1"/>
  <c r="EL24" i="1"/>
  <c r="EK25" i="1"/>
  <c r="EL25" i="1"/>
  <c r="EK26" i="1"/>
  <c r="EL26" i="1"/>
  <c r="EK27" i="1"/>
  <c r="EL27" i="1"/>
  <c r="EK28" i="1"/>
  <c r="EL28" i="1"/>
  <c r="EK29" i="1"/>
  <c r="EL29" i="1"/>
  <c r="EK30" i="1"/>
  <c r="EL30" i="1"/>
  <c r="EK31" i="1"/>
  <c r="EL31" i="1"/>
  <c r="EK32" i="1"/>
  <c r="EL32" i="1"/>
  <c r="EK33" i="1"/>
  <c r="EL33" i="1"/>
  <c r="EK34" i="1"/>
  <c r="EL34" i="1"/>
  <c r="EK35" i="1"/>
  <c r="EL35" i="1"/>
  <c r="EK36" i="1"/>
  <c r="EL36" i="1"/>
  <c r="EK37" i="1"/>
  <c r="EL37" i="1"/>
  <c r="EK38" i="1"/>
  <c r="EL38" i="1"/>
  <c r="EK39" i="1"/>
  <c r="EL39" i="1"/>
  <c r="EK40" i="1"/>
  <c r="EL40" i="1"/>
  <c r="EK41" i="1"/>
  <c r="EL41" i="1"/>
  <c r="EK42" i="1"/>
  <c r="EL42" i="1"/>
  <c r="EK43" i="1"/>
  <c r="EL43" i="1"/>
  <c r="EK44" i="1"/>
  <c r="EL44" i="1"/>
  <c r="EK45" i="1"/>
  <c r="EL45" i="1"/>
  <c r="EK46" i="1"/>
  <c r="EL46" i="1"/>
  <c r="EK47" i="1"/>
  <c r="EL47" i="1"/>
  <c r="EK48" i="1"/>
  <c r="EL48" i="1"/>
  <c r="EK49" i="1"/>
  <c r="EL49" i="1"/>
  <c r="EK50" i="1"/>
  <c r="EL50" i="1"/>
  <c r="EK51" i="1"/>
  <c r="EL51" i="1"/>
  <c r="EK52" i="1"/>
  <c r="EL52" i="1"/>
  <c r="EK53" i="1"/>
  <c r="EL53" i="1"/>
  <c r="EK54" i="1"/>
  <c r="EL54" i="1"/>
  <c r="EK55" i="1"/>
  <c r="EL55" i="1"/>
  <c r="EK56" i="1"/>
  <c r="EL56" i="1"/>
  <c r="EK57" i="1"/>
  <c r="EL57" i="1"/>
  <c r="EK58" i="1"/>
  <c r="EL58" i="1"/>
  <c r="EK59" i="1"/>
  <c r="EL59" i="1"/>
  <c r="EK60" i="1"/>
  <c r="EL60" i="1"/>
  <c r="EK61" i="1"/>
  <c r="EL61" i="1"/>
  <c r="EK62" i="1"/>
  <c r="EL62" i="1"/>
  <c r="EK63" i="1"/>
  <c r="EL63" i="1"/>
  <c r="EK64" i="1"/>
  <c r="EL64" i="1"/>
  <c r="EK65" i="1"/>
  <c r="EL65" i="1"/>
  <c r="EK66" i="1"/>
  <c r="EL66" i="1"/>
  <c r="EK121" i="1"/>
  <c r="EL121" i="1"/>
  <c r="EK68" i="1"/>
  <c r="EL68" i="1"/>
  <c r="EK69" i="1"/>
  <c r="EL69" i="1"/>
  <c r="EK155" i="1"/>
  <c r="EL155" i="1"/>
  <c r="EK71" i="1"/>
  <c r="EL71" i="1"/>
  <c r="EK72" i="1"/>
  <c r="EL72" i="1"/>
  <c r="EK73" i="1"/>
  <c r="EL73" i="1"/>
  <c r="EK74" i="1"/>
  <c r="EL74" i="1"/>
  <c r="EK75" i="1"/>
  <c r="EL75" i="1"/>
  <c r="EK76" i="1"/>
  <c r="EL76" i="1"/>
  <c r="EK77" i="1"/>
  <c r="EL77" i="1"/>
  <c r="EK78" i="1"/>
  <c r="EL78" i="1"/>
  <c r="EK79" i="1"/>
  <c r="EL79" i="1"/>
  <c r="EK80" i="1"/>
  <c r="EL80" i="1"/>
  <c r="EK81" i="1"/>
  <c r="EL81" i="1"/>
  <c r="EK82" i="1"/>
  <c r="EL82" i="1"/>
  <c r="EK83" i="1"/>
  <c r="EL83" i="1"/>
  <c r="EK84" i="1"/>
  <c r="EL84" i="1"/>
  <c r="EK85" i="1"/>
  <c r="EL85" i="1"/>
  <c r="EK86" i="1"/>
  <c r="EL86" i="1"/>
  <c r="EK87" i="1"/>
  <c r="EL87" i="1"/>
  <c r="EK88" i="1"/>
  <c r="EL88" i="1"/>
  <c r="EK114" i="1"/>
  <c r="EL114" i="1"/>
  <c r="EK186" i="1"/>
  <c r="EL186" i="1"/>
  <c r="EK91" i="1"/>
  <c r="EL91" i="1"/>
  <c r="EK92" i="1"/>
  <c r="EL92" i="1"/>
  <c r="EK93" i="1"/>
  <c r="EL93" i="1"/>
  <c r="EK94" i="1"/>
  <c r="EL94" i="1"/>
  <c r="EK95" i="1"/>
  <c r="EL95" i="1"/>
  <c r="EK96" i="1"/>
  <c r="EL96" i="1"/>
  <c r="EK97" i="1"/>
  <c r="EL97" i="1"/>
  <c r="EK98" i="1"/>
  <c r="EL98" i="1"/>
  <c r="EK99" i="1"/>
  <c r="EL99" i="1"/>
  <c r="EK100" i="1"/>
  <c r="EL100" i="1"/>
  <c r="EK101" i="1"/>
  <c r="EL101" i="1"/>
  <c r="EK102" i="1"/>
  <c r="EL102" i="1"/>
  <c r="EK103" i="1"/>
  <c r="EL103" i="1"/>
  <c r="EK104" i="1"/>
  <c r="EL104" i="1"/>
  <c r="EK105" i="1"/>
  <c r="EL105" i="1"/>
  <c r="EK106" i="1"/>
  <c r="EL106" i="1"/>
  <c r="EK107" i="1"/>
  <c r="EL107" i="1"/>
  <c r="EK108" i="1"/>
  <c r="EL108" i="1"/>
  <c r="EK109" i="1"/>
  <c r="EL109" i="1"/>
  <c r="EK110" i="1"/>
  <c r="EL110" i="1"/>
  <c r="EK111" i="1"/>
  <c r="EL111" i="1"/>
  <c r="EK112" i="1"/>
  <c r="EL112" i="1"/>
  <c r="EK113" i="1"/>
  <c r="EL113" i="1"/>
  <c r="EK153" i="1"/>
  <c r="EL153" i="1"/>
  <c r="EK115" i="1"/>
  <c r="EL115" i="1"/>
  <c r="EK116" i="1"/>
  <c r="EL116" i="1"/>
  <c r="EK117" i="1"/>
  <c r="EL117" i="1"/>
  <c r="EK118" i="1"/>
  <c r="EL118" i="1"/>
  <c r="EK119" i="1"/>
  <c r="EL119" i="1"/>
  <c r="EK67" i="1"/>
  <c r="EL67" i="1"/>
  <c r="EK70" i="1"/>
  <c r="EL70" i="1"/>
  <c r="EK122" i="1"/>
  <c r="EL122" i="1"/>
  <c r="EK123" i="1"/>
  <c r="EL123" i="1"/>
  <c r="EK124" i="1"/>
  <c r="EL124" i="1"/>
  <c r="EK125" i="1"/>
  <c r="EL125" i="1"/>
  <c r="EK126" i="1"/>
  <c r="EL126" i="1"/>
  <c r="EK127" i="1"/>
  <c r="EL127" i="1"/>
  <c r="EK128" i="1"/>
  <c r="EL128" i="1"/>
  <c r="EK129" i="1"/>
  <c r="EL129" i="1"/>
  <c r="EK130" i="1"/>
  <c r="EL130" i="1"/>
  <c r="EK131" i="1"/>
  <c r="EL131" i="1"/>
  <c r="EK132" i="1"/>
  <c r="EL132" i="1"/>
  <c r="EK133" i="1"/>
  <c r="EL133" i="1"/>
  <c r="EK134" i="1"/>
  <c r="EL134" i="1"/>
  <c r="EK135" i="1"/>
  <c r="EL135" i="1"/>
  <c r="EK136" i="1"/>
  <c r="EL136" i="1"/>
  <c r="EK137" i="1"/>
  <c r="EL137" i="1"/>
  <c r="EK138" i="1"/>
  <c r="EL138" i="1"/>
  <c r="EK139" i="1"/>
  <c r="EL139" i="1"/>
  <c r="EK140" i="1"/>
  <c r="EL140" i="1"/>
  <c r="EK141" i="1"/>
  <c r="EL141" i="1"/>
  <c r="EK142" i="1"/>
  <c r="EL142" i="1"/>
  <c r="EK143" i="1"/>
  <c r="EL143" i="1"/>
  <c r="EK144" i="1"/>
  <c r="EL144" i="1"/>
  <c r="EK145" i="1"/>
  <c r="EL145" i="1"/>
  <c r="EK146" i="1"/>
  <c r="EL146" i="1"/>
  <c r="EK147" i="1"/>
  <c r="EL147" i="1"/>
  <c r="EK148" i="1"/>
  <c r="EL148" i="1"/>
  <c r="EK149" i="1"/>
  <c r="EL149" i="1"/>
  <c r="EK150" i="1"/>
  <c r="EL150" i="1"/>
  <c r="EK151" i="1"/>
  <c r="EL151" i="1"/>
  <c r="EK152" i="1"/>
  <c r="EL152" i="1"/>
  <c r="EK120" i="1"/>
  <c r="EL120" i="1"/>
  <c r="EK154" i="1"/>
  <c r="EL154" i="1"/>
  <c r="EK89" i="1"/>
  <c r="EL89" i="1"/>
  <c r="EK156" i="1"/>
  <c r="EL156" i="1"/>
  <c r="EK157" i="1"/>
  <c r="EL157" i="1"/>
  <c r="EK158" i="1"/>
  <c r="EL158" i="1"/>
  <c r="EK159" i="1"/>
  <c r="EL159" i="1"/>
  <c r="EK160" i="1"/>
  <c r="EL160" i="1"/>
  <c r="EK161" i="1"/>
  <c r="EL161" i="1"/>
  <c r="EK162" i="1"/>
  <c r="EL162" i="1"/>
  <c r="EK163" i="1"/>
  <c r="EL163" i="1"/>
  <c r="EK164" i="1"/>
  <c r="EL164" i="1"/>
  <c r="EK165" i="1"/>
  <c r="EL165" i="1"/>
  <c r="EK166" i="1"/>
  <c r="EL166" i="1"/>
  <c r="EK167" i="1"/>
  <c r="EL167" i="1"/>
  <c r="EK168" i="1"/>
  <c r="EL168" i="1"/>
  <c r="EK169" i="1"/>
  <c r="EL169" i="1"/>
  <c r="EK170" i="1"/>
  <c r="EL170" i="1"/>
  <c r="EK171" i="1"/>
  <c r="EL171" i="1"/>
  <c r="EK172" i="1"/>
  <c r="EL172" i="1"/>
  <c r="EK173" i="1"/>
  <c r="EL173" i="1"/>
  <c r="EK174" i="1"/>
  <c r="EL174" i="1"/>
  <c r="EK175" i="1"/>
  <c r="EL175" i="1"/>
  <c r="EK176" i="1"/>
  <c r="EL176" i="1"/>
  <c r="EK177" i="1"/>
  <c r="EL177" i="1"/>
  <c r="EK178" i="1"/>
  <c r="EL178" i="1"/>
  <c r="EK179" i="1"/>
  <c r="EL179" i="1"/>
  <c r="EK180" i="1"/>
  <c r="EL180" i="1"/>
  <c r="EK181" i="1"/>
  <c r="EL181" i="1"/>
  <c r="EK182" i="1"/>
  <c r="EL182" i="1"/>
  <c r="EK183" i="1"/>
  <c r="EL183" i="1"/>
  <c r="EK184" i="1"/>
  <c r="EL184" i="1"/>
  <c r="EK185" i="1"/>
  <c r="EL185" i="1"/>
  <c r="EK19" i="1"/>
  <c r="EL19" i="1"/>
  <c r="EK187" i="1"/>
  <c r="EL187" i="1"/>
  <c r="EK188" i="1"/>
  <c r="EL188" i="1"/>
  <c r="EK189" i="1"/>
  <c r="EL189" i="1"/>
  <c r="EK190" i="1"/>
  <c r="EL190" i="1"/>
  <c r="EK191" i="1"/>
  <c r="EL191" i="1"/>
  <c r="EK192" i="1"/>
  <c r="EL192" i="1"/>
  <c r="EK193" i="1"/>
  <c r="EL193" i="1"/>
  <c r="EK194" i="1"/>
  <c r="EL194" i="1"/>
  <c r="EK195" i="1"/>
  <c r="EL195" i="1"/>
  <c r="EK196" i="1"/>
  <c r="EL196" i="1"/>
  <c r="EK197" i="1"/>
  <c r="EL197" i="1"/>
  <c r="EK198" i="1"/>
  <c r="EL198" i="1"/>
  <c r="EK199" i="1"/>
  <c r="EL199" i="1"/>
  <c r="EK200" i="1"/>
  <c r="EL200" i="1"/>
  <c r="EK201" i="1"/>
  <c r="EL201" i="1"/>
  <c r="EK202" i="1"/>
  <c r="EL202" i="1"/>
  <c r="EK203" i="1"/>
  <c r="EL203" i="1"/>
  <c r="EK204" i="1"/>
  <c r="EL204" i="1"/>
  <c r="EK205" i="1"/>
  <c r="EL205" i="1"/>
  <c r="EK206" i="1"/>
  <c r="EL206" i="1"/>
  <c r="EK207" i="1"/>
  <c r="EL207" i="1"/>
  <c r="EK208" i="1"/>
  <c r="EL208" i="1"/>
  <c r="EK209" i="1"/>
  <c r="EL209" i="1"/>
  <c r="EK210" i="1"/>
  <c r="EL210" i="1"/>
  <c r="EK211" i="1"/>
  <c r="EL211" i="1"/>
  <c r="EK212" i="1"/>
  <c r="EL212" i="1"/>
  <c r="EK213" i="1"/>
  <c r="EL213" i="1"/>
  <c r="EK214" i="1"/>
  <c r="EL214" i="1"/>
  <c r="EK215" i="1"/>
  <c r="EL215" i="1"/>
  <c r="EK216" i="1"/>
  <c r="EL216" i="1"/>
  <c r="EK217" i="1"/>
  <c r="EL217" i="1"/>
  <c r="EK218" i="1"/>
  <c r="EL218" i="1"/>
  <c r="EK219" i="1"/>
  <c r="EL219" i="1"/>
  <c r="EK220" i="1"/>
  <c r="EL220" i="1"/>
  <c r="EK221" i="1"/>
  <c r="EL221" i="1"/>
  <c r="EK222" i="1"/>
  <c r="EL222" i="1"/>
  <c r="EK223" i="1"/>
  <c r="EL223" i="1"/>
  <c r="EK224" i="1"/>
  <c r="EL224" i="1"/>
  <c r="EK225" i="1"/>
  <c r="EL225" i="1"/>
  <c r="EK226" i="1"/>
  <c r="EL226" i="1"/>
  <c r="EK227" i="1"/>
  <c r="EL227" i="1"/>
  <c r="EK228" i="1"/>
  <c r="EL228" i="1"/>
  <c r="EK229" i="1"/>
  <c r="EL229" i="1"/>
  <c r="EK230" i="1"/>
  <c r="EL230" i="1"/>
  <c r="EK231" i="1"/>
  <c r="EL231" i="1"/>
  <c r="EK232" i="1"/>
  <c r="EL232" i="1"/>
  <c r="EK233" i="1"/>
  <c r="EL233" i="1"/>
  <c r="EK234" i="1"/>
  <c r="EL234" i="1"/>
  <c r="EK235" i="1"/>
  <c r="EL235" i="1"/>
  <c r="EK236" i="1"/>
  <c r="EL236" i="1"/>
  <c r="EK237" i="1"/>
  <c r="EL237" i="1"/>
  <c r="EK238" i="1"/>
  <c r="EL238" i="1"/>
  <c r="EK239" i="1"/>
  <c r="EL239" i="1"/>
  <c r="EK240" i="1"/>
  <c r="EL240" i="1"/>
  <c r="EK241" i="1"/>
  <c r="EL241" i="1"/>
  <c r="EK242" i="1"/>
  <c r="EL242" i="1"/>
  <c r="EK243" i="1"/>
  <c r="EL243" i="1"/>
  <c r="EK244" i="1"/>
  <c r="EL244" i="1"/>
  <c r="EK245" i="1"/>
  <c r="EL245" i="1"/>
  <c r="EK246" i="1"/>
  <c r="EL246" i="1"/>
  <c r="EK247" i="1"/>
  <c r="EL247" i="1"/>
  <c r="EK248" i="1"/>
  <c r="EL248" i="1"/>
  <c r="EK249" i="1"/>
  <c r="EL249" i="1"/>
  <c r="EK250" i="1"/>
  <c r="EL250" i="1"/>
  <c r="EK251" i="1"/>
  <c r="EL251" i="1"/>
  <c r="EK252" i="1"/>
  <c r="EL252" i="1"/>
  <c r="EK253" i="1"/>
  <c r="EL253" i="1"/>
  <c r="EK254" i="1"/>
  <c r="EL254" i="1"/>
  <c r="EK255" i="1"/>
  <c r="EL255" i="1"/>
  <c r="EK256" i="1"/>
  <c r="EL256" i="1"/>
  <c r="EK257" i="1"/>
  <c r="EL257" i="1"/>
  <c r="EK258" i="1"/>
  <c r="EL258" i="1"/>
  <c r="EK259" i="1"/>
  <c r="EL259" i="1"/>
  <c r="EK260" i="1"/>
  <c r="EL260" i="1"/>
  <c r="EK261" i="1"/>
  <c r="EL261" i="1"/>
  <c r="EK262" i="1"/>
  <c r="EL262" i="1"/>
  <c r="EK263" i="1"/>
  <c r="EL263" i="1"/>
  <c r="EK264" i="1"/>
  <c r="EL264" i="1"/>
  <c r="EK265" i="1"/>
  <c r="EL265" i="1"/>
  <c r="EK266" i="1"/>
  <c r="EL266" i="1"/>
  <c r="EK267" i="1"/>
  <c r="EL267" i="1"/>
  <c r="EK268" i="1"/>
  <c r="EL268" i="1"/>
  <c r="EK269" i="1"/>
  <c r="EL269" i="1"/>
  <c r="EK270" i="1"/>
  <c r="EL270" i="1"/>
  <c r="EK271" i="1"/>
  <c r="EL271" i="1"/>
  <c r="EL6" i="1"/>
  <c r="EW6" i="1"/>
  <c r="EE6" i="1"/>
  <c r="EN6" i="1" s="1"/>
  <c r="EE7" i="1"/>
  <c r="EN7" i="1" s="1"/>
  <c r="EE8" i="1"/>
  <c r="EN8" i="1" s="1"/>
  <c r="EE9" i="1"/>
  <c r="EN9" i="1" s="1"/>
  <c r="EE10" i="1"/>
  <c r="EN10" i="1" s="1"/>
  <c r="EE11" i="1"/>
  <c r="EN11" i="1" s="1"/>
  <c r="EE12" i="1"/>
  <c r="EN12" i="1" s="1"/>
  <c r="EE13" i="1"/>
  <c r="EN13" i="1" s="1"/>
  <c r="EE14" i="1"/>
  <c r="EN14" i="1" s="1"/>
  <c r="EE15" i="1"/>
  <c r="EN15" i="1" s="1"/>
  <c r="EE16" i="1"/>
  <c r="EN16" i="1" s="1"/>
  <c r="EE17" i="1"/>
  <c r="EN17" i="1" s="1"/>
  <c r="EE18" i="1"/>
  <c r="EN18" i="1" s="1"/>
  <c r="EE90" i="1"/>
  <c r="EN90" i="1" s="1"/>
  <c r="EE20" i="1"/>
  <c r="EN20" i="1" s="1"/>
  <c r="EE21" i="1"/>
  <c r="EN21" i="1" s="1"/>
  <c r="EE22" i="1"/>
  <c r="EN22" i="1" s="1"/>
  <c r="EE23" i="1"/>
  <c r="EN23" i="1" s="1"/>
  <c r="EE24" i="1"/>
  <c r="EN24" i="1" s="1"/>
  <c r="EE25" i="1"/>
  <c r="EN25" i="1" s="1"/>
  <c r="EE26" i="1"/>
  <c r="EN26" i="1" s="1"/>
  <c r="EE27" i="1"/>
  <c r="EN27" i="1" s="1"/>
  <c r="EE28" i="1"/>
  <c r="EN28" i="1" s="1"/>
  <c r="EE29" i="1"/>
  <c r="EN29" i="1" s="1"/>
  <c r="EE30" i="1"/>
  <c r="EN30" i="1" s="1"/>
  <c r="EE31" i="1"/>
  <c r="EN31" i="1" s="1"/>
  <c r="EE32" i="1"/>
  <c r="EN32" i="1" s="1"/>
  <c r="EE33" i="1"/>
  <c r="EN33" i="1" s="1"/>
  <c r="EE34" i="1"/>
  <c r="EN34" i="1" s="1"/>
  <c r="EE35" i="1"/>
  <c r="EN35" i="1" s="1"/>
  <c r="EE36" i="1"/>
  <c r="EN36" i="1" s="1"/>
  <c r="EE37" i="1"/>
  <c r="EN37" i="1" s="1"/>
  <c r="EE38" i="1"/>
  <c r="EN38" i="1" s="1"/>
  <c r="EE39" i="1"/>
  <c r="EN39" i="1" s="1"/>
  <c r="EE40" i="1"/>
  <c r="EN40" i="1" s="1"/>
  <c r="EE41" i="1"/>
  <c r="EN41" i="1" s="1"/>
  <c r="EE42" i="1"/>
  <c r="EN42" i="1" s="1"/>
  <c r="EE43" i="1"/>
  <c r="EN43" i="1" s="1"/>
  <c r="EE44" i="1"/>
  <c r="EN44" i="1" s="1"/>
  <c r="EE45" i="1"/>
  <c r="EN45" i="1" s="1"/>
  <c r="EE46" i="1"/>
  <c r="EN46" i="1" s="1"/>
  <c r="EE47" i="1"/>
  <c r="EN47" i="1" s="1"/>
  <c r="EE48" i="1"/>
  <c r="EN48" i="1" s="1"/>
  <c r="EE49" i="1"/>
  <c r="EN49" i="1" s="1"/>
  <c r="EE50" i="1"/>
  <c r="EN50" i="1" s="1"/>
  <c r="EE51" i="1"/>
  <c r="EN51" i="1" s="1"/>
  <c r="EE52" i="1"/>
  <c r="EN52" i="1" s="1"/>
  <c r="EE53" i="1"/>
  <c r="EN53" i="1" s="1"/>
  <c r="EE54" i="1"/>
  <c r="EN54" i="1" s="1"/>
  <c r="EE55" i="1"/>
  <c r="EN55" i="1" s="1"/>
  <c r="EE56" i="1"/>
  <c r="EN56" i="1" s="1"/>
  <c r="EE57" i="1"/>
  <c r="EN57" i="1" s="1"/>
  <c r="EE58" i="1"/>
  <c r="EN58" i="1" s="1"/>
  <c r="EE59" i="1"/>
  <c r="EN59" i="1" s="1"/>
  <c r="EE60" i="1"/>
  <c r="EN60" i="1" s="1"/>
  <c r="EE61" i="1"/>
  <c r="EN61" i="1" s="1"/>
  <c r="EE62" i="1"/>
  <c r="EN62" i="1" s="1"/>
  <c r="EE63" i="1"/>
  <c r="EN63" i="1" s="1"/>
  <c r="EE64" i="1"/>
  <c r="EN64" i="1" s="1"/>
  <c r="EE65" i="1"/>
  <c r="EN65" i="1" s="1"/>
  <c r="EE66" i="1"/>
  <c r="EN66" i="1" s="1"/>
  <c r="EE121" i="1"/>
  <c r="EN121" i="1" s="1"/>
  <c r="EE68" i="1"/>
  <c r="EN68" i="1" s="1"/>
  <c r="EE69" i="1"/>
  <c r="EN69" i="1" s="1"/>
  <c r="EE155" i="1"/>
  <c r="EN155" i="1" s="1"/>
  <c r="EE71" i="1"/>
  <c r="EN71" i="1" s="1"/>
  <c r="EE72" i="1"/>
  <c r="EN72" i="1" s="1"/>
  <c r="EE73" i="1"/>
  <c r="EN73" i="1" s="1"/>
  <c r="EE74" i="1"/>
  <c r="EN74" i="1" s="1"/>
  <c r="EE75" i="1"/>
  <c r="EN75" i="1" s="1"/>
  <c r="EE76" i="1"/>
  <c r="EN76" i="1" s="1"/>
  <c r="EE77" i="1"/>
  <c r="EN77" i="1" s="1"/>
  <c r="EE78" i="1"/>
  <c r="EN78" i="1" s="1"/>
  <c r="EE79" i="1"/>
  <c r="EN79" i="1" s="1"/>
  <c r="EE80" i="1"/>
  <c r="EN80" i="1" s="1"/>
  <c r="EE81" i="1"/>
  <c r="EN81" i="1" s="1"/>
  <c r="EE82" i="1"/>
  <c r="EN82" i="1" s="1"/>
  <c r="EE83" i="1"/>
  <c r="EN83" i="1" s="1"/>
  <c r="EE84" i="1"/>
  <c r="EN84" i="1" s="1"/>
  <c r="EE85" i="1"/>
  <c r="EN85" i="1" s="1"/>
  <c r="EE86" i="1"/>
  <c r="EN86" i="1" s="1"/>
  <c r="EE87" i="1"/>
  <c r="EN87" i="1" s="1"/>
  <c r="EE88" i="1"/>
  <c r="EN88" i="1" s="1"/>
  <c r="EE114" i="1"/>
  <c r="EN114" i="1" s="1"/>
  <c r="EE186" i="1"/>
  <c r="EN186" i="1" s="1"/>
  <c r="EE91" i="1"/>
  <c r="EN91" i="1" s="1"/>
  <c r="EE92" i="1"/>
  <c r="EN92" i="1" s="1"/>
  <c r="EE93" i="1"/>
  <c r="EN93" i="1" s="1"/>
  <c r="EE94" i="1"/>
  <c r="EN94" i="1" s="1"/>
  <c r="EE95" i="1"/>
  <c r="EN95" i="1" s="1"/>
  <c r="EE96" i="1"/>
  <c r="EN96" i="1" s="1"/>
  <c r="EE97" i="1"/>
  <c r="EN97" i="1" s="1"/>
  <c r="EE98" i="1"/>
  <c r="EN98" i="1" s="1"/>
  <c r="EE99" i="1"/>
  <c r="EN99" i="1" s="1"/>
  <c r="EE100" i="1"/>
  <c r="EN100" i="1" s="1"/>
  <c r="EE101" i="1"/>
  <c r="EN101" i="1" s="1"/>
  <c r="EE102" i="1"/>
  <c r="EN102" i="1" s="1"/>
  <c r="EE103" i="1"/>
  <c r="EN103" i="1" s="1"/>
  <c r="EE104" i="1"/>
  <c r="EN104" i="1" s="1"/>
  <c r="EE105" i="1"/>
  <c r="EN105" i="1" s="1"/>
  <c r="EE106" i="1"/>
  <c r="EN106" i="1" s="1"/>
  <c r="EE107" i="1"/>
  <c r="EN107" i="1" s="1"/>
  <c r="EE108" i="1"/>
  <c r="EN108" i="1" s="1"/>
  <c r="EE109" i="1"/>
  <c r="EN109" i="1" s="1"/>
  <c r="EE110" i="1"/>
  <c r="EN110" i="1" s="1"/>
  <c r="EE111" i="1"/>
  <c r="EN111" i="1" s="1"/>
  <c r="EE112" i="1"/>
  <c r="EN112" i="1" s="1"/>
  <c r="EE113" i="1"/>
  <c r="EN113" i="1" s="1"/>
  <c r="EE153" i="1"/>
  <c r="EN153" i="1" s="1"/>
  <c r="EE115" i="1"/>
  <c r="EN115" i="1" s="1"/>
  <c r="EE116" i="1"/>
  <c r="EN116" i="1" s="1"/>
  <c r="EE117" i="1"/>
  <c r="EN117" i="1" s="1"/>
  <c r="EE118" i="1"/>
  <c r="EN118" i="1" s="1"/>
  <c r="EE119" i="1"/>
  <c r="EN119" i="1" s="1"/>
  <c r="EE67" i="1"/>
  <c r="EN67" i="1" s="1"/>
  <c r="EE70" i="1"/>
  <c r="EN70" i="1" s="1"/>
  <c r="EE122" i="1"/>
  <c r="EN122" i="1" s="1"/>
  <c r="EE123" i="1"/>
  <c r="EN123" i="1" s="1"/>
  <c r="EE124" i="1"/>
  <c r="EN124" i="1" s="1"/>
  <c r="EE125" i="1"/>
  <c r="EN125" i="1" s="1"/>
  <c r="EE126" i="1"/>
  <c r="EN126" i="1" s="1"/>
  <c r="EE127" i="1"/>
  <c r="EN127" i="1" s="1"/>
  <c r="EE128" i="1"/>
  <c r="EN128" i="1" s="1"/>
  <c r="EE129" i="1"/>
  <c r="EN129" i="1" s="1"/>
  <c r="EE130" i="1"/>
  <c r="EN130" i="1" s="1"/>
  <c r="EE131" i="1"/>
  <c r="EN131" i="1" s="1"/>
  <c r="EE132" i="1"/>
  <c r="EN132" i="1" s="1"/>
  <c r="EE133" i="1"/>
  <c r="EN133" i="1" s="1"/>
  <c r="EE134" i="1"/>
  <c r="EN134" i="1" s="1"/>
  <c r="EE135" i="1"/>
  <c r="EN135" i="1" s="1"/>
  <c r="EE136" i="1"/>
  <c r="EN136" i="1" s="1"/>
  <c r="EE137" i="1"/>
  <c r="EN137" i="1" s="1"/>
  <c r="EE138" i="1"/>
  <c r="EN138" i="1" s="1"/>
  <c r="EE139" i="1"/>
  <c r="EN139" i="1" s="1"/>
  <c r="EE140" i="1"/>
  <c r="EN140" i="1" s="1"/>
  <c r="EE141" i="1"/>
  <c r="EN141" i="1" s="1"/>
  <c r="EE142" i="1"/>
  <c r="EN142" i="1" s="1"/>
  <c r="EE143" i="1"/>
  <c r="EN143" i="1" s="1"/>
  <c r="EE144" i="1"/>
  <c r="EN144" i="1" s="1"/>
  <c r="EE145" i="1"/>
  <c r="EN145" i="1" s="1"/>
  <c r="EE146" i="1"/>
  <c r="EN146" i="1" s="1"/>
  <c r="EE147" i="1"/>
  <c r="EN147" i="1" s="1"/>
  <c r="EE148" i="1"/>
  <c r="EN148" i="1" s="1"/>
  <c r="EE149" i="1"/>
  <c r="EN149" i="1" s="1"/>
  <c r="EE150" i="1"/>
  <c r="EN150" i="1" s="1"/>
  <c r="EE151" i="1"/>
  <c r="EN151" i="1" s="1"/>
  <c r="EE152" i="1"/>
  <c r="EN152" i="1" s="1"/>
  <c r="EE120" i="1"/>
  <c r="EN120" i="1" s="1"/>
  <c r="EE154" i="1"/>
  <c r="EN154" i="1" s="1"/>
  <c r="EE89" i="1"/>
  <c r="EN89" i="1" s="1"/>
  <c r="EE156" i="1"/>
  <c r="EN156" i="1" s="1"/>
  <c r="EE157" i="1"/>
  <c r="EN157" i="1" s="1"/>
  <c r="EE158" i="1"/>
  <c r="EN158" i="1" s="1"/>
  <c r="EE159" i="1"/>
  <c r="EN159" i="1" s="1"/>
  <c r="EE160" i="1"/>
  <c r="EN160" i="1" s="1"/>
  <c r="EE161" i="1"/>
  <c r="EN161" i="1" s="1"/>
  <c r="EE162" i="1"/>
  <c r="EN162" i="1" s="1"/>
  <c r="EE163" i="1"/>
  <c r="EN163" i="1" s="1"/>
  <c r="EE164" i="1"/>
  <c r="EN164" i="1" s="1"/>
  <c r="EE165" i="1"/>
  <c r="EN165" i="1" s="1"/>
  <c r="EE166" i="1"/>
  <c r="EN166" i="1" s="1"/>
  <c r="EE167" i="1"/>
  <c r="EN167" i="1" s="1"/>
  <c r="EE168" i="1"/>
  <c r="EN168" i="1" s="1"/>
  <c r="EE169" i="1"/>
  <c r="EN169" i="1" s="1"/>
  <c r="EE170" i="1"/>
  <c r="EN170" i="1" s="1"/>
  <c r="EE171" i="1"/>
  <c r="EN171" i="1" s="1"/>
  <c r="EE172" i="1"/>
  <c r="EN172" i="1" s="1"/>
  <c r="EE173" i="1"/>
  <c r="EN173" i="1" s="1"/>
  <c r="EE174" i="1"/>
  <c r="EN174" i="1" s="1"/>
  <c r="EE175" i="1"/>
  <c r="EN175" i="1" s="1"/>
  <c r="EE176" i="1"/>
  <c r="EN176" i="1" s="1"/>
  <c r="EE177" i="1"/>
  <c r="EN177" i="1" s="1"/>
  <c r="EE178" i="1"/>
  <c r="EN178" i="1" s="1"/>
  <c r="EE179" i="1"/>
  <c r="EN179" i="1" s="1"/>
  <c r="EE180" i="1"/>
  <c r="EN180" i="1" s="1"/>
  <c r="EE181" i="1"/>
  <c r="EN181" i="1" s="1"/>
  <c r="EE182" i="1"/>
  <c r="EN182" i="1" s="1"/>
  <c r="EE183" i="1"/>
  <c r="EN183" i="1" s="1"/>
  <c r="EE184" i="1"/>
  <c r="EN184" i="1" s="1"/>
  <c r="EE185" i="1"/>
  <c r="EN185" i="1" s="1"/>
  <c r="EE19" i="1"/>
  <c r="EN19" i="1" s="1"/>
  <c r="EE187" i="1"/>
  <c r="EN187" i="1" s="1"/>
  <c r="EE188" i="1"/>
  <c r="EN188" i="1" s="1"/>
  <c r="EE189" i="1"/>
  <c r="EN189" i="1" s="1"/>
  <c r="EE190" i="1"/>
  <c r="EN190" i="1" s="1"/>
  <c r="EE191" i="1"/>
  <c r="EN191" i="1" s="1"/>
  <c r="EE192" i="1"/>
  <c r="EN192" i="1" s="1"/>
  <c r="EE193" i="1"/>
  <c r="EN193" i="1" s="1"/>
  <c r="EE194" i="1"/>
  <c r="EN194" i="1" s="1"/>
  <c r="EE195" i="1"/>
  <c r="EN195" i="1" s="1"/>
  <c r="EE196" i="1"/>
  <c r="EN196" i="1" s="1"/>
  <c r="EE197" i="1"/>
  <c r="EN197" i="1" s="1"/>
  <c r="EE198" i="1"/>
  <c r="EN198" i="1" s="1"/>
  <c r="EE199" i="1"/>
  <c r="EN199" i="1" s="1"/>
  <c r="EE200" i="1"/>
  <c r="EN200" i="1" s="1"/>
  <c r="EE201" i="1"/>
  <c r="EN201" i="1" s="1"/>
  <c r="EE202" i="1"/>
  <c r="EN202" i="1" s="1"/>
  <c r="EE203" i="1"/>
  <c r="EN203" i="1" s="1"/>
  <c r="EE204" i="1"/>
  <c r="EN204" i="1" s="1"/>
  <c r="EE205" i="1"/>
  <c r="EN205" i="1" s="1"/>
  <c r="EE206" i="1"/>
  <c r="EN206" i="1" s="1"/>
  <c r="EE207" i="1"/>
  <c r="EN207" i="1" s="1"/>
  <c r="EE208" i="1"/>
  <c r="EN208" i="1" s="1"/>
  <c r="EE209" i="1"/>
  <c r="EN209" i="1" s="1"/>
  <c r="EE210" i="1"/>
  <c r="EN210" i="1" s="1"/>
  <c r="EE211" i="1"/>
  <c r="EN211" i="1" s="1"/>
  <c r="EE212" i="1"/>
  <c r="EN212" i="1" s="1"/>
  <c r="EE213" i="1"/>
  <c r="EN213" i="1" s="1"/>
  <c r="EE214" i="1"/>
  <c r="EN214" i="1" s="1"/>
  <c r="EE215" i="1"/>
  <c r="EN215" i="1" s="1"/>
  <c r="EE216" i="1"/>
  <c r="EN216" i="1" s="1"/>
  <c r="EE217" i="1"/>
  <c r="EN217" i="1" s="1"/>
  <c r="EE218" i="1"/>
  <c r="EN218" i="1" s="1"/>
  <c r="EE219" i="1"/>
  <c r="EN219" i="1" s="1"/>
  <c r="EE220" i="1"/>
  <c r="EN220" i="1" s="1"/>
  <c r="EE221" i="1"/>
  <c r="EN221" i="1" s="1"/>
  <c r="EE222" i="1"/>
  <c r="EN222" i="1" s="1"/>
  <c r="EE223" i="1"/>
  <c r="EN223" i="1" s="1"/>
  <c r="EE224" i="1"/>
  <c r="EN224" i="1" s="1"/>
  <c r="EE225" i="1"/>
  <c r="EN225" i="1" s="1"/>
  <c r="EE226" i="1"/>
  <c r="EN226" i="1" s="1"/>
  <c r="EE227" i="1"/>
  <c r="EN227" i="1" s="1"/>
  <c r="EE228" i="1"/>
  <c r="EN228" i="1" s="1"/>
  <c r="EE229" i="1"/>
  <c r="EN229" i="1" s="1"/>
  <c r="EE230" i="1"/>
  <c r="EN230" i="1" s="1"/>
  <c r="EE231" i="1"/>
  <c r="EN231" i="1" s="1"/>
  <c r="EE232" i="1"/>
  <c r="EN232" i="1" s="1"/>
  <c r="EE233" i="1"/>
  <c r="EN233" i="1" s="1"/>
  <c r="EE234" i="1"/>
  <c r="EN234" i="1" s="1"/>
  <c r="EE235" i="1"/>
  <c r="EN235" i="1" s="1"/>
  <c r="EE236" i="1"/>
  <c r="EN236" i="1" s="1"/>
  <c r="EE237" i="1"/>
  <c r="EN237" i="1" s="1"/>
  <c r="EE238" i="1"/>
  <c r="EN238" i="1" s="1"/>
  <c r="EE239" i="1"/>
  <c r="EN239" i="1" s="1"/>
  <c r="EE240" i="1"/>
  <c r="EN240" i="1" s="1"/>
  <c r="EE241" i="1"/>
  <c r="EN241" i="1" s="1"/>
  <c r="EE242" i="1"/>
  <c r="EN242" i="1" s="1"/>
  <c r="EE243" i="1"/>
  <c r="EN243" i="1" s="1"/>
  <c r="EE244" i="1"/>
  <c r="EN244" i="1" s="1"/>
  <c r="EE245" i="1"/>
  <c r="EN245" i="1" s="1"/>
  <c r="EE246" i="1"/>
  <c r="EN246" i="1" s="1"/>
  <c r="EE247" i="1"/>
  <c r="EN247" i="1" s="1"/>
  <c r="EE248" i="1"/>
  <c r="EN248" i="1" s="1"/>
  <c r="EE249" i="1"/>
  <c r="EN249" i="1" s="1"/>
  <c r="EE250" i="1"/>
  <c r="EN250" i="1" s="1"/>
  <c r="EE251" i="1"/>
  <c r="EN251" i="1" s="1"/>
  <c r="EE252" i="1"/>
  <c r="EN252" i="1" s="1"/>
  <c r="EE253" i="1"/>
  <c r="EN253" i="1" s="1"/>
  <c r="EE254" i="1"/>
  <c r="EN254" i="1" s="1"/>
  <c r="EE255" i="1"/>
  <c r="EN255" i="1" s="1"/>
  <c r="EE256" i="1"/>
  <c r="EN256" i="1" s="1"/>
  <c r="EE257" i="1"/>
  <c r="EN257" i="1" s="1"/>
  <c r="EE258" i="1"/>
  <c r="EN258" i="1" s="1"/>
  <c r="EE259" i="1"/>
  <c r="EN259" i="1" s="1"/>
  <c r="EE260" i="1"/>
  <c r="EN260" i="1" s="1"/>
  <c r="EE261" i="1"/>
  <c r="EN261" i="1" s="1"/>
  <c r="EE262" i="1"/>
  <c r="EN262" i="1" s="1"/>
  <c r="EE263" i="1"/>
  <c r="EN263" i="1" s="1"/>
  <c r="EE264" i="1"/>
  <c r="EN264" i="1" s="1"/>
  <c r="EE265" i="1"/>
  <c r="EN265" i="1" s="1"/>
  <c r="EE266" i="1"/>
  <c r="EN266" i="1" s="1"/>
  <c r="EE267" i="1"/>
  <c r="EN267" i="1" s="1"/>
  <c r="EE268" i="1"/>
  <c r="EN268" i="1" s="1"/>
  <c r="EE269" i="1"/>
  <c r="EN269" i="1" s="1"/>
  <c r="EE270" i="1"/>
  <c r="EN270" i="1" s="1"/>
  <c r="EE271" i="1"/>
  <c r="EN271" i="1" s="1"/>
  <c r="EU7" i="1"/>
  <c r="EU8" i="1"/>
  <c r="EU9" i="1"/>
  <c r="EU10" i="1"/>
  <c r="EU11" i="1"/>
  <c r="EU12" i="1"/>
  <c r="EU13" i="1"/>
  <c r="EU14" i="1"/>
  <c r="EU15" i="1"/>
  <c r="EU16" i="1"/>
  <c r="EU17" i="1"/>
  <c r="EU18" i="1"/>
  <c r="EU90" i="1"/>
  <c r="EU20" i="1"/>
  <c r="EU21" i="1"/>
  <c r="EU22" i="1"/>
  <c r="EU23" i="1"/>
  <c r="EU24" i="1"/>
  <c r="EU25" i="1"/>
  <c r="EU26" i="1"/>
  <c r="EU27" i="1"/>
  <c r="EU28" i="1"/>
  <c r="EU29" i="1"/>
  <c r="EU30" i="1"/>
  <c r="EU31" i="1"/>
  <c r="EU32" i="1"/>
  <c r="EU33" i="1"/>
  <c r="EU34" i="1"/>
  <c r="EU35" i="1"/>
  <c r="EU36" i="1"/>
  <c r="EU37" i="1"/>
  <c r="EU38" i="1"/>
  <c r="EU39" i="1"/>
  <c r="EU40" i="1"/>
  <c r="EU41" i="1"/>
  <c r="EU42" i="1"/>
  <c r="EU43" i="1"/>
  <c r="EU44" i="1"/>
  <c r="EU45" i="1"/>
  <c r="EU46" i="1"/>
  <c r="EU47" i="1"/>
  <c r="EU48" i="1"/>
  <c r="EU49" i="1"/>
  <c r="EU50" i="1"/>
  <c r="EU51" i="1"/>
  <c r="EU52" i="1"/>
  <c r="EU53" i="1"/>
  <c r="EU54" i="1"/>
  <c r="EU55" i="1"/>
  <c r="EU56" i="1"/>
  <c r="EU57" i="1"/>
  <c r="EU58" i="1"/>
  <c r="EU59" i="1"/>
  <c r="EU60" i="1"/>
  <c r="EU61" i="1"/>
  <c r="EU62" i="1"/>
  <c r="EU63" i="1"/>
  <c r="EU64" i="1"/>
  <c r="EU65" i="1"/>
  <c r="EU66" i="1"/>
  <c r="EU121" i="1"/>
  <c r="EU68" i="1"/>
  <c r="EU69" i="1"/>
  <c r="EU155" i="1"/>
  <c r="EU71" i="1"/>
  <c r="EU72" i="1"/>
  <c r="EU73" i="1"/>
  <c r="EU74" i="1"/>
  <c r="EU75" i="1"/>
  <c r="EU76" i="1"/>
  <c r="EU77" i="1"/>
  <c r="EU78" i="1"/>
  <c r="EU79" i="1"/>
  <c r="EU80" i="1"/>
  <c r="EU81" i="1"/>
  <c r="EU82" i="1"/>
  <c r="EU83" i="1"/>
  <c r="EU84" i="1"/>
  <c r="EU85" i="1"/>
  <c r="EU86" i="1"/>
  <c r="EU87" i="1"/>
  <c r="EU88" i="1"/>
  <c r="EU114" i="1"/>
  <c r="EU186" i="1"/>
  <c r="EU91" i="1"/>
  <c r="EU92" i="1"/>
  <c r="EU93" i="1"/>
  <c r="EU94" i="1"/>
  <c r="EU95" i="1"/>
  <c r="EU96" i="1"/>
  <c r="EU97" i="1"/>
  <c r="EU98" i="1"/>
  <c r="EU99" i="1"/>
  <c r="EU100" i="1"/>
  <c r="EU101" i="1"/>
  <c r="EU102" i="1"/>
  <c r="EU103" i="1"/>
  <c r="EU104" i="1"/>
  <c r="EU105" i="1"/>
  <c r="EU106" i="1"/>
  <c r="EU107" i="1"/>
  <c r="EU108" i="1"/>
  <c r="EU109" i="1"/>
  <c r="EU110" i="1"/>
  <c r="EU111" i="1"/>
  <c r="EU112" i="1"/>
  <c r="EU113" i="1"/>
  <c r="EU153" i="1"/>
  <c r="EU115" i="1"/>
  <c r="EU116" i="1"/>
  <c r="EU117" i="1"/>
  <c r="EU118" i="1"/>
  <c r="EU119" i="1"/>
  <c r="EU67" i="1"/>
  <c r="EU70" i="1"/>
  <c r="EU122" i="1"/>
  <c r="EU123" i="1"/>
  <c r="EU124" i="1"/>
  <c r="EU125" i="1"/>
  <c r="EU126" i="1"/>
  <c r="EU127" i="1"/>
  <c r="EU128" i="1"/>
  <c r="EU129" i="1"/>
  <c r="EU130" i="1"/>
  <c r="EU131" i="1"/>
  <c r="EU132" i="1"/>
  <c r="EU133" i="1"/>
  <c r="EU134" i="1"/>
  <c r="EU135" i="1"/>
  <c r="EU136" i="1"/>
  <c r="EU137" i="1"/>
  <c r="EU138" i="1"/>
  <c r="EU139" i="1"/>
  <c r="EU140" i="1"/>
  <c r="EU141" i="1"/>
  <c r="EU142" i="1"/>
  <c r="EU143" i="1"/>
  <c r="EU144" i="1"/>
  <c r="EU145" i="1"/>
  <c r="EU146" i="1"/>
  <c r="EU147" i="1"/>
  <c r="EU148" i="1"/>
  <c r="EU149" i="1"/>
  <c r="EU150" i="1"/>
  <c r="EU151" i="1"/>
  <c r="EU152" i="1"/>
  <c r="EU120" i="1"/>
  <c r="EU154" i="1"/>
  <c r="EU89" i="1"/>
  <c r="EU156" i="1"/>
  <c r="EU157" i="1"/>
  <c r="EU158" i="1"/>
  <c r="EU159" i="1"/>
  <c r="EU160" i="1"/>
  <c r="EU161" i="1"/>
  <c r="EU162" i="1"/>
  <c r="EU163" i="1"/>
  <c r="EU164" i="1"/>
  <c r="EU165" i="1"/>
  <c r="EU166" i="1"/>
  <c r="EU167" i="1"/>
  <c r="EU168" i="1"/>
  <c r="EU169" i="1"/>
  <c r="EU170" i="1"/>
  <c r="EU171" i="1"/>
  <c r="EU172" i="1"/>
  <c r="EU173" i="1"/>
  <c r="EU174" i="1"/>
  <c r="EU175" i="1"/>
  <c r="EU176" i="1"/>
  <c r="EU177" i="1"/>
  <c r="EU178" i="1"/>
  <c r="EU179" i="1"/>
  <c r="EU180" i="1"/>
  <c r="EU181" i="1"/>
  <c r="EU182" i="1"/>
  <c r="EU183" i="1"/>
  <c r="EU184" i="1"/>
  <c r="EU185" i="1"/>
  <c r="EU19" i="1"/>
  <c r="EU187" i="1"/>
  <c r="EU188" i="1"/>
  <c r="EU189" i="1"/>
  <c r="EU190" i="1"/>
  <c r="EU191" i="1"/>
  <c r="EU192" i="1"/>
  <c r="EU193" i="1"/>
  <c r="EU194" i="1"/>
  <c r="EU195" i="1"/>
  <c r="EU196" i="1"/>
  <c r="EU197" i="1"/>
  <c r="EU198" i="1"/>
  <c r="EU199" i="1"/>
  <c r="EU200" i="1"/>
  <c r="EU201" i="1"/>
  <c r="EU202" i="1"/>
  <c r="EU203" i="1"/>
  <c r="EU204" i="1"/>
  <c r="EU205" i="1"/>
  <c r="EU206" i="1"/>
  <c r="EU207" i="1"/>
  <c r="EU208" i="1"/>
  <c r="EU209" i="1"/>
  <c r="EU210" i="1"/>
  <c r="EU211" i="1"/>
  <c r="EU212" i="1"/>
  <c r="EU213" i="1"/>
  <c r="EU214" i="1"/>
  <c r="EU215" i="1"/>
  <c r="EU216" i="1"/>
  <c r="EU217" i="1"/>
  <c r="EU218" i="1"/>
  <c r="EU219" i="1"/>
  <c r="EU220" i="1"/>
  <c r="EU221" i="1"/>
  <c r="EU222" i="1"/>
  <c r="EU223" i="1"/>
  <c r="EU224" i="1"/>
  <c r="EU225" i="1"/>
  <c r="EU226" i="1"/>
  <c r="EU227" i="1"/>
  <c r="EU228" i="1"/>
  <c r="EU229" i="1"/>
  <c r="EU230" i="1"/>
  <c r="EU231" i="1"/>
  <c r="EU232" i="1"/>
  <c r="EU233" i="1"/>
  <c r="EU234" i="1"/>
  <c r="EU235" i="1"/>
  <c r="EU236" i="1"/>
  <c r="EU237" i="1"/>
  <c r="EU238" i="1"/>
  <c r="EU239" i="1"/>
  <c r="EU240" i="1"/>
  <c r="EU241" i="1"/>
  <c r="EU242" i="1"/>
  <c r="EU243" i="1"/>
  <c r="EU244" i="1"/>
  <c r="EU245" i="1"/>
  <c r="EU246" i="1"/>
  <c r="EU247" i="1"/>
  <c r="EU248" i="1"/>
  <c r="EU249" i="1"/>
  <c r="EU250" i="1"/>
  <c r="EU251" i="1"/>
  <c r="EU252" i="1"/>
  <c r="EU253" i="1"/>
  <c r="EU254" i="1"/>
  <c r="EU255" i="1"/>
  <c r="EU256" i="1"/>
  <c r="EU257" i="1"/>
  <c r="EU258" i="1"/>
  <c r="EU259" i="1"/>
  <c r="EU260" i="1"/>
  <c r="EU261" i="1"/>
  <c r="EU262" i="1"/>
  <c r="EU263" i="1"/>
  <c r="EU264" i="1"/>
  <c r="EU265" i="1"/>
  <c r="EU266" i="1"/>
  <c r="EU267" i="1"/>
  <c r="EU268" i="1"/>
  <c r="EU269" i="1"/>
  <c r="EU270" i="1"/>
  <c r="EU271" i="1"/>
  <c r="EO6" i="1"/>
  <c r="EO7" i="1"/>
  <c r="EO8" i="1"/>
  <c r="EO9" i="1"/>
  <c r="EO10" i="1"/>
  <c r="EO11" i="1"/>
  <c r="EO12" i="1"/>
  <c r="EO13" i="1"/>
  <c r="EO14" i="1"/>
  <c r="EO15" i="1"/>
  <c r="EO16" i="1"/>
  <c r="EO17" i="1"/>
  <c r="EO18" i="1"/>
  <c r="EO90" i="1"/>
  <c r="EO20" i="1"/>
  <c r="EO21" i="1"/>
  <c r="EO22" i="1"/>
  <c r="EO23" i="1"/>
  <c r="EO24" i="1"/>
  <c r="EO25" i="1"/>
  <c r="EO26" i="1"/>
  <c r="EO27" i="1"/>
  <c r="EO28" i="1"/>
  <c r="EO29" i="1"/>
  <c r="EO30" i="1"/>
  <c r="EO31" i="1"/>
  <c r="EO32" i="1"/>
  <c r="EO33" i="1"/>
  <c r="EO34" i="1"/>
  <c r="EO35" i="1"/>
  <c r="EO36" i="1"/>
  <c r="EO37" i="1"/>
  <c r="EO38" i="1"/>
  <c r="EO39" i="1"/>
  <c r="EO40" i="1"/>
  <c r="EO41" i="1"/>
  <c r="EO42" i="1"/>
  <c r="EO43" i="1"/>
  <c r="EO44" i="1"/>
  <c r="EO45" i="1"/>
  <c r="EO46" i="1"/>
  <c r="EO47" i="1"/>
  <c r="EO48" i="1"/>
  <c r="EO49" i="1"/>
  <c r="EO50" i="1"/>
  <c r="EO51" i="1"/>
  <c r="EO52" i="1"/>
  <c r="EO53" i="1"/>
  <c r="EO54" i="1"/>
  <c r="EO55" i="1"/>
  <c r="EO56" i="1"/>
  <c r="EO57" i="1"/>
  <c r="EO58" i="1"/>
  <c r="EO59" i="1"/>
  <c r="EO60" i="1"/>
  <c r="EO61" i="1"/>
  <c r="EO62" i="1"/>
  <c r="EO63" i="1"/>
  <c r="EO64" i="1"/>
  <c r="EO65" i="1"/>
  <c r="EO66" i="1"/>
  <c r="EO121" i="1"/>
  <c r="EO68" i="1"/>
  <c r="EO69" i="1"/>
  <c r="EO155" i="1"/>
  <c r="EO71" i="1"/>
  <c r="EO72" i="1"/>
  <c r="EO73" i="1"/>
  <c r="EO74" i="1"/>
  <c r="EO75" i="1"/>
  <c r="EO76" i="1"/>
  <c r="EO77" i="1"/>
  <c r="EO78" i="1"/>
  <c r="EO79" i="1"/>
  <c r="EO80" i="1"/>
  <c r="EO81" i="1"/>
  <c r="EO82" i="1"/>
  <c r="EO83" i="1"/>
  <c r="EO84" i="1"/>
  <c r="EO85" i="1"/>
  <c r="EO86" i="1"/>
  <c r="EO87" i="1"/>
  <c r="EO88" i="1"/>
  <c r="EO114" i="1"/>
  <c r="EO186" i="1"/>
  <c r="EO91" i="1"/>
  <c r="EO92" i="1"/>
  <c r="EO93" i="1"/>
  <c r="EO94" i="1"/>
  <c r="EO95" i="1"/>
  <c r="EO96" i="1"/>
  <c r="EO97" i="1"/>
  <c r="EO98" i="1"/>
  <c r="EO99" i="1"/>
  <c r="EO100" i="1"/>
  <c r="EO101" i="1"/>
  <c r="EO102" i="1"/>
  <c r="EO103" i="1"/>
  <c r="EO104" i="1"/>
  <c r="EO105" i="1"/>
  <c r="EO106" i="1"/>
  <c r="EO107" i="1"/>
  <c r="EO108" i="1"/>
  <c r="EO109" i="1"/>
  <c r="EO110" i="1"/>
  <c r="EO111" i="1"/>
  <c r="EO112" i="1"/>
  <c r="EO113" i="1"/>
  <c r="EO153" i="1"/>
  <c r="EO115" i="1"/>
  <c r="EO116" i="1"/>
  <c r="EO117" i="1"/>
  <c r="EO118" i="1"/>
  <c r="EO119" i="1"/>
  <c r="EO67" i="1"/>
  <c r="EO70" i="1"/>
  <c r="EO122" i="1"/>
  <c r="EO123" i="1"/>
  <c r="EO124" i="1"/>
  <c r="EO125" i="1"/>
  <c r="EO126" i="1"/>
  <c r="EO127" i="1"/>
  <c r="EO128" i="1"/>
  <c r="EO129" i="1"/>
  <c r="EO130" i="1"/>
  <c r="EO131" i="1"/>
  <c r="EO132" i="1"/>
  <c r="EO133" i="1"/>
  <c r="EO134" i="1"/>
  <c r="EO135" i="1"/>
  <c r="EO136" i="1"/>
  <c r="EO137" i="1"/>
  <c r="EO138" i="1"/>
  <c r="EO139" i="1"/>
  <c r="EO140" i="1"/>
  <c r="EO141" i="1"/>
  <c r="EO142" i="1"/>
  <c r="EO143" i="1"/>
  <c r="EO144" i="1"/>
  <c r="EO145" i="1"/>
  <c r="EO146" i="1"/>
  <c r="EO147" i="1"/>
  <c r="EO148" i="1"/>
  <c r="EO149" i="1"/>
  <c r="EO150" i="1"/>
  <c r="EO151" i="1"/>
  <c r="EO152" i="1"/>
  <c r="EO120" i="1"/>
  <c r="EO154" i="1"/>
  <c r="EO89" i="1"/>
  <c r="EO156" i="1"/>
  <c r="EO157" i="1"/>
  <c r="EO158" i="1"/>
  <c r="EO159" i="1"/>
  <c r="EO160" i="1"/>
  <c r="EO161" i="1"/>
  <c r="EO162" i="1"/>
  <c r="EO163" i="1"/>
  <c r="EO164" i="1"/>
  <c r="EO165" i="1"/>
  <c r="EO166" i="1"/>
  <c r="EO167" i="1"/>
  <c r="EO168" i="1"/>
  <c r="EO169" i="1"/>
  <c r="EO170" i="1"/>
  <c r="EO171" i="1"/>
  <c r="EO172" i="1"/>
  <c r="EO173" i="1"/>
  <c r="EO174" i="1"/>
  <c r="EO175" i="1"/>
  <c r="EO176" i="1"/>
  <c r="EO177" i="1"/>
  <c r="EO178" i="1"/>
  <c r="EO179" i="1"/>
  <c r="EO180" i="1"/>
  <c r="EO181" i="1"/>
  <c r="EO182" i="1"/>
  <c r="EO183" i="1"/>
  <c r="EO184" i="1"/>
  <c r="EO185" i="1"/>
  <c r="EO19" i="1"/>
  <c r="EO187" i="1"/>
  <c r="EO188" i="1"/>
  <c r="EO189" i="1"/>
  <c r="EO190" i="1"/>
  <c r="EO191" i="1"/>
  <c r="EO192" i="1"/>
  <c r="EO193" i="1"/>
  <c r="EO194" i="1"/>
  <c r="EO195" i="1"/>
  <c r="EO196" i="1"/>
  <c r="EO197" i="1"/>
  <c r="EO198" i="1"/>
  <c r="EO199" i="1"/>
  <c r="EO200" i="1"/>
  <c r="EO201" i="1"/>
  <c r="EO202" i="1"/>
  <c r="EO203" i="1"/>
  <c r="EO204" i="1"/>
  <c r="EO205" i="1"/>
  <c r="EO206" i="1"/>
  <c r="EO207" i="1"/>
  <c r="EO208" i="1"/>
  <c r="EO209" i="1"/>
  <c r="EO210" i="1"/>
  <c r="EO211" i="1"/>
  <c r="EO212" i="1"/>
  <c r="EO213" i="1"/>
  <c r="EO214" i="1"/>
  <c r="EO215" i="1"/>
  <c r="EO216" i="1"/>
  <c r="EO217" i="1"/>
  <c r="EO218" i="1"/>
  <c r="EO219" i="1"/>
  <c r="EO220" i="1"/>
  <c r="EO221" i="1"/>
  <c r="EO222" i="1"/>
  <c r="EO223" i="1"/>
  <c r="EO224" i="1"/>
  <c r="EO225" i="1"/>
  <c r="EO226" i="1"/>
  <c r="EO227" i="1"/>
  <c r="EO228" i="1"/>
  <c r="EO229" i="1"/>
  <c r="EO230" i="1"/>
  <c r="EO231" i="1"/>
  <c r="EO232" i="1"/>
  <c r="EO233" i="1"/>
  <c r="EO234" i="1"/>
  <c r="EO235" i="1"/>
  <c r="EO236" i="1"/>
  <c r="EO237" i="1"/>
  <c r="EO238" i="1"/>
  <c r="EO239" i="1"/>
  <c r="EO240" i="1"/>
  <c r="EO241" i="1"/>
  <c r="EO242" i="1"/>
  <c r="EO243" i="1"/>
  <c r="EO244" i="1"/>
  <c r="EO245" i="1"/>
  <c r="EO246" i="1"/>
  <c r="EO247" i="1"/>
  <c r="EO248" i="1"/>
  <c r="EO249" i="1"/>
  <c r="EO250" i="1"/>
  <c r="EO251" i="1"/>
  <c r="EO252" i="1"/>
  <c r="EO253" i="1"/>
  <c r="EO254" i="1"/>
  <c r="EO255" i="1"/>
  <c r="EO256" i="1"/>
  <c r="EO257" i="1"/>
  <c r="EO258" i="1"/>
  <c r="EO259" i="1"/>
  <c r="EO260" i="1"/>
  <c r="EO261" i="1"/>
  <c r="EO262" i="1"/>
  <c r="EO263" i="1"/>
  <c r="EO264" i="1"/>
  <c r="EO265" i="1"/>
  <c r="EO266" i="1"/>
  <c r="EO267" i="1"/>
  <c r="EO268" i="1"/>
  <c r="EO269" i="1"/>
  <c r="EO270" i="1"/>
  <c r="EO271" i="1"/>
  <c r="EX6" i="1"/>
  <c r="EX7" i="1"/>
  <c r="EX8" i="1"/>
  <c r="EX9" i="1"/>
  <c r="EX10" i="1"/>
  <c r="EX11" i="1"/>
  <c r="EX12" i="1"/>
  <c r="EX13" i="1"/>
  <c r="EX14" i="1"/>
  <c r="EX15" i="1"/>
  <c r="EX16" i="1"/>
  <c r="EX17" i="1"/>
  <c r="EX18" i="1"/>
  <c r="EX90" i="1"/>
  <c r="EX20" i="1"/>
  <c r="EX21" i="1"/>
  <c r="EX22" i="1"/>
  <c r="EX23" i="1"/>
  <c r="EX24" i="1"/>
  <c r="EX25" i="1"/>
  <c r="EX26" i="1"/>
  <c r="EX27" i="1"/>
  <c r="EX28" i="1"/>
  <c r="EX29" i="1"/>
  <c r="EX30" i="1"/>
  <c r="EX31" i="1"/>
  <c r="EX32" i="1"/>
  <c r="EX33" i="1"/>
  <c r="EX34" i="1"/>
  <c r="EX35" i="1"/>
  <c r="EX36" i="1"/>
  <c r="EX37" i="1"/>
  <c r="EX38" i="1"/>
  <c r="EX39" i="1"/>
  <c r="EX40" i="1"/>
  <c r="EX41" i="1"/>
  <c r="EX42" i="1"/>
  <c r="EX43" i="1"/>
  <c r="EX44" i="1"/>
  <c r="EX45" i="1"/>
  <c r="EX46" i="1"/>
  <c r="EX47" i="1"/>
  <c r="EX48" i="1"/>
  <c r="EX49" i="1"/>
  <c r="EX50" i="1"/>
  <c r="EX51" i="1"/>
  <c r="EX52" i="1"/>
  <c r="EX53" i="1"/>
  <c r="EX54" i="1"/>
  <c r="EX55" i="1"/>
  <c r="EX56" i="1"/>
  <c r="EX57" i="1"/>
  <c r="EX58" i="1"/>
  <c r="EX59" i="1"/>
  <c r="EX60" i="1"/>
  <c r="EX61" i="1"/>
  <c r="EX62" i="1"/>
  <c r="EX63" i="1"/>
  <c r="EX64" i="1"/>
  <c r="EX65" i="1"/>
  <c r="EX66" i="1"/>
  <c r="EX121" i="1"/>
  <c r="EX68" i="1"/>
  <c r="EX69" i="1"/>
  <c r="EX155" i="1"/>
  <c r="EX71" i="1"/>
  <c r="EX72" i="1"/>
  <c r="EX73" i="1"/>
  <c r="EX74" i="1"/>
  <c r="EX75" i="1"/>
  <c r="EX76" i="1"/>
  <c r="EX77" i="1"/>
  <c r="EX78" i="1"/>
  <c r="EX79" i="1"/>
  <c r="EX80" i="1"/>
  <c r="EX81" i="1"/>
  <c r="EX82" i="1"/>
  <c r="EX83" i="1"/>
  <c r="EX84" i="1"/>
  <c r="EX85" i="1"/>
  <c r="EX86" i="1"/>
  <c r="EX87" i="1"/>
  <c r="EX88" i="1"/>
  <c r="EX114" i="1"/>
  <c r="EX186" i="1"/>
  <c r="EX91" i="1"/>
  <c r="EX92" i="1"/>
  <c r="EX93" i="1"/>
  <c r="EX94" i="1"/>
  <c r="EX95" i="1"/>
  <c r="EX96" i="1"/>
  <c r="EX97" i="1"/>
  <c r="EX98" i="1"/>
  <c r="EX99" i="1"/>
  <c r="EX100" i="1"/>
  <c r="EX101" i="1"/>
  <c r="EX102" i="1"/>
  <c r="EX103" i="1"/>
  <c r="EX104" i="1"/>
  <c r="EX105" i="1"/>
  <c r="EX106" i="1"/>
  <c r="EX107" i="1"/>
  <c r="EX108" i="1"/>
  <c r="EX109" i="1"/>
  <c r="EX110" i="1"/>
  <c r="EX111" i="1"/>
  <c r="EX112" i="1"/>
  <c r="EX113" i="1"/>
  <c r="EX153" i="1"/>
  <c r="EX115" i="1"/>
  <c r="EX116" i="1"/>
  <c r="EX117" i="1"/>
  <c r="EX118" i="1"/>
  <c r="EX119" i="1"/>
  <c r="EX67" i="1"/>
  <c r="EX70" i="1"/>
  <c r="EX122" i="1"/>
  <c r="EX123" i="1"/>
  <c r="EX124" i="1"/>
  <c r="EX125" i="1"/>
  <c r="EX126" i="1"/>
  <c r="EX127" i="1"/>
  <c r="EX128" i="1"/>
  <c r="EX129" i="1"/>
  <c r="EX130" i="1"/>
  <c r="EX131" i="1"/>
  <c r="EX132" i="1"/>
  <c r="EX133" i="1"/>
  <c r="EX134" i="1"/>
  <c r="EX135" i="1"/>
  <c r="EX136" i="1"/>
  <c r="EX137" i="1"/>
  <c r="EX138" i="1"/>
  <c r="EX139" i="1"/>
  <c r="EX140" i="1"/>
  <c r="EX141" i="1"/>
  <c r="EX142" i="1"/>
  <c r="EX143" i="1"/>
  <c r="EX144" i="1"/>
  <c r="EX145" i="1"/>
  <c r="EX146" i="1"/>
  <c r="EX147" i="1"/>
  <c r="EX148" i="1"/>
  <c r="EX149" i="1"/>
  <c r="EX150" i="1"/>
  <c r="EX151" i="1"/>
  <c r="EX152" i="1"/>
  <c r="EX120" i="1"/>
  <c r="EX154" i="1"/>
  <c r="EX89" i="1"/>
  <c r="EX156" i="1"/>
  <c r="EX157" i="1"/>
  <c r="EX158" i="1"/>
  <c r="EX159" i="1"/>
  <c r="EX160" i="1"/>
  <c r="EX161" i="1"/>
  <c r="EX162" i="1"/>
  <c r="EX163" i="1"/>
  <c r="EX164" i="1"/>
  <c r="EX165" i="1"/>
  <c r="EX166" i="1"/>
  <c r="EX167" i="1"/>
  <c r="EX168" i="1"/>
  <c r="EX169" i="1"/>
  <c r="EX170" i="1"/>
  <c r="EX171" i="1"/>
  <c r="EX172" i="1"/>
  <c r="EX173" i="1"/>
  <c r="EX174" i="1"/>
  <c r="EX175" i="1"/>
  <c r="EX176" i="1"/>
  <c r="EX177" i="1"/>
  <c r="EX178" i="1"/>
  <c r="EX179" i="1"/>
  <c r="EX180" i="1"/>
  <c r="EX181" i="1"/>
  <c r="EX182" i="1"/>
  <c r="EX183" i="1"/>
  <c r="EX184" i="1"/>
  <c r="EX185" i="1"/>
  <c r="EX19" i="1"/>
  <c r="EX187" i="1"/>
  <c r="EX188" i="1"/>
  <c r="EX189" i="1"/>
  <c r="EX190" i="1"/>
  <c r="EX191" i="1"/>
  <c r="EX192" i="1"/>
  <c r="EX193" i="1"/>
  <c r="EX194" i="1"/>
  <c r="EX195" i="1"/>
  <c r="EX196" i="1"/>
  <c r="EX197" i="1"/>
  <c r="EX198" i="1"/>
  <c r="EX199" i="1"/>
  <c r="EX200" i="1"/>
  <c r="EX201" i="1"/>
  <c r="EX202" i="1"/>
  <c r="EX203" i="1"/>
  <c r="EX204" i="1"/>
  <c r="EX205" i="1"/>
  <c r="EX206" i="1"/>
  <c r="EX207" i="1"/>
  <c r="EX208" i="1"/>
  <c r="EX209" i="1"/>
  <c r="EX210" i="1"/>
  <c r="EX211" i="1"/>
  <c r="EX212" i="1"/>
  <c r="EX213" i="1"/>
  <c r="EX214" i="1"/>
  <c r="EX215" i="1"/>
  <c r="EX216" i="1"/>
  <c r="EX217" i="1"/>
  <c r="EX218" i="1"/>
  <c r="EX219" i="1"/>
  <c r="EX220" i="1"/>
  <c r="EX221" i="1"/>
  <c r="EX222" i="1"/>
  <c r="EX223" i="1"/>
  <c r="EX224" i="1"/>
  <c r="EX225" i="1"/>
  <c r="EX226" i="1"/>
  <c r="EX227" i="1"/>
  <c r="EX228" i="1"/>
  <c r="EX229" i="1"/>
  <c r="EX230" i="1"/>
  <c r="EX231" i="1"/>
  <c r="EX232" i="1"/>
  <c r="EX233" i="1"/>
  <c r="EX234" i="1"/>
  <c r="EX235" i="1"/>
  <c r="EX236" i="1"/>
  <c r="EX237" i="1"/>
  <c r="EX238" i="1"/>
  <c r="EX239" i="1"/>
  <c r="EX240" i="1"/>
  <c r="EX241" i="1"/>
  <c r="EX242" i="1"/>
  <c r="EX243" i="1"/>
  <c r="EX244" i="1"/>
  <c r="EX245" i="1"/>
  <c r="EX246" i="1"/>
  <c r="EX247" i="1"/>
  <c r="EX248" i="1"/>
  <c r="EX249" i="1"/>
  <c r="EX250" i="1"/>
  <c r="EX251" i="1"/>
  <c r="EX252" i="1"/>
  <c r="EX253" i="1"/>
  <c r="EX254" i="1"/>
  <c r="EX255" i="1"/>
  <c r="EX256" i="1"/>
  <c r="EX257" i="1"/>
  <c r="EX258" i="1"/>
  <c r="EX259" i="1"/>
  <c r="EX260" i="1"/>
  <c r="EX261" i="1"/>
  <c r="EX262" i="1"/>
  <c r="EX263" i="1"/>
  <c r="EX264" i="1"/>
  <c r="EX265" i="1"/>
  <c r="EX266" i="1"/>
  <c r="EX267" i="1"/>
  <c r="EX268" i="1"/>
  <c r="EX269" i="1"/>
  <c r="EX270" i="1"/>
  <c r="EX271" i="1"/>
  <c r="EW7" i="1"/>
  <c r="EW8" i="1"/>
  <c r="EW9" i="1"/>
  <c r="EW10" i="1"/>
  <c r="EW11" i="1"/>
  <c r="EW12" i="1"/>
  <c r="EW13" i="1"/>
  <c r="EW14" i="1"/>
  <c r="EW15" i="1"/>
  <c r="EW16" i="1"/>
  <c r="EW17" i="1"/>
  <c r="EW18" i="1"/>
  <c r="EW90"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66" i="1"/>
  <c r="EW121" i="1"/>
  <c r="EW68" i="1"/>
  <c r="EW69" i="1"/>
  <c r="EW155" i="1"/>
  <c r="EW71" i="1"/>
  <c r="EW72" i="1"/>
  <c r="EW73" i="1"/>
  <c r="EW74" i="1"/>
  <c r="EW75" i="1"/>
  <c r="EW76" i="1"/>
  <c r="EW77" i="1"/>
  <c r="EW78" i="1"/>
  <c r="EW79" i="1"/>
  <c r="EW80" i="1"/>
  <c r="EW81" i="1"/>
  <c r="EW82" i="1"/>
  <c r="EW83" i="1"/>
  <c r="EW84" i="1"/>
  <c r="EW85" i="1"/>
  <c r="EW86" i="1"/>
  <c r="EW87" i="1"/>
  <c r="EW88" i="1"/>
  <c r="EW114" i="1"/>
  <c r="EW186" i="1"/>
  <c r="EW91" i="1"/>
  <c r="EW92" i="1"/>
  <c r="EW93" i="1"/>
  <c r="EW94" i="1"/>
  <c r="EW95" i="1"/>
  <c r="EW96" i="1"/>
  <c r="EW97" i="1"/>
  <c r="EW98" i="1"/>
  <c r="EW99" i="1"/>
  <c r="EW100" i="1"/>
  <c r="EW101" i="1"/>
  <c r="EW102" i="1"/>
  <c r="EW103" i="1"/>
  <c r="EW104" i="1"/>
  <c r="EW105" i="1"/>
  <c r="EW106" i="1"/>
  <c r="EW107" i="1"/>
  <c r="EW108" i="1"/>
  <c r="EW109" i="1"/>
  <c r="EW110" i="1"/>
  <c r="EW111" i="1"/>
  <c r="EW112" i="1"/>
  <c r="EW113" i="1"/>
  <c r="EW153" i="1"/>
  <c r="EW115" i="1"/>
  <c r="EW116" i="1"/>
  <c r="EW117" i="1"/>
  <c r="EW118" i="1"/>
  <c r="EW119" i="1"/>
  <c r="EW67" i="1"/>
  <c r="EW70"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20" i="1"/>
  <c r="EW154" i="1"/>
  <c r="EW89"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9"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D7" i="1" a="1"/>
  <c r="ED7" i="1" s="1"/>
  <c r="ED8" i="1" a="1"/>
  <c r="ED8" i="1" s="1"/>
  <c r="ED9" i="1" a="1"/>
  <c r="ED9" i="1" s="1"/>
  <c r="ED10" i="1" a="1"/>
  <c r="ED10" i="1" s="1"/>
  <c r="ED11" i="1" a="1"/>
  <c r="ED11" i="1" s="1"/>
  <c r="ED12" i="1" a="1"/>
  <c r="ED12" i="1" s="1"/>
  <c r="ED13" i="1" a="1"/>
  <c r="ED13" i="1" s="1"/>
  <c r="ED14" i="1" a="1"/>
  <c r="ED14" i="1" s="1"/>
  <c r="ED15" i="1" a="1"/>
  <c r="ED15" i="1" s="1"/>
  <c r="ED16" i="1" a="1"/>
  <c r="ED16" i="1" s="1"/>
  <c r="ED17" i="1" a="1"/>
  <c r="ED17" i="1" s="1"/>
  <c r="ED18" i="1" a="1"/>
  <c r="ED18" i="1" s="1"/>
  <c r="ED90" i="1" a="1"/>
  <c r="ED90" i="1" s="1"/>
  <c r="ED20" i="1" a="1"/>
  <c r="ED20" i="1" s="1"/>
  <c r="ED21" i="1" a="1"/>
  <c r="ED21" i="1" s="1"/>
  <c r="ED22" i="1" a="1"/>
  <c r="ED22" i="1" s="1"/>
  <c r="ED23" i="1" a="1"/>
  <c r="ED23" i="1" s="1"/>
  <c r="ED24" i="1" a="1"/>
  <c r="ED24" i="1" s="1"/>
  <c r="ED25" i="1" a="1"/>
  <c r="ED25" i="1" s="1"/>
  <c r="ED26" i="1" a="1"/>
  <c r="ED26" i="1" s="1"/>
  <c r="ED27" i="1" a="1"/>
  <c r="ED27" i="1" s="1"/>
  <c r="ED28" i="1" a="1"/>
  <c r="ED28" i="1" s="1"/>
  <c r="ED29" i="1" a="1"/>
  <c r="ED29" i="1" s="1"/>
  <c r="ED30" i="1" a="1"/>
  <c r="ED30" i="1" s="1"/>
  <c r="ED31" i="1" a="1"/>
  <c r="ED31" i="1" s="1"/>
  <c r="ED32" i="1" a="1"/>
  <c r="ED32" i="1" s="1"/>
  <c r="ED33" i="1" a="1"/>
  <c r="ED33" i="1" s="1"/>
  <c r="ED34" i="1" a="1"/>
  <c r="ED34" i="1" s="1"/>
  <c r="ED35" i="1" a="1"/>
  <c r="ED35" i="1" s="1"/>
  <c r="ED36" i="1" a="1"/>
  <c r="ED36" i="1" s="1"/>
  <c r="ED37" i="1" a="1"/>
  <c r="ED37" i="1" s="1"/>
  <c r="ED38" i="1" a="1"/>
  <c r="ED38" i="1" s="1"/>
  <c r="ED39" i="1" a="1"/>
  <c r="ED39" i="1" s="1"/>
  <c r="ED40" i="1" a="1"/>
  <c r="ED40" i="1" s="1"/>
  <c r="ED41" i="1" a="1"/>
  <c r="ED41" i="1" s="1"/>
  <c r="ED42" i="1" a="1"/>
  <c r="ED42" i="1" s="1"/>
  <c r="ED43" i="1" a="1"/>
  <c r="ED43" i="1" s="1"/>
  <c r="ED44" i="1" a="1"/>
  <c r="ED44" i="1" s="1"/>
  <c r="ED45" i="1" a="1"/>
  <c r="ED45" i="1" s="1"/>
  <c r="ED46" i="1" a="1"/>
  <c r="ED46" i="1" s="1"/>
  <c r="ED47" i="1" a="1"/>
  <c r="ED47" i="1" s="1"/>
  <c r="ED48" i="1" a="1"/>
  <c r="ED48" i="1" s="1"/>
  <c r="ED49" i="1" a="1"/>
  <c r="ED49" i="1" s="1"/>
  <c r="ED50" i="1" a="1"/>
  <c r="ED50" i="1" s="1"/>
  <c r="ED51" i="1" a="1"/>
  <c r="ED51" i="1" s="1"/>
  <c r="ED52" i="1" a="1"/>
  <c r="ED52" i="1" s="1"/>
  <c r="ED53" i="1" a="1"/>
  <c r="ED53" i="1" s="1"/>
  <c r="ED54" i="1" a="1"/>
  <c r="ED54" i="1" s="1"/>
  <c r="ED55" i="1" a="1"/>
  <c r="ED55" i="1" s="1"/>
  <c r="ED56" i="1" a="1"/>
  <c r="ED56" i="1" s="1"/>
  <c r="ED57" i="1" a="1"/>
  <c r="ED57" i="1" s="1"/>
  <c r="ED58" i="1" a="1"/>
  <c r="ED58" i="1" s="1"/>
  <c r="ED59" i="1" a="1"/>
  <c r="ED59" i="1" s="1"/>
  <c r="ED60" i="1" a="1"/>
  <c r="ED60" i="1" s="1"/>
  <c r="ED61" i="1" a="1"/>
  <c r="ED61" i="1" s="1"/>
  <c r="ED62" i="1" a="1"/>
  <c r="ED62" i="1" s="1"/>
  <c r="ED63" i="1" a="1"/>
  <c r="ED63" i="1" s="1"/>
  <c r="ED64" i="1" a="1"/>
  <c r="ED64" i="1" s="1"/>
  <c r="ED65" i="1" a="1"/>
  <c r="ED65" i="1" s="1"/>
  <c r="ED66" i="1" a="1"/>
  <c r="ED66" i="1" s="1"/>
  <c r="ED121" i="1" a="1"/>
  <c r="ED121" i="1" s="1"/>
  <c r="ED68" i="1" a="1"/>
  <c r="ED68" i="1" s="1"/>
  <c r="ED69" i="1" a="1"/>
  <c r="ED69" i="1" s="1"/>
  <c r="ED155" i="1" a="1"/>
  <c r="ED155" i="1" s="1"/>
  <c r="ED71" i="1" a="1"/>
  <c r="ED71" i="1" s="1"/>
  <c r="ED72" i="1" a="1"/>
  <c r="ED72" i="1" s="1"/>
  <c r="ED73" i="1" a="1"/>
  <c r="ED73" i="1" s="1"/>
  <c r="ED74" i="1" a="1"/>
  <c r="ED74" i="1" s="1"/>
  <c r="ED75" i="1" a="1"/>
  <c r="ED75" i="1" s="1"/>
  <c r="ED76" i="1" a="1"/>
  <c r="ED76" i="1" s="1"/>
  <c r="ED77" i="1" a="1"/>
  <c r="ED77" i="1" s="1"/>
  <c r="ED78" i="1" a="1"/>
  <c r="ED78" i="1" s="1"/>
  <c r="ED79" i="1" a="1"/>
  <c r="ED79" i="1" s="1"/>
  <c r="ED80" i="1" a="1"/>
  <c r="ED80" i="1" s="1"/>
  <c r="ED81" i="1" a="1"/>
  <c r="ED81" i="1" s="1"/>
  <c r="ED82" i="1" a="1"/>
  <c r="ED82" i="1" s="1"/>
  <c r="ED83" i="1" a="1"/>
  <c r="ED83" i="1" s="1"/>
  <c r="ED84" i="1" a="1"/>
  <c r="ED84" i="1" s="1"/>
  <c r="ED85" i="1" a="1"/>
  <c r="ED85" i="1" s="1"/>
  <c r="ED86" i="1" a="1"/>
  <c r="ED86" i="1" s="1"/>
  <c r="ED87" i="1" a="1"/>
  <c r="ED87" i="1" s="1"/>
  <c r="ED88" i="1" a="1"/>
  <c r="ED88" i="1" s="1"/>
  <c r="ED114" i="1" a="1"/>
  <c r="ED114" i="1" s="1"/>
  <c r="ED186" i="1" a="1"/>
  <c r="ED186" i="1" s="1"/>
  <c r="ED91" i="1" a="1"/>
  <c r="ED91" i="1" s="1"/>
  <c r="ED92" i="1" a="1"/>
  <c r="ED92" i="1" s="1"/>
  <c r="ED93" i="1" a="1"/>
  <c r="ED93" i="1" s="1"/>
  <c r="ED94" i="1" a="1"/>
  <c r="ED94" i="1" s="1"/>
  <c r="ED95" i="1" a="1"/>
  <c r="ED95" i="1" s="1"/>
  <c r="ED96" i="1" a="1"/>
  <c r="ED96" i="1" s="1"/>
  <c r="ED97" i="1" a="1"/>
  <c r="ED97" i="1" s="1"/>
  <c r="ED98" i="1" a="1"/>
  <c r="ED98" i="1" s="1"/>
  <c r="ED99" i="1" a="1"/>
  <c r="ED99" i="1" s="1"/>
  <c r="ED100" i="1" a="1"/>
  <c r="ED100" i="1" s="1"/>
  <c r="ED101" i="1" a="1"/>
  <c r="ED101" i="1" s="1"/>
  <c r="ED102" i="1" a="1"/>
  <c r="ED102" i="1" s="1"/>
  <c r="ED103" i="1" a="1"/>
  <c r="ED103" i="1" s="1"/>
  <c r="ED104" i="1" a="1"/>
  <c r="ED104" i="1" s="1"/>
  <c r="ED105" i="1" a="1"/>
  <c r="ED105" i="1" s="1"/>
  <c r="ED106" i="1" a="1"/>
  <c r="ED106" i="1" s="1"/>
  <c r="ED107" i="1" a="1"/>
  <c r="ED107" i="1" s="1"/>
  <c r="ED108" i="1" a="1"/>
  <c r="ED108" i="1" s="1"/>
  <c r="ED109" i="1" a="1"/>
  <c r="ED109" i="1" s="1"/>
  <c r="ED110" i="1" a="1"/>
  <c r="ED110" i="1" s="1"/>
  <c r="ED111" i="1" a="1"/>
  <c r="ED111" i="1" s="1"/>
  <c r="ED112" i="1" a="1"/>
  <c r="ED112" i="1" s="1"/>
  <c r="ED113" i="1" a="1"/>
  <c r="ED113" i="1" s="1"/>
  <c r="ED153" i="1" a="1"/>
  <c r="ED153" i="1" s="1"/>
  <c r="ED115" i="1" a="1"/>
  <c r="ED115" i="1" s="1"/>
  <c r="ED116" i="1" a="1"/>
  <c r="ED116" i="1" s="1"/>
  <c r="ED117" i="1" a="1"/>
  <c r="ED117" i="1" s="1"/>
  <c r="ED118" i="1" a="1"/>
  <c r="ED118" i="1" s="1"/>
  <c r="ED119" i="1" a="1"/>
  <c r="ED119" i="1" s="1"/>
  <c r="ED67" i="1" a="1"/>
  <c r="ED67" i="1" s="1"/>
  <c r="ED70" i="1" a="1"/>
  <c r="ED70" i="1" s="1"/>
  <c r="ED122" i="1" a="1"/>
  <c r="ED122" i="1" s="1"/>
  <c r="ED123" i="1" a="1"/>
  <c r="ED123" i="1" s="1"/>
  <c r="ED124" i="1" a="1"/>
  <c r="ED124" i="1" s="1"/>
  <c r="ED125" i="1" a="1"/>
  <c r="ED125" i="1" s="1"/>
  <c r="ED126" i="1" a="1"/>
  <c r="ED126" i="1" s="1"/>
  <c r="ED127" i="1" a="1"/>
  <c r="ED127" i="1" s="1"/>
  <c r="ED128" i="1" a="1"/>
  <c r="ED128" i="1" s="1"/>
  <c r="ED129" i="1" a="1"/>
  <c r="ED129" i="1" s="1"/>
  <c r="ED130" i="1" a="1"/>
  <c r="ED130" i="1" s="1"/>
  <c r="ED131" i="1" a="1"/>
  <c r="ED131" i="1" s="1"/>
  <c r="ED132" i="1" a="1"/>
  <c r="ED132" i="1" s="1"/>
  <c r="ED133" i="1" a="1"/>
  <c r="ED133" i="1" s="1"/>
  <c r="ED134" i="1" a="1"/>
  <c r="ED134" i="1" s="1"/>
  <c r="ED135" i="1" a="1"/>
  <c r="ED135" i="1" s="1"/>
  <c r="ED136" i="1" a="1"/>
  <c r="ED136" i="1" s="1"/>
  <c r="ED137" i="1" a="1"/>
  <c r="ED137" i="1" s="1"/>
  <c r="ED138" i="1" a="1"/>
  <c r="ED138" i="1" s="1"/>
  <c r="ED139" i="1" a="1"/>
  <c r="ED139" i="1" s="1"/>
  <c r="ED140" i="1" a="1"/>
  <c r="ED140" i="1" s="1"/>
  <c r="ED141" i="1" a="1"/>
  <c r="ED141" i="1" s="1"/>
  <c r="ED142" i="1" a="1"/>
  <c r="ED142" i="1" s="1"/>
  <c r="ED143" i="1" a="1"/>
  <c r="ED143" i="1" s="1"/>
  <c r="ED144" i="1" a="1"/>
  <c r="ED144" i="1" s="1"/>
  <c r="ED145" i="1" a="1"/>
  <c r="ED145" i="1" s="1"/>
  <c r="ED146" i="1" a="1"/>
  <c r="ED146" i="1" s="1"/>
  <c r="ED147" i="1" a="1"/>
  <c r="ED147" i="1" s="1"/>
  <c r="ED148" i="1" a="1"/>
  <c r="ED148" i="1" s="1"/>
  <c r="ED149" i="1" a="1"/>
  <c r="ED149" i="1" s="1"/>
  <c r="ED150" i="1" a="1"/>
  <c r="ED150" i="1" s="1"/>
  <c r="ED151" i="1" a="1"/>
  <c r="ED151" i="1" s="1"/>
  <c r="ED152" i="1" a="1"/>
  <c r="ED152" i="1" s="1"/>
  <c r="ED120" i="1" a="1"/>
  <c r="ED120" i="1" s="1"/>
  <c r="ED154" i="1" a="1"/>
  <c r="ED154" i="1" s="1"/>
  <c r="ED89" i="1" a="1"/>
  <c r="ED89" i="1" s="1"/>
  <c r="ED156" i="1" a="1"/>
  <c r="ED156" i="1" s="1"/>
  <c r="ED157" i="1" a="1"/>
  <c r="ED157" i="1" s="1"/>
  <c r="ED158" i="1" a="1"/>
  <c r="ED158" i="1" s="1"/>
  <c r="ED159" i="1" a="1"/>
  <c r="ED159" i="1" s="1"/>
  <c r="ED160" i="1" a="1"/>
  <c r="ED160" i="1" s="1"/>
  <c r="ED161" i="1" a="1"/>
  <c r="ED161" i="1" s="1"/>
  <c r="ED162" i="1" a="1"/>
  <c r="ED162" i="1" s="1"/>
  <c r="ED163" i="1" a="1"/>
  <c r="ED163" i="1" s="1"/>
  <c r="ED164" i="1" a="1"/>
  <c r="ED164" i="1" s="1"/>
  <c r="ED165" i="1" a="1"/>
  <c r="ED165" i="1" s="1"/>
  <c r="ED166" i="1" a="1"/>
  <c r="ED166" i="1" s="1"/>
  <c r="ED167" i="1" a="1"/>
  <c r="ED167" i="1" s="1"/>
  <c r="ED168" i="1" a="1"/>
  <c r="ED168" i="1" s="1"/>
  <c r="ED169" i="1" a="1"/>
  <c r="ED169" i="1" s="1"/>
  <c r="ED170" i="1" a="1"/>
  <c r="ED170" i="1" s="1"/>
  <c r="ED171" i="1" a="1"/>
  <c r="ED171" i="1" s="1"/>
  <c r="ED172" i="1" a="1"/>
  <c r="ED172" i="1" s="1"/>
  <c r="ED173" i="1" a="1"/>
  <c r="ED173" i="1" s="1"/>
  <c r="ED174" i="1" a="1"/>
  <c r="ED174" i="1" s="1"/>
  <c r="ED175" i="1" a="1"/>
  <c r="ED175" i="1" s="1"/>
  <c r="ED176" i="1" a="1"/>
  <c r="ED176" i="1" s="1"/>
  <c r="ED177" i="1" a="1"/>
  <c r="ED177" i="1" s="1"/>
  <c r="ED178" i="1" a="1"/>
  <c r="ED178" i="1" s="1"/>
  <c r="ED179" i="1" a="1"/>
  <c r="ED179" i="1" s="1"/>
  <c r="ED180" i="1" a="1"/>
  <c r="ED180" i="1" s="1"/>
  <c r="ED181" i="1" a="1"/>
  <c r="ED181" i="1" s="1"/>
  <c r="ED182" i="1" a="1"/>
  <c r="ED182" i="1" s="1"/>
  <c r="ED183" i="1" a="1"/>
  <c r="ED183" i="1" s="1"/>
  <c r="ED184" i="1" a="1"/>
  <c r="ED184" i="1" s="1"/>
  <c r="ED185" i="1" a="1"/>
  <c r="ED185" i="1" s="1"/>
  <c r="ED19" i="1" a="1"/>
  <c r="ED19" i="1" s="1"/>
  <c r="ED187" i="1" a="1"/>
  <c r="ED187" i="1" s="1"/>
  <c r="ED188" i="1" a="1"/>
  <c r="ED188" i="1" s="1"/>
  <c r="ED189" i="1" a="1"/>
  <c r="ED189" i="1" s="1"/>
  <c r="ED190" i="1" a="1"/>
  <c r="ED190" i="1" s="1"/>
  <c r="ED191" i="1" a="1"/>
  <c r="ED191" i="1" s="1"/>
  <c r="ED192" i="1" a="1"/>
  <c r="ED192" i="1" s="1"/>
  <c r="ED193" i="1" a="1"/>
  <c r="ED193" i="1" s="1"/>
  <c r="ED194" i="1" a="1"/>
  <c r="ED194" i="1" s="1"/>
  <c r="ED195" i="1" a="1"/>
  <c r="ED195" i="1" s="1"/>
  <c r="ED196" i="1" a="1"/>
  <c r="ED196" i="1" s="1"/>
  <c r="ED197" i="1" a="1"/>
  <c r="ED197" i="1" s="1"/>
  <c r="ED198" i="1" a="1"/>
  <c r="ED198" i="1" s="1"/>
  <c r="ED199" i="1" a="1"/>
  <c r="ED199" i="1" s="1"/>
  <c r="ED200" i="1" a="1"/>
  <c r="ED200" i="1" s="1"/>
  <c r="ED201" i="1" a="1"/>
  <c r="ED201" i="1" s="1"/>
  <c r="ED202" i="1" a="1"/>
  <c r="ED202" i="1" s="1"/>
  <c r="ED203" i="1" a="1"/>
  <c r="ED203" i="1" s="1"/>
  <c r="ED204" i="1" a="1"/>
  <c r="ED204" i="1" s="1"/>
  <c r="ED205" i="1" a="1"/>
  <c r="ED205" i="1" s="1"/>
  <c r="ED206" i="1" a="1"/>
  <c r="ED206" i="1" s="1"/>
  <c r="ED207" i="1" a="1"/>
  <c r="ED207" i="1" s="1"/>
  <c r="ED208" i="1" a="1"/>
  <c r="ED208" i="1" s="1"/>
  <c r="ED209" i="1" a="1"/>
  <c r="ED209" i="1" s="1"/>
  <c r="ED210" i="1" a="1"/>
  <c r="ED210" i="1" s="1"/>
  <c r="ED211" i="1" a="1"/>
  <c r="ED211" i="1" s="1"/>
  <c r="ED212" i="1" a="1"/>
  <c r="ED212" i="1" s="1"/>
  <c r="ED213" i="1" a="1"/>
  <c r="ED213" i="1" s="1"/>
  <c r="ED214" i="1" a="1"/>
  <c r="ED214" i="1" s="1"/>
  <c r="ED215" i="1" a="1"/>
  <c r="ED215" i="1" s="1"/>
  <c r="ED216" i="1" a="1"/>
  <c r="ED216" i="1" s="1"/>
  <c r="ED217" i="1" a="1"/>
  <c r="ED217" i="1" s="1"/>
  <c r="ED218" i="1" a="1"/>
  <c r="ED218" i="1" s="1"/>
  <c r="ED219" i="1" a="1"/>
  <c r="ED219" i="1" s="1"/>
  <c r="ED220" i="1" a="1"/>
  <c r="ED220" i="1" s="1"/>
  <c r="ED221" i="1" a="1"/>
  <c r="ED221" i="1" s="1"/>
  <c r="ED222" i="1" a="1"/>
  <c r="ED222" i="1" s="1"/>
  <c r="ED223" i="1" a="1"/>
  <c r="ED223" i="1" s="1"/>
  <c r="ED224" i="1" a="1"/>
  <c r="ED224" i="1" s="1"/>
  <c r="ED225" i="1" a="1"/>
  <c r="ED225" i="1" s="1"/>
  <c r="ED226" i="1" a="1"/>
  <c r="ED226" i="1" s="1"/>
  <c r="ED227" i="1" a="1"/>
  <c r="ED227" i="1" s="1"/>
  <c r="ED228" i="1" a="1"/>
  <c r="ED228" i="1" s="1"/>
  <c r="ED229" i="1" a="1"/>
  <c r="ED229" i="1" s="1"/>
  <c r="ED230" i="1" a="1"/>
  <c r="ED230" i="1" s="1"/>
  <c r="ED231" i="1" a="1"/>
  <c r="ED231" i="1" s="1"/>
  <c r="ED232" i="1" a="1"/>
  <c r="ED232" i="1" s="1"/>
  <c r="ED233" i="1" a="1"/>
  <c r="ED233" i="1" s="1"/>
  <c r="ED234" i="1" a="1"/>
  <c r="ED234" i="1" s="1"/>
  <c r="ED235" i="1" a="1"/>
  <c r="ED235" i="1" s="1"/>
  <c r="ED236" i="1" a="1"/>
  <c r="ED236" i="1" s="1"/>
  <c r="ED237" i="1" a="1"/>
  <c r="ED237" i="1" s="1"/>
  <c r="ED238" i="1" a="1"/>
  <c r="ED238" i="1" s="1"/>
  <c r="ED239" i="1" a="1"/>
  <c r="ED239" i="1" s="1"/>
  <c r="ED240" i="1" a="1"/>
  <c r="ED240" i="1" s="1"/>
  <c r="ED241" i="1" a="1"/>
  <c r="ED241" i="1" s="1"/>
  <c r="ED242" i="1" a="1"/>
  <c r="ED242" i="1" s="1"/>
  <c r="ED243" i="1" a="1"/>
  <c r="ED243" i="1" s="1"/>
  <c r="ED244" i="1" a="1"/>
  <c r="ED244" i="1" s="1"/>
  <c r="ED245" i="1" a="1"/>
  <c r="ED245" i="1" s="1"/>
  <c r="ED246" i="1" a="1"/>
  <c r="ED246" i="1" s="1"/>
  <c r="ED247" i="1" a="1"/>
  <c r="ED247" i="1" s="1"/>
  <c r="ED248" i="1" a="1"/>
  <c r="ED248" i="1" s="1"/>
  <c r="ED249" i="1" a="1"/>
  <c r="ED249" i="1" s="1"/>
  <c r="ED250" i="1" a="1"/>
  <c r="ED250" i="1" s="1"/>
  <c r="ED251" i="1" a="1"/>
  <c r="ED251" i="1" s="1"/>
  <c r="ED252" i="1" a="1"/>
  <c r="ED252" i="1" s="1"/>
  <c r="ED253" i="1" a="1"/>
  <c r="ED253" i="1" s="1"/>
  <c r="ED254" i="1" a="1"/>
  <c r="ED254" i="1" s="1"/>
  <c r="ED255" i="1" a="1"/>
  <c r="ED255" i="1" s="1"/>
  <c r="ED256" i="1" a="1"/>
  <c r="ED256" i="1" s="1"/>
  <c r="ED257" i="1" a="1"/>
  <c r="ED257" i="1" s="1"/>
  <c r="ED258" i="1" a="1"/>
  <c r="ED258" i="1" s="1"/>
  <c r="ED259" i="1" a="1"/>
  <c r="ED259" i="1" s="1"/>
  <c r="ED260" i="1" a="1"/>
  <c r="ED260" i="1" s="1"/>
  <c r="ED261" i="1" a="1"/>
  <c r="ED261" i="1" s="1"/>
  <c r="ED262" i="1" a="1"/>
  <c r="ED262" i="1" s="1"/>
  <c r="ED263" i="1" a="1"/>
  <c r="ED263" i="1" s="1"/>
  <c r="ED264" i="1" a="1"/>
  <c r="ED264" i="1" s="1"/>
  <c r="ED265" i="1" a="1"/>
  <c r="ED265" i="1" s="1"/>
  <c r="ED266" i="1" a="1"/>
  <c r="ED266" i="1" s="1"/>
  <c r="ED267" i="1" a="1"/>
  <c r="ED267" i="1" s="1"/>
  <c r="ED268" i="1" a="1"/>
  <c r="ED268" i="1" s="1"/>
  <c r="ED269" i="1" a="1"/>
  <c r="ED269" i="1" s="1"/>
  <c r="ED270" i="1" a="1"/>
  <c r="ED270" i="1" s="1"/>
  <c r="ED271" i="1" a="1"/>
  <c r="ED271" i="1" s="1"/>
  <c r="ED6" i="1" a="1"/>
  <c r="ED6" i="1" s="1"/>
  <c r="ET7" i="1"/>
  <c r="ET8" i="1"/>
  <c r="ET9" i="1"/>
  <c r="ET10" i="1"/>
  <c r="ET11" i="1"/>
  <c r="ET12" i="1"/>
  <c r="ET13" i="1"/>
  <c r="ET14" i="1"/>
  <c r="ET15" i="1"/>
  <c r="ET16" i="1"/>
  <c r="ET17" i="1"/>
  <c r="ET18" i="1"/>
  <c r="ET90"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66" i="1"/>
  <c r="ET121" i="1"/>
  <c r="ET68" i="1"/>
  <c r="ET69" i="1"/>
  <c r="ET155" i="1"/>
  <c r="ET71" i="1"/>
  <c r="ET72" i="1"/>
  <c r="ET73" i="1"/>
  <c r="ET74" i="1"/>
  <c r="ET75" i="1"/>
  <c r="ET76" i="1"/>
  <c r="ET77" i="1"/>
  <c r="ET78" i="1"/>
  <c r="ET79" i="1"/>
  <c r="ET80" i="1"/>
  <c r="ET81" i="1"/>
  <c r="ET82" i="1"/>
  <c r="ET83" i="1"/>
  <c r="ET84" i="1"/>
  <c r="ET85" i="1"/>
  <c r="ET86" i="1"/>
  <c r="ET87" i="1"/>
  <c r="ET88" i="1"/>
  <c r="ET114" i="1"/>
  <c r="ET186" i="1"/>
  <c r="ET91" i="1"/>
  <c r="ET92" i="1"/>
  <c r="ET93" i="1"/>
  <c r="ET94" i="1"/>
  <c r="ET95" i="1"/>
  <c r="ET96" i="1"/>
  <c r="ET97" i="1"/>
  <c r="ET98" i="1"/>
  <c r="ET99" i="1"/>
  <c r="ET100" i="1"/>
  <c r="ET101" i="1"/>
  <c r="ET102" i="1"/>
  <c r="ET103" i="1"/>
  <c r="ET104" i="1"/>
  <c r="ET105" i="1"/>
  <c r="ET106" i="1"/>
  <c r="ET107" i="1"/>
  <c r="ET108" i="1"/>
  <c r="ET109" i="1"/>
  <c r="ET110" i="1"/>
  <c r="ET111" i="1"/>
  <c r="ET112" i="1"/>
  <c r="ET113" i="1"/>
  <c r="ET153" i="1"/>
  <c r="ET115" i="1"/>
  <c r="ET116" i="1"/>
  <c r="ET117" i="1"/>
  <c r="ET118" i="1"/>
  <c r="ET119" i="1"/>
  <c r="ET67" i="1"/>
  <c r="ET70"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52" i="1"/>
  <c r="ET120" i="1"/>
  <c r="ET154" i="1"/>
  <c r="ET89"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5" i="1"/>
  <c r="ET19"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T271" i="1"/>
  <c r="ET6" i="1"/>
  <c r="F86" i="9" l="1"/>
  <c r="F182" i="9"/>
  <c r="F66" i="9"/>
  <c r="F205" i="9"/>
  <c r="F2" i="9"/>
  <c r="F176" i="9"/>
  <c r="F128" i="9"/>
  <c r="F120" i="9"/>
  <c r="F151" i="9"/>
  <c r="CO268" i="1"/>
  <c r="CO264" i="1"/>
  <c r="CO260" i="1"/>
  <c r="CO256" i="1"/>
  <c r="CO252" i="1"/>
  <c r="CO248" i="1"/>
  <c r="CO240" i="1"/>
  <c r="CO228" i="1"/>
  <c r="CO224" i="1"/>
  <c r="CO220" i="1"/>
  <c r="CO216" i="1"/>
  <c r="CO212" i="1"/>
  <c r="CO208" i="1"/>
  <c r="CO204" i="1"/>
  <c r="CO200" i="1"/>
  <c r="CO196" i="1"/>
  <c r="CO192" i="1"/>
  <c r="CO188" i="1"/>
  <c r="CO184" i="1"/>
  <c r="CO180" i="1"/>
  <c r="CO176" i="1"/>
  <c r="CO172" i="1"/>
  <c r="CO168" i="1"/>
  <c r="CO270" i="1"/>
  <c r="CO266" i="1"/>
  <c r="CO262" i="1"/>
  <c r="CO258" i="1"/>
  <c r="CO254" i="1"/>
  <c r="CO250" i="1"/>
  <c r="CO246" i="1"/>
  <c r="CO242" i="1"/>
  <c r="CO238" i="1"/>
  <c r="CO234" i="1"/>
  <c r="CO230" i="1"/>
  <c r="CO226" i="1"/>
  <c r="CO222" i="1"/>
  <c r="CO218" i="1"/>
  <c r="CO214" i="1"/>
  <c r="CO210" i="1"/>
  <c r="CO206" i="1"/>
  <c r="CO202" i="1"/>
  <c r="CO198" i="1"/>
  <c r="CO194" i="1"/>
  <c r="CO190" i="1"/>
  <c r="CO186" i="1"/>
  <c r="CO182" i="1"/>
  <c r="CO178" i="1"/>
  <c r="CO174" i="1"/>
  <c r="CO170" i="1"/>
  <c r="CO166" i="1"/>
  <c r="CO162" i="1"/>
  <c r="CO158" i="1"/>
  <c r="CO154" i="1"/>
  <c r="CO150" i="1"/>
  <c r="CO146" i="1"/>
  <c r="CO142" i="1"/>
  <c r="CO138" i="1"/>
  <c r="CO134" i="1"/>
  <c r="CO130" i="1"/>
  <c r="CO126" i="1"/>
  <c r="CO122" i="1"/>
  <c r="CO118" i="1"/>
  <c r="CO114" i="1"/>
  <c r="CO110" i="1"/>
  <c r="CO106" i="1"/>
  <c r="CO102" i="1"/>
  <c r="CO98" i="1"/>
  <c r="CO94" i="1"/>
  <c r="CO90" i="1"/>
  <c r="CO86" i="1"/>
  <c r="CO82" i="1"/>
  <c r="CO78" i="1"/>
  <c r="CO74" i="1"/>
  <c r="CO70" i="1"/>
  <c r="CO66" i="1"/>
  <c r="CO62" i="1"/>
  <c r="CO58" i="1"/>
  <c r="CO54" i="1"/>
  <c r="CO50" i="1"/>
  <c r="CO46" i="1"/>
  <c r="CO42" i="1"/>
  <c r="CO38" i="1"/>
  <c r="CO34" i="1"/>
  <c r="CO30" i="1"/>
  <c r="CO26" i="1"/>
  <c r="CO22" i="1"/>
  <c r="CO18" i="1"/>
  <c r="CO14" i="1"/>
  <c r="CO244" i="1"/>
  <c r="CO232" i="1"/>
  <c r="CO164" i="1"/>
  <c r="CO160" i="1"/>
  <c r="CO156" i="1"/>
  <c r="CO152" i="1"/>
  <c r="CO148" i="1"/>
  <c r="CO144" i="1"/>
  <c r="CO140" i="1"/>
  <c r="CO136" i="1"/>
  <c r="CO132" i="1"/>
  <c r="CO128" i="1"/>
  <c r="CO124" i="1"/>
  <c r="CO120" i="1"/>
  <c r="CO116" i="1"/>
  <c r="CO112" i="1"/>
  <c r="CO108" i="1"/>
  <c r="CO104" i="1"/>
  <c r="CO100" i="1"/>
  <c r="CO96" i="1"/>
  <c r="CO92" i="1"/>
  <c r="CO88" i="1"/>
  <c r="CO84" i="1"/>
  <c r="CO80" i="1"/>
  <c r="CO76" i="1"/>
  <c r="CO72" i="1"/>
  <c r="CO68" i="1"/>
  <c r="CO64" i="1"/>
  <c r="CO60" i="1"/>
  <c r="CO56" i="1"/>
  <c r="CO52" i="1"/>
  <c r="CO48" i="1"/>
  <c r="CO44" i="1"/>
  <c r="CO40" i="1"/>
  <c r="CO36" i="1"/>
  <c r="CO32" i="1"/>
  <c r="CO28" i="1"/>
  <c r="CO24" i="1"/>
  <c r="CO20" i="1"/>
  <c r="CO16" i="1"/>
  <c r="CO8" i="1"/>
  <c r="CO269" i="1"/>
  <c r="CO265" i="1"/>
  <c r="CO261" i="1"/>
  <c r="CO257" i="1"/>
  <c r="CO253" i="1"/>
  <c r="CO249" i="1"/>
  <c r="CO245" i="1"/>
  <c r="CO241" i="1"/>
  <c r="CO237" i="1"/>
  <c r="CO233" i="1"/>
  <c r="CO229" i="1"/>
  <c r="CO225" i="1"/>
  <c r="CO221" i="1"/>
  <c r="CO217" i="1"/>
  <c r="CO213" i="1"/>
  <c r="CO209" i="1"/>
  <c r="CO205" i="1"/>
  <c r="CO201" i="1"/>
  <c r="CO197" i="1"/>
  <c r="CO193" i="1"/>
  <c r="CO189" i="1"/>
  <c r="CO185" i="1"/>
  <c r="CO181" i="1"/>
  <c r="CO177" i="1"/>
  <c r="CO173" i="1"/>
  <c r="CO169" i="1"/>
  <c r="CO165" i="1"/>
  <c r="CO161" i="1"/>
  <c r="CO157" i="1"/>
  <c r="CO153" i="1"/>
  <c r="CO149" i="1"/>
  <c r="CO145" i="1"/>
  <c r="CO141" i="1"/>
  <c r="CO137" i="1"/>
  <c r="CO133" i="1"/>
  <c r="CO129" i="1"/>
  <c r="CO125" i="1"/>
  <c r="CO121" i="1"/>
  <c r="CO117" i="1"/>
  <c r="CO113" i="1"/>
  <c r="CO109" i="1"/>
  <c r="CO105" i="1"/>
  <c r="CO101" i="1"/>
  <c r="CO97" i="1"/>
  <c r="CO93" i="1"/>
  <c r="CO89" i="1"/>
  <c r="CO85" i="1"/>
  <c r="CO81" i="1"/>
  <c r="CO77" i="1"/>
  <c r="CO73" i="1"/>
  <c r="CO69" i="1"/>
  <c r="CO65" i="1"/>
  <c r="CO61" i="1"/>
  <c r="CO57" i="1"/>
  <c r="CO53" i="1"/>
  <c r="CO49" i="1"/>
  <c r="CO45" i="1"/>
  <c r="CO41" i="1"/>
  <c r="CO37" i="1"/>
  <c r="CO33" i="1"/>
  <c r="CO29" i="1"/>
  <c r="CO25" i="1"/>
  <c r="CO21" i="1"/>
  <c r="CO17" i="1"/>
  <c r="CO13" i="1"/>
  <c r="CO6" i="1"/>
  <c r="CO10" i="1"/>
  <c r="CO12" i="1"/>
  <c r="CO9" i="1"/>
  <c r="BO2" i="1"/>
  <c r="BN4" i="1"/>
  <c r="BO4" i="1" s="1"/>
  <c r="CG267" i="1"/>
  <c r="CG263" i="1"/>
  <c r="CG259" i="1"/>
  <c r="CG255" i="1"/>
  <c r="CG251" i="1"/>
  <c r="CG247" i="1"/>
  <c r="CG243" i="1"/>
  <c r="CG239" i="1"/>
  <c r="CG235" i="1"/>
  <c r="CG231" i="1"/>
  <c r="CG223" i="1"/>
  <c r="CG215" i="1"/>
  <c r="CG207" i="1"/>
  <c r="CG199" i="1"/>
  <c r="CG191" i="1"/>
  <c r="CG183" i="1"/>
  <c r="CI175" i="1"/>
  <c r="CI171" i="1"/>
  <c r="CG167" i="1"/>
  <c r="CG163" i="1"/>
  <c r="CG155" i="1"/>
  <c r="CG151" i="1"/>
  <c r="CG139" i="1"/>
  <c r="CG135" i="1"/>
  <c r="CG131" i="1"/>
  <c r="CG127" i="1"/>
  <c r="CI123" i="1"/>
  <c r="CI119" i="1"/>
  <c r="CG115" i="1"/>
  <c r="CG111" i="1"/>
  <c r="CG87" i="1"/>
  <c r="CG83" i="1"/>
  <c r="CG79" i="1"/>
  <c r="CG71" i="1"/>
  <c r="CG67" i="1"/>
  <c r="CG59" i="1"/>
  <c r="CG51" i="1"/>
  <c r="CG47" i="1"/>
  <c r="CG39" i="1"/>
  <c r="CG31" i="1"/>
  <c r="CG23" i="1"/>
  <c r="CG15" i="1"/>
  <c r="CG11" i="1"/>
  <c r="CG264" i="1"/>
  <c r="CG260" i="1"/>
  <c r="CG256" i="1"/>
  <c r="CG252" i="1"/>
  <c r="CG248" i="1"/>
  <c r="CG244" i="1"/>
  <c r="CG7" i="1"/>
  <c r="CG95" i="1"/>
  <c r="CI88" i="1"/>
  <c r="CI84" i="1"/>
  <c r="CI80" i="1"/>
  <c r="CI76" i="1"/>
  <c r="CI68" i="1"/>
  <c r="CI60" i="1"/>
  <c r="CI52" i="1"/>
  <c r="CI48" i="1"/>
  <c r="CI44" i="1"/>
  <c r="CI40" i="1"/>
  <c r="CI32" i="1"/>
  <c r="CI20" i="1"/>
  <c r="CI16" i="1"/>
  <c r="CI12" i="1"/>
  <c r="CG240" i="1"/>
  <c r="CG232" i="1"/>
  <c r="CG228" i="1"/>
  <c r="CG220" i="1"/>
  <c r="CG212" i="1"/>
  <c r="CG204" i="1"/>
  <c r="CG196" i="1"/>
  <c r="CG188" i="1"/>
  <c r="CG180" i="1"/>
  <c r="CI176" i="1"/>
  <c r="CI172" i="1"/>
  <c r="CI168" i="1"/>
  <c r="CI164" i="1"/>
  <c r="CI160" i="1"/>
  <c r="CI152" i="1"/>
  <c r="CI148" i="1"/>
  <c r="CI144" i="1"/>
  <c r="CI136" i="1"/>
  <c r="CI132" i="1"/>
  <c r="CI128" i="1"/>
  <c r="CI120" i="1"/>
  <c r="CI116" i="1"/>
  <c r="CI112" i="1"/>
  <c r="CI104" i="1"/>
  <c r="CI96" i="1"/>
  <c r="CI11" i="1"/>
  <c r="CI8" i="1"/>
  <c r="CI154" i="1"/>
  <c r="CI150" i="1"/>
  <c r="CI146" i="1"/>
  <c r="CI142" i="1"/>
  <c r="CI38" i="1"/>
  <c r="CI34" i="1"/>
  <c r="CI30" i="1"/>
  <c r="CI26" i="1"/>
  <c r="CI10" i="1"/>
  <c r="CI270" i="1"/>
  <c r="CI266" i="1"/>
  <c r="CI258" i="1"/>
  <c r="CI254" i="1"/>
  <c r="CI250" i="1"/>
  <c r="CI242" i="1"/>
  <c r="CI238" i="1"/>
  <c r="CI230" i="1"/>
  <c r="CI222" i="1"/>
  <c r="CI214" i="1"/>
  <c r="CI206" i="1"/>
  <c r="CI198" i="1"/>
  <c r="CI190" i="1"/>
  <c r="CI182" i="1"/>
  <c r="CI170" i="1"/>
  <c r="CI167" i="1"/>
  <c r="CI134" i="1"/>
  <c r="CI130" i="1"/>
  <c r="CI118" i="1"/>
  <c r="CI110" i="1"/>
  <c r="CI106" i="1"/>
  <c r="CI102" i="1"/>
  <c r="CI98" i="1"/>
  <c r="CI74" i="1"/>
  <c r="CI269" i="1"/>
  <c r="CI265" i="1"/>
  <c r="CI261" i="1"/>
  <c r="CI257" i="1"/>
  <c r="CI253" i="1"/>
  <c r="CI249" i="1"/>
  <c r="CI135" i="1"/>
  <c r="CI248" i="1"/>
  <c r="CI245" i="1"/>
  <c r="CI241" i="1"/>
  <c r="CI237" i="1"/>
  <c r="CI233" i="1"/>
  <c r="CI229" i="1"/>
  <c r="CI225" i="1"/>
  <c r="CI221" i="1"/>
  <c r="CI217" i="1"/>
  <c r="CI213" i="1"/>
  <c r="CI209" i="1"/>
  <c r="CI205" i="1"/>
  <c r="CI201" i="1"/>
  <c r="CI197" i="1"/>
  <c r="CI193" i="1"/>
  <c r="CI189" i="1"/>
  <c r="CI185" i="1"/>
  <c r="CI181" i="1"/>
  <c r="CI177" i="1"/>
  <c r="CI173" i="1"/>
  <c r="CI169" i="1"/>
  <c r="CI67" i="1"/>
  <c r="CI162" i="1"/>
  <c r="CI54" i="1"/>
  <c r="CI95" i="1"/>
  <c r="CI158" i="1"/>
  <c r="CI58" i="1"/>
  <c r="CI42" i="1"/>
  <c r="CI264" i="1"/>
  <c r="CI155" i="1"/>
  <c r="CI39" i="1"/>
  <c r="CG236" i="1"/>
  <c r="CI236" i="1"/>
  <c r="CG224" i="1"/>
  <c r="CI224" i="1"/>
  <c r="CG216" i="1"/>
  <c r="CI216" i="1"/>
  <c r="CG208" i="1"/>
  <c r="CI208" i="1"/>
  <c r="CG200" i="1"/>
  <c r="CI200" i="1"/>
  <c r="CG192" i="1"/>
  <c r="CI192" i="1"/>
  <c r="CG184" i="1"/>
  <c r="CI184" i="1"/>
  <c r="CG107" i="1"/>
  <c r="CI107" i="1"/>
  <c r="CG147" i="1"/>
  <c r="CI147" i="1"/>
  <c r="CI46" i="1"/>
  <c r="CG227" i="1"/>
  <c r="CI227" i="1"/>
  <c r="CG219" i="1"/>
  <c r="CI219" i="1"/>
  <c r="CG211" i="1"/>
  <c r="CI211" i="1"/>
  <c r="CG203" i="1"/>
  <c r="CI203" i="1"/>
  <c r="CG195" i="1"/>
  <c r="CI195" i="1"/>
  <c r="CG187" i="1"/>
  <c r="CI187" i="1"/>
  <c r="CG179" i="1"/>
  <c r="CI179" i="1"/>
  <c r="CG75" i="1"/>
  <c r="CI75" i="1"/>
  <c r="CG271" i="1"/>
  <c r="CI271" i="1"/>
  <c r="CG19" i="1"/>
  <c r="CI19" i="1"/>
  <c r="CG268" i="1"/>
  <c r="CI268" i="1"/>
  <c r="CG43" i="1"/>
  <c r="CI43" i="1"/>
  <c r="CI24" i="1"/>
  <c r="CG24" i="1"/>
  <c r="CI252" i="1"/>
  <c r="CI231" i="1"/>
  <c r="CI228" i="1"/>
  <c r="CI223" i="1"/>
  <c r="CI220" i="1"/>
  <c r="CI215" i="1"/>
  <c r="CI212" i="1"/>
  <c r="CI207" i="1"/>
  <c r="CI204" i="1"/>
  <c r="CI199" i="1"/>
  <c r="CI196" i="1"/>
  <c r="CI191" i="1"/>
  <c r="CI188" i="1"/>
  <c r="CI183" i="1"/>
  <c r="CI180" i="1"/>
  <c r="CI127" i="1"/>
  <c r="CI87" i="1"/>
  <c r="CI59" i="1"/>
  <c r="CG152" i="1"/>
  <c r="CI115" i="1"/>
  <c r="CI83" i="1"/>
  <c r="CI51" i="1"/>
  <c r="CI23" i="1"/>
  <c r="CI262" i="1"/>
  <c r="CI246" i="1"/>
  <c r="CI234" i="1"/>
  <c r="CI226" i="1"/>
  <c r="CI218" i="1"/>
  <c r="CI210" i="1"/>
  <c r="CI202" i="1"/>
  <c r="CI194" i="1"/>
  <c r="CI186" i="1"/>
  <c r="CI178" i="1"/>
  <c r="CI166" i="1"/>
  <c r="CI138" i="1"/>
  <c r="CI126" i="1"/>
  <c r="CI122" i="1"/>
  <c r="CI114" i="1"/>
  <c r="CI94" i="1"/>
  <c r="CI90" i="1"/>
  <c r="CI82" i="1"/>
  <c r="CI78" i="1"/>
  <c r="CI66" i="1"/>
  <c r="CI62" i="1"/>
  <c r="CI50" i="1"/>
  <c r="CI18" i="1"/>
  <c r="CI14" i="1"/>
  <c r="CG175" i="1"/>
  <c r="CG173" i="1"/>
  <c r="CG171" i="1"/>
  <c r="CG168" i="1"/>
  <c r="CI139" i="1"/>
  <c r="CI131" i="1"/>
  <c r="CG119" i="1"/>
  <c r="CG116" i="1"/>
  <c r="CG96" i="1"/>
  <c r="CG84" i="1"/>
  <c r="CG68" i="1"/>
  <c r="CG52" i="1"/>
  <c r="CI260" i="1"/>
  <c r="CI244" i="1"/>
  <c r="CI235" i="1"/>
  <c r="CI232" i="1"/>
  <c r="CG32" i="1"/>
  <c r="CI256" i="1"/>
  <c r="CI240" i="1"/>
  <c r="CI163" i="1"/>
  <c r="CI151" i="1"/>
  <c r="CG136" i="1"/>
  <c r="CI111" i="1"/>
  <c r="CG88" i="1"/>
  <c r="CG76" i="1"/>
  <c r="CG60" i="1"/>
  <c r="CI47" i="1"/>
  <c r="CI31" i="1"/>
  <c r="CG12" i="1"/>
  <c r="CI156" i="1"/>
  <c r="CG156" i="1"/>
  <c r="CI108" i="1"/>
  <c r="CG108" i="1"/>
  <c r="CI263" i="1"/>
  <c r="CI255" i="1"/>
  <c r="CI247" i="1"/>
  <c r="CI239" i="1"/>
  <c r="CG166" i="1"/>
  <c r="CI159" i="1"/>
  <c r="CG159" i="1"/>
  <c r="CI140" i="1"/>
  <c r="CG140" i="1"/>
  <c r="CI72" i="1"/>
  <c r="CG72" i="1"/>
  <c r="CG150" i="1"/>
  <c r="CI143" i="1"/>
  <c r="CG143" i="1"/>
  <c r="CG103" i="1"/>
  <c r="CI103" i="1"/>
  <c r="CG99" i="1"/>
  <c r="CI99" i="1"/>
  <c r="CG27" i="1"/>
  <c r="CI27" i="1"/>
  <c r="CI267" i="1"/>
  <c r="CI259" i="1"/>
  <c r="CI251" i="1"/>
  <c r="CI243" i="1"/>
  <c r="CG134" i="1"/>
  <c r="CI70" i="1"/>
  <c r="CI64" i="1"/>
  <c r="CG64" i="1"/>
  <c r="CG170" i="1"/>
  <c r="CG154" i="1"/>
  <c r="CG138" i="1"/>
  <c r="CI124" i="1"/>
  <c r="CG124" i="1"/>
  <c r="CG114" i="1"/>
  <c r="CG98" i="1"/>
  <c r="CI92" i="1"/>
  <c r="CG92" i="1"/>
  <c r="CI86" i="1"/>
  <c r="CG63" i="1"/>
  <c r="CI63" i="1"/>
  <c r="CI36" i="1"/>
  <c r="CG36" i="1"/>
  <c r="CG160" i="1"/>
  <c r="CG158" i="1"/>
  <c r="CG144" i="1"/>
  <c r="CG142" i="1"/>
  <c r="CG130" i="1"/>
  <c r="CG91" i="1"/>
  <c r="CI91" i="1"/>
  <c r="CG80" i="1"/>
  <c r="CI56" i="1"/>
  <c r="CG56" i="1"/>
  <c r="CG35" i="1"/>
  <c r="CI35" i="1"/>
  <c r="CG8" i="1"/>
  <c r="CG164" i="1"/>
  <c r="CG162" i="1"/>
  <c r="CG148" i="1"/>
  <c r="CG146" i="1"/>
  <c r="CG132" i="1"/>
  <c r="CG123" i="1"/>
  <c r="CG120" i="1"/>
  <c r="CG118" i="1"/>
  <c r="CI100" i="1"/>
  <c r="CG100" i="1"/>
  <c r="CG55" i="1"/>
  <c r="CI55" i="1"/>
  <c r="CG50" i="1"/>
  <c r="CG44" i="1"/>
  <c r="CG34" i="1"/>
  <c r="CI28" i="1"/>
  <c r="CG28" i="1"/>
  <c r="CI22" i="1"/>
  <c r="CG16" i="1"/>
  <c r="CG122" i="1"/>
  <c r="CG82" i="1"/>
  <c r="CI79" i="1"/>
  <c r="CI71" i="1"/>
  <c r="CG18" i="1"/>
  <c r="CI15" i="1"/>
  <c r="CI7" i="1"/>
  <c r="CG128" i="1"/>
  <c r="CG126" i="1"/>
  <c r="CG112" i="1"/>
  <c r="CG104" i="1"/>
  <c r="CG66" i="1"/>
  <c r="CG48" i="1"/>
  <c r="CG40" i="1"/>
  <c r="CG20" i="1"/>
  <c r="CG270" i="1"/>
  <c r="CG266" i="1"/>
  <c r="CG262" i="1"/>
  <c r="CG258" i="1"/>
  <c r="CG254" i="1"/>
  <c r="CG250" i="1"/>
  <c r="CG246" i="1"/>
  <c r="CG242" i="1"/>
  <c r="CG238" i="1"/>
  <c r="CG234" i="1"/>
  <c r="CG230" i="1"/>
  <c r="CG226" i="1"/>
  <c r="CG222" i="1"/>
  <c r="CG218" i="1"/>
  <c r="CG214" i="1"/>
  <c r="CG210" i="1"/>
  <c r="CG206" i="1"/>
  <c r="CG202" i="1"/>
  <c r="CG198" i="1"/>
  <c r="CG194" i="1"/>
  <c r="CG190" i="1"/>
  <c r="CG186" i="1"/>
  <c r="CG182" i="1"/>
  <c r="CG178" i="1"/>
  <c r="CG102" i="1"/>
  <c r="CG86" i="1"/>
  <c r="CG70" i="1"/>
  <c r="CG54" i="1"/>
  <c r="CG38" i="1"/>
  <c r="CG22" i="1"/>
  <c r="CG106" i="1"/>
  <c r="CG90" i="1"/>
  <c r="CG74" i="1"/>
  <c r="CG58" i="1"/>
  <c r="CG42" i="1"/>
  <c r="CG26" i="1"/>
  <c r="CG10" i="1"/>
  <c r="CG174" i="1"/>
  <c r="CG110" i="1"/>
  <c r="CG94" i="1"/>
  <c r="CG78" i="1"/>
  <c r="CG62" i="1"/>
  <c r="CG46" i="1"/>
  <c r="CG30" i="1"/>
  <c r="CG14" i="1"/>
  <c r="CI13" i="1"/>
  <c r="CG13" i="1"/>
  <c r="CG269" i="1"/>
  <c r="CG265" i="1"/>
  <c r="CG261" i="1"/>
  <c r="CG257" i="1"/>
  <c r="CG253" i="1"/>
  <c r="CG249" i="1"/>
  <c r="CG245" i="1"/>
  <c r="CG241" i="1"/>
  <c r="CG237" i="1"/>
  <c r="CG233" i="1"/>
  <c r="CG229" i="1"/>
  <c r="CG225" i="1"/>
  <c r="CG221" i="1"/>
  <c r="CG217" i="1"/>
  <c r="CG213" i="1"/>
  <c r="CG209" i="1"/>
  <c r="CG205" i="1"/>
  <c r="CG201" i="1"/>
  <c r="CG197" i="1"/>
  <c r="CG193" i="1"/>
  <c r="CG189" i="1"/>
  <c r="CG185" i="1"/>
  <c r="CG181" i="1"/>
  <c r="CG177" i="1"/>
  <c r="CG172" i="1"/>
  <c r="CG169" i="1"/>
  <c r="CI165" i="1"/>
  <c r="CG165" i="1"/>
  <c r="CI161" i="1"/>
  <c r="CG161" i="1"/>
  <c r="CI157" i="1"/>
  <c r="CG157" i="1"/>
  <c r="CI153" i="1"/>
  <c r="CG153" i="1"/>
  <c r="CI149" i="1"/>
  <c r="CG149" i="1"/>
  <c r="CI145" i="1"/>
  <c r="CG145" i="1"/>
  <c r="CI141" i="1"/>
  <c r="CG141" i="1"/>
  <c r="CI137" i="1"/>
  <c r="CG137" i="1"/>
  <c r="CI133" i="1"/>
  <c r="CG133" i="1"/>
  <c r="CI129" i="1"/>
  <c r="CG129" i="1"/>
  <c r="CI125" i="1"/>
  <c r="CG125" i="1"/>
  <c r="CI121" i="1"/>
  <c r="CG121" i="1"/>
  <c r="CI117" i="1"/>
  <c r="CG117" i="1"/>
  <c r="CI113" i="1"/>
  <c r="CG113" i="1"/>
  <c r="CI97" i="1"/>
  <c r="CG97" i="1"/>
  <c r="CI81" i="1"/>
  <c r="CG81" i="1"/>
  <c r="CI65" i="1"/>
  <c r="CG65" i="1"/>
  <c r="CI49" i="1"/>
  <c r="CG49" i="1"/>
  <c r="CI33" i="1"/>
  <c r="CG33" i="1"/>
  <c r="CI17" i="1"/>
  <c r="CG17" i="1"/>
  <c r="CI109" i="1"/>
  <c r="CG109" i="1"/>
  <c r="CI77" i="1"/>
  <c r="CG77" i="1"/>
  <c r="CI45" i="1"/>
  <c r="CG45" i="1"/>
  <c r="CI101" i="1"/>
  <c r="CG101" i="1"/>
  <c r="CI85" i="1"/>
  <c r="CG85" i="1"/>
  <c r="CI69" i="1"/>
  <c r="CG69" i="1"/>
  <c r="CI53" i="1"/>
  <c r="CG53" i="1"/>
  <c r="CI37" i="1"/>
  <c r="CG37" i="1"/>
  <c r="CI21" i="1"/>
  <c r="CG21" i="1"/>
  <c r="CI93" i="1"/>
  <c r="CG93" i="1"/>
  <c r="CI61" i="1"/>
  <c r="CG61" i="1"/>
  <c r="CI29" i="1"/>
  <c r="CG29" i="1"/>
  <c r="CG176" i="1"/>
  <c r="CI174" i="1"/>
  <c r="CI105" i="1"/>
  <c r="CG105" i="1"/>
  <c r="CI89" i="1"/>
  <c r="CG89" i="1"/>
  <c r="CI73" i="1"/>
  <c r="CG73" i="1"/>
  <c r="CI57" i="1"/>
  <c r="CG57" i="1"/>
  <c r="CI41" i="1"/>
  <c r="CG41" i="1"/>
  <c r="CI25" i="1"/>
  <c r="CG25" i="1"/>
  <c r="CI9" i="1"/>
  <c r="CG9" i="1"/>
  <c r="BY209" i="1"/>
  <c r="BY186" i="1"/>
  <c r="BY90" i="1"/>
  <c r="BY70" i="1"/>
  <c r="BY180" i="1"/>
  <c r="BY155" i="1"/>
  <c r="BY6" i="1"/>
  <c r="CG6" i="1"/>
  <c r="DV6" i="1" s="1"/>
  <c r="CI6" i="1"/>
  <c r="EF209" i="1"/>
  <c r="EH209" i="1" s="1"/>
  <c r="EJ209" i="1" s="1"/>
  <c r="EF113" i="1"/>
  <c r="EH113" i="1" s="1"/>
  <c r="EJ113" i="1" s="1"/>
  <c r="BR186" i="1" a="1"/>
  <c r="BR186" i="1" s="1"/>
  <c r="EF90" i="1"/>
  <c r="BS7" i="1" a="1"/>
  <c r="BS7" i="1" s="1"/>
  <c r="BS8" i="1" a="1"/>
  <c r="BS8" i="1" s="1"/>
  <c r="BS9" i="1" a="1"/>
  <c r="BS9" i="1" s="1"/>
  <c r="BS10" i="1" a="1"/>
  <c r="BS10" i="1" s="1"/>
  <c r="BS11" i="1" a="1"/>
  <c r="BS11" i="1" s="1"/>
  <c r="BS12" i="1" a="1"/>
  <c r="BS12" i="1" s="1"/>
  <c r="BS13" i="1" a="1"/>
  <c r="BS13" i="1" s="1"/>
  <c r="BS14" i="1" a="1"/>
  <c r="BS14" i="1" s="1"/>
  <c r="BS15" i="1" a="1"/>
  <c r="BS15" i="1" s="1"/>
  <c r="BS16" i="1" a="1"/>
  <c r="BS16" i="1" s="1"/>
  <c r="BS17" i="1" a="1"/>
  <c r="BS17" i="1" s="1"/>
  <c r="BS18" i="1" a="1"/>
  <c r="BS18" i="1" s="1"/>
  <c r="BS90" i="1" a="1"/>
  <c r="BS90" i="1" s="1"/>
  <c r="BS20" i="1" a="1"/>
  <c r="BS20" i="1" s="1"/>
  <c r="BS21" i="1" a="1"/>
  <c r="BS21" i="1" s="1"/>
  <c r="BS22" i="1" a="1"/>
  <c r="BS22" i="1" s="1"/>
  <c r="BS23" i="1" a="1"/>
  <c r="BS23" i="1" s="1"/>
  <c r="BS24" i="1" a="1"/>
  <c r="BS24" i="1" s="1"/>
  <c r="BS25" i="1" a="1"/>
  <c r="BS25" i="1" s="1"/>
  <c r="BS26" i="1" a="1"/>
  <c r="BS26" i="1" s="1"/>
  <c r="BS27" i="1" a="1"/>
  <c r="BS27" i="1" s="1"/>
  <c r="BS28" i="1" a="1"/>
  <c r="BS28" i="1" s="1"/>
  <c r="BS29" i="1" a="1"/>
  <c r="BS29" i="1" s="1"/>
  <c r="BS30" i="1" a="1"/>
  <c r="BS30" i="1" s="1"/>
  <c r="BS31" i="1" a="1"/>
  <c r="BS31" i="1" s="1"/>
  <c r="BS32" i="1" a="1"/>
  <c r="BS32" i="1" s="1"/>
  <c r="BS33" i="1" a="1"/>
  <c r="BS33" i="1" s="1"/>
  <c r="BS34" i="1" a="1"/>
  <c r="BS34" i="1" s="1"/>
  <c r="BS35" i="1" a="1"/>
  <c r="BS35" i="1" s="1"/>
  <c r="BS36" i="1" a="1"/>
  <c r="BS36" i="1" s="1"/>
  <c r="BS37" i="1" a="1"/>
  <c r="BS37" i="1" s="1"/>
  <c r="BS38" i="1" a="1"/>
  <c r="BS38" i="1" s="1"/>
  <c r="BS39" i="1" a="1"/>
  <c r="BS39" i="1" s="1"/>
  <c r="BS40" i="1" a="1"/>
  <c r="BS40" i="1" s="1"/>
  <c r="BS41" i="1" a="1"/>
  <c r="BS41" i="1" s="1"/>
  <c r="BS42" i="1" a="1"/>
  <c r="BS42" i="1" s="1"/>
  <c r="BS43" i="1" a="1"/>
  <c r="BS43" i="1" s="1"/>
  <c r="BS44" i="1" a="1"/>
  <c r="BS44" i="1" s="1"/>
  <c r="BS45" i="1" a="1"/>
  <c r="BS45" i="1" s="1"/>
  <c r="BS46" i="1" a="1"/>
  <c r="BS46" i="1" s="1"/>
  <c r="BS47" i="1" a="1"/>
  <c r="BS47" i="1" s="1"/>
  <c r="BS48" i="1" a="1"/>
  <c r="BS48" i="1" s="1"/>
  <c r="BS49" i="1" a="1"/>
  <c r="BS49" i="1" s="1"/>
  <c r="BS50" i="1" a="1"/>
  <c r="BS50" i="1" s="1"/>
  <c r="BS51" i="1" a="1"/>
  <c r="BS51" i="1" s="1"/>
  <c r="BS52" i="1" a="1"/>
  <c r="BS52" i="1" s="1"/>
  <c r="BS53" i="1" a="1"/>
  <c r="BS53" i="1" s="1"/>
  <c r="BS54" i="1" a="1"/>
  <c r="BS54" i="1" s="1"/>
  <c r="BS55" i="1" a="1"/>
  <c r="BS55" i="1" s="1"/>
  <c r="BS56" i="1" a="1"/>
  <c r="BS56" i="1" s="1"/>
  <c r="BS57" i="1" a="1"/>
  <c r="BS57" i="1" s="1"/>
  <c r="BS58" i="1" a="1"/>
  <c r="BS58" i="1" s="1"/>
  <c r="BS59" i="1" a="1"/>
  <c r="BS59" i="1" s="1"/>
  <c r="BS60" i="1" a="1"/>
  <c r="BS60" i="1" s="1"/>
  <c r="BS61" i="1" a="1"/>
  <c r="BS61" i="1" s="1"/>
  <c r="BS62" i="1" a="1"/>
  <c r="BS62" i="1" s="1"/>
  <c r="BS63" i="1" a="1"/>
  <c r="BS63" i="1" s="1"/>
  <c r="BS64" i="1" a="1"/>
  <c r="BS64" i="1" s="1"/>
  <c r="BS65" i="1" a="1"/>
  <c r="BS65" i="1" s="1"/>
  <c r="BS66" i="1" a="1"/>
  <c r="BS66" i="1" s="1"/>
  <c r="BS121" i="1" a="1"/>
  <c r="BS121" i="1" s="1"/>
  <c r="BS68" i="1" a="1"/>
  <c r="BS68" i="1" s="1"/>
  <c r="BS69" i="1" a="1"/>
  <c r="BS69" i="1" s="1"/>
  <c r="BS155" i="1" a="1"/>
  <c r="BS155" i="1" s="1"/>
  <c r="BS71" i="1" a="1"/>
  <c r="BS71" i="1" s="1"/>
  <c r="BS72" i="1" a="1"/>
  <c r="BS72" i="1" s="1"/>
  <c r="BS73" i="1" a="1"/>
  <c r="BS73" i="1" s="1"/>
  <c r="BS74" i="1" a="1"/>
  <c r="BS74" i="1" s="1"/>
  <c r="BS75" i="1" a="1"/>
  <c r="BS75" i="1" s="1"/>
  <c r="BS76" i="1" a="1"/>
  <c r="BS76" i="1" s="1"/>
  <c r="BS77" i="1" a="1"/>
  <c r="BS77" i="1" s="1"/>
  <c r="BS78" i="1" a="1"/>
  <c r="BS78" i="1" s="1"/>
  <c r="BS79" i="1" a="1"/>
  <c r="BS79" i="1" s="1"/>
  <c r="BS80" i="1" a="1"/>
  <c r="BS80" i="1" s="1"/>
  <c r="BS81" i="1" a="1"/>
  <c r="BS81" i="1" s="1"/>
  <c r="BS82" i="1" a="1"/>
  <c r="BS82" i="1" s="1"/>
  <c r="BS83" i="1" a="1"/>
  <c r="BS83" i="1" s="1"/>
  <c r="BS84" i="1" a="1"/>
  <c r="BS84" i="1" s="1"/>
  <c r="BS85" i="1" a="1"/>
  <c r="BS85" i="1" s="1"/>
  <c r="BS86" i="1" a="1"/>
  <c r="BS86" i="1" s="1"/>
  <c r="BS87" i="1" a="1"/>
  <c r="BS87" i="1" s="1"/>
  <c r="BS88" i="1" a="1"/>
  <c r="BS88" i="1" s="1"/>
  <c r="BS114" i="1" a="1"/>
  <c r="BS114" i="1" s="1"/>
  <c r="BS186" i="1" a="1"/>
  <c r="BS186" i="1" s="1"/>
  <c r="BS91" i="1" a="1"/>
  <c r="BS91" i="1" s="1"/>
  <c r="BS92" i="1" a="1"/>
  <c r="BS92" i="1" s="1"/>
  <c r="BS93" i="1" a="1"/>
  <c r="BS93" i="1" s="1"/>
  <c r="BS94" i="1" a="1"/>
  <c r="BS94" i="1" s="1"/>
  <c r="BS95" i="1" a="1"/>
  <c r="BS95" i="1" s="1"/>
  <c r="BS96" i="1" a="1"/>
  <c r="BS96" i="1" s="1"/>
  <c r="BS97" i="1" a="1"/>
  <c r="BS97" i="1" s="1"/>
  <c r="BS98" i="1" a="1"/>
  <c r="BS98" i="1" s="1"/>
  <c r="BS99" i="1" a="1"/>
  <c r="BS99" i="1" s="1"/>
  <c r="BS100" i="1" a="1"/>
  <c r="BS100" i="1" s="1"/>
  <c r="BS101" i="1" a="1"/>
  <c r="BS101" i="1" s="1"/>
  <c r="BS102" i="1" a="1"/>
  <c r="BS102" i="1" s="1"/>
  <c r="BS103" i="1" a="1"/>
  <c r="BS103" i="1" s="1"/>
  <c r="BS104" i="1" a="1"/>
  <c r="BS104" i="1" s="1"/>
  <c r="BS105" i="1" a="1"/>
  <c r="BS105" i="1" s="1"/>
  <c r="BS106" i="1" a="1"/>
  <c r="BS106" i="1" s="1"/>
  <c r="BS107" i="1" a="1"/>
  <c r="BS107" i="1" s="1"/>
  <c r="BS108" i="1" a="1"/>
  <c r="BS108" i="1" s="1"/>
  <c r="BS109" i="1" a="1"/>
  <c r="BS109" i="1" s="1"/>
  <c r="BS110" i="1" a="1"/>
  <c r="BS110" i="1" s="1"/>
  <c r="BS111" i="1" a="1"/>
  <c r="BS111" i="1" s="1"/>
  <c r="BS112" i="1" a="1"/>
  <c r="BS112" i="1" s="1"/>
  <c r="BS113" i="1" a="1"/>
  <c r="BS113" i="1" s="1"/>
  <c r="BS153" i="1" a="1"/>
  <c r="BS153" i="1" s="1"/>
  <c r="BS115" i="1" a="1"/>
  <c r="BS115" i="1" s="1"/>
  <c r="BS116" i="1" a="1"/>
  <c r="BS116" i="1" s="1"/>
  <c r="BS117" i="1" a="1"/>
  <c r="BS117" i="1" s="1"/>
  <c r="BS118" i="1" a="1"/>
  <c r="BS118" i="1" s="1"/>
  <c r="BS119" i="1" a="1"/>
  <c r="BS119" i="1" s="1"/>
  <c r="BS67" i="1" a="1"/>
  <c r="BS67" i="1" s="1"/>
  <c r="BS70" i="1" a="1"/>
  <c r="BS70" i="1" s="1"/>
  <c r="BS122" i="1" a="1"/>
  <c r="BS122" i="1" s="1"/>
  <c r="BS123" i="1" a="1"/>
  <c r="BS123" i="1" s="1"/>
  <c r="BS124" i="1" a="1"/>
  <c r="BS124" i="1" s="1"/>
  <c r="BS125" i="1" a="1"/>
  <c r="BS125" i="1" s="1"/>
  <c r="BS126" i="1" a="1"/>
  <c r="BS126" i="1" s="1"/>
  <c r="BS127" i="1" a="1"/>
  <c r="BS127" i="1" s="1"/>
  <c r="BS128" i="1" a="1"/>
  <c r="BS128" i="1" s="1"/>
  <c r="BS129" i="1" a="1"/>
  <c r="BS129" i="1" s="1"/>
  <c r="BS130" i="1" a="1"/>
  <c r="BS130" i="1" s="1"/>
  <c r="BS131" i="1" a="1"/>
  <c r="BS131" i="1" s="1"/>
  <c r="BS132" i="1" a="1"/>
  <c r="BS132" i="1" s="1"/>
  <c r="BS133" i="1" a="1"/>
  <c r="BS133" i="1" s="1"/>
  <c r="BS134" i="1" a="1"/>
  <c r="BS134" i="1" s="1"/>
  <c r="BS135" i="1" a="1"/>
  <c r="BS135" i="1" s="1"/>
  <c r="BS136" i="1" a="1"/>
  <c r="BS136" i="1" s="1"/>
  <c r="BS137" i="1" a="1"/>
  <c r="BS137" i="1" s="1"/>
  <c r="BS138" i="1" a="1"/>
  <c r="BS138" i="1" s="1"/>
  <c r="BS139" i="1" a="1"/>
  <c r="BS139" i="1" s="1"/>
  <c r="BS140" i="1" a="1"/>
  <c r="BS140" i="1" s="1"/>
  <c r="BS141" i="1" a="1"/>
  <c r="BS141" i="1" s="1"/>
  <c r="BS142" i="1" a="1"/>
  <c r="BS142" i="1" s="1"/>
  <c r="BS143" i="1" a="1"/>
  <c r="BS143" i="1" s="1"/>
  <c r="BS144" i="1" a="1"/>
  <c r="BS144" i="1" s="1"/>
  <c r="BS145" i="1" a="1"/>
  <c r="BS145" i="1" s="1"/>
  <c r="BS146" i="1" a="1"/>
  <c r="BS146" i="1" s="1"/>
  <c r="BS147" i="1" a="1"/>
  <c r="BS147" i="1" s="1"/>
  <c r="BS148" i="1" a="1"/>
  <c r="BS148" i="1" s="1"/>
  <c r="BS149" i="1" a="1"/>
  <c r="BS149" i="1" s="1"/>
  <c r="BS150" i="1" a="1"/>
  <c r="BS150" i="1" s="1"/>
  <c r="BS151" i="1" a="1"/>
  <c r="BS151" i="1" s="1"/>
  <c r="BS152" i="1" a="1"/>
  <c r="BS152" i="1" s="1"/>
  <c r="BS120" i="1" a="1"/>
  <c r="BS120" i="1" s="1"/>
  <c r="BS154" i="1" a="1"/>
  <c r="BS154" i="1" s="1"/>
  <c r="BS89" i="1" a="1"/>
  <c r="BS89" i="1" s="1"/>
  <c r="BS156" i="1" a="1"/>
  <c r="BS156" i="1" s="1"/>
  <c r="BS157" i="1" a="1"/>
  <c r="BS157" i="1" s="1"/>
  <c r="BS158" i="1" a="1"/>
  <c r="BS158" i="1" s="1"/>
  <c r="BS159" i="1" a="1"/>
  <c r="BS159" i="1" s="1"/>
  <c r="BS160" i="1" a="1"/>
  <c r="BS160" i="1" s="1"/>
  <c r="BS161" i="1" a="1"/>
  <c r="BS161" i="1" s="1"/>
  <c r="BS162" i="1" a="1"/>
  <c r="BS162" i="1" s="1"/>
  <c r="BS163" i="1" a="1"/>
  <c r="BS163" i="1" s="1"/>
  <c r="BS164" i="1" a="1"/>
  <c r="BS164" i="1" s="1"/>
  <c r="BS165" i="1" a="1"/>
  <c r="BS165" i="1" s="1"/>
  <c r="BS166" i="1" a="1"/>
  <c r="BS166" i="1" s="1"/>
  <c r="BS167" i="1" a="1"/>
  <c r="BS167" i="1" s="1"/>
  <c r="BS168" i="1" a="1"/>
  <c r="BS168" i="1" s="1"/>
  <c r="BS169" i="1" a="1"/>
  <c r="BS169" i="1" s="1"/>
  <c r="BS170" i="1" a="1"/>
  <c r="BS170" i="1" s="1"/>
  <c r="BS171" i="1" a="1"/>
  <c r="BS171" i="1" s="1"/>
  <c r="BS172" i="1" a="1"/>
  <c r="BS172" i="1" s="1"/>
  <c r="BS173" i="1" a="1"/>
  <c r="BS173" i="1" s="1"/>
  <c r="BS174" i="1" a="1"/>
  <c r="BS174" i="1" s="1"/>
  <c r="BS175" i="1" a="1"/>
  <c r="BS175" i="1" s="1"/>
  <c r="BS176" i="1" a="1"/>
  <c r="BS176" i="1" s="1"/>
  <c r="BS177" i="1" a="1"/>
  <c r="BS177" i="1" s="1"/>
  <c r="BS178" i="1" a="1"/>
  <c r="BS178" i="1" s="1"/>
  <c r="BS179" i="1" a="1"/>
  <c r="BS179" i="1" s="1"/>
  <c r="BS180" i="1" a="1"/>
  <c r="BS180" i="1" s="1"/>
  <c r="BS181" i="1" a="1"/>
  <c r="BS181" i="1" s="1"/>
  <c r="BS182" i="1" a="1"/>
  <c r="BS182" i="1" s="1"/>
  <c r="BS183" i="1" a="1"/>
  <c r="BS183" i="1" s="1"/>
  <c r="BS184" i="1" a="1"/>
  <c r="BS184" i="1" s="1"/>
  <c r="BS185" i="1" a="1"/>
  <c r="BS185" i="1" s="1"/>
  <c r="BS19" i="1" a="1"/>
  <c r="BS19" i="1" s="1"/>
  <c r="BS187" i="1" a="1"/>
  <c r="BS187" i="1" s="1"/>
  <c r="BS188" i="1" a="1"/>
  <c r="BS188" i="1" s="1"/>
  <c r="BS189" i="1" a="1"/>
  <c r="BS189" i="1" s="1"/>
  <c r="BS190" i="1" a="1"/>
  <c r="BS190" i="1" s="1"/>
  <c r="BS191" i="1" a="1"/>
  <c r="BS191" i="1" s="1"/>
  <c r="BS192" i="1" a="1"/>
  <c r="BS192" i="1" s="1"/>
  <c r="BS193" i="1" a="1"/>
  <c r="BS193" i="1" s="1"/>
  <c r="BS194" i="1" a="1"/>
  <c r="BS194" i="1" s="1"/>
  <c r="BS195" i="1" a="1"/>
  <c r="BS195" i="1" s="1"/>
  <c r="BS196" i="1" a="1"/>
  <c r="BS196" i="1" s="1"/>
  <c r="BS197" i="1" a="1"/>
  <c r="BS197" i="1" s="1"/>
  <c r="BS198" i="1" a="1"/>
  <c r="BS198" i="1" s="1"/>
  <c r="BS199" i="1" a="1"/>
  <c r="BS199" i="1" s="1"/>
  <c r="BS200" i="1" a="1"/>
  <c r="BS200" i="1" s="1"/>
  <c r="BS201" i="1" a="1"/>
  <c r="BS201" i="1" s="1"/>
  <c r="BS202" i="1" a="1"/>
  <c r="BS202" i="1" s="1"/>
  <c r="BS203" i="1" a="1"/>
  <c r="BS203" i="1" s="1"/>
  <c r="BS204" i="1" a="1"/>
  <c r="BS204" i="1" s="1"/>
  <c r="BS205" i="1" a="1"/>
  <c r="BS205" i="1" s="1"/>
  <c r="BS206" i="1" a="1"/>
  <c r="BS206" i="1" s="1"/>
  <c r="BS207" i="1" a="1"/>
  <c r="BS207" i="1" s="1"/>
  <c r="BS208" i="1" a="1"/>
  <c r="BS208" i="1" s="1"/>
  <c r="BS209" i="1" a="1"/>
  <c r="BS209" i="1" s="1"/>
  <c r="BS210" i="1" a="1"/>
  <c r="BS210" i="1" s="1"/>
  <c r="BS211" i="1" a="1"/>
  <c r="BS211" i="1" s="1"/>
  <c r="BS212" i="1" a="1"/>
  <c r="BS212" i="1" s="1"/>
  <c r="BS213" i="1" a="1"/>
  <c r="BS213" i="1" s="1"/>
  <c r="BS214" i="1" a="1"/>
  <c r="BS214" i="1" s="1"/>
  <c r="BS215" i="1" a="1"/>
  <c r="BS215" i="1" s="1"/>
  <c r="BS216" i="1" a="1"/>
  <c r="BS216" i="1" s="1"/>
  <c r="BS217" i="1" a="1"/>
  <c r="BS217" i="1" s="1"/>
  <c r="BS218" i="1" a="1"/>
  <c r="BS218" i="1" s="1"/>
  <c r="BS219" i="1" a="1"/>
  <c r="BS219" i="1" s="1"/>
  <c r="BS220" i="1" a="1"/>
  <c r="BS220" i="1" s="1"/>
  <c r="BS221" i="1" a="1"/>
  <c r="BS221" i="1" s="1"/>
  <c r="BS222" i="1" a="1"/>
  <c r="BS222" i="1" s="1"/>
  <c r="BS223" i="1" a="1"/>
  <c r="BS223" i="1" s="1"/>
  <c r="BS224" i="1" a="1"/>
  <c r="BS224" i="1" s="1"/>
  <c r="BS225" i="1" a="1"/>
  <c r="BS225" i="1" s="1"/>
  <c r="BS226" i="1" a="1"/>
  <c r="BS226" i="1" s="1"/>
  <c r="BS227" i="1" a="1"/>
  <c r="BS227" i="1" s="1"/>
  <c r="BS228" i="1" a="1"/>
  <c r="BS228" i="1" s="1"/>
  <c r="BS229" i="1" a="1"/>
  <c r="BS229" i="1" s="1"/>
  <c r="BS230" i="1" a="1"/>
  <c r="BS230" i="1" s="1"/>
  <c r="BS231" i="1" a="1"/>
  <c r="BS231" i="1" s="1"/>
  <c r="BS232" i="1" a="1"/>
  <c r="BS232" i="1" s="1"/>
  <c r="BS233" i="1" a="1"/>
  <c r="BS233" i="1" s="1"/>
  <c r="BS234" i="1" a="1"/>
  <c r="BS234" i="1" s="1"/>
  <c r="BS235" i="1" a="1"/>
  <c r="BS235" i="1" s="1"/>
  <c r="BS236" i="1" a="1"/>
  <c r="BS236" i="1" s="1"/>
  <c r="BS237" i="1" a="1"/>
  <c r="BS237" i="1" s="1"/>
  <c r="BS238" i="1" a="1"/>
  <c r="BS238" i="1" s="1"/>
  <c r="BS239" i="1" a="1"/>
  <c r="BS239" i="1" s="1"/>
  <c r="BS240" i="1" a="1"/>
  <c r="BS240" i="1" s="1"/>
  <c r="BS241" i="1" a="1"/>
  <c r="BS241" i="1" s="1"/>
  <c r="BS242" i="1" a="1"/>
  <c r="BS242" i="1" s="1"/>
  <c r="BS243" i="1" a="1"/>
  <c r="BS243" i="1" s="1"/>
  <c r="BS244" i="1" a="1"/>
  <c r="BS244" i="1" s="1"/>
  <c r="BS245" i="1" a="1"/>
  <c r="BS245" i="1" s="1"/>
  <c r="BS246" i="1" a="1"/>
  <c r="BS246" i="1" s="1"/>
  <c r="BS247" i="1" a="1"/>
  <c r="BS247" i="1" s="1"/>
  <c r="BS248" i="1" a="1"/>
  <c r="BS248" i="1" s="1"/>
  <c r="BS249" i="1" a="1"/>
  <c r="BS249" i="1" s="1"/>
  <c r="BS250" i="1" a="1"/>
  <c r="BS250" i="1" s="1"/>
  <c r="BS251" i="1" a="1"/>
  <c r="BS251" i="1" s="1"/>
  <c r="BS252" i="1" a="1"/>
  <c r="BS252" i="1" s="1"/>
  <c r="BS253" i="1" a="1"/>
  <c r="BS253" i="1" s="1"/>
  <c r="BS254" i="1" a="1"/>
  <c r="BS254" i="1" s="1"/>
  <c r="BS255" i="1" a="1"/>
  <c r="BS255" i="1" s="1"/>
  <c r="BS256" i="1" a="1"/>
  <c r="BS256" i="1" s="1"/>
  <c r="BS257" i="1" a="1"/>
  <c r="BS257" i="1" s="1"/>
  <c r="BS258" i="1" a="1"/>
  <c r="BS258" i="1" s="1"/>
  <c r="BS259" i="1" a="1"/>
  <c r="BS259" i="1" s="1"/>
  <c r="BS260" i="1" a="1"/>
  <c r="BS260" i="1" s="1"/>
  <c r="BS261" i="1" a="1"/>
  <c r="BS261" i="1" s="1"/>
  <c r="BS262" i="1" a="1"/>
  <c r="BS262" i="1" s="1"/>
  <c r="BS263" i="1" a="1"/>
  <c r="BS263" i="1" s="1"/>
  <c r="BS264" i="1" a="1"/>
  <c r="BS264" i="1" s="1"/>
  <c r="BS265" i="1" a="1"/>
  <c r="BS265" i="1" s="1"/>
  <c r="BS266" i="1" a="1"/>
  <c r="BS266" i="1" s="1"/>
  <c r="BS267" i="1" a="1"/>
  <c r="BS267" i="1" s="1"/>
  <c r="BS268" i="1" a="1"/>
  <c r="BS268" i="1" s="1"/>
  <c r="BS269" i="1" a="1"/>
  <c r="BS269" i="1" s="1"/>
  <c r="BS270" i="1" a="1"/>
  <c r="BS270" i="1" s="1"/>
  <c r="BS271" i="1" a="1"/>
  <c r="BS271" i="1" s="1"/>
  <c r="BS6" i="1" a="1"/>
  <c r="BS6" i="1" s="1"/>
  <c r="BN238" i="1" a="1"/>
  <c r="BN238" i="1" s="1"/>
  <c r="BN8" i="1" a="1"/>
  <c r="BN8" i="1" s="1"/>
  <c r="BN245" i="1" a="1"/>
  <c r="BN245" i="1" s="1"/>
  <c r="BN121" i="1" a="1"/>
  <c r="BN121" i="1" s="1"/>
  <c r="BN14" i="1" a="1"/>
  <c r="BN14" i="1" s="1"/>
  <c r="EF6" i="1"/>
  <c r="EH6" i="1" s="1"/>
  <c r="EJ6" i="1" s="1"/>
  <c r="BN7" i="1" a="1"/>
  <c r="BN7" i="1" s="1"/>
  <c r="BN22" i="1" a="1"/>
  <c r="BN22" i="1" s="1"/>
  <c r="BT6" i="1" a="1"/>
  <c r="BT6" i="1" s="1"/>
  <c r="BT7" i="1" a="1"/>
  <c r="BT7" i="1" s="1"/>
  <c r="BT8" i="1" a="1"/>
  <c r="BT8" i="1" s="1"/>
  <c r="BT9" i="1" a="1"/>
  <c r="BT9" i="1" s="1"/>
  <c r="BT10" i="1" a="1"/>
  <c r="BT10" i="1" s="1"/>
  <c r="BT11" i="1" a="1"/>
  <c r="BT11" i="1" s="1"/>
  <c r="BT12" i="1" a="1"/>
  <c r="BT12" i="1" s="1"/>
  <c r="BT13" i="1" a="1"/>
  <c r="BT13" i="1" s="1"/>
  <c r="BT186" i="1" a="1"/>
  <c r="BT186" i="1" s="1"/>
  <c r="BT15" i="1" a="1"/>
  <c r="BT15" i="1" s="1"/>
  <c r="BT16" i="1" a="1"/>
  <c r="BT16" i="1" s="1"/>
  <c r="BT17" i="1" a="1"/>
  <c r="BT17" i="1" s="1"/>
  <c r="BT18" i="1" a="1"/>
  <c r="BT18" i="1" s="1"/>
  <c r="BT20" i="1" a="1"/>
  <c r="BT20" i="1" s="1"/>
  <c r="BT21" i="1" a="1"/>
  <c r="BT21" i="1" s="1"/>
  <c r="BT22" i="1" a="1"/>
  <c r="BT22" i="1" s="1"/>
  <c r="BT23" i="1" a="1"/>
  <c r="BT23" i="1" s="1"/>
  <c r="BT24" i="1" a="1"/>
  <c r="BT24" i="1" s="1"/>
  <c r="BT25" i="1" a="1"/>
  <c r="BT25" i="1" s="1"/>
  <c r="BT26" i="1" a="1"/>
  <c r="BT26" i="1" s="1"/>
  <c r="BT27" i="1" a="1"/>
  <c r="BT27" i="1" s="1"/>
  <c r="BT28" i="1" a="1"/>
  <c r="BT28" i="1" s="1"/>
  <c r="BT29" i="1" a="1"/>
  <c r="BT29" i="1" s="1"/>
  <c r="BT30" i="1" a="1"/>
  <c r="BT30" i="1" s="1"/>
  <c r="BT31" i="1" a="1"/>
  <c r="BT31" i="1" s="1"/>
  <c r="BT32" i="1" a="1"/>
  <c r="BT32" i="1" s="1"/>
  <c r="BT33" i="1" a="1"/>
  <c r="BT33" i="1" s="1"/>
  <c r="BT34" i="1" a="1"/>
  <c r="BT34" i="1" s="1"/>
  <c r="BT209" i="1" a="1"/>
  <c r="BT209" i="1" s="1"/>
  <c r="BT36" i="1" a="1"/>
  <c r="BT36" i="1" s="1"/>
  <c r="BT37" i="1" a="1"/>
  <c r="BT37" i="1" s="1"/>
  <c r="BT38" i="1" a="1"/>
  <c r="BT38" i="1" s="1"/>
  <c r="BT39" i="1" a="1"/>
  <c r="BT39" i="1" s="1"/>
  <c r="BT40" i="1" a="1"/>
  <c r="BT40" i="1" s="1"/>
  <c r="BT41" i="1" a="1"/>
  <c r="BT41" i="1" s="1"/>
  <c r="BT42" i="1" a="1"/>
  <c r="BT42" i="1" s="1"/>
  <c r="BT43" i="1" a="1"/>
  <c r="BT43" i="1" s="1"/>
  <c r="BT44" i="1" a="1"/>
  <c r="BT44" i="1" s="1"/>
  <c r="BT45" i="1" a="1"/>
  <c r="BT45" i="1" s="1"/>
  <c r="BT46" i="1" a="1"/>
  <c r="BT46" i="1" s="1"/>
  <c r="BT47" i="1" a="1"/>
  <c r="BT47" i="1" s="1"/>
  <c r="BT48" i="1" a="1"/>
  <c r="BT48" i="1" s="1"/>
  <c r="BT49" i="1" a="1"/>
  <c r="BT49" i="1" s="1"/>
  <c r="BT50" i="1" a="1"/>
  <c r="BT50" i="1" s="1"/>
  <c r="BT51" i="1" a="1"/>
  <c r="BT51" i="1" s="1"/>
  <c r="BT52" i="1" a="1"/>
  <c r="BT52" i="1" s="1"/>
  <c r="BT53" i="1" a="1"/>
  <c r="BT53" i="1" s="1"/>
  <c r="BT54" i="1" a="1"/>
  <c r="BT54" i="1" s="1"/>
  <c r="BT55" i="1" a="1"/>
  <c r="BT55" i="1" s="1"/>
  <c r="BT56" i="1" a="1"/>
  <c r="BT56" i="1" s="1"/>
  <c r="BT57" i="1" a="1"/>
  <c r="BT57" i="1" s="1"/>
  <c r="BT58" i="1" a="1"/>
  <c r="BT58" i="1" s="1"/>
  <c r="BT59" i="1" a="1"/>
  <c r="BT59" i="1" s="1"/>
  <c r="BT60" i="1" a="1"/>
  <c r="BT60" i="1" s="1"/>
  <c r="BT61" i="1" a="1"/>
  <c r="BT61" i="1" s="1"/>
  <c r="BT62" i="1" a="1"/>
  <c r="BT62" i="1" s="1"/>
  <c r="BT63" i="1" a="1"/>
  <c r="BT63" i="1" s="1"/>
  <c r="BT64" i="1" a="1"/>
  <c r="BT64" i="1" s="1"/>
  <c r="BT127" i="1" a="1"/>
  <c r="BT127" i="1" s="1"/>
  <c r="BT121" i="1" a="1"/>
  <c r="BT121" i="1" s="1"/>
  <c r="BT68" i="1" a="1"/>
  <c r="BT68" i="1" s="1"/>
  <c r="BT69" i="1" a="1"/>
  <c r="BT69" i="1" s="1"/>
  <c r="BT184" i="1" a="1"/>
  <c r="BT184" i="1" s="1"/>
  <c r="BT71" i="1" a="1"/>
  <c r="BT71" i="1" s="1"/>
  <c r="BT72" i="1" a="1"/>
  <c r="BT72" i="1" s="1"/>
  <c r="BT73" i="1" a="1"/>
  <c r="BT73" i="1" s="1"/>
  <c r="BT74" i="1" a="1"/>
  <c r="BT74" i="1" s="1"/>
  <c r="BT75" i="1" a="1"/>
  <c r="BT75" i="1" s="1"/>
  <c r="BT76" i="1" a="1"/>
  <c r="BT76" i="1" s="1"/>
  <c r="BT77" i="1" a="1"/>
  <c r="BT77" i="1" s="1"/>
  <c r="BT78" i="1" a="1"/>
  <c r="BT78" i="1" s="1"/>
  <c r="BT79" i="1" a="1"/>
  <c r="BT79" i="1" s="1"/>
  <c r="BT80" i="1" a="1"/>
  <c r="BT80" i="1" s="1"/>
  <c r="BT81" i="1" a="1"/>
  <c r="BT81" i="1" s="1"/>
  <c r="BT82" i="1" a="1"/>
  <c r="BT82" i="1" s="1"/>
  <c r="BT83" i="1" a="1"/>
  <c r="BT83" i="1" s="1"/>
  <c r="BT84" i="1" a="1"/>
  <c r="BT84" i="1" s="1"/>
  <c r="BT85" i="1" a="1"/>
  <c r="BT85" i="1" s="1"/>
  <c r="BT86" i="1" a="1"/>
  <c r="BT86" i="1" s="1"/>
  <c r="BT87" i="1" a="1"/>
  <c r="BT87" i="1" s="1"/>
  <c r="BT88" i="1" a="1"/>
  <c r="BT88" i="1" s="1"/>
  <c r="BT124" i="1" a="1"/>
  <c r="BT124" i="1" s="1"/>
  <c r="BT163" i="1" a="1"/>
  <c r="BT163" i="1" s="1"/>
  <c r="BT91" i="1" a="1"/>
  <c r="BT91" i="1" s="1"/>
  <c r="BT93" i="1" a="1"/>
  <c r="BT93" i="1" s="1"/>
  <c r="BT94" i="1" a="1"/>
  <c r="BT94" i="1" s="1"/>
  <c r="BT95" i="1" a="1"/>
  <c r="BT95" i="1" s="1"/>
  <c r="BT96" i="1" a="1"/>
  <c r="BT96" i="1" s="1"/>
  <c r="BT97" i="1" a="1"/>
  <c r="BT97" i="1" s="1"/>
  <c r="BT98" i="1" a="1"/>
  <c r="BT98" i="1" s="1"/>
  <c r="BT99" i="1" a="1"/>
  <c r="BT99" i="1" s="1"/>
  <c r="BT100" i="1" a="1"/>
  <c r="BT100" i="1" s="1"/>
  <c r="BT101" i="1" a="1"/>
  <c r="BT101" i="1" s="1"/>
  <c r="BT102" i="1" a="1"/>
  <c r="BT102" i="1" s="1"/>
  <c r="BT103" i="1" a="1"/>
  <c r="BT103" i="1" s="1"/>
  <c r="BT104" i="1" a="1"/>
  <c r="BT104" i="1" s="1"/>
  <c r="BT105" i="1" a="1"/>
  <c r="BT105" i="1" s="1"/>
  <c r="BT106" i="1" a="1"/>
  <c r="BT106" i="1" s="1"/>
  <c r="BT107" i="1" a="1"/>
  <c r="BT107" i="1" s="1"/>
  <c r="BT108" i="1" a="1"/>
  <c r="BT108" i="1" s="1"/>
  <c r="BT109" i="1" a="1"/>
  <c r="BT109" i="1" s="1"/>
  <c r="BT110" i="1" a="1"/>
  <c r="BT110" i="1" s="1"/>
  <c r="BT111" i="1" a="1"/>
  <c r="BT111" i="1" s="1"/>
  <c r="BT112" i="1" a="1"/>
  <c r="BT112" i="1" s="1"/>
  <c r="BT113" i="1" a="1"/>
  <c r="BT113" i="1" s="1"/>
  <c r="BT89" i="1" a="1"/>
  <c r="BT89" i="1" s="1"/>
  <c r="BT115" i="1" a="1"/>
  <c r="BT115" i="1" s="1"/>
  <c r="BT116" i="1" a="1"/>
  <c r="BT116" i="1" s="1"/>
  <c r="BT117" i="1" a="1"/>
  <c r="BT117" i="1" s="1"/>
  <c r="BT118" i="1" a="1"/>
  <c r="BT118" i="1" s="1"/>
  <c r="BT119" i="1" a="1"/>
  <c r="BT119" i="1" s="1"/>
  <c r="BT67" i="1" a="1"/>
  <c r="BT67" i="1" s="1"/>
  <c r="BT70" i="1" a="1"/>
  <c r="BT70" i="1" s="1"/>
  <c r="BT122" i="1" a="1"/>
  <c r="BT122" i="1" s="1"/>
  <c r="BT123" i="1" a="1"/>
  <c r="BT123" i="1" s="1"/>
  <c r="BT153" i="1" a="1"/>
  <c r="BT153" i="1" s="1"/>
  <c r="BT125" i="1" a="1"/>
  <c r="BT125" i="1" s="1"/>
  <c r="BT126" i="1" a="1"/>
  <c r="BT126" i="1" s="1"/>
  <c r="BT14" i="1" a="1"/>
  <c r="BT14" i="1" s="1"/>
  <c r="BT128" i="1" a="1"/>
  <c r="BT128" i="1" s="1"/>
  <c r="BT129" i="1" a="1"/>
  <c r="BT129" i="1" s="1"/>
  <c r="BT130" i="1" a="1"/>
  <c r="BT130" i="1" s="1"/>
  <c r="BT131" i="1" a="1"/>
  <c r="BT131" i="1" s="1"/>
  <c r="BT133" i="1" a="1"/>
  <c r="BT133" i="1" s="1"/>
  <c r="BT134" i="1" a="1"/>
  <c r="BT134" i="1" s="1"/>
  <c r="BT135" i="1" a="1"/>
  <c r="BT135" i="1" s="1"/>
  <c r="BT136" i="1" a="1"/>
  <c r="BT136" i="1" s="1"/>
  <c r="BT137" i="1" a="1"/>
  <c r="BT137" i="1" s="1"/>
  <c r="BT138" i="1" a="1"/>
  <c r="BT138" i="1" s="1"/>
  <c r="BT139" i="1" a="1"/>
  <c r="BT139" i="1" s="1"/>
  <c r="BT140" i="1" a="1"/>
  <c r="BT140" i="1" s="1"/>
  <c r="BT141" i="1" a="1"/>
  <c r="BT141" i="1" s="1"/>
  <c r="BT142" i="1" a="1"/>
  <c r="BT142" i="1" s="1"/>
  <c r="BT143" i="1" a="1"/>
  <c r="BT143" i="1" s="1"/>
  <c r="BT144" i="1" a="1"/>
  <c r="BT144" i="1" s="1"/>
  <c r="BT145" i="1" a="1"/>
  <c r="BT145" i="1" s="1"/>
  <c r="BT146" i="1" a="1"/>
  <c r="BT146" i="1" s="1"/>
  <c r="BT147" i="1" a="1"/>
  <c r="BT147" i="1" s="1"/>
  <c r="BT148" i="1" a="1"/>
  <c r="BT148" i="1" s="1"/>
  <c r="BT149" i="1" a="1"/>
  <c r="BT149" i="1" s="1"/>
  <c r="BT150" i="1" a="1"/>
  <c r="BT150" i="1" s="1"/>
  <c r="BT151" i="1" a="1"/>
  <c r="BT151" i="1" s="1"/>
  <c r="BT152" i="1" a="1"/>
  <c r="BT152" i="1" s="1"/>
  <c r="BT120" i="1" a="1"/>
  <c r="BT120" i="1" s="1"/>
  <c r="BT154" i="1" a="1"/>
  <c r="BT154" i="1" s="1"/>
  <c r="BT92" i="1" a="1"/>
  <c r="BT92" i="1" s="1"/>
  <c r="BT156" i="1" a="1"/>
  <c r="BT156" i="1" s="1"/>
  <c r="BT157" i="1" a="1"/>
  <c r="BT157" i="1" s="1"/>
  <c r="BT158" i="1" a="1"/>
  <c r="BT158" i="1" s="1"/>
  <c r="BT159" i="1" a="1"/>
  <c r="BT159" i="1" s="1"/>
  <c r="BT160" i="1" a="1"/>
  <c r="BT160" i="1" s="1"/>
  <c r="BT161" i="1" a="1"/>
  <c r="BT161" i="1" s="1"/>
  <c r="BT162" i="1" a="1"/>
  <c r="BT162" i="1" s="1"/>
  <c r="BT65" i="1" a="1"/>
  <c r="BT65" i="1" s="1"/>
  <c r="BT164" i="1" a="1"/>
  <c r="BT164" i="1" s="1"/>
  <c r="BT165" i="1" a="1"/>
  <c r="BT165" i="1" s="1"/>
  <c r="BT166" i="1" a="1"/>
  <c r="BT166" i="1" s="1"/>
  <c r="BT167" i="1" a="1"/>
  <c r="BT167" i="1" s="1"/>
  <c r="BT168" i="1" a="1"/>
  <c r="BT168" i="1" s="1"/>
  <c r="BT169" i="1" a="1"/>
  <c r="BT169" i="1" s="1"/>
  <c r="BT170" i="1" a="1"/>
  <c r="BT170" i="1" s="1"/>
  <c r="BT171" i="1" a="1"/>
  <c r="BT171" i="1" s="1"/>
  <c r="BT172" i="1" a="1"/>
  <c r="BT172" i="1" s="1"/>
  <c r="BT173" i="1" a="1"/>
  <c r="BT173" i="1" s="1"/>
  <c r="BT174" i="1" a="1"/>
  <c r="BT174" i="1" s="1"/>
  <c r="BT175" i="1" a="1"/>
  <c r="BT175" i="1" s="1"/>
  <c r="BT176" i="1" a="1"/>
  <c r="BT176" i="1" s="1"/>
  <c r="BT177" i="1" a="1"/>
  <c r="BT177" i="1" s="1"/>
  <c r="BT178" i="1" a="1"/>
  <c r="BT178" i="1" s="1"/>
  <c r="BT179" i="1" a="1"/>
  <c r="BT179" i="1" s="1"/>
  <c r="BT155" i="1" a="1"/>
  <c r="BT155" i="1" s="1"/>
  <c r="BT181" i="1" a="1"/>
  <c r="BT181" i="1" s="1"/>
  <c r="BT182" i="1" a="1"/>
  <c r="BT182" i="1" s="1"/>
  <c r="BT183" i="1" a="1"/>
  <c r="BT183" i="1" s="1"/>
  <c r="BT185" i="1" a="1"/>
  <c r="BT185" i="1" s="1"/>
  <c r="BT19" i="1" a="1"/>
  <c r="BT19" i="1" s="1"/>
  <c r="BT187" i="1" a="1"/>
  <c r="BT187" i="1" s="1"/>
  <c r="BT188" i="1" a="1"/>
  <c r="BT188" i="1" s="1"/>
  <c r="BT189" i="1" a="1"/>
  <c r="BT189" i="1" s="1"/>
  <c r="BT190" i="1" a="1"/>
  <c r="BT190" i="1" s="1"/>
  <c r="BT35" i="1" a="1"/>
  <c r="BT35" i="1" s="1"/>
  <c r="BT192" i="1" a="1"/>
  <c r="BT192" i="1" s="1"/>
  <c r="BT193" i="1" a="1"/>
  <c r="BT193" i="1" s="1"/>
  <c r="BT194" i="1" a="1"/>
  <c r="BT194" i="1" s="1"/>
  <c r="BT195" i="1" a="1"/>
  <c r="BT195" i="1" s="1"/>
  <c r="BT196" i="1" a="1"/>
  <c r="BT196" i="1" s="1"/>
  <c r="BT197" i="1" a="1"/>
  <c r="BT197" i="1" s="1"/>
  <c r="BT198" i="1" a="1"/>
  <c r="BT198" i="1" s="1"/>
  <c r="BT199" i="1" a="1"/>
  <c r="BT199" i="1" s="1"/>
  <c r="BT200" i="1" a="1"/>
  <c r="BT200" i="1" s="1"/>
  <c r="BT201" i="1" a="1"/>
  <c r="BT201" i="1" s="1"/>
  <c r="BT255" i="1" a="1"/>
  <c r="BT255" i="1" s="1"/>
  <c r="BT203" i="1" a="1"/>
  <c r="BT203" i="1" s="1"/>
  <c r="BT204" i="1" a="1"/>
  <c r="BT204" i="1" s="1"/>
  <c r="BT205" i="1" a="1"/>
  <c r="BT205" i="1" s="1"/>
  <c r="BT206" i="1" a="1"/>
  <c r="BT206" i="1" s="1"/>
  <c r="BT207" i="1" a="1"/>
  <c r="BT207" i="1" s="1"/>
  <c r="BT208" i="1" a="1"/>
  <c r="BT208" i="1" s="1"/>
  <c r="BT114" i="1" a="1"/>
  <c r="BT114" i="1" s="1"/>
  <c r="BT210" i="1" a="1"/>
  <c r="BT210" i="1" s="1"/>
  <c r="BT211" i="1" a="1"/>
  <c r="BT211" i="1" s="1"/>
  <c r="BT212" i="1" a="1"/>
  <c r="BT212" i="1" s="1"/>
  <c r="BT213" i="1" a="1"/>
  <c r="BT213" i="1" s="1"/>
  <c r="BT214" i="1" a="1"/>
  <c r="BT214" i="1" s="1"/>
  <c r="BT215" i="1" a="1"/>
  <c r="BT215" i="1" s="1"/>
  <c r="BT216" i="1" a="1"/>
  <c r="BT216" i="1" s="1"/>
  <c r="BT217" i="1" a="1"/>
  <c r="BT217" i="1" s="1"/>
  <c r="BT218" i="1" a="1"/>
  <c r="BT218" i="1" s="1"/>
  <c r="BT219" i="1" a="1"/>
  <c r="BT219" i="1" s="1"/>
  <c r="BT220" i="1" a="1"/>
  <c r="BT220" i="1" s="1"/>
  <c r="BT221" i="1" a="1"/>
  <c r="BT221" i="1" s="1"/>
  <c r="BT222" i="1" a="1"/>
  <c r="BT222" i="1" s="1"/>
  <c r="BT223" i="1" a="1"/>
  <c r="BT223" i="1" s="1"/>
  <c r="BT224" i="1" a="1"/>
  <c r="BT224" i="1" s="1"/>
  <c r="BT225" i="1" a="1"/>
  <c r="BT225" i="1" s="1"/>
  <c r="BT226" i="1" a="1"/>
  <c r="BT226" i="1" s="1"/>
  <c r="BT227" i="1" a="1"/>
  <c r="BT227" i="1" s="1"/>
  <c r="BT228" i="1" a="1"/>
  <c r="BT228" i="1" s="1"/>
  <c r="BT229" i="1" a="1"/>
  <c r="BT229" i="1" s="1"/>
  <c r="BT230" i="1" a="1"/>
  <c r="BT230" i="1" s="1"/>
  <c r="BT231" i="1" a="1"/>
  <c r="BT231" i="1" s="1"/>
  <c r="BT232" i="1" a="1"/>
  <c r="BT232" i="1" s="1"/>
  <c r="BT233" i="1" a="1"/>
  <c r="BT233" i="1" s="1"/>
  <c r="BT234" i="1" a="1"/>
  <c r="BT234" i="1" s="1"/>
  <c r="BT235" i="1" a="1"/>
  <c r="BT235" i="1" s="1"/>
  <c r="BT236" i="1" a="1"/>
  <c r="BT236" i="1" s="1"/>
  <c r="BT237" i="1" a="1"/>
  <c r="BT237" i="1" s="1"/>
  <c r="BT238" i="1" a="1"/>
  <c r="BT238" i="1" s="1"/>
  <c r="BT239" i="1" a="1"/>
  <c r="BT239" i="1" s="1"/>
  <c r="BT240" i="1" a="1"/>
  <c r="BT240" i="1" s="1"/>
  <c r="BT241" i="1" a="1"/>
  <c r="BT241" i="1" s="1"/>
  <c r="BT242" i="1" a="1"/>
  <c r="BT242" i="1" s="1"/>
  <c r="BT243" i="1" a="1"/>
  <c r="BT243" i="1" s="1"/>
  <c r="BT244" i="1" a="1"/>
  <c r="BT244" i="1" s="1"/>
  <c r="BT245" i="1" a="1"/>
  <c r="BT245" i="1" s="1"/>
  <c r="BT246" i="1" a="1"/>
  <c r="BT246" i="1" s="1"/>
  <c r="BT247" i="1" a="1"/>
  <c r="BT247" i="1" s="1"/>
  <c r="BT248" i="1" a="1"/>
  <c r="BT248" i="1" s="1"/>
  <c r="BT249" i="1" a="1"/>
  <c r="BT249" i="1" s="1"/>
  <c r="BT250" i="1" a="1"/>
  <c r="BT250" i="1" s="1"/>
  <c r="BT251" i="1" a="1"/>
  <c r="BT251" i="1" s="1"/>
  <c r="BT252" i="1" a="1"/>
  <c r="BT252" i="1" s="1"/>
  <c r="BT253" i="1" a="1"/>
  <c r="BT253" i="1" s="1"/>
  <c r="BT254" i="1" a="1"/>
  <c r="BT254" i="1" s="1"/>
  <c r="BT202" i="1" a="1"/>
  <c r="BT202" i="1" s="1"/>
  <c r="BT256" i="1" a="1"/>
  <c r="BT256" i="1" s="1"/>
  <c r="BT257" i="1" a="1"/>
  <c r="BT257" i="1" s="1"/>
  <c r="BT258" i="1" a="1"/>
  <c r="BT258" i="1" s="1"/>
  <c r="BT259" i="1" a="1"/>
  <c r="BT259" i="1" s="1"/>
  <c r="BT260" i="1" a="1"/>
  <c r="BT260" i="1" s="1"/>
  <c r="BT261" i="1" a="1"/>
  <c r="BT261" i="1" s="1"/>
  <c r="BT262" i="1" a="1"/>
  <c r="BT262" i="1" s="1"/>
  <c r="BT263" i="1" a="1"/>
  <c r="BT263" i="1" s="1"/>
  <c r="BT264" i="1" a="1"/>
  <c r="BT264" i="1" s="1"/>
  <c r="BT265" i="1" a="1"/>
  <c r="BT265" i="1" s="1"/>
  <c r="BT266" i="1" a="1"/>
  <c r="BT266" i="1" s="1"/>
  <c r="BT267" i="1" a="1"/>
  <c r="BT267" i="1" s="1"/>
  <c r="BT268" i="1" a="1"/>
  <c r="BT268" i="1" s="1"/>
  <c r="BT269" i="1" a="1"/>
  <c r="BT269" i="1" s="1"/>
  <c r="BT270" i="1" a="1"/>
  <c r="BT270" i="1" s="1"/>
  <c r="BT271" i="1" a="1"/>
  <c r="BT271" i="1" s="1"/>
  <c r="BN65" i="1" a="1"/>
  <c r="BN65" i="1" s="1"/>
  <c r="BN236" i="1" a="1"/>
  <c r="BN236" i="1" s="1"/>
  <c r="BV6" i="1" a="1"/>
  <c r="BV6" i="1" s="1"/>
  <c r="BV7" i="1" a="1"/>
  <c r="BV7" i="1" s="1"/>
  <c r="BV8" i="1" a="1"/>
  <c r="BV8" i="1" s="1"/>
  <c r="BV9" i="1" a="1"/>
  <c r="BV9" i="1" s="1"/>
  <c r="BV10" i="1" a="1"/>
  <c r="BV10" i="1" s="1"/>
  <c r="BV11" i="1" a="1"/>
  <c r="BV11" i="1" s="1"/>
  <c r="BV12" i="1" a="1"/>
  <c r="BV12" i="1" s="1"/>
  <c r="BV13" i="1" a="1"/>
  <c r="BV13" i="1" s="1"/>
  <c r="BV186" i="1" a="1"/>
  <c r="BV186" i="1" s="1"/>
  <c r="BV15" i="1" a="1"/>
  <c r="BV15" i="1" s="1"/>
  <c r="BV16" i="1" a="1"/>
  <c r="BV16" i="1" s="1"/>
  <c r="BV17" i="1" a="1"/>
  <c r="BV17" i="1" s="1"/>
  <c r="BV18" i="1" a="1"/>
  <c r="BV18" i="1" s="1"/>
  <c r="BV90" i="1" a="1"/>
  <c r="BV90" i="1" s="1"/>
  <c r="BV20" i="1" a="1"/>
  <c r="BV20" i="1" s="1"/>
  <c r="BV21" i="1" a="1"/>
  <c r="BV21" i="1" s="1"/>
  <c r="BV22" i="1" a="1"/>
  <c r="BV22" i="1" s="1"/>
  <c r="BV23" i="1" a="1"/>
  <c r="BV23" i="1" s="1"/>
  <c r="BV24" i="1" a="1"/>
  <c r="BV24" i="1" s="1"/>
  <c r="BV25" i="1" a="1"/>
  <c r="BV25" i="1" s="1"/>
  <c r="BV26" i="1" a="1"/>
  <c r="BV26" i="1" s="1"/>
  <c r="BV27" i="1" a="1"/>
  <c r="BV27" i="1" s="1"/>
  <c r="BV28" i="1" a="1"/>
  <c r="BV28" i="1" s="1"/>
  <c r="BV29" i="1" a="1"/>
  <c r="BV29" i="1" s="1"/>
  <c r="BV30" i="1" a="1"/>
  <c r="BV30" i="1" s="1"/>
  <c r="BV31" i="1" a="1"/>
  <c r="BV31" i="1" s="1"/>
  <c r="BV32" i="1" a="1"/>
  <c r="BV32" i="1" s="1"/>
  <c r="BV33" i="1" a="1"/>
  <c r="BV33" i="1" s="1"/>
  <c r="BV34" i="1" a="1"/>
  <c r="BV34" i="1" s="1"/>
  <c r="BV209" i="1" a="1"/>
  <c r="BV209" i="1" s="1"/>
  <c r="BV36" i="1" a="1"/>
  <c r="BV36" i="1" s="1"/>
  <c r="BV37" i="1" a="1"/>
  <c r="BV37" i="1" s="1"/>
  <c r="BV38" i="1" a="1"/>
  <c r="BV38" i="1" s="1"/>
  <c r="BV39" i="1" a="1"/>
  <c r="BV39" i="1" s="1"/>
  <c r="BV40" i="1" a="1"/>
  <c r="BV40" i="1" s="1"/>
  <c r="BV41" i="1" a="1"/>
  <c r="BV41" i="1" s="1"/>
  <c r="BV42" i="1" a="1"/>
  <c r="BV42" i="1" s="1"/>
  <c r="BV43" i="1" a="1"/>
  <c r="BV43" i="1" s="1"/>
  <c r="BV44" i="1" a="1"/>
  <c r="BV44" i="1" s="1"/>
  <c r="BV45" i="1" a="1"/>
  <c r="BV45" i="1" s="1"/>
  <c r="BV46" i="1" a="1"/>
  <c r="BV46" i="1" s="1"/>
  <c r="BV47" i="1" a="1"/>
  <c r="BV47" i="1" s="1"/>
  <c r="BV48" i="1" a="1"/>
  <c r="BV48" i="1" s="1"/>
  <c r="BV49" i="1" a="1"/>
  <c r="BV49" i="1" s="1"/>
  <c r="BV50" i="1" a="1"/>
  <c r="BV50" i="1" s="1"/>
  <c r="BV51" i="1" a="1"/>
  <c r="BV51" i="1" s="1"/>
  <c r="BV52" i="1" a="1"/>
  <c r="BV52" i="1" s="1"/>
  <c r="BV53" i="1" a="1"/>
  <c r="BV53" i="1" s="1"/>
  <c r="BV54" i="1" a="1"/>
  <c r="BV54" i="1" s="1"/>
  <c r="BV55" i="1" a="1"/>
  <c r="BV55" i="1" s="1"/>
  <c r="BV56" i="1" a="1"/>
  <c r="BV56" i="1" s="1"/>
  <c r="BV57" i="1" a="1"/>
  <c r="BV57" i="1" s="1"/>
  <c r="BV58" i="1" a="1"/>
  <c r="BV58" i="1" s="1"/>
  <c r="BV59" i="1" a="1"/>
  <c r="BV59" i="1" s="1"/>
  <c r="BV60" i="1" a="1"/>
  <c r="BV60" i="1" s="1"/>
  <c r="BV61" i="1" a="1"/>
  <c r="BV61" i="1" s="1"/>
  <c r="BV62" i="1" a="1"/>
  <c r="BV62" i="1" s="1"/>
  <c r="BV63" i="1" a="1"/>
  <c r="BV63" i="1" s="1"/>
  <c r="BV64" i="1" a="1"/>
  <c r="BV64" i="1" s="1"/>
  <c r="BV127" i="1" a="1"/>
  <c r="BV127" i="1" s="1"/>
  <c r="BV66" i="1" a="1"/>
  <c r="BV66" i="1" s="1"/>
  <c r="BV121" i="1" a="1"/>
  <c r="BV121" i="1" s="1"/>
  <c r="BV68" i="1" a="1"/>
  <c r="BV68" i="1" s="1"/>
  <c r="BV69" i="1" a="1"/>
  <c r="BV69" i="1" s="1"/>
  <c r="BV184" i="1" a="1"/>
  <c r="BV184" i="1" s="1"/>
  <c r="BV71" i="1" a="1"/>
  <c r="BV71" i="1" s="1"/>
  <c r="BV72" i="1" a="1"/>
  <c r="BV72" i="1" s="1"/>
  <c r="BV73" i="1" a="1"/>
  <c r="BV73" i="1" s="1"/>
  <c r="BV74" i="1" a="1"/>
  <c r="BV74" i="1" s="1"/>
  <c r="BV75" i="1" a="1"/>
  <c r="BV75" i="1" s="1"/>
  <c r="BV76" i="1" a="1"/>
  <c r="BV76" i="1" s="1"/>
  <c r="BV77" i="1" a="1"/>
  <c r="BV77" i="1" s="1"/>
  <c r="BV78" i="1" a="1"/>
  <c r="BV78" i="1" s="1"/>
  <c r="BV79" i="1" a="1"/>
  <c r="BV79" i="1" s="1"/>
  <c r="BV80" i="1" a="1"/>
  <c r="BV80" i="1" s="1"/>
  <c r="BV81" i="1" a="1"/>
  <c r="BV81" i="1" s="1"/>
  <c r="BV82" i="1" a="1"/>
  <c r="BV82" i="1" s="1"/>
  <c r="BV83" i="1" a="1"/>
  <c r="BV83" i="1" s="1"/>
  <c r="BV84" i="1" a="1"/>
  <c r="BV84" i="1" s="1"/>
  <c r="BV85" i="1" a="1"/>
  <c r="BV85" i="1" s="1"/>
  <c r="BV86" i="1" a="1"/>
  <c r="BV86" i="1" s="1"/>
  <c r="BV87" i="1" a="1"/>
  <c r="BV87" i="1" s="1"/>
  <c r="BV88" i="1" a="1"/>
  <c r="BV88" i="1" s="1"/>
  <c r="BV124" i="1" a="1"/>
  <c r="BV124" i="1" s="1"/>
  <c r="BV163" i="1" a="1"/>
  <c r="BV163" i="1" s="1"/>
  <c r="BV91" i="1" a="1"/>
  <c r="BV91" i="1" s="1"/>
  <c r="BV180" i="1" a="1"/>
  <c r="BV180" i="1" s="1"/>
  <c r="BV93" i="1" a="1"/>
  <c r="BV93" i="1" s="1"/>
  <c r="BV94" i="1" a="1"/>
  <c r="BV94" i="1" s="1"/>
  <c r="BV95" i="1" a="1"/>
  <c r="BV95" i="1" s="1"/>
  <c r="BV96" i="1" a="1"/>
  <c r="BV96" i="1" s="1"/>
  <c r="BV97" i="1" a="1"/>
  <c r="BV97" i="1" s="1"/>
  <c r="BV98" i="1" a="1"/>
  <c r="BV98" i="1" s="1"/>
  <c r="BV99" i="1" a="1"/>
  <c r="BV99" i="1" s="1"/>
  <c r="BV100" i="1" a="1"/>
  <c r="BV100" i="1" s="1"/>
  <c r="BV101" i="1" a="1"/>
  <c r="BV101" i="1" s="1"/>
  <c r="BV102" i="1" a="1"/>
  <c r="BV102" i="1" s="1"/>
  <c r="BV103" i="1" a="1"/>
  <c r="BV103" i="1" s="1"/>
  <c r="BV104" i="1" a="1"/>
  <c r="BV104" i="1" s="1"/>
  <c r="BV105" i="1" a="1"/>
  <c r="BV105" i="1" s="1"/>
  <c r="BV106" i="1" a="1"/>
  <c r="BV106" i="1" s="1"/>
  <c r="BV107" i="1" a="1"/>
  <c r="BV107" i="1" s="1"/>
  <c r="BV108" i="1" a="1"/>
  <c r="BV108" i="1" s="1"/>
  <c r="BV109" i="1" a="1"/>
  <c r="BV109" i="1" s="1"/>
  <c r="BV110" i="1" a="1"/>
  <c r="BV110" i="1" s="1"/>
  <c r="BV111" i="1" a="1"/>
  <c r="BV111" i="1" s="1"/>
  <c r="BV112" i="1" a="1"/>
  <c r="BV112" i="1" s="1"/>
  <c r="BV113" i="1" a="1"/>
  <c r="BV113" i="1" s="1"/>
  <c r="BV89" i="1" a="1"/>
  <c r="BV89" i="1" s="1"/>
  <c r="BV115" i="1" a="1"/>
  <c r="BV115" i="1" s="1"/>
  <c r="BV116" i="1" a="1"/>
  <c r="BV116" i="1" s="1"/>
  <c r="BV117" i="1" a="1"/>
  <c r="BV117" i="1" s="1"/>
  <c r="BV118" i="1" a="1"/>
  <c r="BV118" i="1" s="1"/>
  <c r="BV119" i="1" a="1"/>
  <c r="BV119" i="1" s="1"/>
  <c r="BV67" i="1" a="1"/>
  <c r="BV67" i="1" s="1"/>
  <c r="BV70" i="1" a="1"/>
  <c r="BV70" i="1" s="1"/>
  <c r="BV122" i="1" a="1"/>
  <c r="BV122" i="1" s="1"/>
  <c r="BV123" i="1" a="1"/>
  <c r="BV123" i="1" s="1"/>
  <c r="BV153" i="1" a="1"/>
  <c r="BV153" i="1" s="1"/>
  <c r="BV125" i="1" a="1"/>
  <c r="BV125" i="1" s="1"/>
  <c r="BV126" i="1" a="1"/>
  <c r="BV126" i="1" s="1"/>
  <c r="BV14" i="1" a="1"/>
  <c r="BV14" i="1" s="1"/>
  <c r="BV128" i="1" a="1"/>
  <c r="BV128" i="1" s="1"/>
  <c r="BV129" i="1" a="1"/>
  <c r="BV129" i="1" s="1"/>
  <c r="BV130" i="1" a="1"/>
  <c r="BV130" i="1" s="1"/>
  <c r="BV131" i="1" a="1"/>
  <c r="BV131" i="1" s="1"/>
  <c r="BV132" i="1" a="1"/>
  <c r="BV132" i="1" s="1"/>
  <c r="BV133" i="1" a="1"/>
  <c r="BV133" i="1" s="1"/>
  <c r="BV134" i="1" a="1"/>
  <c r="BV134" i="1" s="1"/>
  <c r="BV135" i="1" a="1"/>
  <c r="BV135" i="1" s="1"/>
  <c r="BV136" i="1" a="1"/>
  <c r="BV136" i="1" s="1"/>
  <c r="BV137" i="1" a="1"/>
  <c r="BV137" i="1" s="1"/>
  <c r="BV138" i="1" a="1"/>
  <c r="BV138" i="1" s="1"/>
  <c r="BV139" i="1" a="1"/>
  <c r="BV139" i="1" s="1"/>
  <c r="BV140" i="1" a="1"/>
  <c r="BV140" i="1" s="1"/>
  <c r="BV141" i="1" a="1"/>
  <c r="BV141" i="1" s="1"/>
  <c r="BV142" i="1" a="1"/>
  <c r="BV142" i="1" s="1"/>
  <c r="BV143" i="1" a="1"/>
  <c r="BV143" i="1" s="1"/>
  <c r="BV144" i="1" a="1"/>
  <c r="BV144" i="1" s="1"/>
  <c r="BV145" i="1" a="1"/>
  <c r="BV145" i="1" s="1"/>
  <c r="BV146" i="1" a="1"/>
  <c r="BV146" i="1" s="1"/>
  <c r="BV147" i="1" a="1"/>
  <c r="BV147" i="1" s="1"/>
  <c r="BV148" i="1" a="1"/>
  <c r="BV148" i="1" s="1"/>
  <c r="BV149" i="1" a="1"/>
  <c r="BV149" i="1" s="1"/>
  <c r="BV150" i="1" a="1"/>
  <c r="BV150" i="1" s="1"/>
  <c r="BV151" i="1" a="1"/>
  <c r="BV151" i="1" s="1"/>
  <c r="BV152" i="1" a="1"/>
  <c r="BV152" i="1" s="1"/>
  <c r="BV120" i="1" a="1"/>
  <c r="BV120" i="1" s="1"/>
  <c r="BV154" i="1" a="1"/>
  <c r="BV154" i="1" s="1"/>
  <c r="BV92" i="1" a="1"/>
  <c r="BV92" i="1" s="1"/>
  <c r="BV156" i="1" a="1"/>
  <c r="BV156" i="1" s="1"/>
  <c r="BV157" i="1" a="1"/>
  <c r="BV157" i="1" s="1"/>
  <c r="BV158" i="1" a="1"/>
  <c r="BV158" i="1" s="1"/>
  <c r="BV159" i="1" a="1"/>
  <c r="BV159" i="1" s="1"/>
  <c r="BV160" i="1" a="1"/>
  <c r="BV160" i="1" s="1"/>
  <c r="BV161" i="1" a="1"/>
  <c r="BV161" i="1" s="1"/>
  <c r="BV162" i="1" a="1"/>
  <c r="BV162" i="1" s="1"/>
  <c r="BV65" i="1" a="1"/>
  <c r="BV65" i="1" s="1"/>
  <c r="BV164" i="1" a="1"/>
  <c r="BV164" i="1" s="1"/>
  <c r="BV165" i="1" a="1"/>
  <c r="BV165" i="1" s="1"/>
  <c r="BV166" i="1" a="1"/>
  <c r="BV166" i="1" s="1"/>
  <c r="BV167" i="1" a="1"/>
  <c r="BV167" i="1" s="1"/>
  <c r="BV168" i="1" a="1"/>
  <c r="BV168" i="1" s="1"/>
  <c r="BV169" i="1" a="1"/>
  <c r="BV169" i="1" s="1"/>
  <c r="BV170" i="1" a="1"/>
  <c r="BV170" i="1" s="1"/>
  <c r="BV171" i="1" a="1"/>
  <c r="BV171" i="1" s="1"/>
  <c r="BV172" i="1" a="1"/>
  <c r="BV172" i="1" s="1"/>
  <c r="BV173" i="1" a="1"/>
  <c r="BV173" i="1" s="1"/>
  <c r="BV174" i="1" a="1"/>
  <c r="BV174" i="1" s="1"/>
  <c r="BV175" i="1" a="1"/>
  <c r="BV175" i="1" s="1"/>
  <c r="BV176" i="1" a="1"/>
  <c r="BV176" i="1" s="1"/>
  <c r="BV177" i="1" a="1"/>
  <c r="BV177" i="1" s="1"/>
  <c r="BV178" i="1" a="1"/>
  <c r="BV178" i="1" s="1"/>
  <c r="BV179" i="1" a="1"/>
  <c r="BV179" i="1" s="1"/>
  <c r="BV155" i="1" a="1"/>
  <c r="BV155" i="1" s="1"/>
  <c r="BV181" i="1" a="1"/>
  <c r="BV181" i="1" s="1"/>
  <c r="BV182" i="1" a="1"/>
  <c r="BV182" i="1" s="1"/>
  <c r="BV183" i="1" a="1"/>
  <c r="BV183" i="1" s="1"/>
  <c r="BV191" i="1" a="1"/>
  <c r="BV191" i="1" s="1"/>
  <c r="BV185" i="1" a="1"/>
  <c r="BV185" i="1" s="1"/>
  <c r="BV19" i="1" a="1"/>
  <c r="BV19" i="1" s="1"/>
  <c r="BV187" i="1" a="1"/>
  <c r="BV187" i="1" s="1"/>
  <c r="BV188" i="1" a="1"/>
  <c r="BV188" i="1" s="1"/>
  <c r="BV189" i="1" a="1"/>
  <c r="BV189" i="1" s="1"/>
  <c r="BV190" i="1" a="1"/>
  <c r="BV190" i="1" s="1"/>
  <c r="BV35" i="1" a="1"/>
  <c r="BV35" i="1" s="1"/>
  <c r="BV192" i="1" a="1"/>
  <c r="BV192" i="1" s="1"/>
  <c r="BV193" i="1" a="1"/>
  <c r="BV193" i="1" s="1"/>
  <c r="BV194" i="1" a="1"/>
  <c r="BV194" i="1" s="1"/>
  <c r="BV195" i="1" a="1"/>
  <c r="BV195" i="1" s="1"/>
  <c r="BV196" i="1" a="1"/>
  <c r="BV196" i="1" s="1"/>
  <c r="BV197" i="1" a="1"/>
  <c r="BV197" i="1" s="1"/>
  <c r="BV198" i="1" a="1"/>
  <c r="BV198" i="1" s="1"/>
  <c r="BV199" i="1" a="1"/>
  <c r="BV199" i="1" s="1"/>
  <c r="BV200" i="1" a="1"/>
  <c r="BV200" i="1" s="1"/>
  <c r="BV201" i="1" a="1"/>
  <c r="BV201" i="1" s="1"/>
  <c r="BV255" i="1" a="1"/>
  <c r="BV255" i="1" s="1"/>
  <c r="BV203" i="1" a="1"/>
  <c r="BV203" i="1" s="1"/>
  <c r="BV204" i="1" a="1"/>
  <c r="BV204" i="1" s="1"/>
  <c r="BV205" i="1" a="1"/>
  <c r="BV205" i="1" s="1"/>
  <c r="BV206" i="1" a="1"/>
  <c r="BV206" i="1" s="1"/>
  <c r="BV207" i="1" a="1"/>
  <c r="BV207" i="1" s="1"/>
  <c r="BV208" i="1" a="1"/>
  <c r="BV208" i="1" s="1"/>
  <c r="BV114" i="1" a="1"/>
  <c r="BV114" i="1" s="1"/>
  <c r="BV210" i="1" a="1"/>
  <c r="BV210" i="1" s="1"/>
  <c r="BV211" i="1" a="1"/>
  <c r="BV211" i="1" s="1"/>
  <c r="BV212" i="1" a="1"/>
  <c r="BV212" i="1" s="1"/>
  <c r="BV213" i="1" a="1"/>
  <c r="BV213" i="1" s="1"/>
  <c r="BV214" i="1" a="1"/>
  <c r="BV214" i="1" s="1"/>
  <c r="BV215" i="1" a="1"/>
  <c r="BV215" i="1" s="1"/>
  <c r="BV216" i="1" a="1"/>
  <c r="BV216" i="1" s="1"/>
  <c r="BV217" i="1" a="1"/>
  <c r="BV217" i="1" s="1"/>
  <c r="BV218" i="1" a="1"/>
  <c r="BV218" i="1" s="1"/>
  <c r="BV219" i="1" a="1"/>
  <c r="BV219" i="1" s="1"/>
  <c r="BV220" i="1" a="1"/>
  <c r="BV220" i="1" s="1"/>
  <c r="BV221" i="1" a="1"/>
  <c r="BV221" i="1" s="1"/>
  <c r="BV222" i="1" a="1"/>
  <c r="BV222" i="1" s="1"/>
  <c r="BV223" i="1" a="1"/>
  <c r="BV223" i="1" s="1"/>
  <c r="BV224" i="1" a="1"/>
  <c r="BV224" i="1" s="1"/>
  <c r="BV225" i="1" a="1"/>
  <c r="BV225" i="1" s="1"/>
  <c r="BV226" i="1" a="1"/>
  <c r="BV226" i="1" s="1"/>
  <c r="BV227" i="1" a="1"/>
  <c r="BV227" i="1" s="1"/>
  <c r="BV228" i="1" a="1"/>
  <c r="BV228" i="1" s="1"/>
  <c r="BV229" i="1" a="1"/>
  <c r="BV229" i="1" s="1"/>
  <c r="BV230" i="1" a="1"/>
  <c r="BV230" i="1" s="1"/>
  <c r="BV231" i="1" a="1"/>
  <c r="BV231" i="1" s="1"/>
  <c r="BV232" i="1" a="1"/>
  <c r="BV232" i="1" s="1"/>
  <c r="BV233" i="1" a="1"/>
  <c r="BV233" i="1" s="1"/>
  <c r="BV234" i="1" a="1"/>
  <c r="BV234" i="1" s="1"/>
  <c r="BV235" i="1" a="1"/>
  <c r="BV235" i="1" s="1"/>
  <c r="BV236" i="1" a="1"/>
  <c r="BV236" i="1" s="1"/>
  <c r="BV237" i="1" a="1"/>
  <c r="BV237" i="1" s="1"/>
  <c r="BV238" i="1" a="1"/>
  <c r="BV238" i="1" s="1"/>
  <c r="BV239" i="1" a="1"/>
  <c r="BV239" i="1" s="1"/>
  <c r="BV240" i="1" a="1"/>
  <c r="BV240" i="1" s="1"/>
  <c r="BV241" i="1" a="1"/>
  <c r="BV241" i="1" s="1"/>
  <c r="BV242" i="1" a="1"/>
  <c r="BV242" i="1" s="1"/>
  <c r="BV243" i="1" a="1"/>
  <c r="BV243" i="1" s="1"/>
  <c r="BV244" i="1" a="1"/>
  <c r="BV244" i="1" s="1"/>
  <c r="BV245" i="1" a="1"/>
  <c r="BV245" i="1" s="1"/>
  <c r="BV246" i="1" a="1"/>
  <c r="BV246" i="1" s="1"/>
  <c r="BV247" i="1" a="1"/>
  <c r="BV247" i="1" s="1"/>
  <c r="BV248" i="1" a="1"/>
  <c r="BV248" i="1" s="1"/>
  <c r="BV249" i="1" a="1"/>
  <c r="BV249" i="1" s="1"/>
  <c r="BV250" i="1" a="1"/>
  <c r="BV250" i="1" s="1"/>
  <c r="BV251" i="1" a="1"/>
  <c r="BV251" i="1" s="1"/>
  <c r="BV252" i="1" a="1"/>
  <c r="BV252" i="1" s="1"/>
  <c r="BV253" i="1" a="1"/>
  <c r="BV253" i="1" s="1"/>
  <c r="BV254" i="1" a="1"/>
  <c r="BV254" i="1" s="1"/>
  <c r="BV202" i="1" a="1"/>
  <c r="BV202" i="1" s="1"/>
  <c r="BV256" i="1" a="1"/>
  <c r="BV256" i="1" s="1"/>
  <c r="BV257" i="1" a="1"/>
  <c r="BV257" i="1" s="1"/>
  <c r="BV258" i="1" a="1"/>
  <c r="BV258" i="1" s="1"/>
  <c r="BV259" i="1" a="1"/>
  <c r="BV259" i="1" s="1"/>
  <c r="BV260" i="1" a="1"/>
  <c r="BV260" i="1" s="1"/>
  <c r="BV261" i="1" a="1"/>
  <c r="BV261" i="1" s="1"/>
  <c r="BV262" i="1" a="1"/>
  <c r="BV262" i="1" s="1"/>
  <c r="BV263" i="1" a="1"/>
  <c r="BV263" i="1" s="1"/>
  <c r="BV264" i="1" a="1"/>
  <c r="BV264" i="1" s="1"/>
  <c r="BV265" i="1" a="1"/>
  <c r="BV265" i="1" s="1"/>
  <c r="BV266" i="1" a="1"/>
  <c r="BV266" i="1" s="1"/>
  <c r="BV267" i="1" a="1"/>
  <c r="BV267" i="1" s="1"/>
  <c r="BV268" i="1" a="1"/>
  <c r="BV268" i="1" s="1"/>
  <c r="BV269" i="1" a="1"/>
  <c r="BV269" i="1" s="1"/>
  <c r="BV270" i="1" a="1"/>
  <c r="BV270" i="1" s="1"/>
  <c r="BV271" i="1" a="1"/>
  <c r="BV271" i="1" s="1"/>
  <c r="BW6" i="1" a="1"/>
  <c r="BW6" i="1" s="1"/>
  <c r="BW7" i="1" a="1"/>
  <c r="BW7" i="1" s="1"/>
  <c r="BW8" i="1" a="1"/>
  <c r="BW8" i="1" s="1"/>
  <c r="BW9" i="1" a="1"/>
  <c r="BW9" i="1" s="1"/>
  <c r="BW10" i="1" a="1"/>
  <c r="BW10" i="1" s="1"/>
  <c r="BW11" i="1" a="1"/>
  <c r="BW11" i="1" s="1"/>
  <c r="BW12" i="1" a="1"/>
  <c r="BW12" i="1" s="1"/>
  <c r="BW13" i="1" a="1"/>
  <c r="BW13" i="1" s="1"/>
  <c r="BW186" i="1" a="1"/>
  <c r="BW186" i="1" s="1"/>
  <c r="BW15" i="1" a="1"/>
  <c r="BW15" i="1" s="1"/>
  <c r="BW16" i="1" a="1"/>
  <c r="BW16" i="1" s="1"/>
  <c r="BW17" i="1" a="1"/>
  <c r="BW17" i="1" s="1"/>
  <c r="BW18" i="1" a="1"/>
  <c r="BW18" i="1" s="1"/>
  <c r="BW90" i="1" a="1"/>
  <c r="BW90" i="1" s="1"/>
  <c r="BW20" i="1" a="1"/>
  <c r="BW20" i="1" s="1"/>
  <c r="BW21" i="1" a="1"/>
  <c r="BW21" i="1" s="1"/>
  <c r="BW22" i="1" a="1"/>
  <c r="BW22" i="1" s="1"/>
  <c r="BW23" i="1" a="1"/>
  <c r="BW23" i="1" s="1"/>
  <c r="BW24" i="1" a="1"/>
  <c r="BW24" i="1" s="1"/>
  <c r="BW25" i="1" a="1"/>
  <c r="BW25" i="1" s="1"/>
  <c r="BW26" i="1" a="1"/>
  <c r="BW26" i="1" s="1"/>
  <c r="BW27" i="1" a="1"/>
  <c r="BW27" i="1" s="1"/>
  <c r="BW28" i="1" a="1"/>
  <c r="BW28" i="1" s="1"/>
  <c r="BW29" i="1" a="1"/>
  <c r="BW29" i="1" s="1"/>
  <c r="BW30" i="1" a="1"/>
  <c r="BW30" i="1" s="1"/>
  <c r="BW31" i="1" a="1"/>
  <c r="BW31" i="1" s="1"/>
  <c r="BW32" i="1" a="1"/>
  <c r="BW32" i="1" s="1"/>
  <c r="BW33" i="1" a="1"/>
  <c r="BW33" i="1" s="1"/>
  <c r="BW34" i="1" a="1"/>
  <c r="BW34" i="1" s="1"/>
  <c r="BW209" i="1" a="1"/>
  <c r="BW209" i="1" s="1"/>
  <c r="BW36" i="1" a="1"/>
  <c r="BW36" i="1" s="1"/>
  <c r="BW37" i="1" a="1"/>
  <c r="BW37" i="1" s="1"/>
  <c r="BW38" i="1" a="1"/>
  <c r="BW38" i="1" s="1"/>
  <c r="BW39" i="1" a="1"/>
  <c r="BW39" i="1" s="1"/>
  <c r="BW40" i="1" a="1"/>
  <c r="BW40" i="1" s="1"/>
  <c r="BW41" i="1" a="1"/>
  <c r="BW41" i="1" s="1"/>
  <c r="BW42" i="1" a="1"/>
  <c r="BW42" i="1" s="1"/>
  <c r="BW43" i="1" a="1"/>
  <c r="BW43" i="1" s="1"/>
  <c r="BW44" i="1" a="1"/>
  <c r="BW44" i="1" s="1"/>
  <c r="BW45" i="1" a="1"/>
  <c r="BW45" i="1" s="1"/>
  <c r="BW46" i="1" a="1"/>
  <c r="BW46" i="1" s="1"/>
  <c r="BW47" i="1" a="1"/>
  <c r="BW47" i="1" s="1"/>
  <c r="BW48" i="1" a="1"/>
  <c r="BW48" i="1" s="1"/>
  <c r="BW49" i="1" a="1"/>
  <c r="BW49" i="1" s="1"/>
  <c r="BW50" i="1" a="1"/>
  <c r="BW50" i="1" s="1"/>
  <c r="BW51" i="1" a="1"/>
  <c r="BW51" i="1" s="1"/>
  <c r="BW52" i="1" a="1"/>
  <c r="BW52" i="1" s="1"/>
  <c r="BW53" i="1" a="1"/>
  <c r="BW53" i="1" s="1"/>
  <c r="BW54" i="1" a="1"/>
  <c r="BW54" i="1" s="1"/>
  <c r="BW55" i="1" a="1"/>
  <c r="BW55" i="1" s="1"/>
  <c r="BW56" i="1" a="1"/>
  <c r="BW56" i="1" s="1"/>
  <c r="BW57" i="1" a="1"/>
  <c r="BW57" i="1" s="1"/>
  <c r="BW58" i="1" a="1"/>
  <c r="BW58" i="1" s="1"/>
  <c r="BW59" i="1" a="1"/>
  <c r="BW59" i="1" s="1"/>
  <c r="BW60" i="1" a="1"/>
  <c r="BW60" i="1" s="1"/>
  <c r="BW61" i="1" a="1"/>
  <c r="BW61" i="1" s="1"/>
  <c r="BW62" i="1" a="1"/>
  <c r="BW62" i="1" s="1"/>
  <c r="BW63" i="1" a="1"/>
  <c r="BW63" i="1" s="1"/>
  <c r="BW64" i="1" a="1"/>
  <c r="BW64" i="1" s="1"/>
  <c r="BW127" i="1" a="1"/>
  <c r="BW127" i="1" s="1"/>
  <c r="BW66" i="1" a="1"/>
  <c r="BW66" i="1" s="1"/>
  <c r="BW121" i="1" a="1"/>
  <c r="BW121" i="1" s="1"/>
  <c r="BW68" i="1" a="1"/>
  <c r="BW68" i="1" s="1"/>
  <c r="BW69" i="1" a="1"/>
  <c r="BW69" i="1" s="1"/>
  <c r="BW184" i="1" a="1"/>
  <c r="BW184" i="1" s="1"/>
  <c r="BW71" i="1" a="1"/>
  <c r="BW71" i="1" s="1"/>
  <c r="BW72" i="1" a="1"/>
  <c r="BW72" i="1" s="1"/>
  <c r="BW73" i="1" a="1"/>
  <c r="BW73" i="1" s="1"/>
  <c r="BW74" i="1" a="1"/>
  <c r="BW74" i="1" s="1"/>
  <c r="BW75" i="1" a="1"/>
  <c r="BW75" i="1" s="1"/>
  <c r="BW76" i="1" a="1"/>
  <c r="BW76" i="1" s="1"/>
  <c r="BW77" i="1" a="1"/>
  <c r="BW77" i="1" s="1"/>
  <c r="BW78" i="1" a="1"/>
  <c r="BW78" i="1" s="1"/>
  <c r="BW79" i="1" a="1"/>
  <c r="BW79" i="1" s="1"/>
  <c r="BW80" i="1" a="1"/>
  <c r="BW80" i="1" s="1"/>
  <c r="BW81" i="1" a="1"/>
  <c r="BW81" i="1" s="1"/>
  <c r="BW82" i="1" a="1"/>
  <c r="BW82" i="1" s="1"/>
  <c r="BW83" i="1" a="1"/>
  <c r="BW83" i="1" s="1"/>
  <c r="BW84" i="1" a="1"/>
  <c r="BW84" i="1" s="1"/>
  <c r="BW85" i="1" a="1"/>
  <c r="BW85" i="1" s="1"/>
  <c r="BW86" i="1" a="1"/>
  <c r="BW86" i="1" s="1"/>
  <c r="BW87" i="1" a="1"/>
  <c r="BW87" i="1" s="1"/>
  <c r="BW88" i="1" a="1"/>
  <c r="BW88" i="1" s="1"/>
  <c r="BW124" i="1" a="1"/>
  <c r="BW124" i="1" s="1"/>
  <c r="BW163" i="1" a="1"/>
  <c r="BW163" i="1" s="1"/>
  <c r="BW91" i="1" a="1"/>
  <c r="BW91" i="1" s="1"/>
  <c r="BW180" i="1" a="1"/>
  <c r="BW180" i="1" s="1"/>
  <c r="BW93" i="1" a="1"/>
  <c r="BW93" i="1" s="1"/>
  <c r="BW94" i="1" a="1"/>
  <c r="BW94" i="1" s="1"/>
  <c r="BW95" i="1" a="1"/>
  <c r="BW95" i="1" s="1"/>
  <c r="BW96" i="1" a="1"/>
  <c r="BW96" i="1" s="1"/>
  <c r="BW97" i="1" a="1"/>
  <c r="BW97" i="1" s="1"/>
  <c r="BW98" i="1" a="1"/>
  <c r="BW98" i="1" s="1"/>
  <c r="BW99" i="1" a="1"/>
  <c r="BW99" i="1" s="1"/>
  <c r="BW100" i="1" a="1"/>
  <c r="BW100" i="1" s="1"/>
  <c r="BW101" i="1" a="1"/>
  <c r="BW101" i="1" s="1"/>
  <c r="BW102" i="1" a="1"/>
  <c r="BW102" i="1" s="1"/>
  <c r="BW103" i="1" a="1"/>
  <c r="BW103" i="1" s="1"/>
  <c r="BW104" i="1" a="1"/>
  <c r="BW104" i="1" s="1"/>
  <c r="BW105" i="1" a="1"/>
  <c r="BW105" i="1" s="1"/>
  <c r="BW106" i="1" a="1"/>
  <c r="BW106" i="1" s="1"/>
  <c r="BW107" i="1" a="1"/>
  <c r="BW107" i="1" s="1"/>
  <c r="BW108" i="1" a="1"/>
  <c r="BW108" i="1" s="1"/>
  <c r="BW109" i="1" a="1"/>
  <c r="BW109" i="1" s="1"/>
  <c r="BW110" i="1" a="1"/>
  <c r="BW110" i="1" s="1"/>
  <c r="BW111" i="1" a="1"/>
  <c r="BW111" i="1" s="1"/>
  <c r="BW112" i="1" a="1"/>
  <c r="BW112" i="1" s="1"/>
  <c r="BW113" i="1" a="1"/>
  <c r="BW113" i="1" s="1"/>
  <c r="BW89" i="1" a="1"/>
  <c r="BW89" i="1" s="1"/>
  <c r="BW115" i="1" a="1"/>
  <c r="BW115" i="1" s="1"/>
  <c r="BW116" i="1" a="1"/>
  <c r="BW116" i="1" s="1"/>
  <c r="BW117" i="1" a="1"/>
  <c r="BW117" i="1" s="1"/>
  <c r="BW118" i="1" a="1"/>
  <c r="BW118" i="1" s="1"/>
  <c r="BW119" i="1" a="1"/>
  <c r="BW119" i="1" s="1"/>
  <c r="BW67" i="1" a="1"/>
  <c r="BW67" i="1" s="1"/>
  <c r="BW70" i="1" a="1"/>
  <c r="BW70" i="1" s="1"/>
  <c r="BW122" i="1" a="1"/>
  <c r="BW122" i="1" s="1"/>
  <c r="BW123" i="1" a="1"/>
  <c r="BW123" i="1" s="1"/>
  <c r="BW153" i="1" a="1"/>
  <c r="BW153" i="1" s="1"/>
  <c r="BW125" i="1" a="1"/>
  <c r="BW125" i="1" s="1"/>
  <c r="BW126" i="1" a="1"/>
  <c r="BW126" i="1" s="1"/>
  <c r="BW14" i="1" a="1"/>
  <c r="BW14" i="1" s="1"/>
  <c r="BW128" i="1" a="1"/>
  <c r="BW128" i="1" s="1"/>
  <c r="BW129" i="1" a="1"/>
  <c r="BW129" i="1" s="1"/>
  <c r="BW130" i="1" a="1"/>
  <c r="BW130" i="1" s="1"/>
  <c r="BW131" i="1" a="1"/>
  <c r="BW131" i="1" s="1"/>
  <c r="BW132" i="1" a="1"/>
  <c r="BW132" i="1" s="1"/>
  <c r="BW133" i="1" a="1"/>
  <c r="BW133" i="1" s="1"/>
  <c r="BW134" i="1" a="1"/>
  <c r="BW134" i="1" s="1"/>
  <c r="BW135" i="1" a="1"/>
  <c r="BW135" i="1" s="1"/>
  <c r="BW136" i="1" a="1"/>
  <c r="BW136" i="1" s="1"/>
  <c r="BW137" i="1" a="1"/>
  <c r="BW137" i="1" s="1"/>
  <c r="BW138" i="1" a="1"/>
  <c r="BW138" i="1" s="1"/>
  <c r="BW139" i="1" a="1"/>
  <c r="BW139" i="1" s="1"/>
  <c r="BW140" i="1" a="1"/>
  <c r="BW140" i="1" s="1"/>
  <c r="BW141" i="1" a="1"/>
  <c r="BW141" i="1" s="1"/>
  <c r="BW142" i="1" a="1"/>
  <c r="BW142" i="1" s="1"/>
  <c r="BW143" i="1" a="1"/>
  <c r="BW143" i="1" s="1"/>
  <c r="BW144" i="1" a="1"/>
  <c r="BW144" i="1" s="1"/>
  <c r="BW145" i="1" a="1"/>
  <c r="BW145" i="1" s="1"/>
  <c r="BW146" i="1" a="1"/>
  <c r="BW146" i="1" s="1"/>
  <c r="BW147" i="1" a="1"/>
  <c r="BW147" i="1" s="1"/>
  <c r="BW148" i="1" a="1"/>
  <c r="BW148" i="1" s="1"/>
  <c r="BW149" i="1" a="1"/>
  <c r="BW149" i="1" s="1"/>
  <c r="BW150" i="1" a="1"/>
  <c r="BW150" i="1" s="1"/>
  <c r="BW151" i="1" a="1"/>
  <c r="BW151" i="1" s="1"/>
  <c r="BW152" i="1" a="1"/>
  <c r="BW152" i="1" s="1"/>
  <c r="BW120" i="1" a="1"/>
  <c r="BW120" i="1" s="1"/>
  <c r="BW154" i="1" a="1"/>
  <c r="BW154" i="1" s="1"/>
  <c r="BW92" i="1" a="1"/>
  <c r="BW92" i="1" s="1"/>
  <c r="BW156" i="1" a="1"/>
  <c r="BW156" i="1" s="1"/>
  <c r="BW157" i="1" a="1"/>
  <c r="BW157" i="1" s="1"/>
  <c r="BW158" i="1" a="1"/>
  <c r="BW158" i="1" s="1"/>
  <c r="BW159" i="1" a="1"/>
  <c r="BW159" i="1" s="1"/>
  <c r="BW160" i="1" a="1"/>
  <c r="BW160" i="1" s="1"/>
  <c r="BW161" i="1" a="1"/>
  <c r="BW161" i="1" s="1"/>
  <c r="BW162" i="1" a="1"/>
  <c r="BW162" i="1" s="1"/>
  <c r="BW65" i="1" a="1"/>
  <c r="BW65" i="1" s="1"/>
  <c r="BW164" i="1" a="1"/>
  <c r="BW164" i="1" s="1"/>
  <c r="BW165" i="1" a="1"/>
  <c r="BW165" i="1" s="1"/>
  <c r="BW166" i="1" a="1"/>
  <c r="BW166" i="1" s="1"/>
  <c r="BW167" i="1" a="1"/>
  <c r="BW167" i="1" s="1"/>
  <c r="BW168" i="1" a="1"/>
  <c r="BW168" i="1" s="1"/>
  <c r="BW169" i="1" a="1"/>
  <c r="BW169" i="1" s="1"/>
  <c r="BW170" i="1" a="1"/>
  <c r="BW170" i="1" s="1"/>
  <c r="BW171" i="1" a="1"/>
  <c r="BW171" i="1" s="1"/>
  <c r="BW172" i="1" a="1"/>
  <c r="BW172" i="1" s="1"/>
  <c r="BW173" i="1" a="1"/>
  <c r="BW173" i="1" s="1"/>
  <c r="BW174" i="1" a="1"/>
  <c r="BW174" i="1" s="1"/>
  <c r="BW175" i="1" a="1"/>
  <c r="BW175" i="1" s="1"/>
  <c r="BW176" i="1" a="1"/>
  <c r="BW176" i="1" s="1"/>
  <c r="BW177" i="1" a="1"/>
  <c r="BW177" i="1" s="1"/>
  <c r="BW178" i="1" a="1"/>
  <c r="BW178" i="1" s="1"/>
  <c r="BW179" i="1" a="1"/>
  <c r="BW179" i="1" s="1"/>
  <c r="BW155" i="1" a="1"/>
  <c r="BW155" i="1" s="1"/>
  <c r="BW181" i="1" a="1"/>
  <c r="BW181" i="1" s="1"/>
  <c r="BW182" i="1" a="1"/>
  <c r="BW182" i="1" s="1"/>
  <c r="BW183" i="1" a="1"/>
  <c r="BW183" i="1" s="1"/>
  <c r="BW191" i="1" a="1"/>
  <c r="BW191" i="1" s="1"/>
  <c r="BW185" i="1" a="1"/>
  <c r="BW185" i="1" s="1"/>
  <c r="BW19" i="1" a="1"/>
  <c r="BW19" i="1" s="1"/>
  <c r="BW187" i="1" a="1"/>
  <c r="BW187" i="1" s="1"/>
  <c r="BW188" i="1" a="1"/>
  <c r="BW188" i="1" s="1"/>
  <c r="BW189" i="1" a="1"/>
  <c r="BW189" i="1" s="1"/>
  <c r="BW190" i="1" a="1"/>
  <c r="BW190" i="1" s="1"/>
  <c r="BW35" i="1" a="1"/>
  <c r="BW35" i="1" s="1"/>
  <c r="BW192" i="1" a="1"/>
  <c r="BW192" i="1" s="1"/>
  <c r="BW193" i="1" a="1"/>
  <c r="BW193" i="1" s="1"/>
  <c r="BW194" i="1" a="1"/>
  <c r="BW194" i="1" s="1"/>
  <c r="BW195" i="1" a="1"/>
  <c r="BW195" i="1" s="1"/>
  <c r="BW196" i="1" a="1"/>
  <c r="BW196" i="1" s="1"/>
  <c r="BW197" i="1" a="1"/>
  <c r="BW197" i="1" s="1"/>
  <c r="BW198" i="1" a="1"/>
  <c r="BW198" i="1" s="1"/>
  <c r="BW199" i="1" a="1"/>
  <c r="BW199" i="1" s="1"/>
  <c r="BW200" i="1" a="1"/>
  <c r="BW200" i="1" s="1"/>
  <c r="BW201" i="1" a="1"/>
  <c r="BW201" i="1" s="1"/>
  <c r="BW255" i="1" a="1"/>
  <c r="BW255" i="1" s="1"/>
  <c r="BW203" i="1" a="1"/>
  <c r="BW203" i="1" s="1"/>
  <c r="BW204" i="1" a="1"/>
  <c r="BW204" i="1" s="1"/>
  <c r="BW205" i="1" a="1"/>
  <c r="BW205" i="1" s="1"/>
  <c r="BW206" i="1" a="1"/>
  <c r="BW206" i="1" s="1"/>
  <c r="BW207" i="1" a="1"/>
  <c r="BW207" i="1" s="1"/>
  <c r="BW208" i="1" a="1"/>
  <c r="BW208" i="1" s="1"/>
  <c r="BW114" i="1" a="1"/>
  <c r="BW114" i="1" s="1"/>
  <c r="BW210" i="1" a="1"/>
  <c r="BW210" i="1" s="1"/>
  <c r="BW211" i="1" a="1"/>
  <c r="BW211" i="1" s="1"/>
  <c r="BW212" i="1" a="1"/>
  <c r="BW212" i="1" s="1"/>
  <c r="BW213" i="1" a="1"/>
  <c r="BW213" i="1" s="1"/>
  <c r="BW214" i="1" a="1"/>
  <c r="BW214" i="1" s="1"/>
  <c r="BW215" i="1" a="1"/>
  <c r="BW215" i="1" s="1"/>
  <c r="BW216" i="1" a="1"/>
  <c r="BW216" i="1" s="1"/>
  <c r="BW217" i="1" a="1"/>
  <c r="BW217" i="1" s="1"/>
  <c r="BW218" i="1" a="1"/>
  <c r="BW218" i="1" s="1"/>
  <c r="BW219" i="1" a="1"/>
  <c r="BW219" i="1" s="1"/>
  <c r="BW220" i="1" a="1"/>
  <c r="BW220" i="1" s="1"/>
  <c r="BW221" i="1" a="1"/>
  <c r="BW221" i="1" s="1"/>
  <c r="BW222" i="1" a="1"/>
  <c r="BW222" i="1" s="1"/>
  <c r="BW223" i="1" a="1"/>
  <c r="BW223" i="1" s="1"/>
  <c r="BW224" i="1" a="1"/>
  <c r="BW224" i="1" s="1"/>
  <c r="BW225" i="1" a="1"/>
  <c r="BW225" i="1" s="1"/>
  <c r="BW226" i="1" a="1"/>
  <c r="BW226" i="1" s="1"/>
  <c r="BW227" i="1" a="1"/>
  <c r="BW227" i="1" s="1"/>
  <c r="BW228" i="1" a="1"/>
  <c r="BW228" i="1" s="1"/>
  <c r="BW229" i="1" a="1"/>
  <c r="BW229" i="1" s="1"/>
  <c r="BW230" i="1" a="1"/>
  <c r="BW230" i="1" s="1"/>
  <c r="BW231" i="1" a="1"/>
  <c r="BW231" i="1" s="1"/>
  <c r="BW232" i="1" a="1"/>
  <c r="BW232" i="1" s="1"/>
  <c r="BW233" i="1" a="1"/>
  <c r="BW233" i="1" s="1"/>
  <c r="BW234" i="1" a="1"/>
  <c r="BW234" i="1" s="1"/>
  <c r="BW235" i="1" a="1"/>
  <c r="BW235" i="1" s="1"/>
  <c r="BW236" i="1" a="1"/>
  <c r="BW236" i="1" s="1"/>
  <c r="BW237" i="1" a="1"/>
  <c r="BW237" i="1" s="1"/>
  <c r="BW238" i="1" a="1"/>
  <c r="BW238" i="1" s="1"/>
  <c r="BW239" i="1" a="1"/>
  <c r="BW239" i="1" s="1"/>
  <c r="BW240" i="1" a="1"/>
  <c r="BW240" i="1" s="1"/>
  <c r="BW241" i="1" a="1"/>
  <c r="BW241" i="1" s="1"/>
  <c r="BW242" i="1" a="1"/>
  <c r="BW242" i="1" s="1"/>
  <c r="BW243" i="1" a="1"/>
  <c r="BW243" i="1" s="1"/>
  <c r="BW244" i="1" a="1"/>
  <c r="BW244" i="1" s="1"/>
  <c r="BW245" i="1" a="1"/>
  <c r="BW245" i="1" s="1"/>
  <c r="BW246" i="1" a="1"/>
  <c r="BW246" i="1" s="1"/>
  <c r="BW247" i="1" a="1"/>
  <c r="BW247" i="1" s="1"/>
  <c r="BW248" i="1" a="1"/>
  <c r="BW248" i="1" s="1"/>
  <c r="BW249" i="1" a="1"/>
  <c r="BW249" i="1" s="1"/>
  <c r="BW250" i="1" a="1"/>
  <c r="BW250" i="1" s="1"/>
  <c r="BW251" i="1" a="1"/>
  <c r="BW251" i="1" s="1"/>
  <c r="BW252" i="1" a="1"/>
  <c r="BW252" i="1" s="1"/>
  <c r="BW253" i="1" a="1"/>
  <c r="BW253" i="1" s="1"/>
  <c r="BW254" i="1" a="1"/>
  <c r="BW254" i="1" s="1"/>
  <c r="BW202" i="1" a="1"/>
  <c r="BW202" i="1" s="1"/>
  <c r="BW256" i="1" a="1"/>
  <c r="BW256" i="1" s="1"/>
  <c r="BW257" i="1" a="1"/>
  <c r="BW257" i="1" s="1"/>
  <c r="BW258" i="1" a="1"/>
  <c r="BW258" i="1" s="1"/>
  <c r="BW259" i="1" a="1"/>
  <c r="BW259" i="1" s="1"/>
  <c r="BW260" i="1" a="1"/>
  <c r="BW260" i="1" s="1"/>
  <c r="BW261" i="1" a="1"/>
  <c r="BW261" i="1" s="1"/>
  <c r="BW262" i="1" a="1"/>
  <c r="BW262" i="1" s="1"/>
  <c r="BW263" i="1" a="1"/>
  <c r="BW263" i="1" s="1"/>
  <c r="BW264" i="1" a="1"/>
  <c r="BW264" i="1" s="1"/>
  <c r="BW265" i="1" a="1"/>
  <c r="BW265" i="1" s="1"/>
  <c r="BW266" i="1" a="1"/>
  <c r="BW266" i="1" s="1"/>
  <c r="BW267" i="1" a="1"/>
  <c r="BW267" i="1" s="1"/>
  <c r="BW268" i="1" a="1"/>
  <c r="BW268" i="1" s="1"/>
  <c r="BW269" i="1" a="1"/>
  <c r="BW269" i="1" s="1"/>
  <c r="BW270" i="1" a="1"/>
  <c r="BW270" i="1" s="1"/>
  <c r="BW271" i="1" a="1"/>
  <c r="BW271" i="1" s="1"/>
  <c r="BN9" i="1" a="1"/>
  <c r="BN9" i="1" s="1"/>
  <c r="BN10" i="1" a="1"/>
  <c r="BN10" i="1" s="1"/>
  <c r="BN11" i="1" a="1"/>
  <c r="BN11" i="1" s="1"/>
  <c r="BN12" i="1" a="1"/>
  <c r="BN12" i="1" s="1"/>
  <c r="BN13" i="1" a="1"/>
  <c r="BN13" i="1" s="1"/>
  <c r="BN15" i="1" a="1"/>
  <c r="BN15" i="1" s="1"/>
  <c r="BN16" i="1" a="1"/>
  <c r="BN16" i="1" s="1"/>
  <c r="BN17" i="1" a="1"/>
  <c r="BN17" i="1" s="1"/>
  <c r="BN18" i="1" a="1"/>
  <c r="BN18" i="1" s="1"/>
  <c r="BN20" i="1" a="1"/>
  <c r="BN20" i="1" s="1"/>
  <c r="BN21" i="1" a="1"/>
  <c r="BN21" i="1" s="1"/>
  <c r="BN55" i="1" a="1"/>
  <c r="BN55" i="1" s="1"/>
  <c r="CA17" i="1" l="1"/>
  <c r="F13" i="9"/>
  <c r="CA12" i="1"/>
  <c r="F8" i="9"/>
  <c r="CA236" i="1"/>
  <c r="F232" i="9"/>
  <c r="CA7" i="1"/>
  <c r="F3" i="9"/>
  <c r="CA245" i="1"/>
  <c r="F241" i="9"/>
  <c r="CA55" i="1"/>
  <c r="F51" i="9"/>
  <c r="CA11" i="1"/>
  <c r="F7" i="9"/>
  <c r="CA65" i="1"/>
  <c r="F61" i="9"/>
  <c r="CA8" i="1"/>
  <c r="F4" i="9"/>
  <c r="CA21" i="1"/>
  <c r="F17" i="9"/>
  <c r="CA20" i="1"/>
  <c r="F16" i="9"/>
  <c r="CA15" i="1"/>
  <c r="F11" i="9"/>
  <c r="CA10" i="1"/>
  <c r="F6" i="9"/>
  <c r="CA14" i="1"/>
  <c r="F10" i="9"/>
  <c r="CA238" i="1"/>
  <c r="F234" i="9"/>
  <c r="CA16" i="1"/>
  <c r="F12" i="9"/>
  <c r="CA18" i="1"/>
  <c r="F14" i="9"/>
  <c r="CA13" i="1"/>
  <c r="F9" i="9"/>
  <c r="CA9" i="1"/>
  <c r="F5" i="9"/>
  <c r="CA22" i="1"/>
  <c r="F18" i="9"/>
  <c r="CA121" i="1"/>
  <c r="F117" i="9"/>
  <c r="DV8" i="1"/>
  <c r="BY9" i="1"/>
  <c r="BY245" i="1"/>
  <c r="BY65" i="1"/>
  <c r="BY7" i="1"/>
  <c r="BY55" i="1"/>
  <c r="BY17" i="1"/>
  <c r="BY12" i="1"/>
  <c r="BY8" i="1"/>
  <c r="BY132" i="1"/>
  <c r="BY13" i="1"/>
  <c r="BY14" i="1"/>
  <c r="BY238" i="1"/>
  <c r="BY18" i="1"/>
  <c r="BY21" i="1"/>
  <c r="BY16" i="1"/>
  <c r="BY11" i="1"/>
  <c r="BY20" i="1"/>
  <c r="BY15" i="1"/>
  <c r="BY10" i="1"/>
  <c r="BY236" i="1"/>
  <c r="BY22" i="1"/>
  <c r="BY121" i="1"/>
  <c r="EF13" i="1"/>
  <c r="EH13" i="1" s="1"/>
  <c r="EJ13" i="1" s="1"/>
  <c r="EF7" i="1"/>
  <c r="EH7" i="1" s="1"/>
  <c r="EJ7" i="1" s="1"/>
  <c r="EF55" i="1"/>
  <c r="EH55" i="1" s="1"/>
  <c r="EJ55" i="1" s="1"/>
  <c r="EF21" i="1"/>
  <c r="EH21" i="1" s="1"/>
  <c r="EJ21" i="1" s="1"/>
  <c r="EF16" i="1"/>
  <c r="EH16" i="1" s="1"/>
  <c r="EJ16" i="1" s="1"/>
  <c r="EF12" i="1"/>
  <c r="EH12" i="1" s="1"/>
  <c r="EJ12" i="1" s="1"/>
  <c r="EF245" i="1"/>
  <c r="EH245" i="1" s="1"/>
  <c r="EJ245" i="1" s="1"/>
  <c r="EF17" i="1"/>
  <c r="EH17" i="1" s="1"/>
  <c r="EJ17" i="1" s="1"/>
  <c r="EF20" i="1"/>
  <c r="EH20" i="1" s="1"/>
  <c r="EJ20" i="1" s="1"/>
  <c r="EF14" i="1"/>
  <c r="EH14" i="1" s="1"/>
  <c r="EJ14" i="1" s="1"/>
  <c r="EF8" i="1"/>
  <c r="EH8" i="1" s="1"/>
  <c r="EJ8" i="1" s="1"/>
  <c r="EF132" i="1"/>
  <c r="EH132" i="1" s="1"/>
  <c r="EJ132" i="1" s="1"/>
  <c r="EF9" i="1"/>
  <c r="EH9" i="1" s="1"/>
  <c r="EJ9" i="1" s="1"/>
  <c r="EF65" i="1"/>
  <c r="EH65" i="1" s="1"/>
  <c r="EJ65" i="1" s="1"/>
  <c r="EF15" i="1"/>
  <c r="EH15" i="1" s="1"/>
  <c r="EJ15" i="1" s="1"/>
  <c r="EF11" i="1"/>
  <c r="EH11" i="1" s="1"/>
  <c r="EJ11" i="1" s="1"/>
  <c r="EF18" i="1"/>
  <c r="EH18" i="1" s="1"/>
  <c r="EJ18" i="1" s="1"/>
  <c r="EF10" i="1"/>
  <c r="EH10" i="1" s="1"/>
  <c r="EJ10" i="1" s="1"/>
  <c r="EF236" i="1"/>
  <c r="EH236" i="1" s="1"/>
  <c r="EJ236" i="1" s="1"/>
  <c r="EF22" i="1"/>
  <c r="EH22" i="1" s="1"/>
  <c r="EJ22" i="1" s="1"/>
  <c r="EF238" i="1"/>
  <c r="EH238" i="1" s="1"/>
  <c r="EJ238" i="1" s="1"/>
  <c r="EF121" i="1"/>
  <c r="EH121" i="1" s="1"/>
  <c r="EJ121" i="1" s="1"/>
  <c r="EF186" i="1"/>
  <c r="EH186" i="1" s="1"/>
  <c r="EJ186" i="1" s="1"/>
  <c r="EH90" i="1"/>
  <c r="EJ90" i="1" s="1"/>
  <c r="BR73" i="1" a="1"/>
  <c r="BR73" i="1" s="1"/>
  <c r="BR74" i="1" a="1"/>
  <c r="BR74" i="1" s="1"/>
  <c r="BR75" i="1" a="1"/>
  <c r="BR75" i="1" s="1"/>
  <c r="BR76" i="1" a="1"/>
  <c r="BR76" i="1" s="1"/>
  <c r="BR77" i="1" a="1"/>
  <c r="BR77" i="1" s="1"/>
  <c r="BR78" i="1" a="1"/>
  <c r="BR78" i="1" s="1"/>
  <c r="BR79" i="1" a="1"/>
  <c r="BR79" i="1" s="1"/>
  <c r="BR80" i="1" a="1"/>
  <c r="BR80" i="1" s="1"/>
  <c r="BR81" i="1" a="1"/>
  <c r="BR81" i="1" s="1"/>
  <c r="BR82" i="1" a="1"/>
  <c r="BR82" i="1" s="1"/>
  <c r="BR83" i="1" a="1"/>
  <c r="BR83" i="1" s="1"/>
  <c r="BR84" i="1" a="1"/>
  <c r="BR84" i="1" s="1"/>
  <c r="BR85" i="1" a="1"/>
  <c r="BR85" i="1" s="1"/>
  <c r="BR86" i="1" a="1"/>
  <c r="BR86" i="1" s="1"/>
  <c r="BR87" i="1" a="1"/>
  <c r="BR87" i="1" s="1"/>
  <c r="BR88" i="1" a="1"/>
  <c r="BR88" i="1" s="1"/>
  <c r="BR124" i="1" a="1"/>
  <c r="BR124" i="1" s="1"/>
  <c r="BR163" i="1" a="1"/>
  <c r="BR163" i="1" s="1"/>
  <c r="BR91" i="1" a="1"/>
  <c r="BR91" i="1" s="1"/>
  <c r="BR180" i="1" a="1"/>
  <c r="BR180" i="1" s="1"/>
  <c r="BR93" i="1" a="1"/>
  <c r="BR93" i="1" s="1"/>
  <c r="BR94" i="1" a="1"/>
  <c r="BR94" i="1" s="1"/>
  <c r="BR95" i="1" a="1"/>
  <c r="BR95" i="1" s="1"/>
  <c r="BR96" i="1" a="1"/>
  <c r="BR96" i="1" s="1"/>
  <c r="BR97" i="1" a="1"/>
  <c r="BR97" i="1" s="1"/>
  <c r="BR98" i="1" a="1"/>
  <c r="BR98" i="1" s="1"/>
  <c r="BR99" i="1" a="1"/>
  <c r="BR99" i="1" s="1"/>
  <c r="BR100" i="1" a="1"/>
  <c r="BR100" i="1" s="1"/>
  <c r="BR101" i="1" a="1"/>
  <c r="BR101" i="1" s="1"/>
  <c r="BR102" i="1" a="1"/>
  <c r="BR102" i="1" s="1"/>
  <c r="BR103" i="1" a="1"/>
  <c r="BR103" i="1" s="1"/>
  <c r="BR104" i="1" a="1"/>
  <c r="BR104" i="1" s="1"/>
  <c r="BR105" i="1" a="1"/>
  <c r="BR105" i="1" s="1"/>
  <c r="BR106" i="1" a="1"/>
  <c r="BR106" i="1" s="1"/>
  <c r="BR107" i="1" a="1"/>
  <c r="BR107" i="1" s="1"/>
  <c r="BR108" i="1" a="1"/>
  <c r="BR108" i="1" s="1"/>
  <c r="BR109" i="1" a="1"/>
  <c r="BR109" i="1" s="1"/>
  <c r="BR110" i="1" a="1"/>
  <c r="BR110" i="1" s="1"/>
  <c r="BR111" i="1" a="1"/>
  <c r="BR111" i="1" s="1"/>
  <c r="BR112" i="1" a="1"/>
  <c r="BR112" i="1" s="1"/>
  <c r="BR113" i="1" a="1"/>
  <c r="BR113" i="1" s="1"/>
  <c r="BR89" i="1" a="1"/>
  <c r="BR89" i="1" s="1"/>
  <c r="BR115" i="1" a="1"/>
  <c r="BR115" i="1" s="1"/>
  <c r="BR116" i="1" a="1"/>
  <c r="BR116" i="1" s="1"/>
  <c r="BR117" i="1" a="1"/>
  <c r="BR117" i="1" s="1"/>
  <c r="BR118" i="1" a="1"/>
  <c r="BR118" i="1" s="1"/>
  <c r="BR119" i="1" a="1"/>
  <c r="BR119" i="1" s="1"/>
  <c r="BR67" i="1" a="1"/>
  <c r="BR67" i="1" s="1"/>
  <c r="BR70" i="1" a="1"/>
  <c r="BR70" i="1" s="1"/>
  <c r="BR122" i="1" a="1"/>
  <c r="BR122" i="1" s="1"/>
  <c r="BR123" i="1" a="1"/>
  <c r="BR123" i="1" s="1"/>
  <c r="BR153" i="1" a="1"/>
  <c r="BR153" i="1" s="1"/>
  <c r="BR125" i="1" a="1"/>
  <c r="BR125" i="1" s="1"/>
  <c r="BR126" i="1" a="1"/>
  <c r="BR126" i="1" s="1"/>
  <c r="BR14" i="1" a="1"/>
  <c r="BR14" i="1" s="1"/>
  <c r="BR128" i="1" a="1"/>
  <c r="BR128" i="1" s="1"/>
  <c r="BR129" i="1" a="1"/>
  <c r="BR129" i="1" s="1"/>
  <c r="BR130" i="1" a="1"/>
  <c r="BR130" i="1" s="1"/>
  <c r="BR131" i="1" a="1"/>
  <c r="BR131" i="1" s="1"/>
  <c r="BR132" i="1" a="1"/>
  <c r="BR132" i="1" s="1"/>
  <c r="BR133" i="1" a="1"/>
  <c r="BR133" i="1" s="1"/>
  <c r="BR134" i="1" a="1"/>
  <c r="BR134" i="1" s="1"/>
  <c r="BR135" i="1" a="1"/>
  <c r="BR135" i="1" s="1"/>
  <c r="BR136" i="1" a="1"/>
  <c r="BR136" i="1" s="1"/>
  <c r="BR137" i="1" a="1"/>
  <c r="BR137" i="1" s="1"/>
  <c r="BR138" i="1" a="1"/>
  <c r="BR138" i="1" s="1"/>
  <c r="BR139" i="1" a="1"/>
  <c r="BR139" i="1" s="1"/>
  <c r="BR140" i="1" a="1"/>
  <c r="BR140" i="1" s="1"/>
  <c r="BR141" i="1" a="1"/>
  <c r="BR141" i="1" s="1"/>
  <c r="BR142" i="1" a="1"/>
  <c r="BR142" i="1" s="1"/>
  <c r="BR143" i="1" a="1"/>
  <c r="BR143" i="1" s="1"/>
  <c r="BR144" i="1" a="1"/>
  <c r="BR144" i="1" s="1"/>
  <c r="BR145" i="1" a="1"/>
  <c r="BR145" i="1" s="1"/>
  <c r="BR146" i="1" a="1"/>
  <c r="BR146" i="1" s="1"/>
  <c r="BR147" i="1" a="1"/>
  <c r="BR147" i="1" s="1"/>
  <c r="BR148" i="1" a="1"/>
  <c r="BR148" i="1" s="1"/>
  <c r="BR149" i="1" a="1"/>
  <c r="BR149" i="1" s="1"/>
  <c r="BR150" i="1" a="1"/>
  <c r="BR150" i="1" s="1"/>
  <c r="BR151" i="1" a="1"/>
  <c r="BR151" i="1" s="1"/>
  <c r="BR152" i="1" a="1"/>
  <c r="BR152" i="1" s="1"/>
  <c r="BR120" i="1" a="1"/>
  <c r="BR120" i="1" s="1"/>
  <c r="BR154" i="1" a="1"/>
  <c r="BR154" i="1" s="1"/>
  <c r="BR92" i="1" a="1"/>
  <c r="BR92" i="1" s="1"/>
  <c r="BR156" i="1" a="1"/>
  <c r="BR156" i="1" s="1"/>
  <c r="BR157" i="1" a="1"/>
  <c r="BR157" i="1" s="1"/>
  <c r="BR158" i="1" a="1"/>
  <c r="BR158" i="1" s="1"/>
  <c r="BR159" i="1" a="1"/>
  <c r="BR159" i="1" s="1"/>
  <c r="BR160" i="1" a="1"/>
  <c r="BR160" i="1" s="1"/>
  <c r="BR161" i="1" a="1"/>
  <c r="BR161" i="1" s="1"/>
  <c r="BR162" i="1" a="1"/>
  <c r="BR162" i="1" s="1"/>
  <c r="BR65" i="1" a="1"/>
  <c r="BR65" i="1" s="1"/>
  <c r="BR164" i="1" a="1"/>
  <c r="BR164" i="1" s="1"/>
  <c r="BR165" i="1" a="1"/>
  <c r="BR165" i="1" s="1"/>
  <c r="BR166" i="1" a="1"/>
  <c r="BR166" i="1" s="1"/>
  <c r="BR167" i="1" a="1"/>
  <c r="BR167" i="1" s="1"/>
  <c r="BR168" i="1" a="1"/>
  <c r="BR168" i="1" s="1"/>
  <c r="BR169" i="1" a="1"/>
  <c r="BR169" i="1" s="1"/>
  <c r="BR170" i="1" a="1"/>
  <c r="BR170" i="1" s="1"/>
  <c r="BR171" i="1" a="1"/>
  <c r="BR171" i="1" s="1"/>
  <c r="BR172" i="1" a="1"/>
  <c r="BR172" i="1" s="1"/>
  <c r="BR173" i="1" a="1"/>
  <c r="BR173" i="1" s="1"/>
  <c r="BR174" i="1" a="1"/>
  <c r="BR174" i="1" s="1"/>
  <c r="BR175" i="1" a="1"/>
  <c r="BR175" i="1" s="1"/>
  <c r="BR176" i="1" a="1"/>
  <c r="BR176" i="1" s="1"/>
  <c r="BR177" i="1" a="1"/>
  <c r="BR177" i="1" s="1"/>
  <c r="BR178" i="1" a="1"/>
  <c r="BR178" i="1" s="1"/>
  <c r="BR179" i="1" a="1"/>
  <c r="BR179" i="1" s="1"/>
  <c r="BR155" i="1" a="1"/>
  <c r="BR155" i="1" s="1"/>
  <c r="BR181" i="1" a="1"/>
  <c r="BR181" i="1" s="1"/>
  <c r="BR182" i="1" a="1"/>
  <c r="BR182" i="1" s="1"/>
  <c r="BR183" i="1" a="1"/>
  <c r="BR183" i="1" s="1"/>
  <c r="BR191" i="1" a="1"/>
  <c r="BR191" i="1" s="1"/>
  <c r="BR185" i="1" a="1"/>
  <c r="BR185" i="1" s="1"/>
  <c r="BR19" i="1" a="1"/>
  <c r="BR19" i="1" s="1"/>
  <c r="BR187" i="1" a="1"/>
  <c r="BR187" i="1" s="1"/>
  <c r="BR188" i="1" a="1"/>
  <c r="BR188" i="1" s="1"/>
  <c r="BR189" i="1" a="1"/>
  <c r="BR189" i="1" s="1"/>
  <c r="BR190" i="1" a="1"/>
  <c r="BR190" i="1" s="1"/>
  <c r="BR35" i="1" a="1"/>
  <c r="BR35" i="1" s="1"/>
  <c r="BR192" i="1" a="1"/>
  <c r="BR192" i="1" s="1"/>
  <c r="BR193" i="1" a="1"/>
  <c r="BR193" i="1" s="1"/>
  <c r="BR194" i="1" a="1"/>
  <c r="BR194" i="1" s="1"/>
  <c r="BR195" i="1" a="1"/>
  <c r="BR195" i="1" s="1"/>
  <c r="BR196" i="1" a="1"/>
  <c r="BR196" i="1" s="1"/>
  <c r="BR197" i="1" a="1"/>
  <c r="BR197" i="1" s="1"/>
  <c r="BR198" i="1" a="1"/>
  <c r="BR198" i="1" s="1"/>
  <c r="BR199" i="1" a="1"/>
  <c r="BR199" i="1" s="1"/>
  <c r="BR200" i="1" a="1"/>
  <c r="BR200" i="1" s="1"/>
  <c r="BR201" i="1" a="1"/>
  <c r="BR201" i="1" s="1"/>
  <c r="BR255" i="1" a="1"/>
  <c r="BR255" i="1" s="1"/>
  <c r="BR203" i="1" a="1"/>
  <c r="BR203" i="1" s="1"/>
  <c r="BR204" i="1" a="1"/>
  <c r="BR204" i="1" s="1"/>
  <c r="BR205" i="1" a="1"/>
  <c r="BR205" i="1" s="1"/>
  <c r="BR206" i="1" a="1"/>
  <c r="BR206" i="1" s="1"/>
  <c r="BR207" i="1" a="1"/>
  <c r="BR207" i="1" s="1"/>
  <c r="BR208" i="1" a="1"/>
  <c r="BR208" i="1" s="1"/>
  <c r="BR114" i="1" a="1"/>
  <c r="BR114" i="1" s="1"/>
  <c r="BR210" i="1" a="1"/>
  <c r="BR210" i="1" s="1"/>
  <c r="BR211" i="1" a="1"/>
  <c r="BR211" i="1" s="1"/>
  <c r="BR212" i="1" a="1"/>
  <c r="BR212" i="1" s="1"/>
  <c r="BR213" i="1" a="1"/>
  <c r="BR213" i="1" s="1"/>
  <c r="BR214" i="1" a="1"/>
  <c r="BR214" i="1" s="1"/>
  <c r="BR215" i="1" a="1"/>
  <c r="BR215" i="1" s="1"/>
  <c r="BR216" i="1" a="1"/>
  <c r="BR216" i="1" s="1"/>
  <c r="BR217" i="1" a="1"/>
  <c r="BR217" i="1" s="1"/>
  <c r="BR218" i="1" a="1"/>
  <c r="BR218" i="1" s="1"/>
  <c r="BR219" i="1" a="1"/>
  <c r="BR219" i="1" s="1"/>
  <c r="BR220" i="1" a="1"/>
  <c r="BR220" i="1" s="1"/>
  <c r="BR221" i="1" a="1"/>
  <c r="BR221" i="1" s="1"/>
  <c r="BR222" i="1" a="1"/>
  <c r="BR222" i="1" s="1"/>
  <c r="BR223" i="1" a="1"/>
  <c r="BR223" i="1" s="1"/>
  <c r="BR224" i="1" a="1"/>
  <c r="BR224" i="1" s="1"/>
  <c r="BR225" i="1" a="1"/>
  <c r="BR225" i="1" s="1"/>
  <c r="BR226" i="1" a="1"/>
  <c r="BR226" i="1" s="1"/>
  <c r="BR227" i="1" a="1"/>
  <c r="BR227" i="1" s="1"/>
  <c r="BR228" i="1" a="1"/>
  <c r="BR228" i="1" s="1"/>
  <c r="BR229" i="1" a="1"/>
  <c r="BR229" i="1" s="1"/>
  <c r="BR230" i="1" a="1"/>
  <c r="BR230" i="1" s="1"/>
  <c r="BR231" i="1" a="1"/>
  <c r="BR231" i="1" s="1"/>
  <c r="BR232" i="1" a="1"/>
  <c r="BR232" i="1" s="1"/>
  <c r="BR233" i="1" a="1"/>
  <c r="BR233" i="1" s="1"/>
  <c r="BR234" i="1" a="1"/>
  <c r="BR234" i="1" s="1"/>
  <c r="BR235" i="1" a="1"/>
  <c r="BR235" i="1" s="1"/>
  <c r="BR236" i="1" a="1"/>
  <c r="BR236" i="1" s="1"/>
  <c r="BR237" i="1" a="1"/>
  <c r="BR237" i="1" s="1"/>
  <c r="BR238" i="1" a="1"/>
  <c r="BR238" i="1" s="1"/>
  <c r="BR239" i="1" a="1"/>
  <c r="BR239" i="1" s="1"/>
  <c r="BR240" i="1" a="1"/>
  <c r="BR240" i="1" s="1"/>
  <c r="BR241" i="1" a="1"/>
  <c r="BR241" i="1" s="1"/>
  <c r="BR242" i="1" a="1"/>
  <c r="BR242" i="1" s="1"/>
  <c r="BR243" i="1" a="1"/>
  <c r="BR243" i="1" s="1"/>
  <c r="BR244" i="1" a="1"/>
  <c r="BR244" i="1" s="1"/>
  <c r="BR245" i="1" a="1"/>
  <c r="BR245" i="1" s="1"/>
  <c r="BR246" i="1" a="1"/>
  <c r="BR246" i="1" s="1"/>
  <c r="BR247" i="1" a="1"/>
  <c r="BR247" i="1" s="1"/>
  <c r="BR248" i="1" a="1"/>
  <c r="BR248" i="1" s="1"/>
  <c r="BR249" i="1" a="1"/>
  <c r="BR249" i="1" s="1"/>
  <c r="BR250" i="1" a="1"/>
  <c r="BR250" i="1" s="1"/>
  <c r="BR251" i="1" a="1"/>
  <c r="BR251" i="1" s="1"/>
  <c r="BR252" i="1" a="1"/>
  <c r="BR252" i="1" s="1"/>
  <c r="BR253" i="1" a="1"/>
  <c r="BR253" i="1" s="1"/>
  <c r="BR254" i="1" a="1"/>
  <c r="BR254" i="1" s="1"/>
  <c r="BR202" i="1" a="1"/>
  <c r="BR202" i="1" s="1"/>
  <c r="BR256" i="1" a="1"/>
  <c r="BR256" i="1" s="1"/>
  <c r="BR257" i="1" a="1"/>
  <c r="BR257" i="1" s="1"/>
  <c r="BR258" i="1" a="1"/>
  <c r="BR258" i="1" s="1"/>
  <c r="BR259" i="1" a="1"/>
  <c r="BR259" i="1" s="1"/>
  <c r="BR260" i="1" a="1"/>
  <c r="BR260" i="1" s="1"/>
  <c r="BR261" i="1" a="1"/>
  <c r="BR261" i="1" s="1"/>
  <c r="BR262" i="1" a="1"/>
  <c r="BR262" i="1" s="1"/>
  <c r="BR263" i="1" a="1"/>
  <c r="BR263" i="1" s="1"/>
  <c r="BR264" i="1" a="1"/>
  <c r="BR264" i="1" s="1"/>
  <c r="BR265" i="1" a="1"/>
  <c r="BR265" i="1" s="1"/>
  <c r="BR266" i="1" a="1"/>
  <c r="BR266" i="1" s="1"/>
  <c r="BR267" i="1" a="1"/>
  <c r="BR267" i="1" s="1"/>
  <c r="BR268" i="1" a="1"/>
  <c r="BR268" i="1" s="1"/>
  <c r="BR269" i="1" a="1"/>
  <c r="BR269" i="1" s="1"/>
  <c r="BR270" i="1" a="1"/>
  <c r="BR270" i="1" s="1"/>
  <c r="BR271" i="1" a="1"/>
  <c r="BR271" i="1" s="1"/>
  <c r="BR6" i="1" a="1"/>
  <c r="BR6" i="1" s="1"/>
  <c r="BR7" i="1" a="1"/>
  <c r="BR7" i="1" s="1"/>
  <c r="BR8" i="1" a="1"/>
  <c r="BR8" i="1" s="1"/>
  <c r="BR9" i="1" a="1"/>
  <c r="BR9" i="1" s="1"/>
  <c r="BR10" i="1" a="1"/>
  <c r="BR10" i="1" s="1"/>
  <c r="BR11" i="1" a="1"/>
  <c r="BR11" i="1" s="1"/>
  <c r="BR12" i="1" a="1"/>
  <c r="BR12" i="1" s="1"/>
  <c r="BR13" i="1" a="1"/>
  <c r="BR13" i="1" s="1"/>
  <c r="BR15" i="1" a="1"/>
  <c r="BR15" i="1" s="1"/>
  <c r="BR16" i="1" a="1"/>
  <c r="BR16" i="1" s="1"/>
  <c r="BR17" i="1" a="1"/>
  <c r="BR17" i="1" s="1"/>
  <c r="BR18" i="1" a="1"/>
  <c r="BR18" i="1" s="1"/>
  <c r="BR90" i="1" a="1"/>
  <c r="BR90" i="1" s="1"/>
  <c r="BR20" i="1" a="1"/>
  <c r="BR20" i="1" s="1"/>
  <c r="BR21" i="1" a="1"/>
  <c r="BR21" i="1" s="1"/>
  <c r="BR22" i="1" a="1"/>
  <c r="BR22" i="1" s="1"/>
  <c r="BR23" i="1" a="1"/>
  <c r="BR23" i="1" s="1"/>
  <c r="BR24" i="1" a="1"/>
  <c r="BR24" i="1" s="1"/>
  <c r="BR25" i="1" a="1"/>
  <c r="BR25" i="1" s="1"/>
  <c r="BR26" i="1" a="1"/>
  <c r="BR26" i="1" s="1"/>
  <c r="BR27" i="1" a="1"/>
  <c r="BR27" i="1" s="1"/>
  <c r="BR28" i="1" a="1"/>
  <c r="BR28" i="1" s="1"/>
  <c r="BR29" i="1" a="1"/>
  <c r="BR29" i="1" s="1"/>
  <c r="BR30" i="1" a="1"/>
  <c r="BR30" i="1" s="1"/>
  <c r="BR31" i="1" a="1"/>
  <c r="BR31" i="1" s="1"/>
  <c r="BR32" i="1" a="1"/>
  <c r="BR32" i="1" s="1"/>
  <c r="BR33" i="1" a="1"/>
  <c r="BR33" i="1" s="1"/>
  <c r="BR34" i="1" a="1"/>
  <c r="BR34" i="1" s="1"/>
  <c r="BR209" i="1" a="1"/>
  <c r="BR209" i="1" s="1"/>
  <c r="BR36" i="1" a="1"/>
  <c r="BR36" i="1" s="1"/>
  <c r="BR37" i="1" a="1"/>
  <c r="BR37" i="1" s="1"/>
  <c r="BR38" i="1" a="1"/>
  <c r="BR38" i="1" s="1"/>
  <c r="BR39" i="1" a="1"/>
  <c r="BR39" i="1" s="1"/>
  <c r="BR40" i="1" a="1"/>
  <c r="BR40" i="1" s="1"/>
  <c r="BR41" i="1" a="1"/>
  <c r="BR41" i="1" s="1"/>
  <c r="BR42" i="1" a="1"/>
  <c r="BR42" i="1" s="1"/>
  <c r="BR43" i="1" a="1"/>
  <c r="BR43" i="1" s="1"/>
  <c r="BR44" i="1" a="1"/>
  <c r="BR44" i="1" s="1"/>
  <c r="BR45" i="1" a="1"/>
  <c r="BR45" i="1" s="1"/>
  <c r="BR46" i="1" a="1"/>
  <c r="BR46" i="1" s="1"/>
  <c r="BR47" i="1" a="1"/>
  <c r="BR47" i="1" s="1"/>
  <c r="BR48" i="1" a="1"/>
  <c r="BR48" i="1" s="1"/>
  <c r="BR49" i="1" a="1"/>
  <c r="BR49" i="1" s="1"/>
  <c r="BR50" i="1" a="1"/>
  <c r="BR50" i="1" s="1"/>
  <c r="BR51" i="1" a="1"/>
  <c r="BR51" i="1" s="1"/>
  <c r="BR52" i="1" a="1"/>
  <c r="BR52" i="1" s="1"/>
  <c r="BR53" i="1" a="1"/>
  <c r="BR53" i="1" s="1"/>
  <c r="BR54" i="1" a="1"/>
  <c r="BR54" i="1" s="1"/>
  <c r="BR55" i="1" a="1"/>
  <c r="BR55" i="1" s="1"/>
  <c r="BR56" i="1" a="1"/>
  <c r="BR56" i="1" s="1"/>
  <c r="BR57" i="1" a="1"/>
  <c r="BR57" i="1" s="1"/>
  <c r="BR58" i="1" a="1"/>
  <c r="BR58" i="1" s="1"/>
  <c r="BR59" i="1" a="1"/>
  <c r="BR59" i="1" s="1"/>
  <c r="BR60" i="1" a="1"/>
  <c r="BR60" i="1" s="1"/>
  <c r="BR61" i="1" a="1"/>
  <c r="BR61" i="1" s="1"/>
  <c r="BR62" i="1" a="1"/>
  <c r="BR62" i="1" s="1"/>
  <c r="BR63" i="1" a="1"/>
  <c r="BR63" i="1" s="1"/>
  <c r="BR64" i="1" a="1"/>
  <c r="BR64" i="1" s="1"/>
  <c r="BR127" i="1" a="1"/>
  <c r="BR127" i="1" s="1"/>
  <c r="BR66" i="1" a="1"/>
  <c r="BR66" i="1" s="1"/>
  <c r="BR121" i="1" a="1"/>
  <c r="BR121" i="1" s="1"/>
  <c r="BR68" i="1" a="1"/>
  <c r="BR68" i="1" s="1"/>
  <c r="BR69" i="1" a="1"/>
  <c r="BR69" i="1" s="1"/>
  <c r="BR184" i="1" a="1"/>
  <c r="BR184" i="1" s="1"/>
  <c r="BR71" i="1" a="1"/>
  <c r="BR71" i="1" s="1"/>
  <c r="BR72" i="1" a="1"/>
  <c r="BR72" i="1" s="1"/>
  <c r="DM6" i="1" a="1"/>
  <c r="DM6" i="1" s="1"/>
  <c r="CL6" i="1" l="1"/>
  <c r="CP6" i="1" l="1"/>
  <c r="CM6" i="1"/>
  <c r="CQ6" i="1"/>
  <c r="CN6" i="1"/>
  <c r="CR6" i="1"/>
  <c r="DV180" i="1"/>
  <c r="CS6" i="1" l="1" a="1"/>
  <c r="CS6" i="1" s="1"/>
  <c r="CT6" i="1" a="1"/>
  <c r="CT6" i="1" s="1"/>
  <c r="DV90" i="1"/>
  <c r="CU6" i="1" l="1"/>
  <c r="CV6" i="1" l="1"/>
  <c r="DI6" i="1"/>
  <c r="DB6" i="1"/>
  <c r="DC6" i="1"/>
  <c r="DE6" i="1"/>
  <c r="DD6" i="1"/>
  <c r="CZ6" i="1"/>
  <c r="DA6" i="1"/>
  <c r="DG6" i="1"/>
  <c r="CY6" i="1"/>
  <c r="CX6" i="1"/>
  <c r="DF6" i="1"/>
  <c r="DH6" i="1"/>
  <c r="CW6" i="1"/>
  <c r="DL6" i="1" l="1" a="1"/>
  <c r="DL6" i="1" s="1"/>
  <c r="DK6" i="1" a="1"/>
  <c r="DK6" i="1" s="1"/>
  <c r="DU6" i="1" l="1"/>
  <c r="DO6" i="1"/>
  <c r="DP6" i="1"/>
  <c r="DN6" i="1" l="1"/>
  <c r="DM7" i="1" a="1"/>
  <c r="DM7" i="1" s="1"/>
  <c r="DM8" i="1" a="1"/>
  <c r="DM8" i="1" s="1"/>
  <c r="DM9" i="1" a="1"/>
  <c r="DM9" i="1" s="1"/>
  <c r="DM10" i="1" a="1"/>
  <c r="DM10" i="1" s="1"/>
  <c r="DM11" i="1" a="1"/>
  <c r="DM11" i="1" s="1"/>
  <c r="DM12" i="1" a="1"/>
  <c r="DM12" i="1" s="1"/>
  <c r="DM13" i="1" a="1"/>
  <c r="DM13" i="1" s="1"/>
  <c r="DM186" i="1" a="1"/>
  <c r="DM186" i="1" s="1"/>
  <c r="DM15" i="1" a="1"/>
  <c r="DM15" i="1" s="1"/>
  <c r="DM16" i="1" a="1"/>
  <c r="DM16" i="1" s="1"/>
  <c r="DM17" i="1" a="1"/>
  <c r="DM17" i="1" s="1"/>
  <c r="DM18" i="1" a="1"/>
  <c r="DM18" i="1" s="1"/>
  <c r="DM90" i="1" a="1"/>
  <c r="DM90" i="1" s="1"/>
  <c r="DM20" i="1" a="1"/>
  <c r="DM20" i="1" s="1"/>
  <c r="DM21" i="1" a="1"/>
  <c r="DM21" i="1" s="1"/>
  <c r="DM22" i="1" a="1"/>
  <c r="DM22" i="1" s="1"/>
  <c r="DM23" i="1" a="1"/>
  <c r="DM23" i="1" s="1"/>
  <c r="DM24" i="1" a="1"/>
  <c r="DM24" i="1" s="1"/>
  <c r="DM25" i="1" a="1"/>
  <c r="DM25" i="1" s="1"/>
  <c r="DM26" i="1" a="1"/>
  <c r="DM26" i="1" s="1"/>
  <c r="DM27" i="1" a="1"/>
  <c r="DM27" i="1" s="1"/>
  <c r="DM28" i="1" a="1"/>
  <c r="DM28" i="1" s="1"/>
  <c r="DM29" i="1" a="1"/>
  <c r="DM29" i="1" s="1"/>
  <c r="DM30" i="1" a="1"/>
  <c r="DM30" i="1" s="1"/>
  <c r="DM31" i="1" a="1"/>
  <c r="DM31" i="1" s="1"/>
  <c r="DM32" i="1" a="1"/>
  <c r="DM32" i="1" s="1"/>
  <c r="DM33" i="1" a="1"/>
  <c r="DM33" i="1" s="1"/>
  <c r="DM34" i="1" a="1"/>
  <c r="DM34" i="1" s="1"/>
  <c r="DM209" i="1" a="1"/>
  <c r="DM209" i="1" s="1"/>
  <c r="DM36" i="1" a="1"/>
  <c r="DM36" i="1" s="1"/>
  <c r="DM37" i="1" a="1"/>
  <c r="DM37" i="1" s="1"/>
  <c r="DM38" i="1" a="1"/>
  <c r="DM38" i="1" s="1"/>
  <c r="DM39" i="1" a="1"/>
  <c r="DM39" i="1" s="1"/>
  <c r="DM40" i="1" a="1"/>
  <c r="DM40" i="1" s="1"/>
  <c r="DM41" i="1" a="1"/>
  <c r="DM41" i="1" s="1"/>
  <c r="DM42" i="1" a="1"/>
  <c r="DM42" i="1" s="1"/>
  <c r="DM43" i="1" a="1"/>
  <c r="DM43" i="1" s="1"/>
  <c r="DM44" i="1" a="1"/>
  <c r="DM44" i="1" s="1"/>
  <c r="DM45" i="1" a="1"/>
  <c r="DM45" i="1" s="1"/>
  <c r="DM46" i="1" a="1"/>
  <c r="DM46" i="1" s="1"/>
  <c r="DM47" i="1" a="1"/>
  <c r="DM47" i="1" s="1"/>
  <c r="DM48" i="1" a="1"/>
  <c r="DM48" i="1" s="1"/>
  <c r="DM49" i="1" a="1"/>
  <c r="DM49" i="1" s="1"/>
  <c r="DM50" i="1" a="1"/>
  <c r="DM50" i="1" s="1"/>
  <c r="DM51" i="1" a="1"/>
  <c r="DM51" i="1" s="1"/>
  <c r="DM52" i="1" a="1"/>
  <c r="DM52" i="1" s="1"/>
  <c r="DM53" i="1" a="1"/>
  <c r="DM53" i="1" s="1"/>
  <c r="DM54" i="1" a="1"/>
  <c r="DM54" i="1" s="1"/>
  <c r="DM55" i="1" a="1"/>
  <c r="DM55" i="1" s="1"/>
  <c r="DM56" i="1" a="1"/>
  <c r="DM56" i="1" s="1"/>
  <c r="DM57" i="1" a="1"/>
  <c r="DM57" i="1" s="1"/>
  <c r="DM58" i="1" a="1"/>
  <c r="DM58" i="1" s="1"/>
  <c r="DM59" i="1" a="1"/>
  <c r="DM59" i="1" s="1"/>
  <c r="DM60" i="1" a="1"/>
  <c r="DM60" i="1" s="1"/>
  <c r="DM61" i="1" a="1"/>
  <c r="DM61" i="1" s="1"/>
  <c r="DM62" i="1" a="1"/>
  <c r="DM62" i="1" s="1"/>
  <c r="DM63" i="1" a="1"/>
  <c r="DM63" i="1" s="1"/>
  <c r="DM64" i="1" a="1"/>
  <c r="DM64" i="1" s="1"/>
  <c r="DM127" i="1" a="1"/>
  <c r="DM127" i="1" s="1"/>
  <c r="DM66" i="1" a="1"/>
  <c r="DM66" i="1" s="1"/>
  <c r="DM121" i="1" a="1"/>
  <c r="DM121" i="1" s="1"/>
  <c r="DM68" i="1" a="1"/>
  <c r="DM68" i="1" s="1"/>
  <c r="DM69" i="1" a="1"/>
  <c r="DM69" i="1" s="1"/>
  <c r="DM184" i="1" a="1"/>
  <c r="DM184" i="1" s="1"/>
  <c r="DM71" i="1" a="1"/>
  <c r="DM71" i="1" s="1"/>
  <c r="DM72" i="1" a="1"/>
  <c r="DM72" i="1" s="1"/>
  <c r="DM73" i="1" a="1"/>
  <c r="DM73" i="1" s="1"/>
  <c r="DM74" i="1" a="1"/>
  <c r="DM74" i="1" s="1"/>
  <c r="DM75" i="1" a="1"/>
  <c r="DM75" i="1" s="1"/>
  <c r="DM76" i="1" a="1"/>
  <c r="DM76" i="1" s="1"/>
  <c r="DM77" i="1" a="1"/>
  <c r="DM77" i="1" s="1"/>
  <c r="DM78" i="1" a="1"/>
  <c r="DM78" i="1" s="1"/>
  <c r="DM79" i="1" a="1"/>
  <c r="DM79" i="1" s="1"/>
  <c r="DM80" i="1" a="1"/>
  <c r="DM80" i="1" s="1"/>
  <c r="DM81" i="1" a="1"/>
  <c r="DM81" i="1" s="1"/>
  <c r="DM82" i="1" a="1"/>
  <c r="DM82" i="1" s="1"/>
  <c r="DM83" i="1" a="1"/>
  <c r="DM83" i="1" s="1"/>
  <c r="DM84" i="1" a="1"/>
  <c r="DM84" i="1" s="1"/>
  <c r="DM85" i="1" a="1"/>
  <c r="DM85" i="1" s="1"/>
  <c r="DM86" i="1" a="1"/>
  <c r="DM86" i="1" s="1"/>
  <c r="DM87" i="1" a="1"/>
  <c r="DM87" i="1" s="1"/>
  <c r="DM88" i="1" a="1"/>
  <c r="DM88" i="1" s="1"/>
  <c r="DM124" i="1" a="1"/>
  <c r="DM124" i="1" s="1"/>
  <c r="DM163" i="1" a="1"/>
  <c r="DM163" i="1" s="1"/>
  <c r="DM91" i="1" a="1"/>
  <c r="DM91" i="1" s="1"/>
  <c r="DM93" i="1" a="1"/>
  <c r="DM93" i="1" s="1"/>
  <c r="DM94" i="1" a="1"/>
  <c r="DM94" i="1" s="1"/>
  <c r="DM95" i="1" a="1"/>
  <c r="DM95" i="1" s="1"/>
  <c r="DM96" i="1" a="1"/>
  <c r="DM96" i="1" s="1"/>
  <c r="DM97" i="1" a="1"/>
  <c r="DM97" i="1" s="1"/>
  <c r="DM98" i="1" a="1"/>
  <c r="DM98" i="1" s="1"/>
  <c r="DM99" i="1" a="1"/>
  <c r="DM99" i="1" s="1"/>
  <c r="DM100" i="1" a="1"/>
  <c r="DM100" i="1" s="1"/>
  <c r="DM101" i="1" a="1"/>
  <c r="DM101" i="1" s="1"/>
  <c r="DM102" i="1" a="1"/>
  <c r="DM102" i="1" s="1"/>
  <c r="DM103" i="1" a="1"/>
  <c r="DM103" i="1" s="1"/>
  <c r="DM104" i="1" a="1"/>
  <c r="DM104" i="1" s="1"/>
  <c r="DM105" i="1" a="1"/>
  <c r="DM105" i="1" s="1"/>
  <c r="DM106" i="1" a="1"/>
  <c r="DM106" i="1" s="1"/>
  <c r="DM107" i="1" a="1"/>
  <c r="DM107" i="1" s="1"/>
  <c r="DM108" i="1" a="1"/>
  <c r="DM108" i="1" s="1"/>
  <c r="DM109" i="1" a="1"/>
  <c r="DM109" i="1" s="1"/>
  <c r="DM110" i="1" a="1"/>
  <c r="DM110" i="1" s="1"/>
  <c r="DM111" i="1" a="1"/>
  <c r="DM111" i="1" s="1"/>
  <c r="DM112" i="1" a="1"/>
  <c r="DM112" i="1" s="1"/>
  <c r="DM113" i="1" a="1"/>
  <c r="DM113" i="1" s="1"/>
  <c r="DM89" i="1" a="1"/>
  <c r="DM89" i="1" s="1"/>
  <c r="DM115" i="1" a="1"/>
  <c r="DM115" i="1" s="1"/>
  <c r="DM116" i="1" a="1"/>
  <c r="DM116" i="1" s="1"/>
  <c r="DM117" i="1" a="1"/>
  <c r="DM117" i="1" s="1"/>
  <c r="DM118" i="1" a="1"/>
  <c r="DM118" i="1" s="1"/>
  <c r="DM119" i="1" a="1"/>
  <c r="DM119" i="1" s="1"/>
  <c r="DM67" i="1" a="1"/>
  <c r="DM67" i="1" s="1"/>
  <c r="DM70" i="1" a="1"/>
  <c r="DM70" i="1" s="1"/>
  <c r="DM122" i="1" a="1"/>
  <c r="DM122" i="1" s="1"/>
  <c r="DM123" i="1" a="1"/>
  <c r="DM123" i="1" s="1"/>
  <c r="DM153" i="1" a="1"/>
  <c r="DM153" i="1" s="1"/>
  <c r="DM125" i="1" a="1"/>
  <c r="DM125" i="1" s="1"/>
  <c r="DM126" i="1" a="1"/>
  <c r="DM126" i="1" s="1"/>
  <c r="DM14" i="1" a="1"/>
  <c r="DM14" i="1" s="1"/>
  <c r="DM128" i="1" a="1"/>
  <c r="DM128" i="1" s="1"/>
  <c r="DM129" i="1" a="1"/>
  <c r="DM129" i="1" s="1"/>
  <c r="DM130" i="1" a="1"/>
  <c r="DM130" i="1" s="1"/>
  <c r="DM131" i="1" a="1"/>
  <c r="DM131" i="1" s="1"/>
  <c r="DM132" i="1" a="1"/>
  <c r="DM132" i="1" s="1"/>
  <c r="DM133" i="1" a="1"/>
  <c r="DM133" i="1" s="1"/>
  <c r="DM134" i="1" a="1"/>
  <c r="DM134" i="1" s="1"/>
  <c r="DM135" i="1" a="1"/>
  <c r="DM135" i="1" s="1"/>
  <c r="DM136" i="1" a="1"/>
  <c r="DM136" i="1" s="1"/>
  <c r="DM137" i="1" a="1"/>
  <c r="DM137" i="1" s="1"/>
  <c r="DM138" i="1" a="1"/>
  <c r="DM138" i="1" s="1"/>
  <c r="DM139" i="1" a="1"/>
  <c r="DM139" i="1" s="1"/>
  <c r="DM140" i="1" a="1"/>
  <c r="DM140" i="1" s="1"/>
  <c r="DM141" i="1" a="1"/>
  <c r="DM141" i="1" s="1"/>
  <c r="DM142" i="1" a="1"/>
  <c r="DM142" i="1" s="1"/>
  <c r="DM143" i="1" a="1"/>
  <c r="DM143" i="1" s="1"/>
  <c r="DM144" i="1" a="1"/>
  <c r="DM144" i="1" s="1"/>
  <c r="DM145" i="1" a="1"/>
  <c r="DM145" i="1" s="1"/>
  <c r="DM146" i="1" a="1"/>
  <c r="DM146" i="1" s="1"/>
  <c r="DM147" i="1" a="1"/>
  <c r="DM147" i="1" s="1"/>
  <c r="DM148" i="1" a="1"/>
  <c r="DM148" i="1" s="1"/>
  <c r="DM149" i="1" a="1"/>
  <c r="DM149" i="1" s="1"/>
  <c r="DM150" i="1" a="1"/>
  <c r="DM150" i="1" s="1"/>
  <c r="DM151" i="1" a="1"/>
  <c r="DM151" i="1" s="1"/>
  <c r="DM152" i="1" a="1"/>
  <c r="DM152" i="1" s="1"/>
  <c r="DM120" i="1" a="1"/>
  <c r="DM120" i="1" s="1"/>
  <c r="DM154" i="1" a="1"/>
  <c r="DM154" i="1" s="1"/>
  <c r="DM92" i="1" a="1"/>
  <c r="DM92" i="1" s="1"/>
  <c r="DM156" i="1" a="1"/>
  <c r="DM156" i="1" s="1"/>
  <c r="DM157" i="1" a="1"/>
  <c r="DM157" i="1" s="1"/>
  <c r="DM158" i="1" a="1"/>
  <c r="DM158" i="1" s="1"/>
  <c r="DM159" i="1" a="1"/>
  <c r="DM159" i="1" s="1"/>
  <c r="DM160" i="1" a="1"/>
  <c r="DM160" i="1" s="1"/>
  <c r="DM161" i="1" a="1"/>
  <c r="DM161" i="1" s="1"/>
  <c r="DM162" i="1" a="1"/>
  <c r="DM162" i="1" s="1"/>
  <c r="DM65" i="1" a="1"/>
  <c r="DM65" i="1" s="1"/>
  <c r="DM164" i="1" a="1"/>
  <c r="DM164" i="1" s="1"/>
  <c r="DM165" i="1" a="1"/>
  <c r="DM165" i="1" s="1"/>
  <c r="DM166" i="1" a="1"/>
  <c r="DM166" i="1" s="1"/>
  <c r="DM167" i="1" a="1"/>
  <c r="DM167" i="1" s="1"/>
  <c r="DM168" i="1" a="1"/>
  <c r="DM168" i="1" s="1"/>
  <c r="DM169" i="1" a="1"/>
  <c r="DM169" i="1" s="1"/>
  <c r="DM170" i="1" a="1"/>
  <c r="DM170" i="1" s="1"/>
  <c r="DM171" i="1" a="1"/>
  <c r="DM171" i="1" s="1"/>
  <c r="DM172" i="1" a="1"/>
  <c r="DM172" i="1" s="1"/>
  <c r="DM173" i="1" a="1"/>
  <c r="DM173" i="1" s="1"/>
  <c r="DM174" i="1" a="1"/>
  <c r="DM174" i="1" s="1"/>
  <c r="DM175" i="1" a="1"/>
  <c r="DM175" i="1" s="1"/>
  <c r="DM176" i="1" a="1"/>
  <c r="DM176" i="1" s="1"/>
  <c r="DM177" i="1" a="1"/>
  <c r="DM177" i="1" s="1"/>
  <c r="DM178" i="1" a="1"/>
  <c r="DM178" i="1" s="1"/>
  <c r="DM179" i="1" a="1"/>
  <c r="DM179" i="1" s="1"/>
  <c r="DM155" i="1" a="1"/>
  <c r="DM155" i="1" s="1"/>
  <c r="DM181" i="1" a="1"/>
  <c r="DM181" i="1" s="1"/>
  <c r="DM182" i="1" a="1"/>
  <c r="DM182" i="1" s="1"/>
  <c r="DM183" i="1" a="1"/>
  <c r="DM183" i="1" s="1"/>
  <c r="DM191" i="1" a="1"/>
  <c r="DM191" i="1" s="1"/>
  <c r="DM185" i="1" a="1"/>
  <c r="DM185" i="1" s="1"/>
  <c r="DM19" i="1" a="1"/>
  <c r="DM19" i="1" s="1"/>
  <c r="DM187" i="1" a="1"/>
  <c r="DM187" i="1" s="1"/>
  <c r="DM188" i="1" a="1"/>
  <c r="DM188" i="1" s="1"/>
  <c r="DM189" i="1" a="1"/>
  <c r="DM189" i="1" s="1"/>
  <c r="DM190" i="1" a="1"/>
  <c r="DM190" i="1" s="1"/>
  <c r="DM35" i="1" a="1"/>
  <c r="DM35" i="1" s="1"/>
  <c r="DM192" i="1" a="1"/>
  <c r="DM192" i="1" s="1"/>
  <c r="DM193" i="1" a="1"/>
  <c r="DM193" i="1" s="1"/>
  <c r="DM194" i="1" a="1"/>
  <c r="DM194" i="1" s="1"/>
  <c r="DM195" i="1" a="1"/>
  <c r="DM195" i="1" s="1"/>
  <c r="DM196" i="1" a="1"/>
  <c r="DM196" i="1" s="1"/>
  <c r="DM197" i="1" a="1"/>
  <c r="DM197" i="1" s="1"/>
  <c r="DM198" i="1" a="1"/>
  <c r="DM198" i="1" s="1"/>
  <c r="DM199" i="1" a="1"/>
  <c r="DM199" i="1" s="1"/>
  <c r="DM200" i="1" a="1"/>
  <c r="DM200" i="1" s="1"/>
  <c r="DM201" i="1" a="1"/>
  <c r="DM201" i="1" s="1"/>
  <c r="DM255" i="1" a="1"/>
  <c r="DM255" i="1" s="1"/>
  <c r="DM203" i="1" a="1"/>
  <c r="DM203" i="1" s="1"/>
  <c r="DM204" i="1" a="1"/>
  <c r="DM204" i="1" s="1"/>
  <c r="DM205" i="1" a="1"/>
  <c r="DM205" i="1" s="1"/>
  <c r="DM206" i="1" a="1"/>
  <c r="DM206" i="1" s="1"/>
  <c r="DM207" i="1" a="1"/>
  <c r="DM207" i="1" s="1"/>
  <c r="DM208" i="1" a="1"/>
  <c r="DM208" i="1" s="1"/>
  <c r="DM114" i="1" a="1"/>
  <c r="DM114" i="1" s="1"/>
  <c r="DM210" i="1" a="1"/>
  <c r="DM210" i="1" s="1"/>
  <c r="DM211" i="1" a="1"/>
  <c r="DM211" i="1" s="1"/>
  <c r="DM212" i="1" a="1"/>
  <c r="DM212" i="1" s="1"/>
  <c r="DM213" i="1" a="1"/>
  <c r="DM213" i="1" s="1"/>
  <c r="DM214" i="1" a="1"/>
  <c r="DM214" i="1" s="1"/>
  <c r="DM215" i="1" a="1"/>
  <c r="DM215" i="1" s="1"/>
  <c r="DM216" i="1" a="1"/>
  <c r="DM216" i="1" s="1"/>
  <c r="DM217" i="1" a="1"/>
  <c r="DM217" i="1" s="1"/>
  <c r="DM218" i="1" a="1"/>
  <c r="DM218" i="1" s="1"/>
  <c r="DM219" i="1" a="1"/>
  <c r="DM219" i="1" s="1"/>
  <c r="DM220" i="1" a="1"/>
  <c r="DM220" i="1" s="1"/>
  <c r="DM221" i="1" a="1"/>
  <c r="DM221" i="1" s="1"/>
  <c r="DM222" i="1" a="1"/>
  <c r="DM222" i="1" s="1"/>
  <c r="DM223" i="1" a="1"/>
  <c r="DM223" i="1" s="1"/>
  <c r="DM224" i="1" a="1"/>
  <c r="DM224" i="1" s="1"/>
  <c r="DM225" i="1" a="1"/>
  <c r="DM225" i="1" s="1"/>
  <c r="DM226" i="1" a="1"/>
  <c r="DM226" i="1" s="1"/>
  <c r="DM227" i="1" a="1"/>
  <c r="DM227" i="1" s="1"/>
  <c r="DM228" i="1" a="1"/>
  <c r="DM228" i="1" s="1"/>
  <c r="DM229" i="1" a="1"/>
  <c r="DM229" i="1" s="1"/>
  <c r="DM230" i="1" a="1"/>
  <c r="DM230" i="1" s="1"/>
  <c r="DM231" i="1" a="1"/>
  <c r="DM231" i="1" s="1"/>
  <c r="DM232" i="1" a="1"/>
  <c r="DM232" i="1" s="1"/>
  <c r="DM233" i="1" a="1"/>
  <c r="DM233" i="1" s="1"/>
  <c r="DM234" i="1" a="1"/>
  <c r="DM234" i="1" s="1"/>
  <c r="DM235" i="1" a="1"/>
  <c r="DM235" i="1" s="1"/>
  <c r="DM236" i="1" a="1"/>
  <c r="DM236" i="1" s="1"/>
  <c r="DM237" i="1" a="1"/>
  <c r="DM237" i="1" s="1"/>
  <c r="DM238" i="1" a="1"/>
  <c r="DM238" i="1" s="1"/>
  <c r="DM239" i="1" a="1"/>
  <c r="DM239" i="1" s="1"/>
  <c r="DM240" i="1" a="1"/>
  <c r="DM240" i="1" s="1"/>
  <c r="DM241" i="1" a="1"/>
  <c r="DM241" i="1" s="1"/>
  <c r="DM242" i="1" a="1"/>
  <c r="DM242" i="1" s="1"/>
  <c r="DM243" i="1" a="1"/>
  <c r="DM243" i="1" s="1"/>
  <c r="DM244" i="1" a="1"/>
  <c r="DM244" i="1" s="1"/>
  <c r="DM245" i="1" a="1"/>
  <c r="DM245" i="1" s="1"/>
  <c r="DM246" i="1" a="1"/>
  <c r="DM246" i="1" s="1"/>
  <c r="DM247" i="1" a="1"/>
  <c r="DM247" i="1" s="1"/>
  <c r="DM248" i="1" a="1"/>
  <c r="DM248" i="1" s="1"/>
  <c r="DM249" i="1" a="1"/>
  <c r="DM249" i="1" s="1"/>
  <c r="DM250" i="1" a="1"/>
  <c r="DM250" i="1" s="1"/>
  <c r="DM251" i="1" a="1"/>
  <c r="DM251" i="1" s="1"/>
  <c r="DM252" i="1" a="1"/>
  <c r="DM252" i="1" s="1"/>
  <c r="DM253" i="1" a="1"/>
  <c r="DM253" i="1" s="1"/>
  <c r="DM254" i="1" a="1"/>
  <c r="DM254" i="1" s="1"/>
  <c r="DM202" i="1" a="1"/>
  <c r="DM202" i="1" s="1"/>
  <c r="DM256" i="1" a="1"/>
  <c r="DM256" i="1" s="1"/>
  <c r="DM257" i="1" a="1"/>
  <c r="DM257" i="1" s="1"/>
  <c r="DM258" i="1" a="1"/>
  <c r="DM258" i="1" s="1"/>
  <c r="DM259" i="1" a="1"/>
  <c r="DM259" i="1" s="1"/>
  <c r="DM260" i="1" a="1"/>
  <c r="DM260" i="1" s="1"/>
  <c r="DM261" i="1" a="1"/>
  <c r="DM261" i="1" s="1"/>
  <c r="DM262" i="1" a="1"/>
  <c r="DM262" i="1" s="1"/>
  <c r="DM263" i="1" a="1"/>
  <c r="DM263" i="1" s="1"/>
  <c r="DM264" i="1" a="1"/>
  <c r="DM264" i="1" s="1"/>
  <c r="DM265" i="1" a="1"/>
  <c r="DM265" i="1" s="1"/>
  <c r="DM266" i="1" a="1"/>
  <c r="DM266" i="1" s="1"/>
  <c r="DM267" i="1" a="1"/>
  <c r="DM267" i="1" s="1"/>
  <c r="DM268" i="1" a="1"/>
  <c r="DM268" i="1" s="1"/>
  <c r="DM269" i="1" a="1"/>
  <c r="DM269" i="1" s="1"/>
  <c r="DM270" i="1" a="1"/>
  <c r="DM270" i="1" s="1"/>
  <c r="DM271" i="1" a="1"/>
  <c r="DM271" i="1" s="1"/>
  <c r="BN23" i="1" l="1" a="1"/>
  <c r="BN23" i="1" s="1"/>
  <c r="BN24" i="1" a="1"/>
  <c r="BN24" i="1" s="1"/>
  <c r="BN25" i="1" a="1"/>
  <c r="BN25" i="1" s="1"/>
  <c r="BN26" i="1" a="1"/>
  <c r="BN26" i="1" s="1"/>
  <c r="BN27" i="1" a="1"/>
  <c r="BN27" i="1" s="1"/>
  <c r="BN28" i="1" a="1"/>
  <c r="BN28" i="1" s="1"/>
  <c r="BN29" i="1" a="1"/>
  <c r="BN29" i="1" s="1"/>
  <c r="BN30" i="1" a="1"/>
  <c r="BN30" i="1" s="1"/>
  <c r="BN31" i="1" a="1"/>
  <c r="BN31" i="1" s="1"/>
  <c r="BN32" i="1" a="1"/>
  <c r="BN32" i="1" s="1"/>
  <c r="BN33" i="1" a="1"/>
  <c r="BN33" i="1" s="1"/>
  <c r="BN34" i="1" a="1"/>
  <c r="BN34" i="1" s="1"/>
  <c r="BN36" i="1" a="1"/>
  <c r="BN36" i="1" s="1"/>
  <c r="BN37" i="1" a="1"/>
  <c r="BN37" i="1" s="1"/>
  <c r="BN38" i="1" a="1"/>
  <c r="BN38" i="1" s="1"/>
  <c r="BN39" i="1" a="1"/>
  <c r="BN39" i="1" s="1"/>
  <c r="BN40" i="1" a="1"/>
  <c r="BN40" i="1" s="1"/>
  <c r="BN41" i="1" a="1"/>
  <c r="BN41" i="1" s="1"/>
  <c r="BN42" i="1" a="1"/>
  <c r="BN42" i="1" s="1"/>
  <c r="BN43" i="1" a="1"/>
  <c r="BN43" i="1" s="1"/>
  <c r="BN44" i="1" a="1"/>
  <c r="BN44" i="1" s="1"/>
  <c r="BN45" i="1" a="1"/>
  <c r="BN45" i="1" s="1"/>
  <c r="BN46" i="1" a="1"/>
  <c r="BN46" i="1" s="1"/>
  <c r="BN47" i="1" a="1"/>
  <c r="BN47" i="1" s="1"/>
  <c r="BN48" i="1" a="1"/>
  <c r="BN48" i="1" s="1"/>
  <c r="BN49" i="1" a="1"/>
  <c r="BN49" i="1" s="1"/>
  <c r="BN50" i="1" a="1"/>
  <c r="BN50" i="1" s="1"/>
  <c r="BN51" i="1" a="1"/>
  <c r="BN51" i="1" s="1"/>
  <c r="BN52" i="1" a="1"/>
  <c r="BN52" i="1" s="1"/>
  <c r="BN53" i="1" a="1"/>
  <c r="BN53" i="1" s="1"/>
  <c r="BN54" i="1" a="1"/>
  <c r="BN54" i="1" s="1"/>
  <c r="BN56" i="1" a="1"/>
  <c r="BN56" i="1" s="1"/>
  <c r="BN57" i="1" a="1"/>
  <c r="BN57" i="1" s="1"/>
  <c r="BN58" i="1" a="1"/>
  <c r="BN58" i="1" s="1"/>
  <c r="BN59" i="1" a="1"/>
  <c r="BN59" i="1" s="1"/>
  <c r="BN60" i="1" a="1"/>
  <c r="BN60" i="1" s="1"/>
  <c r="BN61" i="1" a="1"/>
  <c r="BN61" i="1" s="1"/>
  <c r="BN62" i="1" a="1"/>
  <c r="BN62" i="1" s="1"/>
  <c r="BN63" i="1" a="1"/>
  <c r="BN63" i="1" s="1"/>
  <c r="BN64" i="1" a="1"/>
  <c r="BN64" i="1" s="1"/>
  <c r="BN127" i="1" a="1"/>
  <c r="BN127" i="1" s="1"/>
  <c r="BN66" i="1" a="1"/>
  <c r="BN66" i="1" s="1"/>
  <c r="BN68" i="1" a="1"/>
  <c r="BN68" i="1" s="1"/>
  <c r="BN69" i="1" a="1"/>
  <c r="BN69" i="1" s="1"/>
  <c r="BN184" i="1" a="1"/>
  <c r="BN184" i="1" s="1"/>
  <c r="BN71" i="1" a="1"/>
  <c r="BN71" i="1" s="1"/>
  <c r="BN72" i="1" a="1"/>
  <c r="BN72" i="1" s="1"/>
  <c r="BN73" i="1" a="1"/>
  <c r="BN73" i="1" s="1"/>
  <c r="BN74" i="1" a="1"/>
  <c r="BN74" i="1" s="1"/>
  <c r="BN75" i="1" a="1"/>
  <c r="BN75" i="1" s="1"/>
  <c r="BN76" i="1" a="1"/>
  <c r="BN76" i="1" s="1"/>
  <c r="BN77" i="1" a="1"/>
  <c r="BN77" i="1" s="1"/>
  <c r="BN78" i="1" a="1"/>
  <c r="BN78" i="1" s="1"/>
  <c r="BN79" i="1" a="1"/>
  <c r="BN79" i="1" s="1"/>
  <c r="BN80" i="1" a="1"/>
  <c r="BN80" i="1" s="1"/>
  <c r="BN81" i="1" a="1"/>
  <c r="BN81" i="1" s="1"/>
  <c r="BN82" i="1" a="1"/>
  <c r="BN82" i="1" s="1"/>
  <c r="BN83" i="1" a="1"/>
  <c r="BN83" i="1" s="1"/>
  <c r="BN84" i="1" a="1"/>
  <c r="BN84" i="1" s="1"/>
  <c r="BN85" i="1" a="1"/>
  <c r="BN85" i="1" s="1"/>
  <c r="BN86" i="1" a="1"/>
  <c r="BN86" i="1" s="1"/>
  <c r="BN87" i="1" a="1"/>
  <c r="BN87" i="1" s="1"/>
  <c r="BN88" i="1" a="1"/>
  <c r="BN88" i="1" s="1"/>
  <c r="BN163" i="1" a="1"/>
  <c r="BN163" i="1" s="1"/>
  <c r="BN91" i="1" a="1"/>
  <c r="BN91" i="1" s="1"/>
  <c r="BN93" i="1" a="1"/>
  <c r="BN93" i="1" s="1"/>
  <c r="BN94" i="1" a="1"/>
  <c r="BN94" i="1" s="1"/>
  <c r="BN95" i="1" a="1"/>
  <c r="BN95" i="1" s="1"/>
  <c r="BN96" i="1" a="1"/>
  <c r="BN96" i="1" s="1"/>
  <c r="BN97" i="1" a="1"/>
  <c r="BN97" i="1" s="1"/>
  <c r="BN98" i="1" a="1"/>
  <c r="BN98" i="1" s="1"/>
  <c r="BN99" i="1" a="1"/>
  <c r="BN99" i="1" s="1"/>
  <c r="BN100" i="1" a="1"/>
  <c r="BN100" i="1" s="1"/>
  <c r="BN101" i="1" a="1"/>
  <c r="BN101" i="1" s="1"/>
  <c r="BN102" i="1" a="1"/>
  <c r="BN102" i="1" s="1"/>
  <c r="BN103" i="1" a="1"/>
  <c r="BN103" i="1" s="1"/>
  <c r="BN104" i="1" a="1"/>
  <c r="BN104" i="1" s="1"/>
  <c r="BN105" i="1" a="1"/>
  <c r="BN105" i="1" s="1"/>
  <c r="BN106" i="1" a="1"/>
  <c r="BN106" i="1" s="1"/>
  <c r="BN107" i="1" a="1"/>
  <c r="BN107" i="1" s="1"/>
  <c r="BN108" i="1" a="1"/>
  <c r="BN108" i="1" s="1"/>
  <c r="BN109" i="1" a="1"/>
  <c r="BN109" i="1" s="1"/>
  <c r="BN110" i="1" a="1"/>
  <c r="BN110" i="1" s="1"/>
  <c r="BN111" i="1" a="1"/>
  <c r="BN111" i="1" s="1"/>
  <c r="BN112" i="1" a="1"/>
  <c r="BN112" i="1" s="1"/>
  <c r="BN89" i="1" a="1"/>
  <c r="BN89" i="1" s="1"/>
  <c r="BN115" i="1" a="1"/>
  <c r="BN115" i="1" s="1"/>
  <c r="BN116" i="1" a="1"/>
  <c r="BN116" i="1" s="1"/>
  <c r="BN117" i="1" a="1"/>
  <c r="BN117" i="1" s="1"/>
  <c r="BN118" i="1" a="1"/>
  <c r="BN118" i="1" s="1"/>
  <c r="BN119" i="1" a="1"/>
  <c r="BN119" i="1" s="1"/>
  <c r="BN67" i="1" a="1"/>
  <c r="BN67" i="1" s="1"/>
  <c r="BN122" i="1" a="1"/>
  <c r="BN122" i="1" s="1"/>
  <c r="BN123" i="1" a="1"/>
  <c r="BN123" i="1" s="1"/>
  <c r="BN153" i="1" a="1"/>
  <c r="BN153" i="1" s="1"/>
  <c r="BN125" i="1" a="1"/>
  <c r="BN125" i="1" s="1"/>
  <c r="BN126" i="1" a="1"/>
  <c r="BN126" i="1" s="1"/>
  <c r="BN128" i="1" a="1"/>
  <c r="BN128" i="1" s="1"/>
  <c r="BN129" i="1" a="1"/>
  <c r="BN129" i="1" s="1"/>
  <c r="BN130" i="1" a="1"/>
  <c r="BN130" i="1" s="1"/>
  <c r="BN131" i="1" a="1"/>
  <c r="BN131" i="1" s="1"/>
  <c r="BN133" i="1" a="1"/>
  <c r="BN133" i="1" s="1"/>
  <c r="BN134" i="1" a="1"/>
  <c r="BN134" i="1" s="1"/>
  <c r="BN135" i="1" a="1"/>
  <c r="BN135" i="1" s="1"/>
  <c r="BN136" i="1" a="1"/>
  <c r="BN136" i="1" s="1"/>
  <c r="BN137" i="1" a="1"/>
  <c r="BN137" i="1" s="1"/>
  <c r="BN138" i="1" a="1"/>
  <c r="BN138" i="1" s="1"/>
  <c r="BN139" i="1" a="1"/>
  <c r="BN139" i="1" s="1"/>
  <c r="BN140" i="1" a="1"/>
  <c r="BN140" i="1" s="1"/>
  <c r="BN141" i="1" a="1"/>
  <c r="BN141" i="1" s="1"/>
  <c r="BN142" i="1" a="1"/>
  <c r="BN142" i="1" s="1"/>
  <c r="BN143" i="1" a="1"/>
  <c r="BN143" i="1" s="1"/>
  <c r="BN144" i="1" a="1"/>
  <c r="BN144" i="1" s="1"/>
  <c r="BN145" i="1" a="1"/>
  <c r="BN145" i="1" s="1"/>
  <c r="BN146" i="1" a="1"/>
  <c r="BN146" i="1" s="1"/>
  <c r="BN147" i="1" a="1"/>
  <c r="BN147" i="1" s="1"/>
  <c r="BN148" i="1" a="1"/>
  <c r="BN148" i="1" s="1"/>
  <c r="BN149" i="1" a="1"/>
  <c r="BN149" i="1" s="1"/>
  <c r="BN150" i="1" a="1"/>
  <c r="BN150" i="1" s="1"/>
  <c r="BN151" i="1" a="1"/>
  <c r="BN151" i="1" s="1"/>
  <c r="BN152" i="1" a="1"/>
  <c r="BN152" i="1" s="1"/>
  <c r="BN120" i="1" a="1"/>
  <c r="BN120" i="1" s="1"/>
  <c r="BN154" i="1" a="1"/>
  <c r="BN154" i="1" s="1"/>
  <c r="BN92" i="1" a="1"/>
  <c r="BN92" i="1" s="1"/>
  <c r="BN156" i="1" a="1"/>
  <c r="BN156" i="1" s="1"/>
  <c r="BN157" i="1" a="1"/>
  <c r="BN157" i="1" s="1"/>
  <c r="BN158" i="1" a="1"/>
  <c r="BN158" i="1" s="1"/>
  <c r="BN159" i="1" a="1"/>
  <c r="BN159" i="1" s="1"/>
  <c r="BN160" i="1" a="1"/>
  <c r="BN160" i="1" s="1"/>
  <c r="BN161" i="1" a="1"/>
  <c r="BN161" i="1" s="1"/>
  <c r="BN162" i="1" a="1"/>
  <c r="BN162" i="1" s="1"/>
  <c r="BN164" i="1" a="1"/>
  <c r="BN164" i="1" s="1"/>
  <c r="BN165" i="1" a="1"/>
  <c r="BN165" i="1" s="1"/>
  <c r="BN166" i="1" a="1"/>
  <c r="BN166" i="1" s="1"/>
  <c r="BN167" i="1" a="1"/>
  <c r="BN167" i="1" s="1"/>
  <c r="BN168" i="1" a="1"/>
  <c r="BN168" i="1" s="1"/>
  <c r="BN169" i="1" a="1"/>
  <c r="BN169" i="1" s="1"/>
  <c r="BN170" i="1" a="1"/>
  <c r="BN170" i="1" s="1"/>
  <c r="BN171" i="1" a="1"/>
  <c r="BN171" i="1" s="1"/>
  <c r="BN172" i="1" a="1"/>
  <c r="BN172" i="1" s="1"/>
  <c r="BN173" i="1" a="1"/>
  <c r="BN173" i="1" s="1"/>
  <c r="BN174" i="1" a="1"/>
  <c r="BN174" i="1" s="1"/>
  <c r="BN175" i="1" a="1"/>
  <c r="BN175" i="1" s="1"/>
  <c r="BN176" i="1" a="1"/>
  <c r="BN176" i="1" s="1"/>
  <c r="BN177" i="1" a="1"/>
  <c r="BN177" i="1" s="1"/>
  <c r="BN178" i="1" a="1"/>
  <c r="BN178" i="1" s="1"/>
  <c r="BN179" i="1" a="1"/>
  <c r="BN179" i="1" s="1"/>
  <c r="EF155" i="1"/>
  <c r="BN181" i="1" a="1"/>
  <c r="BN181" i="1" s="1"/>
  <c r="BN182" i="1" a="1"/>
  <c r="BN182" i="1" s="1"/>
  <c r="BN183" i="1" a="1"/>
  <c r="BN183" i="1" s="1"/>
  <c r="BN191" i="1" a="1"/>
  <c r="BN191" i="1" s="1"/>
  <c r="BN185" i="1" a="1"/>
  <c r="BN185" i="1" s="1"/>
  <c r="BN19" i="1" a="1"/>
  <c r="BN19" i="1" s="1"/>
  <c r="BN187" i="1" a="1"/>
  <c r="BN187" i="1" s="1"/>
  <c r="BN188" i="1" a="1"/>
  <c r="BN188" i="1" s="1"/>
  <c r="BN189" i="1" a="1"/>
  <c r="BN189" i="1" s="1"/>
  <c r="BN190" i="1" a="1"/>
  <c r="BN190" i="1" s="1"/>
  <c r="BN35" i="1" a="1"/>
  <c r="BN35" i="1" s="1"/>
  <c r="BN192" i="1" a="1"/>
  <c r="BN192" i="1" s="1"/>
  <c r="BN193" i="1" a="1"/>
  <c r="BN193" i="1" s="1"/>
  <c r="BN194" i="1" a="1"/>
  <c r="BN194" i="1" s="1"/>
  <c r="BN195" i="1" a="1"/>
  <c r="BN195" i="1" s="1"/>
  <c r="BN196" i="1" a="1"/>
  <c r="BN196" i="1" s="1"/>
  <c r="BN197" i="1" a="1"/>
  <c r="BN197" i="1" s="1"/>
  <c r="BN198" i="1" a="1"/>
  <c r="BN198" i="1" s="1"/>
  <c r="BN199" i="1" a="1"/>
  <c r="BN199" i="1" s="1"/>
  <c r="BN200" i="1" a="1"/>
  <c r="BN200" i="1" s="1"/>
  <c r="BN201" i="1" a="1"/>
  <c r="BN201" i="1" s="1"/>
  <c r="BN255" i="1" a="1"/>
  <c r="BN255" i="1" s="1"/>
  <c r="BN203" i="1" a="1"/>
  <c r="BN203" i="1" s="1"/>
  <c r="BN204" i="1" a="1"/>
  <c r="BN204" i="1" s="1"/>
  <c r="BN205" i="1" a="1"/>
  <c r="BN205" i="1" s="1"/>
  <c r="BN206" i="1" a="1"/>
  <c r="BN206" i="1" s="1"/>
  <c r="BN207" i="1" a="1"/>
  <c r="BN207" i="1" s="1"/>
  <c r="BN208" i="1" a="1"/>
  <c r="BN208" i="1" s="1"/>
  <c r="BN114" i="1" a="1"/>
  <c r="BN114" i="1" s="1"/>
  <c r="BN210" i="1" a="1"/>
  <c r="BN210" i="1" s="1"/>
  <c r="BN211" i="1" a="1"/>
  <c r="BN211" i="1" s="1"/>
  <c r="BN212" i="1" a="1"/>
  <c r="BN212" i="1" s="1"/>
  <c r="BN213" i="1" a="1"/>
  <c r="BN213" i="1" s="1"/>
  <c r="BN214" i="1" a="1"/>
  <c r="BN214" i="1" s="1"/>
  <c r="BN215" i="1" a="1"/>
  <c r="BN215" i="1" s="1"/>
  <c r="BN216" i="1" a="1"/>
  <c r="BN216" i="1" s="1"/>
  <c r="BN217" i="1" a="1"/>
  <c r="BN217" i="1" s="1"/>
  <c r="BN218" i="1" a="1"/>
  <c r="BN218" i="1" s="1"/>
  <c r="BN219" i="1" a="1"/>
  <c r="BN219" i="1" s="1"/>
  <c r="BN220" i="1" a="1"/>
  <c r="BN220" i="1" s="1"/>
  <c r="BN221" i="1" a="1"/>
  <c r="BN221" i="1" s="1"/>
  <c r="BN222" i="1" a="1"/>
  <c r="BN222" i="1" s="1"/>
  <c r="BN223" i="1" a="1"/>
  <c r="BN223" i="1" s="1"/>
  <c r="BN224" i="1" a="1"/>
  <c r="BN224" i="1" s="1"/>
  <c r="BN225" i="1" a="1"/>
  <c r="BN225" i="1" s="1"/>
  <c r="BN226" i="1" a="1"/>
  <c r="BN226" i="1" s="1"/>
  <c r="BN227" i="1" a="1"/>
  <c r="BN227" i="1" s="1"/>
  <c r="BN228" i="1" a="1"/>
  <c r="BN228" i="1" s="1"/>
  <c r="BN229" i="1" a="1"/>
  <c r="BN229" i="1" s="1"/>
  <c r="BN230" i="1" a="1"/>
  <c r="BN230" i="1" s="1"/>
  <c r="BN231" i="1" a="1"/>
  <c r="BN231" i="1" s="1"/>
  <c r="BN232" i="1" a="1"/>
  <c r="BN232" i="1" s="1"/>
  <c r="BN233" i="1" a="1"/>
  <c r="BN233" i="1" s="1"/>
  <c r="BN234" i="1" a="1"/>
  <c r="BN234" i="1" s="1"/>
  <c r="BN235" i="1" a="1"/>
  <c r="BN235" i="1" s="1"/>
  <c r="BN237" i="1" a="1"/>
  <c r="BN237" i="1" s="1"/>
  <c r="BN239" i="1" a="1"/>
  <c r="BN239" i="1" s="1"/>
  <c r="BN240" i="1" a="1"/>
  <c r="BN240" i="1" s="1"/>
  <c r="BN241" i="1" a="1"/>
  <c r="BN241" i="1" s="1"/>
  <c r="BN242" i="1" a="1"/>
  <c r="BN242" i="1" s="1"/>
  <c r="BN243" i="1" a="1"/>
  <c r="BN243" i="1" s="1"/>
  <c r="BN244" i="1" a="1"/>
  <c r="BN244" i="1" s="1"/>
  <c r="BN246" i="1" a="1"/>
  <c r="BN246" i="1" s="1"/>
  <c r="BN247" i="1" a="1"/>
  <c r="BN247" i="1" s="1"/>
  <c r="BN248" i="1" a="1"/>
  <c r="BN248" i="1" s="1"/>
  <c r="BN249" i="1" a="1"/>
  <c r="BN249" i="1" s="1"/>
  <c r="BN250" i="1" a="1"/>
  <c r="BN250" i="1" s="1"/>
  <c r="BN251" i="1" a="1"/>
  <c r="BN251" i="1" s="1"/>
  <c r="BN252" i="1" a="1"/>
  <c r="BN252" i="1" s="1"/>
  <c r="BN253" i="1" a="1"/>
  <c r="BN253" i="1" s="1"/>
  <c r="BN254" i="1" a="1"/>
  <c r="BN254" i="1" s="1"/>
  <c r="BN202" i="1" a="1"/>
  <c r="BN202" i="1" s="1"/>
  <c r="BN256" i="1" a="1"/>
  <c r="BN256" i="1" s="1"/>
  <c r="BN257" i="1" a="1"/>
  <c r="BN257" i="1" s="1"/>
  <c r="BN258" i="1" a="1"/>
  <c r="BN258" i="1" s="1"/>
  <c r="BN259" i="1" a="1"/>
  <c r="BN259" i="1" s="1"/>
  <c r="BN260" i="1" a="1"/>
  <c r="BN260" i="1" s="1"/>
  <c r="BN261" i="1" a="1"/>
  <c r="BN261" i="1" s="1"/>
  <c r="BN262" i="1" a="1"/>
  <c r="BN262" i="1" s="1"/>
  <c r="BN263" i="1" a="1"/>
  <c r="BN263" i="1" s="1"/>
  <c r="BN264" i="1" a="1"/>
  <c r="BN264" i="1" s="1"/>
  <c r="BN265" i="1" a="1"/>
  <c r="BN265" i="1" s="1"/>
  <c r="BN266" i="1" a="1"/>
  <c r="BN266" i="1" s="1"/>
  <c r="BN267" i="1" a="1"/>
  <c r="BN267" i="1" s="1"/>
  <c r="BN268" i="1" a="1"/>
  <c r="BN268" i="1" s="1"/>
  <c r="BN269" i="1" a="1"/>
  <c r="BN269" i="1" s="1"/>
  <c r="BN270" i="1" a="1"/>
  <c r="BN270" i="1" s="1"/>
  <c r="CA270" i="1" s="1"/>
  <c r="BN271" i="1" a="1"/>
  <c r="BN271" i="1" s="1"/>
  <c r="CA269" i="1" l="1"/>
  <c r="F265" i="9"/>
  <c r="CA267" i="1"/>
  <c r="F263" i="9"/>
  <c r="CA202" i="1"/>
  <c r="F198" i="9"/>
  <c r="CA247" i="1"/>
  <c r="F243" i="9"/>
  <c r="CA242" i="1"/>
  <c r="F238" i="9"/>
  <c r="CA237" i="1"/>
  <c r="F233" i="9"/>
  <c r="CA232" i="1"/>
  <c r="F228" i="9"/>
  <c r="CA228" i="1"/>
  <c r="F224" i="9"/>
  <c r="CA224" i="1"/>
  <c r="F220" i="9"/>
  <c r="CA220" i="1"/>
  <c r="F216" i="9"/>
  <c r="CA216" i="1"/>
  <c r="F212" i="9"/>
  <c r="CA212" i="1"/>
  <c r="F208" i="9"/>
  <c r="CA208" i="1"/>
  <c r="F204" i="9"/>
  <c r="CA204" i="1"/>
  <c r="F200" i="9"/>
  <c r="CA200" i="1"/>
  <c r="F196" i="9"/>
  <c r="CA196" i="1"/>
  <c r="F192" i="9"/>
  <c r="CA192" i="1"/>
  <c r="F188" i="9"/>
  <c r="CA188" i="1"/>
  <c r="F184" i="9"/>
  <c r="CA191" i="1"/>
  <c r="F187" i="9"/>
  <c r="CA176" i="1"/>
  <c r="F172" i="9"/>
  <c r="CA172" i="1"/>
  <c r="F168" i="9"/>
  <c r="CA168" i="1"/>
  <c r="F164" i="9"/>
  <c r="CA164" i="1"/>
  <c r="F160" i="9"/>
  <c r="CA159" i="1"/>
  <c r="F155" i="9"/>
  <c r="CA92" i="1"/>
  <c r="F88" i="9"/>
  <c r="CA151" i="1"/>
  <c r="F147" i="9"/>
  <c r="CA147" i="1"/>
  <c r="F143" i="9"/>
  <c r="CA143" i="1"/>
  <c r="F139" i="9"/>
  <c r="CA139" i="1"/>
  <c r="F135" i="9"/>
  <c r="CA135" i="1"/>
  <c r="F131" i="9"/>
  <c r="CA130" i="1"/>
  <c r="F126" i="9"/>
  <c r="CA125" i="1"/>
  <c r="F121" i="9"/>
  <c r="CA67" i="1"/>
  <c r="F63" i="9"/>
  <c r="CA116" i="1"/>
  <c r="F112" i="9"/>
  <c r="CA111" i="1"/>
  <c r="F107" i="9"/>
  <c r="CA107" i="1"/>
  <c r="F103" i="9"/>
  <c r="CA103" i="1"/>
  <c r="F99" i="9"/>
  <c r="CA99" i="1"/>
  <c r="F95" i="9"/>
  <c r="CA95" i="1"/>
  <c r="F91" i="9"/>
  <c r="CA163" i="1"/>
  <c r="F159" i="9"/>
  <c r="CA85" i="1"/>
  <c r="F81" i="9"/>
  <c r="CA81" i="1"/>
  <c r="F77" i="9"/>
  <c r="CA77" i="1"/>
  <c r="F73" i="9"/>
  <c r="CA73" i="1"/>
  <c r="F69" i="9"/>
  <c r="CA69" i="1"/>
  <c r="F65" i="9"/>
  <c r="CA64" i="1"/>
  <c r="F60" i="9"/>
  <c r="CA60" i="1"/>
  <c r="F56" i="9"/>
  <c r="CA56" i="1"/>
  <c r="F52" i="9"/>
  <c r="CA51" i="1"/>
  <c r="F47" i="9"/>
  <c r="CA47" i="1"/>
  <c r="F43" i="9"/>
  <c r="CA43" i="1"/>
  <c r="F39" i="9"/>
  <c r="CA39" i="1"/>
  <c r="F35" i="9"/>
  <c r="CA34" i="1"/>
  <c r="F30" i="9"/>
  <c r="CA30" i="1"/>
  <c r="F26" i="9"/>
  <c r="CA26" i="1"/>
  <c r="F22" i="9"/>
  <c r="CA271" i="1"/>
  <c r="F267" i="9"/>
  <c r="CA263" i="1"/>
  <c r="F259" i="9"/>
  <c r="CA259" i="1"/>
  <c r="F255" i="9"/>
  <c r="CA251" i="1"/>
  <c r="F247" i="9"/>
  <c r="CA266" i="1"/>
  <c r="F262" i="9"/>
  <c r="CA262" i="1"/>
  <c r="F258" i="9"/>
  <c r="CA258" i="1"/>
  <c r="F254" i="9"/>
  <c r="CA254" i="1"/>
  <c r="F250" i="9"/>
  <c r="CA250" i="1"/>
  <c r="F246" i="9"/>
  <c r="CA246" i="1"/>
  <c r="F242" i="9"/>
  <c r="CA241" i="1"/>
  <c r="F237" i="9"/>
  <c r="CA235" i="1"/>
  <c r="F231" i="9"/>
  <c r="CA231" i="1"/>
  <c r="F227" i="9"/>
  <c r="CA227" i="1"/>
  <c r="F223" i="9"/>
  <c r="CA223" i="1"/>
  <c r="F219" i="9"/>
  <c r="CA219" i="1"/>
  <c r="F215" i="9"/>
  <c r="CA215" i="1"/>
  <c r="F211" i="9"/>
  <c r="CA211" i="1"/>
  <c r="F207" i="9"/>
  <c r="CA207" i="1"/>
  <c r="F203" i="9"/>
  <c r="CA203" i="1"/>
  <c r="F199" i="9"/>
  <c r="CA199" i="1"/>
  <c r="F195" i="9"/>
  <c r="CA195" i="1"/>
  <c r="F191" i="9"/>
  <c r="CA35" i="1"/>
  <c r="F31" i="9"/>
  <c r="CA187" i="1"/>
  <c r="F183" i="9"/>
  <c r="CA183" i="1"/>
  <c r="F179" i="9"/>
  <c r="CA179" i="1"/>
  <c r="F175" i="9"/>
  <c r="CA175" i="1"/>
  <c r="F171" i="9"/>
  <c r="CA171" i="1"/>
  <c r="F167" i="9"/>
  <c r="CA167" i="1"/>
  <c r="F163" i="9"/>
  <c r="CA162" i="1"/>
  <c r="F158" i="9"/>
  <c r="CA158" i="1"/>
  <c r="F154" i="9"/>
  <c r="CA154" i="1"/>
  <c r="F150" i="9"/>
  <c r="CA150" i="1"/>
  <c r="F146" i="9"/>
  <c r="CA146" i="1"/>
  <c r="F142" i="9"/>
  <c r="CA142" i="1"/>
  <c r="F138" i="9"/>
  <c r="CA138" i="1"/>
  <c r="F134" i="9"/>
  <c r="CA134" i="1"/>
  <c r="F130" i="9"/>
  <c r="CA129" i="1"/>
  <c r="F125" i="9"/>
  <c r="CA153" i="1"/>
  <c r="F149" i="9"/>
  <c r="CA119" i="1"/>
  <c r="F115" i="9"/>
  <c r="CA115" i="1"/>
  <c r="F111" i="9"/>
  <c r="CA110" i="1"/>
  <c r="F106" i="9"/>
  <c r="CA106" i="1"/>
  <c r="F102" i="9"/>
  <c r="CA102" i="1"/>
  <c r="F98" i="9"/>
  <c r="CA98" i="1"/>
  <c r="F94" i="9"/>
  <c r="CA94" i="1"/>
  <c r="F90" i="9"/>
  <c r="CA88" i="1"/>
  <c r="F84" i="9"/>
  <c r="CA84" i="1"/>
  <c r="F80" i="9"/>
  <c r="CA80" i="1"/>
  <c r="F76" i="9"/>
  <c r="CA76" i="1"/>
  <c r="F72" i="9"/>
  <c r="CA72" i="1"/>
  <c r="F68" i="9"/>
  <c r="CA68" i="1"/>
  <c r="F64" i="9"/>
  <c r="CA63" i="1"/>
  <c r="F59" i="9"/>
  <c r="CA59" i="1"/>
  <c r="F55" i="9"/>
  <c r="CA54" i="1"/>
  <c r="F50" i="9"/>
  <c r="CA50" i="1"/>
  <c r="F46" i="9"/>
  <c r="CA46" i="1"/>
  <c r="F42" i="9"/>
  <c r="CA42" i="1"/>
  <c r="F38" i="9"/>
  <c r="CA38" i="1"/>
  <c r="F34" i="9"/>
  <c r="CA33" i="1"/>
  <c r="F29" i="9"/>
  <c r="CA29" i="1"/>
  <c r="F25" i="9"/>
  <c r="CA25" i="1"/>
  <c r="F21" i="9"/>
  <c r="CA265" i="1"/>
  <c r="F261" i="9"/>
  <c r="CA257" i="1"/>
  <c r="F253" i="9"/>
  <c r="CA244" i="1"/>
  <c r="F240" i="9"/>
  <c r="CA240" i="1"/>
  <c r="F236" i="9"/>
  <c r="CA234" i="1"/>
  <c r="F230" i="9"/>
  <c r="CA230" i="1"/>
  <c r="F226" i="9"/>
  <c r="CA226" i="1"/>
  <c r="F222" i="9"/>
  <c r="CA222" i="1"/>
  <c r="F218" i="9"/>
  <c r="CA218" i="1"/>
  <c r="F214" i="9"/>
  <c r="CA214" i="1"/>
  <c r="F210" i="9"/>
  <c r="CA210" i="1"/>
  <c r="F206" i="9"/>
  <c r="CA206" i="1"/>
  <c r="F202" i="9"/>
  <c r="CA255" i="1"/>
  <c r="F251" i="9"/>
  <c r="CA198" i="1"/>
  <c r="F194" i="9"/>
  <c r="CA194" i="1"/>
  <c r="F190" i="9"/>
  <c r="CA190" i="1"/>
  <c r="F186" i="9"/>
  <c r="CA19" i="1"/>
  <c r="F15" i="9"/>
  <c r="CA182" i="1"/>
  <c r="F178" i="9"/>
  <c r="CA178" i="1"/>
  <c r="F174" i="9"/>
  <c r="CA174" i="1"/>
  <c r="F170" i="9"/>
  <c r="CA170" i="1"/>
  <c r="F166" i="9"/>
  <c r="CA166" i="1"/>
  <c r="F162" i="9"/>
  <c r="CA161" i="1"/>
  <c r="F157" i="9"/>
  <c r="CA157" i="1"/>
  <c r="F153" i="9"/>
  <c r="CA120" i="1"/>
  <c r="F116" i="9"/>
  <c r="CA149" i="1"/>
  <c r="F145" i="9"/>
  <c r="CA145" i="1"/>
  <c r="F141" i="9"/>
  <c r="CA141" i="1"/>
  <c r="F137" i="9"/>
  <c r="CA137" i="1"/>
  <c r="F133" i="9"/>
  <c r="CA133" i="1"/>
  <c r="F129" i="9"/>
  <c r="CA128" i="1"/>
  <c r="F124" i="9"/>
  <c r="CA123" i="1"/>
  <c r="F119" i="9"/>
  <c r="CA118" i="1"/>
  <c r="F114" i="9"/>
  <c r="CA89" i="1"/>
  <c r="F85" i="9"/>
  <c r="CA109" i="1"/>
  <c r="F105" i="9"/>
  <c r="CA105" i="1"/>
  <c r="F101" i="9"/>
  <c r="CA101" i="1"/>
  <c r="F97" i="9"/>
  <c r="CA97" i="1"/>
  <c r="F93" i="9"/>
  <c r="CA93" i="1"/>
  <c r="F89" i="9"/>
  <c r="CA87" i="1"/>
  <c r="F83" i="9"/>
  <c r="CA83" i="1"/>
  <c r="F79" i="9"/>
  <c r="CA79" i="1"/>
  <c r="F75" i="9"/>
  <c r="CA75" i="1"/>
  <c r="F71" i="9"/>
  <c r="CA71" i="1"/>
  <c r="F67" i="9"/>
  <c r="CA66" i="1"/>
  <c r="F62" i="9"/>
  <c r="CA62" i="1"/>
  <c r="F58" i="9"/>
  <c r="CA58" i="1"/>
  <c r="F54" i="9"/>
  <c r="CA53" i="1"/>
  <c r="F49" i="9"/>
  <c r="CA49" i="1"/>
  <c r="F45" i="9"/>
  <c r="CA45" i="1"/>
  <c r="F41" i="9"/>
  <c r="CA41" i="1"/>
  <c r="F37" i="9"/>
  <c r="CA37" i="1"/>
  <c r="F33" i="9"/>
  <c r="CA32" i="1"/>
  <c r="F28" i="9"/>
  <c r="CA28" i="1"/>
  <c r="F24" i="9"/>
  <c r="CA24" i="1"/>
  <c r="F20" i="9"/>
  <c r="CA261" i="1"/>
  <c r="F257" i="9"/>
  <c r="CA253" i="1"/>
  <c r="F249" i="9"/>
  <c r="CA249" i="1"/>
  <c r="F245" i="9"/>
  <c r="CA268" i="1"/>
  <c r="F264" i="9"/>
  <c r="CA264" i="1"/>
  <c r="F260" i="9"/>
  <c r="CA260" i="1"/>
  <c r="F256" i="9"/>
  <c r="CA256" i="1"/>
  <c r="F252" i="9"/>
  <c r="CA252" i="1"/>
  <c r="F248" i="9"/>
  <c r="CA248" i="1"/>
  <c r="F244" i="9"/>
  <c r="CA243" i="1"/>
  <c r="F239" i="9"/>
  <c r="CA239" i="1"/>
  <c r="F235" i="9"/>
  <c r="CA233" i="1"/>
  <c r="F229" i="9"/>
  <c r="CA229" i="1"/>
  <c r="F225" i="9"/>
  <c r="CA225" i="1"/>
  <c r="F221" i="9"/>
  <c r="CA221" i="1"/>
  <c r="F217" i="9"/>
  <c r="CA217" i="1"/>
  <c r="F213" i="9"/>
  <c r="CA213" i="1"/>
  <c r="F209" i="9"/>
  <c r="CA114" i="1"/>
  <c r="F110" i="9"/>
  <c r="CA205" i="1"/>
  <c r="F201" i="9"/>
  <c r="CA201" i="1"/>
  <c r="F197" i="9"/>
  <c r="CA197" i="1"/>
  <c r="F193" i="9"/>
  <c r="CA193" i="1"/>
  <c r="F189" i="9"/>
  <c r="CA189" i="1"/>
  <c r="F185" i="9"/>
  <c r="CA185" i="1"/>
  <c r="F181" i="9"/>
  <c r="CA181" i="1"/>
  <c r="F177" i="9"/>
  <c r="CA177" i="1"/>
  <c r="F173" i="9"/>
  <c r="CA173" i="1"/>
  <c r="F169" i="9"/>
  <c r="CA169" i="1"/>
  <c r="F165" i="9"/>
  <c r="CA165" i="1"/>
  <c r="F161" i="9"/>
  <c r="CA160" i="1"/>
  <c r="F156" i="9"/>
  <c r="CA156" i="1"/>
  <c r="F152" i="9"/>
  <c r="CA152" i="1"/>
  <c r="F148" i="9"/>
  <c r="CA148" i="1"/>
  <c r="F144" i="9"/>
  <c r="CA144" i="1"/>
  <c r="F140" i="9"/>
  <c r="CA140" i="1"/>
  <c r="F136" i="9"/>
  <c r="CA136" i="1"/>
  <c r="F132" i="9"/>
  <c r="CA131" i="1"/>
  <c r="F127" i="9"/>
  <c r="CA126" i="1"/>
  <c r="F122" i="9"/>
  <c r="CA122" i="1"/>
  <c r="F118" i="9"/>
  <c r="CA117" i="1"/>
  <c r="F113" i="9"/>
  <c r="CA112" i="1"/>
  <c r="F108" i="9"/>
  <c r="CA108" i="1"/>
  <c r="F104" i="9"/>
  <c r="CA104" i="1"/>
  <c r="F100" i="9"/>
  <c r="CA100" i="1"/>
  <c r="F96" i="9"/>
  <c r="CA96" i="1"/>
  <c r="F92" i="9"/>
  <c r="CA91" i="1"/>
  <c r="F87" i="9"/>
  <c r="CA86" i="1"/>
  <c r="F82" i="9"/>
  <c r="CA82" i="1"/>
  <c r="F78" i="9"/>
  <c r="CA78" i="1"/>
  <c r="F74" i="9"/>
  <c r="CA74" i="1"/>
  <c r="F70" i="9"/>
  <c r="CA184" i="1"/>
  <c r="F180" i="9"/>
  <c r="CA127" i="1"/>
  <c r="F123" i="9"/>
  <c r="CA61" i="1"/>
  <c r="F57" i="9"/>
  <c r="CA57" i="1"/>
  <c r="F53" i="9"/>
  <c r="CA52" i="1"/>
  <c r="F48" i="9"/>
  <c r="CA48" i="1"/>
  <c r="F44" i="9"/>
  <c r="CA44" i="1"/>
  <c r="F40" i="9"/>
  <c r="CA40" i="1"/>
  <c r="F36" i="9"/>
  <c r="CA36" i="1"/>
  <c r="F32" i="9"/>
  <c r="CA31" i="1"/>
  <c r="F27" i="9"/>
  <c r="CA27" i="1"/>
  <c r="F23" i="9"/>
  <c r="CA23" i="1"/>
  <c r="F19" i="9"/>
  <c r="BY271" i="1"/>
  <c r="BY259" i="1"/>
  <c r="BY251" i="1"/>
  <c r="BY247" i="1"/>
  <c r="BY242" i="1"/>
  <c r="BY237" i="1"/>
  <c r="BY232" i="1"/>
  <c r="BY228" i="1"/>
  <c r="BY224" i="1"/>
  <c r="BY220" i="1"/>
  <c r="BY216" i="1"/>
  <c r="BY212" i="1"/>
  <c r="BY208" i="1"/>
  <c r="BY204" i="1"/>
  <c r="BY200" i="1"/>
  <c r="BY196" i="1"/>
  <c r="BY192" i="1"/>
  <c r="BY188" i="1"/>
  <c r="BY191" i="1"/>
  <c r="BY176" i="1"/>
  <c r="BY172" i="1"/>
  <c r="BY168" i="1"/>
  <c r="BY164" i="1"/>
  <c r="BY159" i="1"/>
  <c r="BY92" i="1"/>
  <c r="BY151" i="1"/>
  <c r="BY147" i="1"/>
  <c r="BY143" i="1"/>
  <c r="BY139" i="1"/>
  <c r="BY135" i="1"/>
  <c r="BY130" i="1"/>
  <c r="BY125" i="1"/>
  <c r="BY67" i="1"/>
  <c r="BY116" i="1"/>
  <c r="BY111" i="1"/>
  <c r="BY107" i="1"/>
  <c r="BY103" i="1"/>
  <c r="BY99" i="1"/>
  <c r="BY95" i="1"/>
  <c r="BY163" i="1"/>
  <c r="BY86" i="1"/>
  <c r="BY82" i="1"/>
  <c r="BY78" i="1"/>
  <c r="BY74" i="1"/>
  <c r="BY184" i="1"/>
  <c r="BY127" i="1"/>
  <c r="BY61" i="1"/>
  <c r="BY57" i="1"/>
  <c r="BY52" i="1"/>
  <c r="BY48" i="1"/>
  <c r="BY44" i="1"/>
  <c r="BY40" i="1"/>
  <c r="BY36" i="1"/>
  <c r="BY31" i="1"/>
  <c r="BY27" i="1"/>
  <c r="BY23" i="1"/>
  <c r="BY267" i="1"/>
  <c r="BY202" i="1"/>
  <c r="BY270" i="1"/>
  <c r="BY266" i="1"/>
  <c r="BY262" i="1"/>
  <c r="BY258" i="1"/>
  <c r="BY254" i="1"/>
  <c r="BY250" i="1"/>
  <c r="BY246" i="1"/>
  <c r="BY241" i="1"/>
  <c r="BY235" i="1"/>
  <c r="BY231" i="1"/>
  <c r="BY227" i="1"/>
  <c r="BY223" i="1"/>
  <c r="BY219" i="1"/>
  <c r="BY215" i="1"/>
  <c r="BY211" i="1"/>
  <c r="BY207" i="1"/>
  <c r="BY203" i="1"/>
  <c r="BY199" i="1"/>
  <c r="BY195" i="1"/>
  <c r="BY35" i="1"/>
  <c r="BY187" i="1"/>
  <c r="BY183" i="1"/>
  <c r="BY179" i="1"/>
  <c r="BY175" i="1"/>
  <c r="BY171" i="1"/>
  <c r="BY167" i="1"/>
  <c r="BY162" i="1"/>
  <c r="BY158" i="1"/>
  <c r="BY154" i="1"/>
  <c r="BY150" i="1"/>
  <c r="BY146" i="1"/>
  <c r="BY142" i="1"/>
  <c r="BY138" i="1"/>
  <c r="BY134" i="1"/>
  <c r="BY129" i="1"/>
  <c r="BY153" i="1"/>
  <c r="BY119" i="1"/>
  <c r="BY115" i="1"/>
  <c r="BY110" i="1"/>
  <c r="BY106" i="1"/>
  <c r="BY102" i="1"/>
  <c r="BY98" i="1"/>
  <c r="BY94" i="1"/>
  <c r="BY124" i="1"/>
  <c r="BY85" i="1"/>
  <c r="BY81" i="1"/>
  <c r="BY77" i="1"/>
  <c r="BY73" i="1"/>
  <c r="BY69" i="1"/>
  <c r="BY64" i="1"/>
  <c r="BY60" i="1"/>
  <c r="BY56" i="1"/>
  <c r="BY51" i="1"/>
  <c r="BY47" i="1"/>
  <c r="BY43" i="1"/>
  <c r="BY39" i="1"/>
  <c r="BY34" i="1"/>
  <c r="BY30" i="1"/>
  <c r="BY26" i="1"/>
  <c r="BY269" i="1"/>
  <c r="BY261" i="1"/>
  <c r="BY253" i="1"/>
  <c r="BY244" i="1"/>
  <c r="BY240" i="1"/>
  <c r="BY234" i="1"/>
  <c r="BY230" i="1"/>
  <c r="BY226" i="1"/>
  <c r="BY222" i="1"/>
  <c r="BY218" i="1"/>
  <c r="BY214" i="1"/>
  <c r="BY210" i="1"/>
  <c r="BY206" i="1"/>
  <c r="BY255" i="1"/>
  <c r="BY198" i="1"/>
  <c r="BY194" i="1"/>
  <c r="BY190" i="1"/>
  <c r="BY19" i="1"/>
  <c r="BY182" i="1"/>
  <c r="BY178" i="1"/>
  <c r="BY174" i="1"/>
  <c r="BY170" i="1"/>
  <c r="BY166" i="1"/>
  <c r="BY161" i="1"/>
  <c r="BY157" i="1"/>
  <c r="BY120" i="1"/>
  <c r="BY149" i="1"/>
  <c r="BY145" i="1"/>
  <c r="BY141" i="1"/>
  <c r="BY137" i="1"/>
  <c r="BY133" i="1"/>
  <c r="BY128" i="1"/>
  <c r="BY123" i="1"/>
  <c r="BY118" i="1"/>
  <c r="BY89" i="1"/>
  <c r="BY109" i="1"/>
  <c r="BY105" i="1"/>
  <c r="BY101" i="1"/>
  <c r="BY97" i="1"/>
  <c r="BY93" i="1"/>
  <c r="BY88" i="1"/>
  <c r="BY84" i="1"/>
  <c r="BY80" i="1"/>
  <c r="BY76" i="1"/>
  <c r="BY72" i="1"/>
  <c r="BY68" i="1"/>
  <c r="BY63" i="1"/>
  <c r="BY59" i="1"/>
  <c r="BY54" i="1"/>
  <c r="BY50" i="1"/>
  <c r="BY46" i="1"/>
  <c r="BY42" i="1"/>
  <c r="BY38" i="1"/>
  <c r="BY33" i="1"/>
  <c r="BY29" i="1"/>
  <c r="BY25" i="1"/>
  <c r="BY263" i="1"/>
  <c r="BY265" i="1"/>
  <c r="BY257" i="1"/>
  <c r="BY249" i="1"/>
  <c r="BY268" i="1"/>
  <c r="BY264" i="1"/>
  <c r="BY260" i="1"/>
  <c r="BY256" i="1"/>
  <c r="BY252" i="1"/>
  <c r="BY248" i="1"/>
  <c r="BY243" i="1"/>
  <c r="BY239" i="1"/>
  <c r="BY233" i="1"/>
  <c r="BY229" i="1"/>
  <c r="BY225" i="1"/>
  <c r="BY221" i="1"/>
  <c r="BY217" i="1"/>
  <c r="BY213" i="1"/>
  <c r="BY114" i="1"/>
  <c r="BY205" i="1"/>
  <c r="BY201" i="1"/>
  <c r="BY197" i="1"/>
  <c r="BY193" i="1"/>
  <c r="BY189" i="1"/>
  <c r="BY185" i="1"/>
  <c r="BY181" i="1"/>
  <c r="BY177" i="1"/>
  <c r="BY173" i="1"/>
  <c r="BY169" i="1"/>
  <c r="BY165" i="1"/>
  <c r="BY160" i="1"/>
  <c r="BY156" i="1"/>
  <c r="BY152" i="1"/>
  <c r="BY148" i="1"/>
  <c r="BY144" i="1"/>
  <c r="BY140" i="1"/>
  <c r="BY136" i="1"/>
  <c r="BY131" i="1"/>
  <c r="BY126" i="1"/>
  <c r="BY122" i="1"/>
  <c r="BY117" i="1"/>
  <c r="BY112" i="1"/>
  <c r="BY108" i="1"/>
  <c r="BY104" i="1"/>
  <c r="BY100" i="1"/>
  <c r="BY96" i="1"/>
  <c r="BY91" i="1"/>
  <c r="BY87" i="1"/>
  <c r="BY83" i="1"/>
  <c r="BY79" i="1"/>
  <c r="BY75" i="1"/>
  <c r="BY71" i="1"/>
  <c r="BY66" i="1"/>
  <c r="BY62" i="1"/>
  <c r="BY58" i="1"/>
  <c r="BY53" i="1"/>
  <c r="BY49" i="1"/>
  <c r="BY45" i="1"/>
  <c r="BY41" i="1"/>
  <c r="BY37" i="1"/>
  <c r="BY32" i="1"/>
  <c r="BY28" i="1"/>
  <c r="BY24" i="1"/>
  <c r="EF269" i="1"/>
  <c r="EH269" i="1" s="1"/>
  <c r="EJ269" i="1" s="1"/>
  <c r="EF265" i="1"/>
  <c r="EH265" i="1" s="1"/>
  <c r="EJ265" i="1" s="1"/>
  <c r="EF261" i="1"/>
  <c r="EH261" i="1" s="1"/>
  <c r="EJ261" i="1" s="1"/>
  <c r="EF257" i="1"/>
  <c r="EH257" i="1" s="1"/>
  <c r="EJ257" i="1" s="1"/>
  <c r="EF253" i="1"/>
  <c r="EH253" i="1" s="1"/>
  <c r="EJ253" i="1" s="1"/>
  <c r="EF249" i="1"/>
  <c r="EH249" i="1" s="1"/>
  <c r="EJ249" i="1" s="1"/>
  <c r="EF244" i="1"/>
  <c r="EH244" i="1" s="1"/>
  <c r="EJ244" i="1" s="1"/>
  <c r="EF240" i="1"/>
  <c r="EH240" i="1" s="1"/>
  <c r="EJ240" i="1" s="1"/>
  <c r="EF234" i="1"/>
  <c r="EH234" i="1" s="1"/>
  <c r="EJ234" i="1" s="1"/>
  <c r="EF230" i="1"/>
  <c r="EH230" i="1" s="1"/>
  <c r="EJ230" i="1" s="1"/>
  <c r="EF226" i="1"/>
  <c r="EH226" i="1" s="1"/>
  <c r="EJ226" i="1" s="1"/>
  <c r="EF222" i="1"/>
  <c r="EH222" i="1" s="1"/>
  <c r="EJ222" i="1" s="1"/>
  <c r="EF218" i="1"/>
  <c r="EH218" i="1" s="1"/>
  <c r="EJ218" i="1" s="1"/>
  <c r="EF214" i="1"/>
  <c r="EH214" i="1" s="1"/>
  <c r="EJ214" i="1" s="1"/>
  <c r="EF210" i="1"/>
  <c r="EH210" i="1" s="1"/>
  <c r="EJ210" i="1" s="1"/>
  <c r="EF206" i="1"/>
  <c r="EH206" i="1" s="1"/>
  <c r="EJ206" i="1" s="1"/>
  <c r="EF255" i="1"/>
  <c r="EH255" i="1" s="1"/>
  <c r="EJ255" i="1" s="1"/>
  <c r="EF198" i="1"/>
  <c r="EH198" i="1" s="1"/>
  <c r="EJ198" i="1" s="1"/>
  <c r="EF194" i="1"/>
  <c r="EH194" i="1" s="1"/>
  <c r="EJ194" i="1" s="1"/>
  <c r="EF190" i="1"/>
  <c r="EH190" i="1" s="1"/>
  <c r="EJ190" i="1" s="1"/>
  <c r="EF182" i="1"/>
  <c r="EH182" i="1" s="1"/>
  <c r="EJ182" i="1" s="1"/>
  <c r="EF178" i="1"/>
  <c r="EH178" i="1" s="1"/>
  <c r="EJ178" i="1" s="1"/>
  <c r="EF174" i="1"/>
  <c r="EH174" i="1" s="1"/>
  <c r="EJ174" i="1" s="1"/>
  <c r="EF170" i="1"/>
  <c r="EH170" i="1" s="1"/>
  <c r="EJ170" i="1" s="1"/>
  <c r="EF166" i="1"/>
  <c r="EH166" i="1" s="1"/>
  <c r="EJ166" i="1" s="1"/>
  <c r="EF161" i="1"/>
  <c r="EH161" i="1" s="1"/>
  <c r="EJ161" i="1" s="1"/>
  <c r="EF157" i="1"/>
  <c r="EH157" i="1" s="1"/>
  <c r="EJ157" i="1" s="1"/>
  <c r="EF149" i="1"/>
  <c r="EH149" i="1" s="1"/>
  <c r="EJ149" i="1" s="1"/>
  <c r="EF145" i="1"/>
  <c r="EH145" i="1" s="1"/>
  <c r="EJ145" i="1" s="1"/>
  <c r="EF141" i="1"/>
  <c r="EH141" i="1" s="1"/>
  <c r="EJ141" i="1" s="1"/>
  <c r="EF137" i="1"/>
  <c r="EH137" i="1" s="1"/>
  <c r="EJ137" i="1" s="1"/>
  <c r="EF133" i="1"/>
  <c r="EH133" i="1" s="1"/>
  <c r="EJ133" i="1" s="1"/>
  <c r="EF128" i="1"/>
  <c r="EH128" i="1" s="1"/>
  <c r="EJ128" i="1" s="1"/>
  <c r="EF123" i="1"/>
  <c r="EH123" i="1" s="1"/>
  <c r="EJ123" i="1" s="1"/>
  <c r="EF119" i="1"/>
  <c r="EH119" i="1" s="1"/>
  <c r="EJ119" i="1" s="1"/>
  <c r="EF115" i="1"/>
  <c r="EH115" i="1" s="1"/>
  <c r="EJ115" i="1" s="1"/>
  <c r="EF110" i="1"/>
  <c r="EH110" i="1" s="1"/>
  <c r="EJ110" i="1" s="1"/>
  <c r="EF106" i="1"/>
  <c r="EH106" i="1" s="1"/>
  <c r="EJ106" i="1" s="1"/>
  <c r="EF102" i="1"/>
  <c r="EH102" i="1" s="1"/>
  <c r="EJ102" i="1" s="1"/>
  <c r="EF98" i="1"/>
  <c r="EH98" i="1" s="1"/>
  <c r="EJ98" i="1" s="1"/>
  <c r="EF94" i="1"/>
  <c r="EH94" i="1" s="1"/>
  <c r="EJ94" i="1" s="1"/>
  <c r="EF163" i="1"/>
  <c r="EH163" i="1" s="1"/>
  <c r="EJ163" i="1" s="1"/>
  <c r="EF86" i="1"/>
  <c r="EH86" i="1" s="1"/>
  <c r="EJ86" i="1" s="1"/>
  <c r="EF82" i="1"/>
  <c r="EH82" i="1" s="1"/>
  <c r="EJ82" i="1" s="1"/>
  <c r="EF78" i="1"/>
  <c r="EH78" i="1" s="1"/>
  <c r="EJ78" i="1" s="1"/>
  <c r="EF74" i="1"/>
  <c r="EH74" i="1" s="1"/>
  <c r="EJ74" i="1" s="1"/>
  <c r="EF184" i="1"/>
  <c r="EH184" i="1" s="1"/>
  <c r="EJ184" i="1" s="1"/>
  <c r="EF127" i="1"/>
  <c r="EH127" i="1" s="1"/>
  <c r="EJ127" i="1" s="1"/>
  <c r="EF61" i="1"/>
  <c r="EH61" i="1" s="1"/>
  <c r="EJ61" i="1" s="1"/>
  <c r="EF57" i="1"/>
  <c r="EH57" i="1" s="1"/>
  <c r="EJ57" i="1" s="1"/>
  <c r="EF52" i="1"/>
  <c r="EH52" i="1" s="1"/>
  <c r="EJ52" i="1" s="1"/>
  <c r="EF48" i="1"/>
  <c r="EH48" i="1" s="1"/>
  <c r="EJ48" i="1" s="1"/>
  <c r="EF44" i="1"/>
  <c r="EH44" i="1" s="1"/>
  <c r="EJ44" i="1" s="1"/>
  <c r="EF40" i="1"/>
  <c r="EH40" i="1" s="1"/>
  <c r="EJ40" i="1" s="1"/>
  <c r="EF36" i="1"/>
  <c r="EH36" i="1" s="1"/>
  <c r="EJ36" i="1" s="1"/>
  <c r="EF31" i="1"/>
  <c r="EH31" i="1" s="1"/>
  <c r="EJ31" i="1" s="1"/>
  <c r="EF27" i="1"/>
  <c r="EH27" i="1" s="1"/>
  <c r="EJ27" i="1" s="1"/>
  <c r="EF23" i="1"/>
  <c r="EH23" i="1" s="1"/>
  <c r="EJ23" i="1" s="1"/>
  <c r="EF271" i="1"/>
  <c r="EH271" i="1" s="1"/>
  <c r="EJ271" i="1" s="1"/>
  <c r="EF268" i="1"/>
  <c r="EH268" i="1" s="1"/>
  <c r="EJ268" i="1" s="1"/>
  <c r="EF264" i="1"/>
  <c r="EH264" i="1" s="1"/>
  <c r="EJ264" i="1" s="1"/>
  <c r="EF260" i="1"/>
  <c r="EH260" i="1" s="1"/>
  <c r="EJ260" i="1" s="1"/>
  <c r="EF256" i="1"/>
  <c r="EH256" i="1" s="1"/>
  <c r="EJ256" i="1" s="1"/>
  <c r="EF252" i="1"/>
  <c r="EH252" i="1" s="1"/>
  <c r="EJ252" i="1" s="1"/>
  <c r="EF248" i="1"/>
  <c r="EH248" i="1" s="1"/>
  <c r="EJ248" i="1" s="1"/>
  <c r="EF243" i="1"/>
  <c r="EH243" i="1" s="1"/>
  <c r="EJ243" i="1" s="1"/>
  <c r="EF239" i="1"/>
  <c r="EH239" i="1" s="1"/>
  <c r="EJ239" i="1" s="1"/>
  <c r="EF233" i="1"/>
  <c r="EH233" i="1" s="1"/>
  <c r="EJ233" i="1" s="1"/>
  <c r="EF229" i="1"/>
  <c r="EH229" i="1" s="1"/>
  <c r="EJ229" i="1" s="1"/>
  <c r="EF225" i="1"/>
  <c r="EH225" i="1" s="1"/>
  <c r="EJ225" i="1" s="1"/>
  <c r="EF221" i="1"/>
  <c r="EH221" i="1" s="1"/>
  <c r="EJ221" i="1" s="1"/>
  <c r="EF217" i="1"/>
  <c r="EH217" i="1" s="1"/>
  <c r="EJ217" i="1" s="1"/>
  <c r="EF213" i="1"/>
  <c r="EH213" i="1" s="1"/>
  <c r="EJ213" i="1" s="1"/>
  <c r="EF205" i="1"/>
  <c r="EH205" i="1" s="1"/>
  <c r="EJ205" i="1" s="1"/>
  <c r="EF201" i="1"/>
  <c r="EH201" i="1" s="1"/>
  <c r="EJ201" i="1" s="1"/>
  <c r="EF197" i="1"/>
  <c r="EH197" i="1" s="1"/>
  <c r="EJ197" i="1" s="1"/>
  <c r="EF193" i="1"/>
  <c r="EH193" i="1" s="1"/>
  <c r="EJ193" i="1" s="1"/>
  <c r="EF189" i="1"/>
  <c r="EH189" i="1" s="1"/>
  <c r="EJ189" i="1" s="1"/>
  <c r="EF185" i="1"/>
  <c r="EH185" i="1" s="1"/>
  <c r="EJ185" i="1" s="1"/>
  <c r="EF181" i="1"/>
  <c r="EH181" i="1" s="1"/>
  <c r="EJ181" i="1" s="1"/>
  <c r="EF177" i="1"/>
  <c r="EH177" i="1" s="1"/>
  <c r="EJ177" i="1" s="1"/>
  <c r="EF173" i="1"/>
  <c r="EH173" i="1" s="1"/>
  <c r="EJ173" i="1" s="1"/>
  <c r="EF169" i="1"/>
  <c r="EH169" i="1" s="1"/>
  <c r="EJ169" i="1" s="1"/>
  <c r="EF165" i="1"/>
  <c r="EH165" i="1" s="1"/>
  <c r="EJ165" i="1" s="1"/>
  <c r="EF160" i="1"/>
  <c r="EH160" i="1" s="1"/>
  <c r="EJ160" i="1" s="1"/>
  <c r="EF156" i="1"/>
  <c r="EH156" i="1" s="1"/>
  <c r="EJ156" i="1" s="1"/>
  <c r="EF152" i="1"/>
  <c r="EH152" i="1" s="1"/>
  <c r="EJ152" i="1" s="1"/>
  <c r="EF148" i="1"/>
  <c r="EH148" i="1" s="1"/>
  <c r="EJ148" i="1" s="1"/>
  <c r="EF144" i="1"/>
  <c r="EH144" i="1" s="1"/>
  <c r="EJ144" i="1" s="1"/>
  <c r="EF140" i="1"/>
  <c r="EH140" i="1" s="1"/>
  <c r="EJ140" i="1" s="1"/>
  <c r="EF136" i="1"/>
  <c r="EH136" i="1" s="1"/>
  <c r="EJ136" i="1" s="1"/>
  <c r="EF131" i="1"/>
  <c r="EH131" i="1" s="1"/>
  <c r="EJ131" i="1" s="1"/>
  <c r="EF126" i="1"/>
  <c r="EH126" i="1" s="1"/>
  <c r="EJ126" i="1" s="1"/>
  <c r="EF122" i="1"/>
  <c r="EH122" i="1" s="1"/>
  <c r="EJ122" i="1" s="1"/>
  <c r="EF118" i="1"/>
  <c r="EH118" i="1" s="1"/>
  <c r="EJ118" i="1" s="1"/>
  <c r="EF109" i="1"/>
  <c r="EH109" i="1" s="1"/>
  <c r="EJ109" i="1" s="1"/>
  <c r="EF105" i="1"/>
  <c r="EH105" i="1" s="1"/>
  <c r="EJ105" i="1" s="1"/>
  <c r="EF101" i="1"/>
  <c r="EH101" i="1" s="1"/>
  <c r="EJ101" i="1" s="1"/>
  <c r="EF97" i="1"/>
  <c r="EH97" i="1" s="1"/>
  <c r="EJ97" i="1" s="1"/>
  <c r="EF93" i="1"/>
  <c r="EH93" i="1" s="1"/>
  <c r="EJ93" i="1" s="1"/>
  <c r="EF124" i="1"/>
  <c r="EH124" i="1" s="1"/>
  <c r="EJ124" i="1" s="1"/>
  <c r="EF85" i="1"/>
  <c r="EH85" i="1" s="1"/>
  <c r="EJ85" i="1" s="1"/>
  <c r="EF81" i="1"/>
  <c r="EH81" i="1" s="1"/>
  <c r="EJ81" i="1" s="1"/>
  <c r="EF77" i="1"/>
  <c r="EH77" i="1" s="1"/>
  <c r="EJ77" i="1" s="1"/>
  <c r="EF73" i="1"/>
  <c r="EH73" i="1" s="1"/>
  <c r="EJ73" i="1" s="1"/>
  <c r="EF69" i="1"/>
  <c r="EH69" i="1" s="1"/>
  <c r="EJ69" i="1" s="1"/>
  <c r="EF64" i="1"/>
  <c r="EH64" i="1" s="1"/>
  <c r="EJ64" i="1" s="1"/>
  <c r="EF60" i="1"/>
  <c r="EH60" i="1" s="1"/>
  <c r="EJ60" i="1" s="1"/>
  <c r="EF56" i="1"/>
  <c r="EH56" i="1" s="1"/>
  <c r="EJ56" i="1" s="1"/>
  <c r="EF51" i="1"/>
  <c r="EH51" i="1" s="1"/>
  <c r="EJ51" i="1" s="1"/>
  <c r="EF47" i="1"/>
  <c r="EH47" i="1" s="1"/>
  <c r="EJ47" i="1" s="1"/>
  <c r="EF43" i="1"/>
  <c r="EH43" i="1" s="1"/>
  <c r="EJ43" i="1" s="1"/>
  <c r="EF39" i="1"/>
  <c r="EH39" i="1" s="1"/>
  <c r="EJ39" i="1" s="1"/>
  <c r="EF34" i="1"/>
  <c r="EH34" i="1" s="1"/>
  <c r="EJ34" i="1" s="1"/>
  <c r="EF30" i="1"/>
  <c r="EH30" i="1" s="1"/>
  <c r="EJ30" i="1" s="1"/>
  <c r="EF26" i="1"/>
  <c r="EH26" i="1" s="1"/>
  <c r="EJ26" i="1" s="1"/>
  <c r="EF267" i="1"/>
  <c r="EH267" i="1" s="1"/>
  <c r="EJ267" i="1" s="1"/>
  <c r="EF263" i="1"/>
  <c r="EH263" i="1" s="1"/>
  <c r="EJ263" i="1" s="1"/>
  <c r="EF259" i="1"/>
  <c r="EH259" i="1" s="1"/>
  <c r="EJ259" i="1" s="1"/>
  <c r="EF202" i="1"/>
  <c r="EH202" i="1" s="1"/>
  <c r="EJ202" i="1" s="1"/>
  <c r="EF251" i="1"/>
  <c r="EH251" i="1" s="1"/>
  <c r="EJ251" i="1" s="1"/>
  <c r="EF247" i="1"/>
  <c r="EH247" i="1" s="1"/>
  <c r="EJ247" i="1" s="1"/>
  <c r="EF242" i="1"/>
  <c r="EH242" i="1" s="1"/>
  <c r="EJ242" i="1" s="1"/>
  <c r="EF237" i="1"/>
  <c r="EH237" i="1" s="1"/>
  <c r="EJ237" i="1" s="1"/>
  <c r="EF232" i="1"/>
  <c r="EH232" i="1" s="1"/>
  <c r="EJ232" i="1" s="1"/>
  <c r="EF228" i="1"/>
  <c r="EH228" i="1" s="1"/>
  <c r="EJ228" i="1" s="1"/>
  <c r="EF224" i="1"/>
  <c r="EH224" i="1" s="1"/>
  <c r="EJ224" i="1" s="1"/>
  <c r="EF220" i="1"/>
  <c r="EH220" i="1" s="1"/>
  <c r="EJ220" i="1" s="1"/>
  <c r="EF216" i="1"/>
  <c r="EH216" i="1" s="1"/>
  <c r="EJ216" i="1" s="1"/>
  <c r="EF212" i="1"/>
  <c r="EH212" i="1" s="1"/>
  <c r="EJ212" i="1" s="1"/>
  <c r="EF208" i="1"/>
  <c r="EH208" i="1" s="1"/>
  <c r="EJ208" i="1" s="1"/>
  <c r="EF204" i="1"/>
  <c r="EH204" i="1" s="1"/>
  <c r="EJ204" i="1" s="1"/>
  <c r="EF200" i="1"/>
  <c r="EH200" i="1" s="1"/>
  <c r="EJ200" i="1" s="1"/>
  <c r="EF196" i="1"/>
  <c r="EH196" i="1" s="1"/>
  <c r="EJ196" i="1" s="1"/>
  <c r="EF192" i="1"/>
  <c r="EH192" i="1" s="1"/>
  <c r="EJ192" i="1" s="1"/>
  <c r="EF188" i="1"/>
  <c r="EH188" i="1" s="1"/>
  <c r="EJ188" i="1" s="1"/>
  <c r="EF191" i="1"/>
  <c r="EH191" i="1" s="1"/>
  <c r="EJ191" i="1" s="1"/>
  <c r="EF176" i="1"/>
  <c r="EH176" i="1" s="1"/>
  <c r="EJ176" i="1" s="1"/>
  <c r="EF172" i="1"/>
  <c r="EH172" i="1" s="1"/>
  <c r="EJ172" i="1" s="1"/>
  <c r="EF168" i="1"/>
  <c r="EH168" i="1" s="1"/>
  <c r="EJ168" i="1" s="1"/>
  <c r="EF164" i="1"/>
  <c r="EH164" i="1" s="1"/>
  <c r="EJ164" i="1" s="1"/>
  <c r="EF159" i="1"/>
  <c r="EH159" i="1" s="1"/>
  <c r="EJ159" i="1" s="1"/>
  <c r="EF92" i="1"/>
  <c r="EH92" i="1" s="1"/>
  <c r="EJ92" i="1" s="1"/>
  <c r="EF151" i="1"/>
  <c r="EH151" i="1" s="1"/>
  <c r="EJ151" i="1" s="1"/>
  <c r="EF147" i="1"/>
  <c r="EH147" i="1" s="1"/>
  <c r="EJ147" i="1" s="1"/>
  <c r="EF143" i="1"/>
  <c r="EH143" i="1" s="1"/>
  <c r="EJ143" i="1" s="1"/>
  <c r="EF139" i="1"/>
  <c r="EH139" i="1" s="1"/>
  <c r="EJ139" i="1" s="1"/>
  <c r="EF135" i="1"/>
  <c r="EH135" i="1" s="1"/>
  <c r="EJ135" i="1" s="1"/>
  <c r="EF130" i="1"/>
  <c r="EH130" i="1" s="1"/>
  <c r="EJ130" i="1" s="1"/>
  <c r="EF125" i="1"/>
  <c r="EH125" i="1" s="1"/>
  <c r="EJ125" i="1" s="1"/>
  <c r="EF117" i="1"/>
  <c r="EH117" i="1" s="1"/>
  <c r="EJ117" i="1" s="1"/>
  <c r="EF112" i="1"/>
  <c r="EH112" i="1" s="1"/>
  <c r="EJ112" i="1" s="1"/>
  <c r="EF108" i="1"/>
  <c r="EH108" i="1" s="1"/>
  <c r="EJ108" i="1" s="1"/>
  <c r="EF104" i="1"/>
  <c r="EH104" i="1" s="1"/>
  <c r="EJ104" i="1" s="1"/>
  <c r="EF100" i="1"/>
  <c r="EH100" i="1" s="1"/>
  <c r="EJ100" i="1" s="1"/>
  <c r="EF96" i="1"/>
  <c r="EH96" i="1" s="1"/>
  <c r="EJ96" i="1" s="1"/>
  <c r="EF88" i="1"/>
  <c r="EH88" i="1" s="1"/>
  <c r="EJ88" i="1" s="1"/>
  <c r="EF84" i="1"/>
  <c r="EH84" i="1" s="1"/>
  <c r="EJ84" i="1" s="1"/>
  <c r="EF80" i="1"/>
  <c r="EH80" i="1" s="1"/>
  <c r="EJ80" i="1" s="1"/>
  <c r="EF76" i="1"/>
  <c r="EH76" i="1" s="1"/>
  <c r="EJ76" i="1" s="1"/>
  <c r="EF72" i="1"/>
  <c r="EH72" i="1" s="1"/>
  <c r="EJ72" i="1" s="1"/>
  <c r="EF68" i="1"/>
  <c r="EH68" i="1" s="1"/>
  <c r="EJ68" i="1" s="1"/>
  <c r="EF63" i="1"/>
  <c r="EH63" i="1" s="1"/>
  <c r="EJ63" i="1" s="1"/>
  <c r="EF59" i="1"/>
  <c r="EH59" i="1" s="1"/>
  <c r="EJ59" i="1" s="1"/>
  <c r="EF54" i="1"/>
  <c r="EH54" i="1" s="1"/>
  <c r="EJ54" i="1" s="1"/>
  <c r="EF50" i="1"/>
  <c r="EH50" i="1" s="1"/>
  <c r="EJ50" i="1" s="1"/>
  <c r="EF46" i="1"/>
  <c r="EH46" i="1" s="1"/>
  <c r="EJ46" i="1" s="1"/>
  <c r="EF42" i="1"/>
  <c r="EH42" i="1" s="1"/>
  <c r="EJ42" i="1" s="1"/>
  <c r="EF38" i="1"/>
  <c r="EH38" i="1" s="1"/>
  <c r="EJ38" i="1" s="1"/>
  <c r="EF33" i="1"/>
  <c r="EH33" i="1" s="1"/>
  <c r="EJ33" i="1" s="1"/>
  <c r="EF29" i="1"/>
  <c r="EH29" i="1" s="1"/>
  <c r="EJ29" i="1" s="1"/>
  <c r="EF25" i="1"/>
  <c r="EH25" i="1" s="1"/>
  <c r="EJ25" i="1" s="1"/>
  <c r="EF270" i="1"/>
  <c r="EH270" i="1" s="1"/>
  <c r="EJ270" i="1" s="1"/>
  <c r="EF266" i="1"/>
  <c r="EH266" i="1" s="1"/>
  <c r="EJ266" i="1" s="1"/>
  <c r="EF262" i="1"/>
  <c r="EH262" i="1" s="1"/>
  <c r="EJ262" i="1" s="1"/>
  <c r="EF258" i="1"/>
  <c r="EH258" i="1" s="1"/>
  <c r="EJ258" i="1" s="1"/>
  <c r="EF254" i="1"/>
  <c r="EH254" i="1" s="1"/>
  <c r="EJ254" i="1" s="1"/>
  <c r="EF250" i="1"/>
  <c r="EH250" i="1" s="1"/>
  <c r="EJ250" i="1" s="1"/>
  <c r="EF246" i="1"/>
  <c r="EH246" i="1" s="1"/>
  <c r="EJ246" i="1" s="1"/>
  <c r="EF241" i="1"/>
  <c r="EH241" i="1" s="1"/>
  <c r="EJ241" i="1" s="1"/>
  <c r="EF235" i="1"/>
  <c r="EH235" i="1" s="1"/>
  <c r="EJ235" i="1" s="1"/>
  <c r="EF231" i="1"/>
  <c r="EH231" i="1" s="1"/>
  <c r="EJ231" i="1" s="1"/>
  <c r="EF227" i="1"/>
  <c r="EH227" i="1" s="1"/>
  <c r="EJ227" i="1" s="1"/>
  <c r="EF223" i="1"/>
  <c r="EH223" i="1" s="1"/>
  <c r="EJ223" i="1" s="1"/>
  <c r="EF219" i="1"/>
  <c r="EH219" i="1" s="1"/>
  <c r="EJ219" i="1" s="1"/>
  <c r="EF215" i="1"/>
  <c r="EH215" i="1" s="1"/>
  <c r="EJ215" i="1" s="1"/>
  <c r="EF211" i="1"/>
  <c r="EH211" i="1" s="1"/>
  <c r="EJ211" i="1" s="1"/>
  <c r="EF207" i="1"/>
  <c r="EH207" i="1" s="1"/>
  <c r="EJ207" i="1" s="1"/>
  <c r="EF203" i="1"/>
  <c r="EH203" i="1" s="1"/>
  <c r="EJ203" i="1" s="1"/>
  <c r="EF199" i="1"/>
  <c r="EH199" i="1" s="1"/>
  <c r="EJ199" i="1" s="1"/>
  <c r="EF195" i="1"/>
  <c r="EH195" i="1" s="1"/>
  <c r="EJ195" i="1" s="1"/>
  <c r="EF35" i="1"/>
  <c r="EH35" i="1" s="1"/>
  <c r="EJ35" i="1" s="1"/>
  <c r="EF187" i="1"/>
  <c r="EH187" i="1" s="1"/>
  <c r="EJ187" i="1" s="1"/>
  <c r="EF183" i="1"/>
  <c r="EH183" i="1" s="1"/>
  <c r="EJ183" i="1" s="1"/>
  <c r="EF179" i="1"/>
  <c r="EH179" i="1" s="1"/>
  <c r="EJ179" i="1" s="1"/>
  <c r="EF175" i="1"/>
  <c r="EH175" i="1" s="1"/>
  <c r="EJ175" i="1" s="1"/>
  <c r="EF171" i="1"/>
  <c r="EH171" i="1" s="1"/>
  <c r="EJ171" i="1" s="1"/>
  <c r="EF167" i="1"/>
  <c r="EH167" i="1" s="1"/>
  <c r="EJ167" i="1" s="1"/>
  <c r="EF162" i="1"/>
  <c r="EH162" i="1" s="1"/>
  <c r="EJ162" i="1" s="1"/>
  <c r="EF158" i="1"/>
  <c r="EH158" i="1" s="1"/>
  <c r="EJ158" i="1" s="1"/>
  <c r="EF154" i="1"/>
  <c r="EH154" i="1" s="1"/>
  <c r="EJ154" i="1" s="1"/>
  <c r="EF150" i="1"/>
  <c r="EH150" i="1" s="1"/>
  <c r="EJ150" i="1" s="1"/>
  <c r="EF146" i="1"/>
  <c r="EH146" i="1" s="1"/>
  <c r="EJ146" i="1" s="1"/>
  <c r="EF142" i="1"/>
  <c r="EH142" i="1" s="1"/>
  <c r="EJ142" i="1" s="1"/>
  <c r="EF138" i="1"/>
  <c r="EH138" i="1" s="1"/>
  <c r="EJ138" i="1" s="1"/>
  <c r="EF134" i="1"/>
  <c r="EH134" i="1" s="1"/>
  <c r="EJ134" i="1" s="1"/>
  <c r="EF129" i="1"/>
  <c r="EH129" i="1" s="1"/>
  <c r="EJ129" i="1" s="1"/>
  <c r="EF116" i="1"/>
  <c r="EH116" i="1" s="1"/>
  <c r="EJ116" i="1" s="1"/>
  <c r="EF111" i="1"/>
  <c r="EH111" i="1" s="1"/>
  <c r="EJ111" i="1" s="1"/>
  <c r="EF107" i="1"/>
  <c r="EH107" i="1" s="1"/>
  <c r="EJ107" i="1" s="1"/>
  <c r="EF103" i="1"/>
  <c r="EH103" i="1" s="1"/>
  <c r="EJ103" i="1" s="1"/>
  <c r="EF99" i="1"/>
  <c r="EH99" i="1" s="1"/>
  <c r="EJ99" i="1" s="1"/>
  <c r="EF95" i="1"/>
  <c r="EH95" i="1" s="1"/>
  <c r="EJ95" i="1" s="1"/>
  <c r="EF91" i="1"/>
  <c r="EH91" i="1" s="1"/>
  <c r="EJ91" i="1" s="1"/>
  <c r="EF87" i="1"/>
  <c r="EH87" i="1" s="1"/>
  <c r="EJ87" i="1" s="1"/>
  <c r="EF83" i="1"/>
  <c r="EH83" i="1" s="1"/>
  <c r="EJ83" i="1" s="1"/>
  <c r="EF79" i="1"/>
  <c r="EH79" i="1" s="1"/>
  <c r="EJ79" i="1" s="1"/>
  <c r="EF75" i="1"/>
  <c r="EH75" i="1" s="1"/>
  <c r="EJ75" i="1" s="1"/>
  <c r="EF71" i="1"/>
  <c r="EH71" i="1" s="1"/>
  <c r="EJ71" i="1" s="1"/>
  <c r="EF66" i="1"/>
  <c r="EH66" i="1" s="1"/>
  <c r="EJ66" i="1" s="1"/>
  <c r="EF62" i="1"/>
  <c r="EH62" i="1" s="1"/>
  <c r="EJ62" i="1" s="1"/>
  <c r="EF58" i="1"/>
  <c r="EH58" i="1" s="1"/>
  <c r="EJ58" i="1" s="1"/>
  <c r="EF53" i="1"/>
  <c r="EH53" i="1" s="1"/>
  <c r="EJ53" i="1" s="1"/>
  <c r="EF49" i="1"/>
  <c r="EH49" i="1" s="1"/>
  <c r="EJ49" i="1" s="1"/>
  <c r="EF45" i="1"/>
  <c r="EH45" i="1" s="1"/>
  <c r="EJ45" i="1" s="1"/>
  <c r="EF41" i="1"/>
  <c r="EH41" i="1" s="1"/>
  <c r="EJ41" i="1" s="1"/>
  <c r="EF37" i="1"/>
  <c r="EH37" i="1" s="1"/>
  <c r="EJ37" i="1" s="1"/>
  <c r="EF32" i="1"/>
  <c r="EH32" i="1" s="1"/>
  <c r="EJ32" i="1" s="1"/>
  <c r="EF28" i="1"/>
  <c r="EH28" i="1" s="1"/>
  <c r="EJ28" i="1" s="1"/>
  <c r="EF24" i="1"/>
  <c r="EH24" i="1" s="1"/>
  <c r="EJ24" i="1" s="1"/>
  <c r="EF180" i="1"/>
  <c r="EH180" i="1" s="1"/>
  <c r="EJ180" i="1" s="1"/>
  <c r="EF153" i="1"/>
  <c r="EH153" i="1" s="1"/>
  <c r="EJ153" i="1" s="1"/>
  <c r="EF120" i="1"/>
  <c r="EH120" i="1" s="1"/>
  <c r="EJ120" i="1" s="1"/>
  <c r="EF114" i="1"/>
  <c r="EH114" i="1" s="1"/>
  <c r="EJ114" i="1" s="1"/>
  <c r="EF89" i="1"/>
  <c r="EH89" i="1" s="1"/>
  <c r="EJ89" i="1" s="1"/>
  <c r="EF70" i="1"/>
  <c r="EH70" i="1" s="1"/>
  <c r="EJ70" i="1" s="1"/>
  <c r="EF67" i="1"/>
  <c r="EH67" i="1" s="1"/>
  <c r="EJ67" i="1" s="1"/>
  <c r="EF19" i="1"/>
  <c r="EH19" i="1" s="1"/>
  <c r="EJ19" i="1" s="1"/>
  <c r="EH155" i="1"/>
  <c r="EJ155" i="1" s="1"/>
  <c r="DV256" i="1"/>
  <c r="DV244" i="1"/>
  <c r="DV224" i="1"/>
  <c r="DV204" i="1"/>
  <c r="DV192" i="1"/>
  <c r="DV172" i="1"/>
  <c r="DV160" i="1"/>
  <c r="DV141" i="1"/>
  <c r="DV129" i="1"/>
  <c r="DV109" i="1"/>
  <c r="DV97" i="1"/>
  <c r="DV93" i="1"/>
  <c r="DV124" i="1"/>
  <c r="DV85" i="1"/>
  <c r="DV81" i="1"/>
  <c r="DV77" i="1"/>
  <c r="DV73" i="1"/>
  <c r="DV69" i="1"/>
  <c r="DV127" i="1"/>
  <c r="DV61" i="1"/>
  <c r="DV57" i="1"/>
  <c r="DV53" i="1"/>
  <c r="DV49" i="1"/>
  <c r="DV45" i="1"/>
  <c r="DV41" i="1"/>
  <c r="DV37" i="1"/>
  <c r="DV33" i="1"/>
  <c r="DV29" i="1"/>
  <c r="DV25" i="1"/>
  <c r="DV21" i="1"/>
  <c r="DV17" i="1"/>
  <c r="DV13" i="1"/>
  <c r="DV9" i="1"/>
  <c r="DV271" i="1"/>
  <c r="DV268" i="1"/>
  <c r="DV264" i="1"/>
  <c r="DV257" i="1"/>
  <c r="DV253" i="1"/>
  <c r="DV245" i="1"/>
  <c r="DV241" i="1"/>
  <c r="DV233" i="1"/>
  <c r="DV225" i="1"/>
  <c r="DV217" i="1"/>
  <c r="DV114" i="1"/>
  <c r="DV201" i="1"/>
  <c r="DV197" i="1"/>
  <c r="DV189" i="1"/>
  <c r="DV181" i="1"/>
  <c r="DV173" i="1"/>
  <c r="DV165" i="1"/>
  <c r="DV157" i="1"/>
  <c r="DV146" i="1"/>
  <c r="DV138" i="1"/>
  <c r="DV130" i="1"/>
  <c r="DV122" i="1"/>
  <c r="DV118" i="1"/>
  <c r="DV110" i="1"/>
  <c r="DV106" i="1"/>
  <c r="DV98" i="1"/>
  <c r="DV94" i="1"/>
  <c r="DV163" i="1"/>
  <c r="DV86" i="1"/>
  <c r="DV82" i="1"/>
  <c r="DV78" i="1"/>
  <c r="DV74" i="1"/>
  <c r="DV184" i="1"/>
  <c r="DV66" i="1"/>
  <c r="DV62" i="1"/>
  <c r="DV54" i="1"/>
  <c r="DV46" i="1"/>
  <c r="DV38" i="1"/>
  <c r="DV30" i="1"/>
  <c r="DV22" i="1"/>
  <c r="DV186" i="1"/>
  <c r="DV267" i="1"/>
  <c r="DV252" i="1"/>
  <c r="DV236" i="1"/>
  <c r="DV228" i="1"/>
  <c r="DV220" i="1"/>
  <c r="DV208" i="1"/>
  <c r="DV196" i="1"/>
  <c r="DV191" i="1"/>
  <c r="DV176" i="1"/>
  <c r="DV168" i="1"/>
  <c r="DV120" i="1"/>
  <c r="DV145" i="1"/>
  <c r="DV137" i="1"/>
  <c r="DV125" i="1"/>
  <c r="DV113" i="1"/>
  <c r="DV101" i="1"/>
  <c r="DV269" i="1"/>
  <c r="DV266" i="1"/>
  <c r="DV263" i="1"/>
  <c r="DV259" i="1"/>
  <c r="DV202" i="1"/>
  <c r="DV251" i="1"/>
  <c r="DV247" i="1"/>
  <c r="DV243" i="1"/>
  <c r="DV239" i="1"/>
  <c r="DV235" i="1"/>
  <c r="DV231" i="1"/>
  <c r="DV227" i="1"/>
  <c r="DV223" i="1"/>
  <c r="DV219" i="1"/>
  <c r="DV215" i="1"/>
  <c r="DV211" i="1"/>
  <c r="DV207" i="1"/>
  <c r="DV203" i="1"/>
  <c r="DV199" i="1"/>
  <c r="DV195" i="1"/>
  <c r="DV35" i="1"/>
  <c r="DV187" i="1"/>
  <c r="DV183" i="1"/>
  <c r="DV179" i="1"/>
  <c r="DV175" i="1"/>
  <c r="DV171" i="1"/>
  <c r="DV167" i="1"/>
  <c r="DV65" i="1"/>
  <c r="DV159" i="1"/>
  <c r="DV92" i="1"/>
  <c r="DV152" i="1"/>
  <c r="DV148" i="1"/>
  <c r="DV144" i="1"/>
  <c r="DV140" i="1"/>
  <c r="DV136" i="1"/>
  <c r="DV132" i="1"/>
  <c r="DV128" i="1"/>
  <c r="DV153" i="1"/>
  <c r="DV67" i="1"/>
  <c r="DV116" i="1"/>
  <c r="DV112" i="1"/>
  <c r="DV108" i="1"/>
  <c r="DV104" i="1"/>
  <c r="DV100" i="1"/>
  <c r="DV96" i="1"/>
  <c r="DV88" i="1"/>
  <c r="DV84" i="1"/>
  <c r="DV80" i="1"/>
  <c r="DV76" i="1"/>
  <c r="DV72" i="1"/>
  <c r="DV68" i="1"/>
  <c r="DV64" i="1"/>
  <c r="DV60" i="1"/>
  <c r="DV56" i="1"/>
  <c r="DV52" i="1"/>
  <c r="DV48" i="1"/>
  <c r="DV44" i="1"/>
  <c r="DV40" i="1"/>
  <c r="DV36" i="1"/>
  <c r="DV32" i="1"/>
  <c r="DV28" i="1"/>
  <c r="DV24" i="1"/>
  <c r="DV20" i="1"/>
  <c r="DV16" i="1"/>
  <c r="DV12" i="1"/>
  <c r="DV261" i="1"/>
  <c r="DV249" i="1"/>
  <c r="DV237" i="1"/>
  <c r="DV229" i="1"/>
  <c r="DV221" i="1"/>
  <c r="DV213" i="1"/>
  <c r="DV205" i="1"/>
  <c r="DV193" i="1"/>
  <c r="DV185" i="1"/>
  <c r="DV177" i="1"/>
  <c r="DV169" i="1"/>
  <c r="DV161" i="1"/>
  <c r="DV150" i="1"/>
  <c r="DV142" i="1"/>
  <c r="DV134" i="1"/>
  <c r="DV126" i="1"/>
  <c r="DV89" i="1"/>
  <c r="DV102" i="1"/>
  <c r="DV58" i="1"/>
  <c r="DV50" i="1"/>
  <c r="DV42" i="1"/>
  <c r="DV34" i="1"/>
  <c r="DV26" i="1"/>
  <c r="DV18" i="1"/>
  <c r="DV10" i="1"/>
  <c r="DV270" i="1"/>
  <c r="DV260" i="1"/>
  <c r="DV248" i="1"/>
  <c r="DV240" i="1"/>
  <c r="DV232" i="1"/>
  <c r="DV216" i="1"/>
  <c r="DV212" i="1"/>
  <c r="DV200" i="1"/>
  <c r="DV188" i="1"/>
  <c r="DV155" i="1"/>
  <c r="DV164" i="1"/>
  <c r="DV156" i="1"/>
  <c r="DV149" i="1"/>
  <c r="DV133" i="1"/>
  <c r="DV70" i="1"/>
  <c r="DV117" i="1"/>
  <c r="DV105" i="1"/>
  <c r="DV265" i="1"/>
  <c r="DV262" i="1"/>
  <c r="DV258" i="1"/>
  <c r="DV254" i="1"/>
  <c r="DV250" i="1"/>
  <c r="DV246" i="1"/>
  <c r="DV242" i="1"/>
  <c r="DV238" i="1"/>
  <c r="DV234" i="1"/>
  <c r="DV230" i="1"/>
  <c r="DV226" i="1"/>
  <c r="DV222" i="1"/>
  <c r="DV218" i="1"/>
  <c r="DV214" i="1"/>
  <c r="DV210" i="1"/>
  <c r="DV206" i="1"/>
  <c r="DV255" i="1"/>
  <c r="DV198" i="1"/>
  <c r="DV194" i="1"/>
  <c r="DV190" i="1"/>
  <c r="DV19" i="1"/>
  <c r="DV182" i="1"/>
  <c r="DV178" i="1"/>
  <c r="DV174" i="1"/>
  <c r="DV170" i="1"/>
  <c r="DV166" i="1"/>
  <c r="DV162" i="1"/>
  <c r="DV158" i="1"/>
  <c r="DV154" i="1"/>
  <c r="DV151" i="1"/>
  <c r="DV147" i="1"/>
  <c r="DV143" i="1"/>
  <c r="DV139" i="1"/>
  <c r="DV135" i="1"/>
  <c r="DV131" i="1"/>
  <c r="DV14" i="1"/>
  <c r="DV123" i="1"/>
  <c r="DV119" i="1"/>
  <c r="DV115" i="1"/>
  <c r="DV111" i="1"/>
  <c r="DV107" i="1"/>
  <c r="DV103" i="1"/>
  <c r="DV99" i="1"/>
  <c r="DV95" i="1"/>
  <c r="DV91" i="1"/>
  <c r="DV87" i="1"/>
  <c r="DV83" i="1"/>
  <c r="DV79" i="1"/>
  <c r="DV75" i="1"/>
  <c r="DV71" i="1"/>
  <c r="DV121" i="1"/>
  <c r="DV63" i="1"/>
  <c r="DV59" i="1"/>
  <c r="DV55" i="1"/>
  <c r="DV51" i="1"/>
  <c r="DV47" i="1"/>
  <c r="DV43" i="1"/>
  <c r="DV39" i="1"/>
  <c r="DV209" i="1"/>
  <c r="DV31" i="1"/>
  <c r="DV27" i="1"/>
  <c r="DV23" i="1"/>
  <c r="DV15" i="1"/>
  <c r="DV11" i="1"/>
  <c r="DV7" i="1"/>
  <c r="CR11" i="1" l="1"/>
  <c r="CL63" i="1"/>
  <c r="CL71" i="1"/>
  <c r="CR79" i="1"/>
  <c r="CL91" i="1"/>
  <c r="CL95" i="1"/>
  <c r="CL135" i="1"/>
  <c r="CR139" i="1"/>
  <c r="CR151" i="1"/>
  <c r="CR222" i="1"/>
  <c r="CR226" i="1"/>
  <c r="CR10" i="1"/>
  <c r="CL18" i="1"/>
  <c r="CL22" i="1"/>
  <c r="CL26" i="1"/>
  <c r="CL30" i="1"/>
  <c r="CR34" i="1"/>
  <c r="CL38" i="1"/>
  <c r="CR46" i="1"/>
  <c r="CR50" i="1"/>
  <c r="CR54" i="1"/>
  <c r="CL62" i="1"/>
  <c r="CL66" i="1"/>
  <c r="CR184" i="1"/>
  <c r="CR74" i="1"/>
  <c r="CR78" i="1"/>
  <c r="CL82" i="1"/>
  <c r="CR86" i="1"/>
  <c r="CL163" i="1"/>
  <c r="CR98" i="1"/>
  <c r="CR102" i="1"/>
  <c r="CR106" i="1"/>
  <c r="CR89" i="1"/>
  <c r="CR118" i="1"/>
  <c r="CR122" i="1"/>
  <c r="CR126" i="1"/>
  <c r="CR130" i="1"/>
  <c r="CL134" i="1"/>
  <c r="CR138" i="1"/>
  <c r="CL146" i="1"/>
  <c r="CL150" i="1"/>
  <c r="CL157" i="1"/>
  <c r="CL161" i="1"/>
  <c r="CR165" i="1"/>
  <c r="CL173" i="1"/>
  <c r="CR177" i="1"/>
  <c r="CR181" i="1"/>
  <c r="CL189" i="1"/>
  <c r="CR193" i="1"/>
  <c r="CR197" i="1"/>
  <c r="CR205" i="1"/>
  <c r="CL114" i="1"/>
  <c r="CL217" i="1"/>
  <c r="CR225" i="1"/>
  <c r="CL229" i="1"/>
  <c r="CL233" i="1"/>
  <c r="CR237" i="1"/>
  <c r="CR241" i="1"/>
  <c r="CL245" i="1"/>
  <c r="CR249" i="1"/>
  <c r="CR253" i="1"/>
  <c r="CR257" i="1"/>
  <c r="CL261" i="1"/>
  <c r="CR264" i="1"/>
  <c r="CR268" i="1"/>
  <c r="CL271" i="1"/>
  <c r="CR7" i="1"/>
  <c r="CR15" i="1"/>
  <c r="CR23" i="1"/>
  <c r="CL31" i="1"/>
  <c r="CL39" i="1"/>
  <c r="CR51" i="1"/>
  <c r="CL75" i="1"/>
  <c r="CL99" i="1"/>
  <c r="CL107" i="1"/>
  <c r="CR111" i="1"/>
  <c r="CL119" i="1"/>
  <c r="CL14" i="1"/>
  <c r="CL147" i="1"/>
  <c r="CR166" i="1"/>
  <c r="CL174" i="1"/>
  <c r="CL182" i="1"/>
  <c r="CR190" i="1"/>
  <c r="CL198" i="1"/>
  <c r="CR206" i="1"/>
  <c r="CR210" i="1"/>
  <c r="CR234" i="1"/>
  <c r="CL250" i="1"/>
  <c r="CL258" i="1"/>
  <c r="CR9" i="1"/>
  <c r="CR17" i="1"/>
  <c r="CL25" i="1"/>
  <c r="CR33" i="1"/>
  <c r="CR37" i="1"/>
  <c r="CR69" i="1"/>
  <c r="CR77" i="1"/>
  <c r="CL85" i="1"/>
  <c r="CR113" i="1"/>
  <c r="CL70" i="1"/>
  <c r="CR156" i="1"/>
  <c r="CL168" i="1"/>
  <c r="CL200" i="1"/>
  <c r="CR208" i="1"/>
  <c r="CR220" i="1"/>
  <c r="CR232" i="1"/>
  <c r="CR252" i="1"/>
  <c r="CL267" i="1"/>
  <c r="CL90" i="1"/>
  <c r="CR209" i="1"/>
  <c r="CL43" i="1"/>
  <c r="CL47" i="1"/>
  <c r="CR55" i="1"/>
  <c r="CR59" i="1"/>
  <c r="CL83" i="1"/>
  <c r="CL131" i="1"/>
  <c r="CR158" i="1"/>
  <c r="CL162" i="1"/>
  <c r="CR170" i="1"/>
  <c r="CR178" i="1"/>
  <c r="CL19" i="1"/>
  <c r="CL194" i="1"/>
  <c r="CR255" i="1"/>
  <c r="CR230" i="1"/>
  <c r="CR242" i="1"/>
  <c r="CR246" i="1"/>
  <c r="CR254" i="1"/>
  <c r="CR262" i="1"/>
  <c r="CL13" i="1"/>
  <c r="CR29" i="1"/>
  <c r="CR41" i="1"/>
  <c r="CL49" i="1"/>
  <c r="CL127" i="1"/>
  <c r="CL73" i="1"/>
  <c r="CL81" i="1"/>
  <c r="CL124" i="1"/>
  <c r="CL101" i="1"/>
  <c r="CL129" i="1"/>
  <c r="CL160" i="1"/>
  <c r="CL172" i="1"/>
  <c r="CR196" i="1"/>
  <c r="CL204" i="1"/>
  <c r="CR228" i="1"/>
  <c r="CL236" i="1"/>
  <c r="CL256" i="1"/>
  <c r="CL8" i="1"/>
  <c r="CL16" i="1"/>
  <c r="CL24" i="1"/>
  <c r="CL36" i="1"/>
  <c r="CL40" i="1"/>
  <c r="CL48" i="1"/>
  <c r="CL52" i="1"/>
  <c r="CL56" i="1"/>
  <c r="CL64" i="1"/>
  <c r="CL68" i="1"/>
  <c r="CL72" i="1"/>
  <c r="CL80" i="1"/>
  <c r="CL84" i="1"/>
  <c r="CR88" i="1"/>
  <c r="CR104" i="1"/>
  <c r="CL112" i="1"/>
  <c r="CR67" i="1"/>
  <c r="CR128" i="1"/>
  <c r="CR136" i="1"/>
  <c r="CL140" i="1"/>
  <c r="CL144" i="1"/>
  <c r="CL152" i="1"/>
  <c r="CL65" i="1"/>
  <c r="CL167" i="1"/>
  <c r="CL171" i="1"/>
  <c r="CL175" i="1"/>
  <c r="CL179" i="1"/>
  <c r="CL183" i="1"/>
  <c r="CL35" i="1"/>
  <c r="CL195" i="1"/>
  <c r="CL199" i="1"/>
  <c r="CL211" i="1"/>
  <c r="CR215" i="1"/>
  <c r="CL231" i="1"/>
  <c r="CR239" i="1"/>
  <c r="CL247" i="1"/>
  <c r="CL251" i="1"/>
  <c r="CL202" i="1"/>
  <c r="CL259" i="1"/>
  <c r="CL263" i="1"/>
  <c r="CL266" i="1"/>
  <c r="CR269" i="1"/>
  <c r="CL197" i="1" l="1"/>
  <c r="CL184" i="1"/>
  <c r="CL226" i="1"/>
  <c r="CL50" i="1"/>
  <c r="CL77" i="1"/>
  <c r="CL17" i="1"/>
  <c r="CL54" i="1"/>
  <c r="CL46" i="1"/>
  <c r="CL34" i="1"/>
  <c r="CL79" i="1"/>
  <c r="CL11" i="1"/>
  <c r="CL205" i="1"/>
  <c r="CL78" i="1"/>
  <c r="CL210" i="1"/>
  <c r="CL23" i="1"/>
  <c r="CL252" i="1"/>
  <c r="CL151" i="1"/>
  <c r="CL190" i="1"/>
  <c r="CL118" i="1"/>
  <c r="CL208" i="1"/>
  <c r="CL51" i="1"/>
  <c r="CL262" i="1"/>
  <c r="CL242" i="1"/>
  <c r="CL158" i="1"/>
  <c r="CL106" i="1"/>
  <c r="CL98" i="1"/>
  <c r="CL170" i="1"/>
  <c r="CL122" i="1"/>
  <c r="CL89" i="1"/>
  <c r="CL255" i="1"/>
  <c r="CL225" i="1"/>
  <c r="CL138" i="1"/>
  <c r="CL130" i="1"/>
  <c r="CL102" i="1"/>
  <c r="CR13" i="1"/>
  <c r="CL249" i="1"/>
  <c r="CL156" i="1"/>
  <c r="CL264" i="1"/>
  <c r="CL257" i="1"/>
  <c r="CL10" i="1"/>
  <c r="CL59" i="1"/>
  <c r="CL139" i="1"/>
  <c r="CR14" i="1"/>
  <c r="CR107" i="1"/>
  <c r="CR233" i="1"/>
  <c r="CL181" i="1"/>
  <c r="CL241" i="1"/>
  <c r="CL165" i="1"/>
  <c r="CL206" i="1"/>
  <c r="CL220" i="1"/>
  <c r="CR263" i="1"/>
  <c r="CR247" i="1"/>
  <c r="CR231" i="1"/>
  <c r="CR194" i="1"/>
  <c r="CR85" i="1"/>
  <c r="CL7" i="1"/>
  <c r="CL136" i="1"/>
  <c r="CL104" i="1"/>
  <c r="CL67" i="1"/>
  <c r="CL193" i="1"/>
  <c r="CL177" i="1"/>
  <c r="CR72" i="1"/>
  <c r="CR56" i="1"/>
  <c r="CR40" i="1"/>
  <c r="CR24" i="1"/>
  <c r="CR8" i="1"/>
  <c r="CR160" i="1"/>
  <c r="CR129" i="1"/>
  <c r="CL33" i="1"/>
  <c r="CR90" i="1"/>
  <c r="CR182" i="1"/>
  <c r="CR147" i="1"/>
  <c r="CR39" i="1"/>
  <c r="CR189" i="1"/>
  <c r="CR173" i="1"/>
  <c r="CR62" i="1"/>
  <c r="CR38" i="1"/>
  <c r="CR135" i="1"/>
  <c r="CL113" i="1"/>
  <c r="CR199" i="1"/>
  <c r="CR183" i="1"/>
  <c r="CR167" i="1"/>
  <c r="CR152" i="1"/>
  <c r="CL234" i="1"/>
  <c r="CR124" i="1"/>
  <c r="CR19" i="1"/>
  <c r="CL269" i="1"/>
  <c r="CL239" i="1"/>
  <c r="CL128" i="1"/>
  <c r="CL209" i="1"/>
  <c r="CL41" i="1"/>
  <c r="CL55" i="1"/>
  <c r="CR258" i="1"/>
  <c r="CL29" i="1"/>
  <c r="CP235" i="1"/>
  <c r="CQ235" i="1"/>
  <c r="CM235" i="1"/>
  <c r="CN235" i="1"/>
  <c r="CP219" i="1"/>
  <c r="CQ219" i="1"/>
  <c r="CM219" i="1"/>
  <c r="CN219" i="1"/>
  <c r="CP203" i="1"/>
  <c r="CQ203" i="1"/>
  <c r="CM203" i="1"/>
  <c r="CN203" i="1"/>
  <c r="CP187" i="1"/>
  <c r="CQ187" i="1"/>
  <c r="CM187" i="1"/>
  <c r="CN187" i="1"/>
  <c r="CP92" i="1"/>
  <c r="CQ92" i="1"/>
  <c r="CM92" i="1"/>
  <c r="CN92" i="1"/>
  <c r="CP108" i="1"/>
  <c r="CQ108" i="1"/>
  <c r="CM108" i="1"/>
  <c r="CN108" i="1"/>
  <c r="CP180" i="1"/>
  <c r="CQ180" i="1"/>
  <c r="CM180" i="1"/>
  <c r="CN180" i="1"/>
  <c r="CP60" i="1"/>
  <c r="CQ60" i="1"/>
  <c r="CM60" i="1"/>
  <c r="CN60" i="1"/>
  <c r="CP44" i="1"/>
  <c r="CQ44" i="1"/>
  <c r="CM44" i="1"/>
  <c r="CN44" i="1"/>
  <c r="CQ28" i="1"/>
  <c r="CM28" i="1"/>
  <c r="CN28" i="1"/>
  <c r="CP28" i="1"/>
  <c r="CQ12" i="1"/>
  <c r="CM12" i="1"/>
  <c r="CP12" i="1"/>
  <c r="CN12" i="1"/>
  <c r="CQ216" i="1"/>
  <c r="CM216" i="1"/>
  <c r="CN216" i="1"/>
  <c r="CP216" i="1"/>
  <c r="CQ176" i="1"/>
  <c r="CM176" i="1"/>
  <c r="CN176" i="1"/>
  <c r="CP176" i="1"/>
  <c r="CQ109" i="1"/>
  <c r="CM109" i="1"/>
  <c r="CN109" i="1"/>
  <c r="CP109" i="1"/>
  <c r="CQ97" i="1"/>
  <c r="CP97" i="1"/>
  <c r="CM97" i="1"/>
  <c r="CN97" i="1"/>
  <c r="CP265" i="1"/>
  <c r="CQ265" i="1"/>
  <c r="CM265" i="1"/>
  <c r="CN265" i="1"/>
  <c r="CP218" i="1"/>
  <c r="CQ218" i="1"/>
  <c r="CM218" i="1"/>
  <c r="CN218" i="1"/>
  <c r="CQ143" i="1"/>
  <c r="CP143" i="1"/>
  <c r="CM143" i="1"/>
  <c r="CN143" i="1"/>
  <c r="CQ115" i="1"/>
  <c r="CM115" i="1"/>
  <c r="CP115" i="1"/>
  <c r="CN115" i="1"/>
  <c r="CQ47" i="1"/>
  <c r="CP47" i="1"/>
  <c r="CM47" i="1"/>
  <c r="CN47" i="1"/>
  <c r="CP27" i="1"/>
  <c r="CQ27" i="1"/>
  <c r="CM27" i="1"/>
  <c r="CN27" i="1"/>
  <c r="CQ260" i="1"/>
  <c r="CN260" i="1"/>
  <c r="CM260" i="1"/>
  <c r="CP260" i="1"/>
  <c r="CQ240" i="1"/>
  <c r="CN240" i="1"/>
  <c r="CP240" i="1"/>
  <c r="CM240" i="1"/>
  <c r="CP238" i="1"/>
  <c r="CQ238" i="1"/>
  <c r="CM238" i="1"/>
  <c r="CN238" i="1"/>
  <c r="CP271" i="1"/>
  <c r="CQ271" i="1"/>
  <c r="CM271" i="1"/>
  <c r="CN271" i="1"/>
  <c r="CN221" i="1"/>
  <c r="CP221" i="1"/>
  <c r="CQ221" i="1"/>
  <c r="CM221" i="1"/>
  <c r="CN213" i="1"/>
  <c r="CP213" i="1"/>
  <c r="CM213" i="1"/>
  <c r="CQ213" i="1"/>
  <c r="CP94" i="1"/>
  <c r="CQ94" i="1"/>
  <c r="CN94" i="1"/>
  <c r="CM94" i="1"/>
  <c r="CP18" i="1"/>
  <c r="CQ18" i="1"/>
  <c r="CN18" i="1"/>
  <c r="CM18" i="1"/>
  <c r="CP223" i="1"/>
  <c r="CQ223" i="1"/>
  <c r="CM223" i="1"/>
  <c r="CN223" i="1"/>
  <c r="CR219" i="1"/>
  <c r="CL213" i="1"/>
  <c r="CP207" i="1"/>
  <c r="CQ207" i="1"/>
  <c r="CM207" i="1"/>
  <c r="CN207" i="1"/>
  <c r="CR203" i="1"/>
  <c r="CR92" i="1"/>
  <c r="CP112" i="1"/>
  <c r="CM112" i="1"/>
  <c r="CN112" i="1"/>
  <c r="CQ112" i="1"/>
  <c r="CR108" i="1"/>
  <c r="CP96" i="1"/>
  <c r="CM96" i="1"/>
  <c r="CN96" i="1"/>
  <c r="CQ96" i="1"/>
  <c r="CR180" i="1"/>
  <c r="CP153" i="1"/>
  <c r="CQ153" i="1"/>
  <c r="CM153" i="1"/>
  <c r="CN153" i="1"/>
  <c r="CP76" i="1"/>
  <c r="CQ76" i="1"/>
  <c r="CM76" i="1"/>
  <c r="CN76" i="1"/>
  <c r="CQ117" i="1"/>
  <c r="CM117" i="1"/>
  <c r="CN117" i="1"/>
  <c r="CP117" i="1"/>
  <c r="CQ53" i="1"/>
  <c r="CM53" i="1"/>
  <c r="CN53" i="1"/>
  <c r="CP53" i="1"/>
  <c r="CQ149" i="1"/>
  <c r="CM149" i="1"/>
  <c r="CN149" i="1"/>
  <c r="CP149" i="1"/>
  <c r="CQ141" i="1"/>
  <c r="CM141" i="1"/>
  <c r="CN141" i="1"/>
  <c r="CP141" i="1"/>
  <c r="CQ61" i="1"/>
  <c r="CM61" i="1"/>
  <c r="CN61" i="1"/>
  <c r="CP61" i="1"/>
  <c r="CP250" i="1"/>
  <c r="CQ250" i="1"/>
  <c r="CM250" i="1"/>
  <c r="CN250" i="1"/>
  <c r="CP146" i="1"/>
  <c r="CN146" i="1"/>
  <c r="CQ146" i="1"/>
  <c r="CM146" i="1"/>
  <c r="CL60" i="1"/>
  <c r="CL44" i="1"/>
  <c r="CL61" i="1"/>
  <c r="CR266" i="1"/>
  <c r="CP159" i="1"/>
  <c r="CM159" i="1"/>
  <c r="CQ159" i="1"/>
  <c r="CN159" i="1"/>
  <c r="CP144" i="1"/>
  <c r="CM144" i="1"/>
  <c r="CN144" i="1"/>
  <c r="CQ144" i="1"/>
  <c r="CR44" i="1"/>
  <c r="CP32" i="1"/>
  <c r="CM32" i="1"/>
  <c r="CN32" i="1"/>
  <c r="CQ32" i="1"/>
  <c r="CR28" i="1"/>
  <c r="CQ16" i="1"/>
  <c r="CP16" i="1"/>
  <c r="CM16" i="1"/>
  <c r="CN16" i="1"/>
  <c r="CR12" i="1"/>
  <c r="CQ244" i="1"/>
  <c r="CN244" i="1"/>
  <c r="CP244" i="1"/>
  <c r="CM244" i="1"/>
  <c r="CQ224" i="1"/>
  <c r="CM224" i="1"/>
  <c r="CN224" i="1"/>
  <c r="CP224" i="1"/>
  <c r="CR216" i="1"/>
  <c r="CQ204" i="1"/>
  <c r="CM204" i="1"/>
  <c r="CN204" i="1"/>
  <c r="CP204" i="1"/>
  <c r="CM191" i="1"/>
  <c r="CP191" i="1"/>
  <c r="CN191" i="1"/>
  <c r="CQ191" i="1"/>
  <c r="CR176" i="1"/>
  <c r="CP164" i="1"/>
  <c r="CM164" i="1"/>
  <c r="CQ164" i="1"/>
  <c r="CN164" i="1"/>
  <c r="CQ145" i="1"/>
  <c r="CP145" i="1"/>
  <c r="CM145" i="1"/>
  <c r="CN145" i="1"/>
  <c r="CQ125" i="1"/>
  <c r="CM125" i="1"/>
  <c r="CN125" i="1"/>
  <c r="CP125" i="1"/>
  <c r="CR117" i="1"/>
  <c r="CR97" i="1"/>
  <c r="CQ73" i="1"/>
  <c r="CP73" i="1"/>
  <c r="CM73" i="1"/>
  <c r="CN73" i="1"/>
  <c r="CR127" i="1"/>
  <c r="CR53" i="1"/>
  <c r="CP254" i="1"/>
  <c r="CQ254" i="1"/>
  <c r="CM254" i="1"/>
  <c r="CN254" i="1"/>
  <c r="CQ19" i="1"/>
  <c r="CP19" i="1"/>
  <c r="CM19" i="1"/>
  <c r="CN19" i="1"/>
  <c r="CQ162" i="1"/>
  <c r="CP162" i="1"/>
  <c r="CM162" i="1"/>
  <c r="CN162" i="1"/>
  <c r="CR143" i="1"/>
  <c r="CQ123" i="1"/>
  <c r="CM123" i="1"/>
  <c r="CP123" i="1"/>
  <c r="CN123" i="1"/>
  <c r="CL109" i="1"/>
  <c r="CR47" i="1"/>
  <c r="CR27" i="1"/>
  <c r="CR260" i="1"/>
  <c r="CQ248" i="1"/>
  <c r="CN248" i="1"/>
  <c r="CP248" i="1"/>
  <c r="CM248" i="1"/>
  <c r="CL218" i="1"/>
  <c r="CP155" i="1"/>
  <c r="CM155" i="1"/>
  <c r="CQ155" i="1"/>
  <c r="CN155" i="1"/>
  <c r="CM168" i="1"/>
  <c r="CP168" i="1"/>
  <c r="CN168" i="1"/>
  <c r="CQ168" i="1"/>
  <c r="CL248" i="1"/>
  <c r="CP198" i="1"/>
  <c r="CQ198" i="1"/>
  <c r="CM198" i="1"/>
  <c r="CN198" i="1"/>
  <c r="CL145" i="1"/>
  <c r="CL125" i="1"/>
  <c r="CL37" i="1"/>
  <c r="CR271" i="1"/>
  <c r="CP261" i="1"/>
  <c r="CM261" i="1"/>
  <c r="CN261" i="1"/>
  <c r="CQ261" i="1"/>
  <c r="CP245" i="1"/>
  <c r="CM245" i="1"/>
  <c r="CN245" i="1"/>
  <c r="CQ245" i="1"/>
  <c r="CN229" i="1"/>
  <c r="CP229" i="1"/>
  <c r="CM229" i="1"/>
  <c r="CQ229" i="1"/>
  <c r="CL219" i="1"/>
  <c r="CN201" i="1"/>
  <c r="CP201" i="1"/>
  <c r="CM201" i="1"/>
  <c r="CQ201" i="1"/>
  <c r="CP185" i="1"/>
  <c r="CQ185" i="1"/>
  <c r="CN185" i="1"/>
  <c r="CM185" i="1"/>
  <c r="CP169" i="1"/>
  <c r="CQ169" i="1"/>
  <c r="CN169" i="1"/>
  <c r="CM169" i="1"/>
  <c r="CP161" i="1"/>
  <c r="CN161" i="1"/>
  <c r="CQ161" i="1"/>
  <c r="CM161" i="1"/>
  <c r="CL159" i="1"/>
  <c r="CP142" i="1"/>
  <c r="CQ142" i="1"/>
  <c r="CN142" i="1"/>
  <c r="CM142" i="1"/>
  <c r="CP134" i="1"/>
  <c r="CQ134" i="1"/>
  <c r="CN134" i="1"/>
  <c r="CM134" i="1"/>
  <c r="CP110" i="1"/>
  <c r="CQ110" i="1"/>
  <c r="CN110" i="1"/>
  <c r="CM110" i="1"/>
  <c r="CP66" i="1"/>
  <c r="CN66" i="1"/>
  <c r="CQ66" i="1"/>
  <c r="CM66" i="1"/>
  <c r="CP58" i="1"/>
  <c r="CN58" i="1"/>
  <c r="CQ58" i="1"/>
  <c r="CM58" i="1"/>
  <c r="CP42" i="1"/>
  <c r="CN42" i="1"/>
  <c r="CQ42" i="1"/>
  <c r="CM42" i="1"/>
  <c r="CQ186" i="1"/>
  <c r="CN186" i="1"/>
  <c r="CM186" i="1"/>
  <c r="CP186" i="1"/>
  <c r="CP214" i="1"/>
  <c r="CQ214" i="1"/>
  <c r="CM214" i="1"/>
  <c r="CN214" i="1"/>
  <c r="CR91" i="1"/>
  <c r="CP243" i="1"/>
  <c r="CQ243" i="1"/>
  <c r="CM243" i="1"/>
  <c r="CN243" i="1"/>
  <c r="CP227" i="1"/>
  <c r="CQ227" i="1"/>
  <c r="CM227" i="1"/>
  <c r="CN227" i="1"/>
  <c r="CR223" i="1"/>
  <c r="CP211" i="1"/>
  <c r="CQ211" i="1"/>
  <c r="CM211" i="1"/>
  <c r="CN211" i="1"/>
  <c r="CR207" i="1"/>
  <c r="CL201" i="1"/>
  <c r="CP195" i="1"/>
  <c r="CQ195" i="1"/>
  <c r="CM195" i="1"/>
  <c r="CN195" i="1"/>
  <c r="CR35" i="1"/>
  <c r="CL185" i="1"/>
  <c r="CM179" i="1"/>
  <c r="CP179" i="1"/>
  <c r="CN179" i="1"/>
  <c r="CQ179" i="1"/>
  <c r="CR175" i="1"/>
  <c r="CL169" i="1"/>
  <c r="CM65" i="1"/>
  <c r="CP65" i="1"/>
  <c r="CN65" i="1"/>
  <c r="CQ65" i="1"/>
  <c r="CR159" i="1"/>
  <c r="CP148" i="1"/>
  <c r="CQ148" i="1"/>
  <c r="CM148" i="1"/>
  <c r="CN148" i="1"/>
  <c r="CR144" i="1"/>
  <c r="CP132" i="1"/>
  <c r="CQ132" i="1"/>
  <c r="CM132" i="1"/>
  <c r="CN132" i="1"/>
  <c r="CP116" i="1"/>
  <c r="CQ116" i="1"/>
  <c r="CM116" i="1"/>
  <c r="CN116" i="1"/>
  <c r="CR112" i="1"/>
  <c r="CP100" i="1"/>
  <c r="CQ100" i="1"/>
  <c r="CM100" i="1"/>
  <c r="CN100" i="1"/>
  <c r="CR96" i="1"/>
  <c r="CP84" i="1"/>
  <c r="CQ84" i="1"/>
  <c r="CM84" i="1"/>
  <c r="CN84" i="1"/>
  <c r="CR80" i="1"/>
  <c r="CL74" i="1"/>
  <c r="CP68" i="1"/>
  <c r="CQ68" i="1"/>
  <c r="CM68" i="1"/>
  <c r="CN68" i="1"/>
  <c r="CR64" i="1"/>
  <c r="CL58" i="1"/>
  <c r="CP52" i="1"/>
  <c r="CQ52" i="1"/>
  <c r="CM52" i="1"/>
  <c r="CN52" i="1"/>
  <c r="CR48" i="1"/>
  <c r="CL42" i="1"/>
  <c r="CP36" i="1"/>
  <c r="CQ36" i="1"/>
  <c r="CM36" i="1"/>
  <c r="CN36" i="1"/>
  <c r="CR32" i="1"/>
  <c r="CQ20" i="1"/>
  <c r="CP20" i="1"/>
  <c r="CM20" i="1"/>
  <c r="CN20" i="1"/>
  <c r="CR16" i="1"/>
  <c r="CR256" i="1"/>
  <c r="CR244" i="1"/>
  <c r="CR224" i="1"/>
  <c r="CQ212" i="1"/>
  <c r="CM212" i="1"/>
  <c r="CN212" i="1"/>
  <c r="CP212" i="1"/>
  <c r="CR204" i="1"/>
  <c r="CQ192" i="1"/>
  <c r="CM192" i="1"/>
  <c r="CN192" i="1"/>
  <c r="CP192" i="1"/>
  <c r="CR191" i="1"/>
  <c r="CM172" i="1"/>
  <c r="CN172" i="1"/>
  <c r="CP172" i="1"/>
  <c r="CQ172" i="1"/>
  <c r="CR164" i="1"/>
  <c r="CM120" i="1"/>
  <c r="CP120" i="1"/>
  <c r="CN120" i="1"/>
  <c r="CQ120" i="1"/>
  <c r="CR145" i="1"/>
  <c r="CR125" i="1"/>
  <c r="CL115" i="1"/>
  <c r="CQ101" i="1"/>
  <c r="CM101" i="1"/>
  <c r="CN101" i="1"/>
  <c r="CP101" i="1"/>
  <c r="CQ81" i="1"/>
  <c r="CP81" i="1"/>
  <c r="CM81" i="1"/>
  <c r="CN81" i="1"/>
  <c r="CR73" i="1"/>
  <c r="CQ49" i="1"/>
  <c r="CP49" i="1"/>
  <c r="CM49" i="1"/>
  <c r="CN49" i="1"/>
  <c r="CP242" i="1"/>
  <c r="CQ242" i="1"/>
  <c r="CM242" i="1"/>
  <c r="CN242" i="1"/>
  <c r="CP194" i="1"/>
  <c r="CQ194" i="1"/>
  <c r="CM194" i="1"/>
  <c r="CN194" i="1"/>
  <c r="CL191" i="1"/>
  <c r="CR162" i="1"/>
  <c r="CL120" i="1"/>
  <c r="CL141" i="1"/>
  <c r="CQ131" i="1"/>
  <c r="CM131" i="1"/>
  <c r="CP131" i="1"/>
  <c r="CN131" i="1"/>
  <c r="CR123" i="1"/>
  <c r="CQ103" i="1"/>
  <c r="CP103" i="1"/>
  <c r="CM103" i="1"/>
  <c r="CN103" i="1"/>
  <c r="CQ83" i="1"/>
  <c r="CM83" i="1"/>
  <c r="CP83" i="1"/>
  <c r="CN83" i="1"/>
  <c r="CQ43" i="1"/>
  <c r="CM43" i="1"/>
  <c r="CN43" i="1"/>
  <c r="CP43" i="1"/>
  <c r="CQ270" i="1"/>
  <c r="CP270" i="1"/>
  <c r="CM270" i="1"/>
  <c r="CN270" i="1"/>
  <c r="CR248" i="1"/>
  <c r="CL238" i="1"/>
  <c r="CL214" i="1"/>
  <c r="CQ200" i="1"/>
  <c r="CM200" i="1"/>
  <c r="CN200" i="1"/>
  <c r="CP200" i="1"/>
  <c r="CQ188" i="1"/>
  <c r="CM188" i="1"/>
  <c r="CN188" i="1"/>
  <c r="CP188" i="1"/>
  <c r="CR155" i="1"/>
  <c r="CR168" i="1"/>
  <c r="CQ133" i="1"/>
  <c r="CM133" i="1"/>
  <c r="CN133" i="1"/>
  <c r="CP133" i="1"/>
  <c r="CQ70" i="1"/>
  <c r="CP70" i="1"/>
  <c r="CM70" i="1"/>
  <c r="CN70" i="1"/>
  <c r="CL103" i="1"/>
  <c r="CQ57" i="1"/>
  <c r="CP57" i="1"/>
  <c r="CM57" i="1"/>
  <c r="CN57" i="1"/>
  <c r="CQ45" i="1"/>
  <c r="CM45" i="1"/>
  <c r="CN45" i="1"/>
  <c r="CP45" i="1"/>
  <c r="CP25" i="1"/>
  <c r="CQ25" i="1"/>
  <c r="CM25" i="1"/>
  <c r="CN25" i="1"/>
  <c r="CL244" i="1"/>
  <c r="CP234" i="1"/>
  <c r="CQ234" i="1"/>
  <c r="CM234" i="1"/>
  <c r="CN234" i="1"/>
  <c r="CR198" i="1"/>
  <c r="CL188" i="1"/>
  <c r="CQ174" i="1"/>
  <c r="CM174" i="1"/>
  <c r="CP174" i="1"/>
  <c r="CN174" i="1"/>
  <c r="CL133" i="1"/>
  <c r="CQ119" i="1"/>
  <c r="CP119" i="1"/>
  <c r="CM119" i="1"/>
  <c r="CN119" i="1"/>
  <c r="CQ99" i="1"/>
  <c r="CM99" i="1"/>
  <c r="CP99" i="1"/>
  <c r="CN99" i="1"/>
  <c r="CQ75" i="1"/>
  <c r="CM75" i="1"/>
  <c r="CN75" i="1"/>
  <c r="CP75" i="1"/>
  <c r="CL57" i="1"/>
  <c r="CL45" i="1"/>
  <c r="CP31" i="1"/>
  <c r="CQ31" i="1"/>
  <c r="CM31" i="1"/>
  <c r="CN31" i="1"/>
  <c r="CR261" i="1"/>
  <c r="CR245" i="1"/>
  <c r="CL243" i="1"/>
  <c r="CL235" i="1"/>
  <c r="CR229" i="1"/>
  <c r="CL227" i="1"/>
  <c r="CN217" i="1"/>
  <c r="CP217" i="1"/>
  <c r="CM217" i="1"/>
  <c r="CQ217" i="1"/>
  <c r="CN114" i="1"/>
  <c r="CP114" i="1"/>
  <c r="CQ114" i="1"/>
  <c r="CM114" i="1"/>
  <c r="CL207" i="1"/>
  <c r="CR201" i="1"/>
  <c r="CR185" i="1"/>
  <c r="CP177" i="1"/>
  <c r="CN177" i="1"/>
  <c r="CQ177" i="1"/>
  <c r="CM177" i="1"/>
  <c r="CR169" i="1"/>
  <c r="CR161" i="1"/>
  <c r="CP157" i="1"/>
  <c r="CN157" i="1"/>
  <c r="CQ157" i="1"/>
  <c r="CM157" i="1"/>
  <c r="CP150" i="1"/>
  <c r="CQ150" i="1"/>
  <c r="CN150" i="1"/>
  <c r="CM150" i="1"/>
  <c r="CR142" i="1"/>
  <c r="CR134" i="1"/>
  <c r="CL132" i="1"/>
  <c r="CL153" i="1"/>
  <c r="CL116" i="1"/>
  <c r="CR110" i="1"/>
  <c r="CL108" i="1"/>
  <c r="CL100" i="1"/>
  <c r="CP163" i="1"/>
  <c r="CN163" i="1"/>
  <c r="CQ163" i="1"/>
  <c r="CM163" i="1"/>
  <c r="CP82" i="1"/>
  <c r="CN82" i="1"/>
  <c r="CQ82" i="1"/>
  <c r="CM82" i="1"/>
  <c r="CR66" i="1"/>
  <c r="CR58" i="1"/>
  <c r="CR42" i="1"/>
  <c r="CQ30" i="1"/>
  <c r="CP30" i="1"/>
  <c r="CN30" i="1"/>
  <c r="CM30" i="1"/>
  <c r="CP22" i="1"/>
  <c r="CQ22" i="1"/>
  <c r="CN22" i="1"/>
  <c r="CM22" i="1"/>
  <c r="CR186" i="1"/>
  <c r="CL12" i="1"/>
  <c r="CR214" i="1"/>
  <c r="CQ95" i="1"/>
  <c r="CP95" i="1"/>
  <c r="CM95" i="1"/>
  <c r="CN95" i="1"/>
  <c r="CQ71" i="1"/>
  <c r="CP71" i="1"/>
  <c r="CM71" i="1"/>
  <c r="CN71" i="1"/>
  <c r="CQ63" i="1"/>
  <c r="CP63" i="1"/>
  <c r="CM63" i="1"/>
  <c r="CN63" i="1"/>
  <c r="CP266" i="1"/>
  <c r="CQ266" i="1"/>
  <c r="CM266" i="1"/>
  <c r="CN266" i="1"/>
  <c r="CP251" i="1"/>
  <c r="CQ251" i="1"/>
  <c r="CM251" i="1"/>
  <c r="CN251" i="1"/>
  <c r="CP171" i="1"/>
  <c r="CQ171" i="1"/>
  <c r="CM171" i="1"/>
  <c r="CN171" i="1"/>
  <c r="CP140" i="1"/>
  <c r="CQ140" i="1"/>
  <c r="CM140" i="1"/>
  <c r="CN140" i="1"/>
  <c r="CQ236" i="1"/>
  <c r="CN236" i="1"/>
  <c r="CP236" i="1"/>
  <c r="CM236" i="1"/>
  <c r="CQ196" i="1"/>
  <c r="CM196" i="1"/>
  <c r="CN196" i="1"/>
  <c r="CP196" i="1"/>
  <c r="CQ137" i="1"/>
  <c r="CP137" i="1"/>
  <c r="CM137" i="1"/>
  <c r="CN137" i="1"/>
  <c r="CQ127" i="1"/>
  <c r="CP127" i="1"/>
  <c r="CM127" i="1"/>
  <c r="CN127" i="1"/>
  <c r="CQ21" i="1"/>
  <c r="CM21" i="1"/>
  <c r="CN21" i="1"/>
  <c r="CP21" i="1"/>
  <c r="CQ267" i="1"/>
  <c r="CP267" i="1"/>
  <c r="CM267" i="1"/>
  <c r="CN267" i="1"/>
  <c r="CQ105" i="1"/>
  <c r="CP105" i="1"/>
  <c r="CM105" i="1"/>
  <c r="CN105" i="1"/>
  <c r="CQ93" i="1"/>
  <c r="CM93" i="1"/>
  <c r="CN93" i="1"/>
  <c r="CP93" i="1"/>
  <c r="CP9" i="1"/>
  <c r="CQ9" i="1"/>
  <c r="CM9" i="1"/>
  <c r="CN9" i="1"/>
  <c r="CL117" i="1"/>
  <c r="CQ87" i="1"/>
  <c r="CP87" i="1"/>
  <c r="CM87" i="1"/>
  <c r="CN87" i="1"/>
  <c r="CP15" i="1"/>
  <c r="CQ15" i="1"/>
  <c r="CM15" i="1"/>
  <c r="CN15" i="1"/>
  <c r="CL203" i="1"/>
  <c r="CL187" i="1"/>
  <c r="CP86" i="1"/>
  <c r="CQ86" i="1"/>
  <c r="CN86" i="1"/>
  <c r="CM86" i="1"/>
  <c r="CL76" i="1"/>
  <c r="CP26" i="1"/>
  <c r="CN26" i="1"/>
  <c r="CQ26" i="1"/>
  <c r="CM26" i="1"/>
  <c r="CQ154" i="1"/>
  <c r="CP154" i="1"/>
  <c r="CM154" i="1"/>
  <c r="CN154" i="1"/>
  <c r="CQ91" i="1"/>
  <c r="CM91" i="1"/>
  <c r="CP91" i="1"/>
  <c r="CN91" i="1"/>
  <c r="CQ79" i="1"/>
  <c r="CP79" i="1"/>
  <c r="CM79" i="1"/>
  <c r="CN79" i="1"/>
  <c r="CQ121" i="1"/>
  <c r="CM121" i="1"/>
  <c r="CN121" i="1"/>
  <c r="CP121" i="1"/>
  <c r="CP269" i="1"/>
  <c r="CQ269" i="1"/>
  <c r="CN269" i="1"/>
  <c r="CM269" i="1"/>
  <c r="CP202" i="1"/>
  <c r="CQ202" i="1"/>
  <c r="CM202" i="1"/>
  <c r="CN202" i="1"/>
  <c r="CR251" i="1"/>
  <c r="CP239" i="1"/>
  <c r="CQ239" i="1"/>
  <c r="CM239" i="1"/>
  <c r="CN239" i="1"/>
  <c r="CR235" i="1"/>
  <c r="CP35" i="1"/>
  <c r="CQ35" i="1"/>
  <c r="CM35" i="1"/>
  <c r="CN35" i="1"/>
  <c r="CR187" i="1"/>
  <c r="CP175" i="1"/>
  <c r="CM175" i="1"/>
  <c r="CQ175" i="1"/>
  <c r="CN175" i="1"/>
  <c r="CR171" i="1"/>
  <c r="CR140" i="1"/>
  <c r="CP128" i="1"/>
  <c r="CM128" i="1"/>
  <c r="CN128" i="1"/>
  <c r="CQ128" i="1"/>
  <c r="CR153" i="1"/>
  <c r="CL86" i="1"/>
  <c r="CP80" i="1"/>
  <c r="CM80" i="1"/>
  <c r="CN80" i="1"/>
  <c r="CQ80" i="1"/>
  <c r="CR76" i="1"/>
  <c r="CP64" i="1"/>
  <c r="CM64" i="1"/>
  <c r="CN64" i="1"/>
  <c r="CQ64" i="1"/>
  <c r="CR60" i="1"/>
  <c r="CP48" i="1"/>
  <c r="CM48" i="1"/>
  <c r="CN48" i="1"/>
  <c r="CQ48" i="1"/>
  <c r="CQ256" i="1"/>
  <c r="CN256" i="1"/>
  <c r="CP256" i="1"/>
  <c r="CM256" i="1"/>
  <c r="CR236" i="1"/>
  <c r="CR137" i="1"/>
  <c r="CL87" i="1"/>
  <c r="CQ41" i="1"/>
  <c r="CP41" i="1"/>
  <c r="CM41" i="1"/>
  <c r="CN41" i="1"/>
  <c r="CP29" i="1"/>
  <c r="CQ29" i="1"/>
  <c r="CM29" i="1"/>
  <c r="CN29" i="1"/>
  <c r="CR21" i="1"/>
  <c r="CP262" i="1"/>
  <c r="CQ262" i="1"/>
  <c r="CM262" i="1"/>
  <c r="CN262" i="1"/>
  <c r="CP230" i="1"/>
  <c r="CQ230" i="1"/>
  <c r="CM230" i="1"/>
  <c r="CN230" i="1"/>
  <c r="CL216" i="1"/>
  <c r="CL176" i="1"/>
  <c r="CR115" i="1"/>
  <c r="CL97" i="1"/>
  <c r="CQ55" i="1"/>
  <c r="CP55" i="1"/>
  <c r="CM55" i="1"/>
  <c r="CN55" i="1"/>
  <c r="CQ209" i="1"/>
  <c r="CM209" i="1"/>
  <c r="CN209" i="1"/>
  <c r="CP209" i="1"/>
  <c r="CR267" i="1"/>
  <c r="CR240" i="1"/>
  <c r="CL230" i="1"/>
  <c r="CM156" i="1"/>
  <c r="CN156" i="1"/>
  <c r="CP156" i="1"/>
  <c r="CQ156" i="1"/>
  <c r="CR149" i="1"/>
  <c r="CQ113" i="1"/>
  <c r="CP113" i="1"/>
  <c r="CM113" i="1"/>
  <c r="CN113" i="1"/>
  <c r="CR105" i="1"/>
  <c r="CR93" i="1"/>
  <c r="CQ69" i="1"/>
  <c r="CM69" i="1"/>
  <c r="CN69" i="1"/>
  <c r="CP69" i="1"/>
  <c r="CR61" i="1"/>
  <c r="CQ37" i="1"/>
  <c r="CM37" i="1"/>
  <c r="CN37" i="1"/>
  <c r="CP37" i="1"/>
  <c r="CP17" i="1"/>
  <c r="CM17" i="1"/>
  <c r="CQ17" i="1"/>
  <c r="CN17" i="1"/>
  <c r="CP258" i="1"/>
  <c r="CQ258" i="1"/>
  <c r="CM258" i="1"/>
  <c r="CN258" i="1"/>
  <c r="CP210" i="1"/>
  <c r="CQ210" i="1"/>
  <c r="CM210" i="1"/>
  <c r="CN210" i="1"/>
  <c r="CP190" i="1"/>
  <c r="CQ190" i="1"/>
  <c r="CM190" i="1"/>
  <c r="CN190" i="1"/>
  <c r="CL155" i="1"/>
  <c r="CQ166" i="1"/>
  <c r="CP166" i="1"/>
  <c r="CM166" i="1"/>
  <c r="CN166" i="1"/>
  <c r="CL137" i="1"/>
  <c r="CQ111" i="1"/>
  <c r="CP111" i="1"/>
  <c r="CM111" i="1"/>
  <c r="CN111" i="1"/>
  <c r="CL105" i="1"/>
  <c r="CR87" i="1"/>
  <c r="CL69" i="1"/>
  <c r="CP23" i="1"/>
  <c r="CQ23" i="1"/>
  <c r="CM23" i="1"/>
  <c r="CN23" i="1"/>
  <c r="CP268" i="1"/>
  <c r="CM268" i="1"/>
  <c r="CQ268" i="1"/>
  <c r="CN268" i="1"/>
  <c r="CP253" i="1"/>
  <c r="CM253" i="1"/>
  <c r="CQ253" i="1"/>
  <c r="CN253" i="1"/>
  <c r="CP237" i="1"/>
  <c r="CM237" i="1"/>
  <c r="CQ237" i="1"/>
  <c r="CN237" i="1"/>
  <c r="CR221" i="1"/>
  <c r="CR213" i="1"/>
  <c r="CN193" i="1"/>
  <c r="CP193" i="1"/>
  <c r="CQ193" i="1"/>
  <c r="CM193" i="1"/>
  <c r="CR146" i="1"/>
  <c r="CP126" i="1"/>
  <c r="CQ126" i="1"/>
  <c r="CN126" i="1"/>
  <c r="CM126" i="1"/>
  <c r="CP118" i="1"/>
  <c r="CQ118" i="1"/>
  <c r="CN118" i="1"/>
  <c r="CM118" i="1"/>
  <c r="CP102" i="1"/>
  <c r="CQ102" i="1"/>
  <c r="CN102" i="1"/>
  <c r="CM102" i="1"/>
  <c r="CR94" i="1"/>
  <c r="CL180" i="1"/>
  <c r="CP74" i="1"/>
  <c r="CN74" i="1"/>
  <c r="CQ74" i="1"/>
  <c r="CM74" i="1"/>
  <c r="CP50" i="1"/>
  <c r="CN50" i="1"/>
  <c r="CQ50" i="1"/>
  <c r="CM50" i="1"/>
  <c r="CP34" i="1"/>
  <c r="CN34" i="1"/>
  <c r="CQ34" i="1"/>
  <c r="CM34" i="1"/>
  <c r="CL32" i="1"/>
  <c r="CR26" i="1"/>
  <c r="CR18" i="1"/>
  <c r="CP222" i="1"/>
  <c r="CQ222" i="1"/>
  <c r="CM222" i="1"/>
  <c r="CN222" i="1"/>
  <c r="CQ151" i="1"/>
  <c r="CP151" i="1"/>
  <c r="CM151" i="1"/>
  <c r="CN151" i="1"/>
  <c r="CQ139" i="1"/>
  <c r="CM139" i="1"/>
  <c r="CN139" i="1"/>
  <c r="CP139" i="1"/>
  <c r="CR121" i="1"/>
  <c r="CP11" i="1"/>
  <c r="CQ11" i="1"/>
  <c r="CM11" i="1"/>
  <c r="CN11" i="1"/>
  <c r="CP259" i="1"/>
  <c r="CQ259" i="1"/>
  <c r="CM259" i="1"/>
  <c r="CN259" i="1"/>
  <c r="CR202" i="1"/>
  <c r="CL268" i="1"/>
  <c r="CP263" i="1"/>
  <c r="CQ263" i="1"/>
  <c r="CM263" i="1"/>
  <c r="CN263" i="1"/>
  <c r="CR259" i="1"/>
  <c r="CL253" i="1"/>
  <c r="CP247" i="1"/>
  <c r="CQ247" i="1"/>
  <c r="CM247" i="1"/>
  <c r="CN247" i="1"/>
  <c r="CR243" i="1"/>
  <c r="CL237" i="1"/>
  <c r="CP231" i="1"/>
  <c r="CQ231" i="1"/>
  <c r="CM231" i="1"/>
  <c r="CN231" i="1"/>
  <c r="CR227" i="1"/>
  <c r="CL221" i="1"/>
  <c r="CP215" i="1"/>
  <c r="CQ215" i="1"/>
  <c r="CM215" i="1"/>
  <c r="CN215" i="1"/>
  <c r="CR211" i="1"/>
  <c r="CP199" i="1"/>
  <c r="CQ199" i="1"/>
  <c r="CM199" i="1"/>
  <c r="CN199" i="1"/>
  <c r="CR195" i="1"/>
  <c r="CQ183" i="1"/>
  <c r="CM183" i="1"/>
  <c r="CN183" i="1"/>
  <c r="CP183" i="1"/>
  <c r="CR179" i="1"/>
  <c r="CQ167" i="1"/>
  <c r="CM167" i="1"/>
  <c r="CN167" i="1"/>
  <c r="CP167" i="1"/>
  <c r="CR65" i="1"/>
  <c r="CQ152" i="1"/>
  <c r="CM152" i="1"/>
  <c r="CN152" i="1"/>
  <c r="CP152" i="1"/>
  <c r="CR148" i="1"/>
  <c r="CL142" i="1"/>
  <c r="CP136" i="1"/>
  <c r="CM136" i="1"/>
  <c r="CN136" i="1"/>
  <c r="CQ136" i="1"/>
  <c r="CR132" i="1"/>
  <c r="CL126" i="1"/>
  <c r="CP67" i="1"/>
  <c r="CM67" i="1"/>
  <c r="CN67" i="1"/>
  <c r="CQ67" i="1"/>
  <c r="CR116" i="1"/>
  <c r="CL110" i="1"/>
  <c r="CP104" i="1"/>
  <c r="CM104" i="1"/>
  <c r="CN104" i="1"/>
  <c r="CQ104" i="1"/>
  <c r="CR100" i="1"/>
  <c r="CL94" i="1"/>
  <c r="CP88" i="1"/>
  <c r="CM88" i="1"/>
  <c r="CN88" i="1"/>
  <c r="CQ88" i="1"/>
  <c r="CR84" i="1"/>
  <c r="CP72" i="1"/>
  <c r="CM72" i="1"/>
  <c r="CN72" i="1"/>
  <c r="CQ72" i="1"/>
  <c r="CR68" i="1"/>
  <c r="CP56" i="1"/>
  <c r="CM56" i="1"/>
  <c r="CN56" i="1"/>
  <c r="CQ56" i="1"/>
  <c r="CR52" i="1"/>
  <c r="CP40" i="1"/>
  <c r="CM40" i="1"/>
  <c r="CN40" i="1"/>
  <c r="CQ40" i="1"/>
  <c r="CR36" i="1"/>
  <c r="CQ24" i="1"/>
  <c r="CP24" i="1"/>
  <c r="CM24" i="1"/>
  <c r="CN24" i="1"/>
  <c r="CR20" i="1"/>
  <c r="CL186" i="1"/>
  <c r="CQ8" i="1"/>
  <c r="CP8" i="1"/>
  <c r="CM8" i="1"/>
  <c r="CN8" i="1"/>
  <c r="CL265" i="1"/>
  <c r="CL254" i="1"/>
  <c r="CQ228" i="1"/>
  <c r="CM228" i="1"/>
  <c r="CN228" i="1"/>
  <c r="CP228" i="1"/>
  <c r="CL222" i="1"/>
  <c r="CR212" i="1"/>
  <c r="CR192" i="1"/>
  <c r="CR172" i="1"/>
  <c r="CQ160" i="1"/>
  <c r="CM160" i="1"/>
  <c r="CN160" i="1"/>
  <c r="CP160" i="1"/>
  <c r="CR120" i="1"/>
  <c r="CL143" i="1"/>
  <c r="CQ129" i="1"/>
  <c r="CP129" i="1"/>
  <c r="CM129" i="1"/>
  <c r="CN129" i="1"/>
  <c r="CL123" i="1"/>
  <c r="CR109" i="1"/>
  <c r="CR101" i="1"/>
  <c r="CQ124" i="1"/>
  <c r="CP124" i="1"/>
  <c r="CM124" i="1"/>
  <c r="CN124" i="1"/>
  <c r="CR81" i="1"/>
  <c r="CR49" i="1"/>
  <c r="CL27" i="1"/>
  <c r="CP13" i="1"/>
  <c r="CQ13" i="1"/>
  <c r="CM13" i="1"/>
  <c r="CN13" i="1"/>
  <c r="CR265" i="1"/>
  <c r="CL260" i="1"/>
  <c r="CP246" i="1"/>
  <c r="CQ246" i="1"/>
  <c r="CM246" i="1"/>
  <c r="CN246" i="1"/>
  <c r="CL240" i="1"/>
  <c r="CL228" i="1"/>
  <c r="CR218" i="1"/>
  <c r="CP255" i="1"/>
  <c r="CQ255" i="1"/>
  <c r="CM255" i="1"/>
  <c r="CN255" i="1"/>
  <c r="CL192" i="1"/>
  <c r="CQ178" i="1"/>
  <c r="CP178" i="1"/>
  <c r="CM178" i="1"/>
  <c r="CN178" i="1"/>
  <c r="CQ170" i="1"/>
  <c r="CP170" i="1"/>
  <c r="CM170" i="1"/>
  <c r="CN170" i="1"/>
  <c r="CQ158" i="1"/>
  <c r="CM158" i="1"/>
  <c r="CP158" i="1"/>
  <c r="CN158" i="1"/>
  <c r="CL149" i="1"/>
  <c r="CR131" i="1"/>
  <c r="CR103" i="1"/>
  <c r="CR83" i="1"/>
  <c r="CQ59" i="1"/>
  <c r="CM59" i="1"/>
  <c r="CP59" i="1"/>
  <c r="CN59" i="1"/>
  <c r="CL53" i="1"/>
  <c r="CR43" i="1"/>
  <c r="CP90" i="1"/>
  <c r="CQ90" i="1"/>
  <c r="CM90" i="1"/>
  <c r="CN90" i="1"/>
  <c r="CR270" i="1"/>
  <c r="CQ252" i="1"/>
  <c r="CN252" i="1"/>
  <c r="CP252" i="1"/>
  <c r="CM252" i="1"/>
  <c r="CL246" i="1"/>
  <c r="CQ232" i="1"/>
  <c r="CM232" i="1"/>
  <c r="CN232" i="1"/>
  <c r="CP232" i="1"/>
  <c r="CQ220" i="1"/>
  <c r="CM220" i="1"/>
  <c r="CN220" i="1"/>
  <c r="CP220" i="1"/>
  <c r="CQ208" i="1"/>
  <c r="CM208" i="1"/>
  <c r="CN208" i="1"/>
  <c r="CP208" i="1"/>
  <c r="CR200" i="1"/>
  <c r="CR188" i="1"/>
  <c r="CL178" i="1"/>
  <c r="CL166" i="1"/>
  <c r="CL154" i="1"/>
  <c r="CR141" i="1"/>
  <c r="CR133" i="1"/>
  <c r="CR70" i="1"/>
  <c r="CL111" i="1"/>
  <c r="CQ85" i="1"/>
  <c r="CM85" i="1"/>
  <c r="CN85" i="1"/>
  <c r="CP85" i="1"/>
  <c r="CQ77" i="1"/>
  <c r="CM77" i="1"/>
  <c r="CN77" i="1"/>
  <c r="CP77" i="1"/>
  <c r="CL121" i="1"/>
  <c r="CR57" i="1"/>
  <c r="CR45" i="1"/>
  <c r="CQ33" i="1"/>
  <c r="CP33" i="1"/>
  <c r="CM33" i="1"/>
  <c r="CN33" i="1"/>
  <c r="CR25" i="1"/>
  <c r="CL15" i="1"/>
  <c r="CL270" i="1"/>
  <c r="CR250" i="1"/>
  <c r="CR238" i="1"/>
  <c r="CL232" i="1"/>
  <c r="CL224" i="1"/>
  <c r="CP206" i="1"/>
  <c r="CQ206" i="1"/>
  <c r="CM206" i="1"/>
  <c r="CN206" i="1"/>
  <c r="CL196" i="1"/>
  <c r="CQ182" i="1"/>
  <c r="CP182" i="1"/>
  <c r="CM182" i="1"/>
  <c r="CN182" i="1"/>
  <c r="CR174" i="1"/>
  <c r="CL164" i="1"/>
  <c r="CQ147" i="1"/>
  <c r="CM147" i="1"/>
  <c r="CP147" i="1"/>
  <c r="CN147" i="1"/>
  <c r="CQ14" i="1"/>
  <c r="CP14" i="1"/>
  <c r="CM14" i="1"/>
  <c r="CN14" i="1"/>
  <c r="CR119" i="1"/>
  <c r="CQ107" i="1"/>
  <c r="CM107" i="1"/>
  <c r="CN107" i="1"/>
  <c r="CP107" i="1"/>
  <c r="CR99" i="1"/>
  <c r="CL93" i="1"/>
  <c r="CR75" i="1"/>
  <c r="CQ51" i="1"/>
  <c r="CM51" i="1"/>
  <c r="CP51" i="1"/>
  <c r="CN51" i="1"/>
  <c r="CQ39" i="1"/>
  <c r="CP39" i="1"/>
  <c r="CM39" i="1"/>
  <c r="CN39" i="1"/>
  <c r="CR31" i="1"/>
  <c r="CL21" i="1"/>
  <c r="CP7" i="1"/>
  <c r="CQ7" i="1"/>
  <c r="CM7" i="1"/>
  <c r="CN7" i="1"/>
  <c r="CP264" i="1"/>
  <c r="CN264" i="1"/>
  <c r="CQ264" i="1"/>
  <c r="CM264" i="1"/>
  <c r="CP257" i="1"/>
  <c r="CQ257" i="1"/>
  <c r="CM257" i="1"/>
  <c r="CN257" i="1"/>
  <c r="CP249" i="1"/>
  <c r="CN249" i="1"/>
  <c r="CQ249" i="1"/>
  <c r="CM249" i="1"/>
  <c r="CP241" i="1"/>
  <c r="CQ241" i="1"/>
  <c r="CN241" i="1"/>
  <c r="CM241" i="1"/>
  <c r="CN233" i="1"/>
  <c r="CP233" i="1"/>
  <c r="CQ233" i="1"/>
  <c r="CM233" i="1"/>
  <c r="CN225" i="1"/>
  <c r="CP225" i="1"/>
  <c r="CQ225" i="1"/>
  <c r="CM225" i="1"/>
  <c r="CL223" i="1"/>
  <c r="CR217" i="1"/>
  <c r="CL215" i="1"/>
  <c r="CR114" i="1"/>
  <c r="CN205" i="1"/>
  <c r="CP205" i="1"/>
  <c r="CQ205" i="1"/>
  <c r="CM205" i="1"/>
  <c r="CN197" i="1"/>
  <c r="CP197" i="1"/>
  <c r="CM197" i="1"/>
  <c r="CQ197" i="1"/>
  <c r="CN189" i="1"/>
  <c r="CP189" i="1"/>
  <c r="CQ189" i="1"/>
  <c r="CM189" i="1"/>
  <c r="CP181" i="1"/>
  <c r="CN181" i="1"/>
  <c r="CQ181" i="1"/>
  <c r="CM181" i="1"/>
  <c r="CP173" i="1"/>
  <c r="CN173" i="1"/>
  <c r="CQ173" i="1"/>
  <c r="CM173" i="1"/>
  <c r="CP165" i="1"/>
  <c r="CN165" i="1"/>
  <c r="CM165" i="1"/>
  <c r="CQ165" i="1"/>
  <c r="CR157" i="1"/>
  <c r="CL92" i="1"/>
  <c r="CR150" i="1"/>
  <c r="CL148" i="1"/>
  <c r="CP138" i="1"/>
  <c r="CN138" i="1"/>
  <c r="CQ138" i="1"/>
  <c r="CM138" i="1"/>
  <c r="CP130" i="1"/>
  <c r="CN130" i="1"/>
  <c r="CQ130" i="1"/>
  <c r="CM130" i="1"/>
  <c r="CP122" i="1"/>
  <c r="CN122" i="1"/>
  <c r="CQ122" i="1"/>
  <c r="CM122" i="1"/>
  <c r="CP89" i="1"/>
  <c r="CN89" i="1"/>
  <c r="CQ89" i="1"/>
  <c r="CM89" i="1"/>
  <c r="CP106" i="1"/>
  <c r="CN106" i="1"/>
  <c r="CQ106" i="1"/>
  <c r="CM106" i="1"/>
  <c r="CP98" i="1"/>
  <c r="CN98" i="1"/>
  <c r="CQ98" i="1"/>
  <c r="CM98" i="1"/>
  <c r="CL96" i="1"/>
  <c r="CR163" i="1"/>
  <c r="CL88" i="1"/>
  <c r="CR82" i="1"/>
  <c r="CP78" i="1"/>
  <c r="CQ78" i="1"/>
  <c r="CN78" i="1"/>
  <c r="CM78" i="1"/>
  <c r="CP184" i="1"/>
  <c r="CQ184" i="1"/>
  <c r="CN184" i="1"/>
  <c r="CM184" i="1"/>
  <c r="CP62" i="1"/>
  <c r="CQ62" i="1"/>
  <c r="CN62" i="1"/>
  <c r="CM62" i="1"/>
  <c r="CP54" i="1"/>
  <c r="CQ54" i="1"/>
  <c r="CN54" i="1"/>
  <c r="CM54" i="1"/>
  <c r="CP46" i="1"/>
  <c r="CQ46" i="1"/>
  <c r="CN46" i="1"/>
  <c r="CM46" i="1"/>
  <c r="CP38" i="1"/>
  <c r="CQ38" i="1"/>
  <c r="CN38" i="1"/>
  <c r="CM38" i="1"/>
  <c r="CR30" i="1"/>
  <c r="CL28" i="1"/>
  <c r="CR22" i="1"/>
  <c r="CL20" i="1"/>
  <c r="CP10" i="1"/>
  <c r="CN10" i="1"/>
  <c r="CQ10" i="1"/>
  <c r="CM10" i="1"/>
  <c r="CP226" i="1"/>
  <c r="CQ226" i="1"/>
  <c r="CM226" i="1"/>
  <c r="CN226" i="1"/>
  <c r="CL212" i="1"/>
  <c r="CR154" i="1"/>
  <c r="CQ135" i="1"/>
  <c r="CP135" i="1"/>
  <c r="CM135" i="1"/>
  <c r="CN135" i="1"/>
  <c r="CR95" i="1"/>
  <c r="CR71" i="1"/>
  <c r="CR63" i="1"/>
  <c r="CL9" i="1"/>
  <c r="CS250" i="1" l="1" a="1"/>
  <c r="CS250" i="1" s="1"/>
  <c r="CT172" i="1" a="1"/>
  <c r="CT172" i="1" s="1"/>
  <c r="CT242" i="1" a="1"/>
  <c r="CT242" i="1" s="1"/>
  <c r="CT211" i="1" a="1"/>
  <c r="CT211" i="1" s="1"/>
  <c r="CT127" i="1" a="1"/>
  <c r="CT127" i="1" s="1"/>
  <c r="CT140" i="1" a="1"/>
  <c r="CT140" i="1" s="1"/>
  <c r="CS171" i="1" a="1"/>
  <c r="CS171" i="1" s="1"/>
  <c r="CS251" i="1" a="1"/>
  <c r="CS251" i="1" s="1"/>
  <c r="CS266" i="1" a="1"/>
  <c r="CS266" i="1" s="1"/>
  <c r="CT75" i="1" a="1"/>
  <c r="CT75" i="1" s="1"/>
  <c r="CS194" i="1" a="1"/>
  <c r="CS194" i="1" s="1"/>
  <c r="CT165" i="1" a="1"/>
  <c r="CT165" i="1" s="1"/>
  <c r="CT257" i="1" a="1"/>
  <c r="CT257" i="1" s="1"/>
  <c r="CS182" i="1" a="1"/>
  <c r="CS182" i="1" s="1"/>
  <c r="CS23" i="1" a="1"/>
  <c r="CS23" i="1" s="1"/>
  <c r="CT269" i="1" a="1"/>
  <c r="CT269" i="1" s="1"/>
  <c r="CS26" i="1" a="1"/>
  <c r="CS26" i="1" s="1"/>
  <c r="CS158" i="1" a="1"/>
  <c r="CS158" i="1" s="1"/>
  <c r="CS124" i="1" a="1"/>
  <c r="CS124" i="1" s="1"/>
  <c r="CT8" i="1" a="1"/>
  <c r="CT8" i="1" s="1"/>
  <c r="CS40" i="1" a="1"/>
  <c r="CS40" i="1" s="1"/>
  <c r="CT167" i="1" a="1"/>
  <c r="CT167" i="1" s="1"/>
  <c r="CS231" i="1" a="1"/>
  <c r="CS231" i="1" s="1"/>
  <c r="CS263" i="1" a="1"/>
  <c r="CS263" i="1" s="1"/>
  <c r="CT139" i="1" a="1"/>
  <c r="CT139" i="1" s="1"/>
  <c r="CT193" i="1" a="1"/>
  <c r="CT193" i="1" s="1"/>
  <c r="CT209" i="1" a="1"/>
  <c r="CT209" i="1" s="1"/>
  <c r="CS29" i="1" a="1"/>
  <c r="CS29" i="1" s="1"/>
  <c r="CT48" i="1" a="1"/>
  <c r="CT48" i="1" s="1"/>
  <c r="CS128" i="1" a="1"/>
  <c r="CS128" i="1" s="1"/>
  <c r="CT226" i="1" a="1"/>
  <c r="CT226" i="1" s="1"/>
  <c r="CT7" i="1" a="1"/>
  <c r="CT7" i="1" s="1"/>
  <c r="CS63" i="1" a="1"/>
  <c r="CS63" i="1" s="1"/>
  <c r="CS70" i="1" a="1"/>
  <c r="CS70" i="1" s="1"/>
  <c r="CS49" i="1" a="1"/>
  <c r="CS49" i="1" s="1"/>
  <c r="CT101" i="1" a="1"/>
  <c r="CT101" i="1" s="1"/>
  <c r="CT52" i="1" a="1"/>
  <c r="CT52" i="1" s="1"/>
  <c r="CT134" i="1" a="1"/>
  <c r="CT134" i="1" s="1"/>
  <c r="CT162" i="1" a="1"/>
  <c r="CT162" i="1" s="1"/>
  <c r="CS47" i="1" a="1"/>
  <c r="CS47" i="1" s="1"/>
  <c r="CT197" i="1" a="1"/>
  <c r="CT197" i="1" s="1"/>
  <c r="CT90" i="1" a="1"/>
  <c r="CT90" i="1" s="1"/>
  <c r="CS95" i="1" a="1"/>
  <c r="CS95" i="1" s="1"/>
  <c r="CS198" i="1" a="1"/>
  <c r="CS198" i="1" s="1"/>
  <c r="CT206" i="1" a="1"/>
  <c r="CT206" i="1" s="1"/>
  <c r="CT33" i="1" a="1"/>
  <c r="CT33" i="1" s="1"/>
  <c r="CS77" i="1" a="1"/>
  <c r="CS77" i="1" s="1"/>
  <c r="CS85" i="1" a="1"/>
  <c r="CS85" i="1" s="1"/>
  <c r="CT252" i="1" a="1"/>
  <c r="CT252" i="1" s="1"/>
  <c r="CS90" i="1" a="1"/>
  <c r="CS90" i="1" s="1"/>
  <c r="CT13" i="1" a="1"/>
  <c r="CT13" i="1" s="1"/>
  <c r="CT56" i="1" a="1"/>
  <c r="CT56" i="1" s="1"/>
  <c r="CS104" i="1" a="1"/>
  <c r="CS104" i="1" s="1"/>
  <c r="CS136" i="1" a="1"/>
  <c r="CS136" i="1" s="1"/>
  <c r="CS183" i="1" a="1"/>
  <c r="CS183" i="1" s="1"/>
  <c r="CS199" i="1" a="1"/>
  <c r="CS199" i="1" s="1"/>
  <c r="CT34" i="1" a="1"/>
  <c r="CT34" i="1" s="1"/>
  <c r="CS50" i="1" a="1"/>
  <c r="CS50" i="1" s="1"/>
  <c r="CS156" i="1" a="1"/>
  <c r="CS156" i="1" s="1"/>
  <c r="CS64" i="1" a="1"/>
  <c r="CS64" i="1" s="1"/>
  <c r="CS175" i="1" a="1"/>
  <c r="CS175" i="1" s="1"/>
  <c r="CS239" i="1" a="1"/>
  <c r="CS239" i="1" s="1"/>
  <c r="CT79" i="1" a="1"/>
  <c r="CT79" i="1" s="1"/>
  <c r="CS127" i="1" a="1"/>
  <c r="CS127" i="1" s="1"/>
  <c r="CT171" i="1" a="1"/>
  <c r="CT171" i="1" s="1"/>
  <c r="CT82" i="1" a="1"/>
  <c r="CT82" i="1" s="1"/>
  <c r="CT150" i="1" a="1"/>
  <c r="CT150" i="1" s="1"/>
  <c r="CT174" i="1" a="1"/>
  <c r="CT174" i="1" s="1"/>
  <c r="CT25" i="1" a="1"/>
  <c r="CT25" i="1" s="1"/>
  <c r="CT70" i="1" a="1"/>
  <c r="CT70" i="1" s="1"/>
  <c r="CT81" i="1" a="1"/>
  <c r="CT81" i="1" s="1"/>
  <c r="CS172" i="1" a="1"/>
  <c r="CS172" i="1" s="1"/>
  <c r="CT66" i="1" a="1"/>
  <c r="CT66" i="1" s="1"/>
  <c r="CS73" i="1" a="1"/>
  <c r="CS73" i="1" s="1"/>
  <c r="CT204" i="1" a="1"/>
  <c r="CT204" i="1" s="1"/>
  <c r="CS144" i="1" a="1"/>
  <c r="CS144" i="1" s="1"/>
  <c r="CT250" i="1" a="1"/>
  <c r="CT250" i="1" s="1"/>
  <c r="CT18" i="1" a="1"/>
  <c r="CT18" i="1" s="1"/>
  <c r="CT202" i="1" a="1"/>
  <c r="CT202" i="1" s="1"/>
  <c r="CS84" i="1" a="1"/>
  <c r="CS84" i="1" s="1"/>
  <c r="CS135" i="1" a="1"/>
  <c r="CS135" i="1" s="1"/>
  <c r="CT39" i="1" a="1"/>
  <c r="CT39" i="1" s="1"/>
  <c r="CS107" i="1" a="1"/>
  <c r="CS107" i="1" s="1"/>
  <c r="CT14" i="1" a="1"/>
  <c r="CT14" i="1" s="1"/>
  <c r="CS208" i="1" a="1"/>
  <c r="CS208" i="1" s="1"/>
  <c r="CT220" i="1" a="1"/>
  <c r="CT220" i="1" s="1"/>
  <c r="CS255" i="1" a="1"/>
  <c r="CS255" i="1" s="1"/>
  <c r="CS160" i="1" a="1"/>
  <c r="CS160" i="1" s="1"/>
  <c r="CT24" i="1" a="1"/>
  <c r="CT24" i="1" s="1"/>
  <c r="CS72" i="1" a="1"/>
  <c r="CS72" i="1" s="1"/>
  <c r="CS247" i="1" a="1"/>
  <c r="CS247" i="1" s="1"/>
  <c r="CT259" i="1" a="1"/>
  <c r="CT259" i="1" s="1"/>
  <c r="CS11" i="1" a="1"/>
  <c r="CS11" i="1" s="1"/>
  <c r="CT190" i="1" a="1"/>
  <c r="CT190" i="1" s="1"/>
  <c r="CS210" i="1" a="1"/>
  <c r="CS210" i="1" s="1"/>
  <c r="CS258" i="1" a="1"/>
  <c r="CS258" i="1" s="1"/>
  <c r="CT83" i="1" a="1"/>
  <c r="CT83" i="1" s="1"/>
  <c r="CS113" i="1" a="1"/>
  <c r="CS113" i="1" s="1"/>
  <c r="CT156" i="1" a="1"/>
  <c r="CT156" i="1" s="1"/>
  <c r="CS256" i="1" a="1"/>
  <c r="CS256" i="1" s="1"/>
  <c r="CT80" i="1" a="1"/>
  <c r="CT80" i="1" s="1"/>
  <c r="CT175" i="1" a="1"/>
  <c r="CT175" i="1" s="1"/>
  <c r="CS35" i="1" a="1"/>
  <c r="CS35" i="1" s="1"/>
  <c r="CT91" i="1" a="1"/>
  <c r="CT91" i="1" s="1"/>
  <c r="CS22" i="1" a="1"/>
  <c r="CS22" i="1" s="1"/>
  <c r="CT114" i="1" a="1"/>
  <c r="CT114" i="1" s="1"/>
  <c r="CT68" i="1" a="1"/>
  <c r="CT68" i="1" s="1"/>
  <c r="CS161" i="1" a="1"/>
  <c r="CS161" i="1" s="1"/>
  <c r="CS16" i="1" a="1"/>
  <c r="CS16" i="1" s="1"/>
  <c r="CT271" i="1" a="1"/>
  <c r="CT271" i="1" s="1"/>
  <c r="CT71" i="1" a="1"/>
  <c r="CT71" i="1" s="1"/>
  <c r="CT10" i="1" a="1"/>
  <c r="CT10" i="1" s="1"/>
  <c r="CS38" i="1" a="1"/>
  <c r="CS38" i="1" s="1"/>
  <c r="CS46" i="1" a="1"/>
  <c r="CS46" i="1" s="1"/>
  <c r="CT54" i="1" a="1"/>
  <c r="CT54" i="1" s="1"/>
  <c r="CT62" i="1" a="1"/>
  <c r="CT62" i="1" s="1"/>
  <c r="CT184" i="1" a="1"/>
  <c r="CT184" i="1" s="1"/>
  <c r="CT78" i="1" a="1"/>
  <c r="CT78" i="1" s="1"/>
  <c r="CT98" i="1" a="1"/>
  <c r="CT98" i="1" s="1"/>
  <c r="CT106" i="1" a="1"/>
  <c r="CT106" i="1" s="1"/>
  <c r="CT89" i="1" a="1"/>
  <c r="CT89" i="1" s="1"/>
  <c r="CS122" i="1" a="1"/>
  <c r="CS122" i="1" s="1"/>
  <c r="CT130" i="1" a="1"/>
  <c r="CT130" i="1" s="1"/>
  <c r="CS138" i="1" a="1"/>
  <c r="CS138" i="1" s="1"/>
  <c r="CS165" i="1" a="1"/>
  <c r="CS165" i="1" s="1"/>
  <c r="CT173" i="1" a="1"/>
  <c r="CT173" i="1" s="1"/>
  <c r="CS181" i="1" a="1"/>
  <c r="CS181" i="1" s="1"/>
  <c r="CT189" i="1" a="1"/>
  <c r="CT189" i="1" s="1"/>
  <c r="CS197" i="1" a="1"/>
  <c r="CS197" i="1" s="1"/>
  <c r="CS205" i="1" a="1"/>
  <c r="CS205" i="1" s="1"/>
  <c r="CT225" i="1" a="1"/>
  <c r="CT225" i="1" s="1"/>
  <c r="CS233" i="1" a="1"/>
  <c r="CS233" i="1" s="1"/>
  <c r="CS241" i="1" a="1"/>
  <c r="CS241" i="1" s="1"/>
  <c r="CS249" i="1" a="1"/>
  <c r="CS249" i="1" s="1"/>
  <c r="CS264" i="1" a="1"/>
  <c r="CS264" i="1" s="1"/>
  <c r="CS39" i="1" a="1"/>
  <c r="CS39" i="1" s="1"/>
  <c r="CT51" i="1" a="1"/>
  <c r="CT51" i="1" s="1"/>
  <c r="CS99" i="1" a="1"/>
  <c r="CS99" i="1" s="1"/>
  <c r="CT107" i="1" a="1"/>
  <c r="CT107" i="1" s="1"/>
  <c r="CS147" i="1" a="1"/>
  <c r="CS147" i="1" s="1"/>
  <c r="CT43" i="1" a="1"/>
  <c r="CT43" i="1" s="1"/>
  <c r="CT59" i="1" a="1"/>
  <c r="CT59" i="1" s="1"/>
  <c r="CT170" i="1" a="1"/>
  <c r="CT170" i="1" s="1"/>
  <c r="CT129" i="1" a="1"/>
  <c r="CT129" i="1" s="1"/>
  <c r="CS67" i="1" a="1"/>
  <c r="CS67" i="1" s="1"/>
  <c r="CS152" i="1" a="1"/>
  <c r="CS152" i="1" s="1"/>
  <c r="CT151" i="1" a="1"/>
  <c r="CT151" i="1" s="1"/>
  <c r="CT102" i="1" a="1"/>
  <c r="CT102" i="1" s="1"/>
  <c r="CT118" i="1" a="1"/>
  <c r="CT118" i="1" s="1"/>
  <c r="CS146" i="1" a="1"/>
  <c r="CS146" i="1" s="1"/>
  <c r="CT210" i="1" a="1"/>
  <c r="CT210" i="1" s="1"/>
  <c r="CT258" i="1" a="1"/>
  <c r="CT258" i="1" s="1"/>
  <c r="CT17" i="1" a="1"/>
  <c r="CT17" i="1" s="1"/>
  <c r="CS55" i="1" a="1"/>
  <c r="CS55" i="1" s="1"/>
  <c r="CS262" i="1" a="1"/>
  <c r="CS262" i="1" s="1"/>
  <c r="CT239" i="1" a="1"/>
  <c r="CT239" i="1" s="1"/>
  <c r="CS261" i="1" a="1"/>
  <c r="CS261" i="1" s="1"/>
  <c r="CT267" i="1" a="1"/>
  <c r="CT267" i="1" s="1"/>
  <c r="CT236" i="1" a="1"/>
  <c r="CT236" i="1" s="1"/>
  <c r="CS150" i="1" a="1"/>
  <c r="CS150" i="1" s="1"/>
  <c r="CS177" i="1" a="1"/>
  <c r="CS177" i="1" s="1"/>
  <c r="CS114" i="1" a="1"/>
  <c r="CS114" i="1" s="1"/>
  <c r="CS217" i="1" a="1"/>
  <c r="CS217" i="1" s="1"/>
  <c r="CT99" i="1" a="1"/>
  <c r="CT99" i="1" s="1"/>
  <c r="CS119" i="1" a="1"/>
  <c r="CS119" i="1" s="1"/>
  <c r="CS234" i="1" a="1"/>
  <c r="CS234" i="1" s="1"/>
  <c r="CS25" i="1" a="1"/>
  <c r="CS25" i="1" s="1"/>
  <c r="CS200" i="1" a="1"/>
  <c r="CS200" i="1" s="1"/>
  <c r="CS43" i="1" a="1"/>
  <c r="CS43" i="1" s="1"/>
  <c r="CS83" i="1" a="1"/>
  <c r="CS83" i="1" s="1"/>
  <c r="CT131" i="1" a="1"/>
  <c r="CT131" i="1" s="1"/>
  <c r="CT194" i="1" a="1"/>
  <c r="CT194" i="1" s="1"/>
  <c r="CS242" i="1" a="1"/>
  <c r="CS242" i="1" s="1"/>
  <c r="CS81" i="1" a="1"/>
  <c r="CS81" i="1" s="1"/>
  <c r="CT36" i="1" a="1"/>
  <c r="CT36" i="1" s="1"/>
  <c r="CS68" i="1" a="1"/>
  <c r="CS68" i="1" s="1"/>
  <c r="CT65" i="1" a="1"/>
  <c r="CT65" i="1" s="1"/>
  <c r="CS195" i="1" a="1"/>
  <c r="CS195" i="1" s="1"/>
  <c r="CS211" i="1" a="1"/>
  <c r="CS211" i="1" s="1"/>
  <c r="CT229" i="1" a="1"/>
  <c r="CT229" i="1" s="1"/>
  <c r="CT245" i="1" a="1"/>
  <c r="CT245" i="1" s="1"/>
  <c r="CT261" i="1" a="1"/>
  <c r="CT261" i="1" s="1"/>
  <c r="CS168" i="1" a="1"/>
  <c r="CS168" i="1" s="1"/>
  <c r="CS162" i="1" a="1"/>
  <c r="CS162" i="1" s="1"/>
  <c r="CT19" i="1" a="1"/>
  <c r="CT19" i="1" s="1"/>
  <c r="CS271" i="1" a="1"/>
  <c r="CS271" i="1" s="1"/>
  <c r="CS186" i="1" a="1"/>
  <c r="CS186" i="1" s="1"/>
  <c r="CT186" i="1" a="1"/>
  <c r="CT186" i="1" s="1"/>
  <c r="CT205" i="1" a="1"/>
  <c r="CT205" i="1" s="1"/>
  <c r="CS237" i="1" a="1"/>
  <c r="CS237" i="1" s="1"/>
  <c r="CT237" i="1" a="1"/>
  <c r="CT237" i="1" s="1"/>
  <c r="CS14" i="1" a="1"/>
  <c r="CS14" i="1" s="1"/>
  <c r="CS54" i="1" a="1"/>
  <c r="CS54" i="1" s="1"/>
  <c r="CS203" i="1" a="1"/>
  <c r="CS203" i="1" s="1"/>
  <c r="CT203" i="1" a="1"/>
  <c r="CT203" i="1" s="1"/>
  <c r="CS106" i="1" a="1"/>
  <c r="CS106" i="1" s="1"/>
  <c r="CT217" i="1" a="1"/>
  <c r="CT217" i="1" s="1"/>
  <c r="CT84" i="1" a="1"/>
  <c r="CT84" i="1" s="1"/>
  <c r="CT22" i="1" a="1"/>
  <c r="CT22" i="1" s="1"/>
  <c r="CT38" i="1" a="1"/>
  <c r="CT38" i="1" s="1"/>
  <c r="CT128" i="1" a="1"/>
  <c r="CT128" i="1" s="1"/>
  <c r="CS202" i="1" a="1"/>
  <c r="CS202" i="1" s="1"/>
  <c r="CT73" i="1" a="1"/>
  <c r="CT73" i="1" s="1"/>
  <c r="CS170" i="1" a="1"/>
  <c r="CS170" i="1" s="1"/>
  <c r="CT67" i="1" a="1"/>
  <c r="CT67" i="1" s="1"/>
  <c r="CT179" i="1" a="1"/>
  <c r="CT179" i="1" s="1"/>
  <c r="CS204" i="1" a="1"/>
  <c r="CS204" i="1" s="1"/>
  <c r="CT198" i="1" a="1"/>
  <c r="CT198" i="1" s="1"/>
  <c r="CT168" i="1" a="1"/>
  <c r="CT168" i="1" s="1"/>
  <c r="CS79" i="1" a="1"/>
  <c r="CS79" i="1" s="1"/>
  <c r="CS34" i="1" a="1"/>
  <c r="CS34" i="1" s="1"/>
  <c r="CS82" i="1" a="1"/>
  <c r="CS82" i="1" s="1"/>
  <c r="CS89" i="1" a="1"/>
  <c r="CS89" i="1" s="1"/>
  <c r="CT64" i="1" a="1"/>
  <c r="CT64" i="1" s="1"/>
  <c r="CT199" i="1" a="1"/>
  <c r="CT199" i="1" s="1"/>
  <c r="CS91" i="1" a="1"/>
  <c r="CS91" i="1" s="1"/>
  <c r="CT266" i="1" a="1"/>
  <c r="CT266" i="1" s="1"/>
  <c r="CS48" i="1" a="1"/>
  <c r="CS48" i="1" s="1"/>
  <c r="CT40" i="1" a="1"/>
  <c r="CT40" i="1" s="1"/>
  <c r="CT26" i="1" a="1"/>
  <c r="CT26" i="1" s="1"/>
  <c r="CT256" i="1" a="1"/>
  <c r="CT256" i="1" s="1"/>
  <c r="CT20" i="1" a="1"/>
  <c r="CT20" i="1" s="1"/>
  <c r="CS20" i="1" a="1"/>
  <c r="CS20" i="1" s="1"/>
  <c r="CT196" i="1" a="1"/>
  <c r="CT196" i="1" s="1"/>
  <c r="CS196" i="1" a="1"/>
  <c r="CS196" i="1" s="1"/>
  <c r="CS178" i="1" a="1"/>
  <c r="CS178" i="1" s="1"/>
  <c r="CT178" i="1" a="1"/>
  <c r="CT178" i="1" s="1"/>
  <c r="CT192" i="1" a="1"/>
  <c r="CT192" i="1" s="1"/>
  <c r="CS192" i="1" a="1"/>
  <c r="CS192" i="1" s="1"/>
  <c r="CS78" i="1" a="1"/>
  <c r="CS78" i="1" s="1"/>
  <c r="CS142" i="1" a="1"/>
  <c r="CS142" i="1" s="1"/>
  <c r="CT142" i="1" a="1"/>
  <c r="CT142" i="1" s="1"/>
  <c r="CS268" i="1" a="1"/>
  <c r="CS268" i="1" s="1"/>
  <c r="CT268" i="1" a="1"/>
  <c r="CT268" i="1" s="1"/>
  <c r="CS51" i="1" a="1"/>
  <c r="CS51" i="1" s="1"/>
  <c r="CT11" i="1" a="1"/>
  <c r="CT11" i="1" s="1"/>
  <c r="CT181" i="1" a="1"/>
  <c r="CT181" i="1" s="1"/>
  <c r="CS53" i="1" a="1"/>
  <c r="CS53" i="1" s="1"/>
  <c r="CT53" i="1" a="1"/>
  <c r="CT53" i="1" s="1"/>
  <c r="CS71" i="1" a="1"/>
  <c r="CS71" i="1" s="1"/>
  <c r="CT123" i="1" a="1"/>
  <c r="CT123" i="1" s="1"/>
  <c r="CS123" i="1" a="1"/>
  <c r="CS123" i="1" s="1"/>
  <c r="CT182" i="1" a="1"/>
  <c r="CT182" i="1" s="1"/>
  <c r="CT255" i="1" a="1"/>
  <c r="CT255" i="1" s="1"/>
  <c r="CT46" i="1" a="1"/>
  <c r="CT46" i="1" s="1"/>
  <c r="CS62" i="1" a="1"/>
  <c r="CS62" i="1" s="1"/>
  <c r="CS173" i="1" a="1"/>
  <c r="CS173" i="1" s="1"/>
  <c r="CS189" i="1" a="1"/>
  <c r="CS189" i="1" s="1"/>
  <c r="CT249" i="1" a="1"/>
  <c r="CT249" i="1" s="1"/>
  <c r="CS32" i="1" a="1"/>
  <c r="CS32" i="1" s="1"/>
  <c r="CT32" i="1" a="1"/>
  <c r="CT32" i="1" s="1"/>
  <c r="CT152" i="1" a="1"/>
  <c r="CT152" i="1" s="1"/>
  <c r="CT69" i="1" a="1"/>
  <c r="CT69" i="1" s="1"/>
  <c r="CS69" i="1" a="1"/>
  <c r="CS69" i="1" s="1"/>
  <c r="CS155" i="1" a="1"/>
  <c r="CS155" i="1" s="1"/>
  <c r="CT155" i="1" a="1"/>
  <c r="CT155" i="1" s="1"/>
  <c r="CS139" i="1" a="1"/>
  <c r="CS139" i="1" s="1"/>
  <c r="CS17" i="1" a="1"/>
  <c r="CS17" i="1" s="1"/>
  <c r="CT97" i="1" a="1"/>
  <c r="CT97" i="1" s="1"/>
  <c r="CS97" i="1" a="1"/>
  <c r="CS97" i="1" s="1"/>
  <c r="CS176" i="1" a="1"/>
  <c r="CS176" i="1" s="1"/>
  <c r="CT176" i="1" a="1"/>
  <c r="CT176" i="1" s="1"/>
  <c r="CS118" i="1" a="1"/>
  <c r="CS118" i="1" s="1"/>
  <c r="CS245" i="1" a="1"/>
  <c r="CS245" i="1" s="1"/>
  <c r="CT136" i="1" a="1"/>
  <c r="CT136" i="1" s="1"/>
  <c r="CT263" i="1" a="1"/>
  <c r="CT263" i="1" s="1"/>
  <c r="CS75" i="1" a="1"/>
  <c r="CS75" i="1" s="1"/>
  <c r="CS41" i="1" a="1"/>
  <c r="CS41" i="1" s="1"/>
  <c r="CT47" i="1" a="1"/>
  <c r="CT47" i="1" s="1"/>
  <c r="CT146" i="1" a="1"/>
  <c r="CT146" i="1" s="1"/>
  <c r="CT241" i="1" a="1"/>
  <c r="CT241" i="1" s="1"/>
  <c r="CS12" i="1" a="1"/>
  <c r="CS12" i="1" s="1"/>
  <c r="CT12" i="1" a="1"/>
  <c r="CT12" i="1" s="1"/>
  <c r="CS116" i="1" a="1"/>
  <c r="CS116" i="1" s="1"/>
  <c r="CT116" i="1" a="1"/>
  <c r="CT116" i="1" s="1"/>
  <c r="CS235" i="1" a="1"/>
  <c r="CS235" i="1" s="1"/>
  <c r="CT235" i="1" a="1"/>
  <c r="CT235" i="1" s="1"/>
  <c r="CT45" i="1" a="1"/>
  <c r="CT45" i="1" s="1"/>
  <c r="CS45" i="1" a="1"/>
  <c r="CS45" i="1" s="1"/>
  <c r="CS103" i="1" a="1"/>
  <c r="CS103" i="1" s="1"/>
  <c r="CT103" i="1" a="1"/>
  <c r="CT103" i="1" s="1"/>
  <c r="CT238" i="1" a="1"/>
  <c r="CT238" i="1" s="1"/>
  <c r="CS238" i="1" a="1"/>
  <c r="CS238" i="1" s="1"/>
  <c r="CT191" i="1" a="1"/>
  <c r="CT191" i="1" s="1"/>
  <c r="CS191" i="1" a="1"/>
  <c r="CS191" i="1" s="1"/>
  <c r="CT95" i="1" a="1"/>
  <c r="CT95" i="1" s="1"/>
  <c r="CT135" i="1" a="1"/>
  <c r="CT135" i="1" s="1"/>
  <c r="CT234" i="1" a="1"/>
  <c r="CT234" i="1" s="1"/>
  <c r="CS163" i="1" a="1"/>
  <c r="CS163" i="1" s="1"/>
  <c r="CT138" i="1" a="1"/>
  <c r="CT138" i="1" s="1"/>
  <c r="CS169" i="1" a="1"/>
  <c r="CS169" i="1" s="1"/>
  <c r="CT169" i="1" a="1"/>
  <c r="CT169" i="1" s="1"/>
  <c r="CT201" i="1" a="1"/>
  <c r="CT201" i="1" s="1"/>
  <c r="CS201" i="1" a="1"/>
  <c r="CS201" i="1" s="1"/>
  <c r="CT264" i="1" a="1"/>
  <c r="CT264" i="1" s="1"/>
  <c r="CT37" i="1" a="1"/>
  <c r="CT37" i="1" s="1"/>
  <c r="CS37" i="1" a="1"/>
  <c r="CS37" i="1" s="1"/>
  <c r="CS206" i="1" a="1"/>
  <c r="CS206" i="1" s="1"/>
  <c r="CT109" i="1" a="1"/>
  <c r="CT109" i="1" s="1"/>
  <c r="CS109" i="1" a="1"/>
  <c r="CS109" i="1" s="1"/>
  <c r="CS60" i="1" a="1"/>
  <c r="CS60" i="1" s="1"/>
  <c r="CT60" i="1" a="1"/>
  <c r="CT60" i="1" s="1"/>
  <c r="CT195" i="1" a="1"/>
  <c r="CT195" i="1" s="1"/>
  <c r="CS66" i="1" a="1"/>
  <c r="CS66" i="1" s="1"/>
  <c r="CS102" i="1" a="1"/>
  <c r="CS102" i="1" s="1"/>
  <c r="CS179" i="1" a="1"/>
  <c r="CS179" i="1" s="1"/>
  <c r="CT148" i="1" a="1"/>
  <c r="CT148" i="1" s="1"/>
  <c r="CS148" i="1" a="1"/>
  <c r="CS148" i="1" s="1"/>
  <c r="CT260" i="1" a="1"/>
  <c r="CT260" i="1" s="1"/>
  <c r="CS260" i="1" a="1"/>
  <c r="CS260" i="1" s="1"/>
  <c r="CS110" i="1" a="1"/>
  <c r="CS110" i="1" s="1"/>
  <c r="CT110" i="1" a="1"/>
  <c r="CT110" i="1" s="1"/>
  <c r="CT124" i="1" a="1"/>
  <c r="CT124" i="1" s="1"/>
  <c r="CS8" i="1" a="1"/>
  <c r="CS8" i="1" s="1"/>
  <c r="CT188" i="1" a="1"/>
  <c r="CT188" i="1" s="1"/>
  <c r="CS188" i="1" a="1"/>
  <c r="CS188" i="1" s="1"/>
  <c r="CT163" i="1" a="1"/>
  <c r="CT163" i="1" s="1"/>
  <c r="CS248" i="1" a="1"/>
  <c r="CS248" i="1" s="1"/>
  <c r="CT248" i="1" a="1"/>
  <c r="CT248" i="1" s="1"/>
  <c r="CT208" i="1" a="1"/>
  <c r="CT208" i="1" s="1"/>
  <c r="CT158" i="1" a="1"/>
  <c r="CT158" i="1" s="1"/>
  <c r="CS134" i="1" a="1"/>
  <c r="CS134" i="1" s="1"/>
  <c r="CS52" i="1" a="1"/>
  <c r="CS52" i="1" s="1"/>
  <c r="CS220" i="1" a="1"/>
  <c r="CS220" i="1" s="1"/>
  <c r="CS224" i="1" a="1"/>
  <c r="CS224" i="1" s="1"/>
  <c r="CT224" i="1" a="1"/>
  <c r="CT224" i="1" s="1"/>
  <c r="CT28" i="1" a="1"/>
  <c r="CT28" i="1" s="1"/>
  <c r="CS28" i="1" a="1"/>
  <c r="CS28" i="1" s="1"/>
  <c r="CT164" i="1" a="1"/>
  <c r="CT164" i="1" s="1"/>
  <c r="CS164" i="1" a="1"/>
  <c r="CS164" i="1" s="1"/>
  <c r="CS232" i="1" a="1"/>
  <c r="CS232" i="1" s="1"/>
  <c r="CT232" i="1" a="1"/>
  <c r="CT232" i="1" s="1"/>
  <c r="CT111" i="1" a="1"/>
  <c r="CT111" i="1" s="1"/>
  <c r="CS111" i="1" a="1"/>
  <c r="CS111" i="1" s="1"/>
  <c r="CS154" i="1" a="1"/>
  <c r="CS154" i="1" s="1"/>
  <c r="CT154" i="1" a="1"/>
  <c r="CT154" i="1" s="1"/>
  <c r="CS33" i="1" a="1"/>
  <c r="CS33" i="1" s="1"/>
  <c r="CT228" i="1" a="1"/>
  <c r="CT228" i="1" s="1"/>
  <c r="CS228" i="1" a="1"/>
  <c r="CS228" i="1" s="1"/>
  <c r="CT27" i="1" a="1"/>
  <c r="CT27" i="1" s="1"/>
  <c r="CS27" i="1" a="1"/>
  <c r="CS27" i="1" s="1"/>
  <c r="CS59" i="1" a="1"/>
  <c r="CS59" i="1" s="1"/>
  <c r="CS143" i="1" a="1"/>
  <c r="CS143" i="1" s="1"/>
  <c r="CT143" i="1" a="1"/>
  <c r="CT143" i="1" s="1"/>
  <c r="CT254" i="1" a="1"/>
  <c r="CT254" i="1" s="1"/>
  <c r="CS254" i="1" a="1"/>
  <c r="CS254" i="1" s="1"/>
  <c r="CT30" i="1" a="1"/>
  <c r="CT30" i="1" s="1"/>
  <c r="CS94" i="1" a="1"/>
  <c r="CS94" i="1" s="1"/>
  <c r="CT94" i="1" a="1"/>
  <c r="CT94" i="1" s="1"/>
  <c r="CS126" i="1" a="1"/>
  <c r="CS126" i="1" s="1"/>
  <c r="CT126" i="1" a="1"/>
  <c r="CT126" i="1" s="1"/>
  <c r="CS157" i="1" a="1"/>
  <c r="CS157" i="1" s="1"/>
  <c r="CS221" i="1" a="1"/>
  <c r="CS221" i="1" s="1"/>
  <c r="CT221" i="1" a="1"/>
  <c r="CT221" i="1" s="1"/>
  <c r="CT253" i="1" a="1"/>
  <c r="CT253" i="1" s="1"/>
  <c r="CS253" i="1" a="1"/>
  <c r="CS253" i="1" s="1"/>
  <c r="CS24" i="1" a="1"/>
  <c r="CS24" i="1" s="1"/>
  <c r="CT180" i="1" a="1"/>
  <c r="CT180" i="1" s="1"/>
  <c r="CS180" i="1" a="1"/>
  <c r="CS180" i="1" s="1"/>
  <c r="CT31" i="1" a="1"/>
  <c r="CT31" i="1" s="1"/>
  <c r="CT230" i="1" a="1"/>
  <c r="CT230" i="1" s="1"/>
  <c r="CS230" i="1" a="1"/>
  <c r="CS230" i="1" s="1"/>
  <c r="CS216" i="1" a="1"/>
  <c r="CS216" i="1" s="1"/>
  <c r="CT216" i="1" a="1"/>
  <c r="CT216" i="1" s="1"/>
  <c r="CS87" i="1" a="1"/>
  <c r="CS87" i="1" s="1"/>
  <c r="CT87" i="1" a="1"/>
  <c r="CT87" i="1" s="1"/>
  <c r="CS229" i="1" a="1"/>
  <c r="CS229" i="1" s="1"/>
  <c r="CT113" i="1" a="1"/>
  <c r="CT113" i="1" s="1"/>
  <c r="CS36" i="1" a="1"/>
  <c r="CS36" i="1" s="1"/>
  <c r="CT23" i="1" a="1"/>
  <c r="CT23" i="1" s="1"/>
  <c r="CT55" i="1" a="1"/>
  <c r="CT55" i="1" s="1"/>
  <c r="CS131" i="1" a="1"/>
  <c r="CS131" i="1" s="1"/>
  <c r="CS19" i="1" a="1"/>
  <c r="CS19" i="1" s="1"/>
  <c r="CS129" i="1" a="1"/>
  <c r="CS129" i="1" s="1"/>
  <c r="CS151" i="1" a="1"/>
  <c r="CS151" i="1" s="1"/>
  <c r="CS130" i="1" a="1"/>
  <c r="CS130" i="1" s="1"/>
  <c r="CT177" i="1" a="1"/>
  <c r="CT177" i="1" s="1"/>
  <c r="CS257" i="1" a="1"/>
  <c r="CS257" i="1" s="1"/>
  <c r="CT100" i="1" a="1"/>
  <c r="CT100" i="1" s="1"/>
  <c r="CS100" i="1" a="1"/>
  <c r="CS100" i="1" s="1"/>
  <c r="CS153" i="1" a="1"/>
  <c r="CS153" i="1" s="1"/>
  <c r="CT153" i="1" a="1"/>
  <c r="CT153" i="1" s="1"/>
  <c r="CT207" i="1" a="1"/>
  <c r="CT207" i="1" s="1"/>
  <c r="CS207" i="1" a="1"/>
  <c r="CS207" i="1" s="1"/>
  <c r="CS243" i="1" a="1"/>
  <c r="CS243" i="1" s="1"/>
  <c r="CT243" i="1" a="1"/>
  <c r="CT243" i="1" s="1"/>
  <c r="CT57" i="1" a="1"/>
  <c r="CT57" i="1" s="1"/>
  <c r="CS57" i="1" a="1"/>
  <c r="CS57" i="1" s="1"/>
  <c r="CT244" i="1" a="1"/>
  <c r="CT244" i="1" s="1"/>
  <c r="CS244" i="1" a="1"/>
  <c r="CS244" i="1" s="1"/>
  <c r="CT147" i="1" a="1"/>
  <c r="CT147" i="1" s="1"/>
  <c r="CS214" i="1" a="1"/>
  <c r="CS214" i="1" s="1"/>
  <c r="CT214" i="1" a="1"/>
  <c r="CT214" i="1" s="1"/>
  <c r="CS141" i="1" a="1"/>
  <c r="CS141" i="1" s="1"/>
  <c r="CT141" i="1" a="1"/>
  <c r="CT141" i="1" s="1"/>
  <c r="CS252" i="1" a="1"/>
  <c r="CS252" i="1" s="1"/>
  <c r="CT63" i="1" a="1"/>
  <c r="CT63" i="1" s="1"/>
  <c r="CS10" i="1" a="1"/>
  <c r="CS10" i="1" s="1"/>
  <c r="CS42" i="1" a="1"/>
  <c r="CS42" i="1" s="1"/>
  <c r="CT42" i="1" a="1"/>
  <c r="CT42" i="1" s="1"/>
  <c r="CS74" i="1" a="1"/>
  <c r="CS74" i="1" s="1"/>
  <c r="CT74" i="1" a="1"/>
  <c r="CT74" i="1" s="1"/>
  <c r="CT122" i="1" a="1"/>
  <c r="CT122" i="1" s="1"/>
  <c r="CT233" i="1" a="1"/>
  <c r="CT233" i="1" s="1"/>
  <c r="CS159" i="1" a="1"/>
  <c r="CS159" i="1" s="1"/>
  <c r="CT159" i="1" a="1"/>
  <c r="CT159" i="1" s="1"/>
  <c r="CS125" i="1" a="1"/>
  <c r="CS125" i="1" s="1"/>
  <c r="CT125" i="1" a="1"/>
  <c r="CT125" i="1" s="1"/>
  <c r="CS184" i="1" a="1"/>
  <c r="CS184" i="1" s="1"/>
  <c r="CT44" i="1" a="1"/>
  <c r="CT44" i="1" s="1"/>
  <c r="CS44" i="1" a="1"/>
  <c r="CS44" i="1" s="1"/>
  <c r="CS112" i="1" a="1"/>
  <c r="CS112" i="1" s="1"/>
  <c r="CS65" i="1" a="1"/>
  <c r="CS65" i="1" s="1"/>
  <c r="CT247" i="1" a="1"/>
  <c r="CT247" i="1" s="1"/>
  <c r="CS269" i="1" a="1"/>
  <c r="CS269" i="1" s="1"/>
  <c r="CT160" i="1" a="1"/>
  <c r="CT160" i="1" s="1"/>
  <c r="CT119" i="1" a="1"/>
  <c r="CT119" i="1" s="1"/>
  <c r="CT200" i="1" a="1"/>
  <c r="CT200" i="1" s="1"/>
  <c r="CT262" i="1" a="1"/>
  <c r="CT262" i="1" s="1"/>
  <c r="CS193" i="1" a="1"/>
  <c r="CS193" i="1" s="1"/>
  <c r="CT213" i="1" a="1"/>
  <c r="CT213" i="1" s="1"/>
  <c r="CS213" i="1" a="1"/>
  <c r="CS213" i="1" s="1"/>
  <c r="CT104" i="1" a="1"/>
  <c r="CT104" i="1" s="1"/>
  <c r="CT144" i="1" a="1"/>
  <c r="CT144" i="1" s="1"/>
  <c r="CT231" i="1" a="1"/>
  <c r="CT231" i="1" s="1"/>
  <c r="CT29" i="1" a="1"/>
  <c r="CT29" i="1" s="1"/>
  <c r="CS174" i="1" a="1"/>
  <c r="CS174" i="1" s="1"/>
  <c r="CS101" i="1" a="1"/>
  <c r="CS101" i="1" s="1"/>
  <c r="CS209" i="1" a="1"/>
  <c r="CS209" i="1" s="1"/>
  <c r="CS190" i="1" a="1"/>
  <c r="CS190" i="1" s="1"/>
  <c r="CS18" i="1" a="1"/>
  <c r="CS18" i="1" s="1"/>
  <c r="CT50" i="1" a="1"/>
  <c r="CT50" i="1" s="1"/>
  <c r="CS98" i="1" a="1"/>
  <c r="CS98" i="1" s="1"/>
  <c r="CT161" i="1" a="1"/>
  <c r="CT161" i="1" s="1"/>
  <c r="CS225" i="1" a="1"/>
  <c r="CS225" i="1" s="1"/>
  <c r="CS13" i="1" a="1"/>
  <c r="CS13" i="1" s="1"/>
  <c r="CS140" i="1" a="1"/>
  <c r="CS140" i="1" s="1"/>
  <c r="CS167" i="1" a="1"/>
  <c r="CS167" i="1" s="1"/>
  <c r="CS259" i="1" a="1"/>
  <c r="CS259" i="1" s="1"/>
  <c r="CS56" i="1" a="1"/>
  <c r="CS56" i="1" s="1"/>
  <c r="CT85" i="1" a="1"/>
  <c r="CT85" i="1" s="1"/>
  <c r="CT35" i="1" a="1"/>
  <c r="CT35" i="1" s="1"/>
  <c r="CT183" i="1" a="1"/>
  <c r="CT183" i="1" s="1"/>
  <c r="CS267" i="1" a="1"/>
  <c r="CS267" i="1" s="1"/>
  <c r="CT72" i="1" a="1"/>
  <c r="CT72" i="1" s="1"/>
  <c r="CT251" i="1" a="1"/>
  <c r="CT251" i="1" s="1"/>
  <c r="CS236" i="1" a="1"/>
  <c r="CS236" i="1" s="1"/>
  <c r="CS80" i="1" a="1"/>
  <c r="CS80" i="1" s="1"/>
  <c r="CS21" i="1" a="1"/>
  <c r="CS21" i="1" s="1"/>
  <c r="CT21" i="1" a="1"/>
  <c r="CT21" i="1" s="1"/>
  <c r="CT137" i="1" a="1"/>
  <c r="CT137" i="1" s="1"/>
  <c r="CS137" i="1" a="1"/>
  <c r="CS137" i="1" s="1"/>
  <c r="CS76" i="1" a="1"/>
  <c r="CS76" i="1" s="1"/>
  <c r="CT76" i="1" a="1"/>
  <c r="CT76" i="1" s="1"/>
  <c r="CT41" i="1" a="1"/>
  <c r="CT41" i="1" s="1"/>
  <c r="CS7" i="1" a="1"/>
  <c r="CS7" i="1" s="1"/>
  <c r="CS226" i="1" a="1"/>
  <c r="CS226" i="1" s="1"/>
  <c r="CT58" i="1" a="1"/>
  <c r="CT58" i="1" s="1"/>
  <c r="CS58" i="1" a="1"/>
  <c r="CS58" i="1" s="1"/>
  <c r="CT77" i="1" a="1"/>
  <c r="CT77" i="1" s="1"/>
  <c r="CT16" i="1" a="1"/>
  <c r="CT16" i="1" s="1"/>
  <c r="CT88" i="1" a="1"/>
  <c r="CT88" i="1" s="1"/>
  <c r="CS88" i="1" a="1"/>
  <c r="CS88" i="1" s="1"/>
  <c r="CS215" i="1" a="1"/>
  <c r="CS215" i="1" s="1"/>
  <c r="CT215" i="1" a="1"/>
  <c r="CT215" i="1" s="1"/>
  <c r="CT9" i="1" a="1"/>
  <c r="CT9" i="1" s="1"/>
  <c r="CS9" i="1" a="1"/>
  <c r="CS9" i="1" s="1"/>
  <c r="CT92" i="1" a="1"/>
  <c r="CT92" i="1" s="1"/>
  <c r="CS92" i="1" a="1"/>
  <c r="CS92" i="1" s="1"/>
  <c r="CS270" i="1" a="1"/>
  <c r="CS270" i="1" s="1"/>
  <c r="CT270" i="1" a="1"/>
  <c r="CT270" i="1" s="1"/>
  <c r="CT212" i="1" a="1"/>
  <c r="CT212" i="1" s="1"/>
  <c r="CS212" i="1" a="1"/>
  <c r="CS212" i="1" s="1"/>
  <c r="CS96" i="1" a="1"/>
  <c r="CS96" i="1" s="1"/>
  <c r="CT96" i="1" a="1"/>
  <c r="CT96" i="1" s="1"/>
  <c r="CT223" i="1" a="1"/>
  <c r="CT223" i="1" s="1"/>
  <c r="CS223" i="1" a="1"/>
  <c r="CS223" i="1" s="1"/>
  <c r="CS93" i="1" a="1"/>
  <c r="CS93" i="1" s="1"/>
  <c r="CT93" i="1" a="1"/>
  <c r="CT93" i="1" s="1"/>
  <c r="CS15" i="1" a="1"/>
  <c r="CS15" i="1" s="1"/>
  <c r="CT15" i="1" a="1"/>
  <c r="CT15" i="1" s="1"/>
  <c r="CT121" i="1" a="1"/>
  <c r="CT121" i="1" s="1"/>
  <c r="CS121" i="1" a="1"/>
  <c r="CS121" i="1" s="1"/>
  <c r="CT166" i="1" a="1"/>
  <c r="CT166" i="1" s="1"/>
  <c r="CS166" i="1" a="1"/>
  <c r="CS166" i="1" s="1"/>
  <c r="CS246" i="1" a="1"/>
  <c r="CS246" i="1" s="1"/>
  <c r="CT246" i="1" a="1"/>
  <c r="CT246" i="1" s="1"/>
  <c r="CT149" i="1" a="1"/>
  <c r="CT149" i="1" s="1"/>
  <c r="CS149" i="1" a="1"/>
  <c r="CS149" i="1" s="1"/>
  <c r="CS240" i="1" a="1"/>
  <c r="CS240" i="1" s="1"/>
  <c r="CT240" i="1" a="1"/>
  <c r="CT240" i="1" s="1"/>
  <c r="CT222" i="1" a="1"/>
  <c r="CT222" i="1" s="1"/>
  <c r="CS222" i="1" a="1"/>
  <c r="CS222" i="1" s="1"/>
  <c r="CS265" i="1" a="1"/>
  <c r="CS265" i="1" s="1"/>
  <c r="CT265" i="1" a="1"/>
  <c r="CT265" i="1" s="1"/>
  <c r="CS30" i="1" a="1"/>
  <c r="CS30" i="1" s="1"/>
  <c r="CT157" i="1" a="1"/>
  <c r="CT157" i="1" s="1"/>
  <c r="CT49" i="1" a="1"/>
  <c r="CT49" i="1" s="1"/>
  <c r="CS105" i="1" a="1"/>
  <c r="CS105" i="1" s="1"/>
  <c r="CT105" i="1" a="1"/>
  <c r="CT105" i="1" s="1"/>
  <c r="CS31" i="1" a="1"/>
  <c r="CS31" i="1" s="1"/>
  <c r="CS86" i="1" a="1"/>
  <c r="CS86" i="1" s="1"/>
  <c r="CT86" i="1" a="1"/>
  <c r="CT86" i="1" s="1"/>
  <c r="CT187" i="1" a="1"/>
  <c r="CT187" i="1" s="1"/>
  <c r="CS187" i="1" a="1"/>
  <c r="CS187" i="1" s="1"/>
  <c r="CS117" i="1" a="1"/>
  <c r="CS117" i="1" s="1"/>
  <c r="CT117" i="1" a="1"/>
  <c r="CT117" i="1" s="1"/>
  <c r="CT108" i="1" a="1"/>
  <c r="CT108" i="1" s="1"/>
  <c r="CS108" i="1" a="1"/>
  <c r="CS108" i="1" s="1"/>
  <c r="CT132" i="1" a="1"/>
  <c r="CT132" i="1" s="1"/>
  <c r="CS132" i="1" a="1"/>
  <c r="CS132" i="1" s="1"/>
  <c r="CT227" i="1" a="1"/>
  <c r="CT227" i="1" s="1"/>
  <c r="CS227" i="1" a="1"/>
  <c r="CS227" i="1" s="1"/>
  <c r="CS133" i="1" a="1"/>
  <c r="CS133" i="1" s="1"/>
  <c r="CT133" i="1" a="1"/>
  <c r="CT133" i="1" s="1"/>
  <c r="CS120" i="1" a="1"/>
  <c r="CS120" i="1" s="1"/>
  <c r="CT120" i="1" a="1"/>
  <c r="CT120" i="1" s="1"/>
  <c r="CS115" i="1" a="1"/>
  <c r="CS115" i="1" s="1"/>
  <c r="CT115" i="1" a="1"/>
  <c r="CT115" i="1" s="1"/>
  <c r="CS185" i="1" a="1"/>
  <c r="CS185" i="1" s="1"/>
  <c r="CT185" i="1" a="1"/>
  <c r="CT185" i="1" s="1"/>
  <c r="CS219" i="1" a="1"/>
  <c r="CS219" i="1" s="1"/>
  <c r="CT219" i="1" a="1"/>
  <c r="CT219" i="1" s="1"/>
  <c r="CT145" i="1" a="1"/>
  <c r="CT145" i="1" s="1"/>
  <c r="CS145" i="1" a="1"/>
  <c r="CS145" i="1" s="1"/>
  <c r="CS218" i="1" a="1"/>
  <c r="CS218" i="1" s="1"/>
  <c r="CT218" i="1" a="1"/>
  <c r="CT218" i="1" s="1"/>
  <c r="CS61" i="1" a="1"/>
  <c r="CS61" i="1" s="1"/>
  <c r="CT61" i="1" a="1"/>
  <c r="CT61" i="1" s="1"/>
  <c r="CT112" i="1" a="1"/>
  <c r="CT112" i="1" s="1"/>
  <c r="CU258" i="1" l="1"/>
  <c r="DI258" i="1" s="1"/>
  <c r="CU113" i="1"/>
  <c r="DA113" i="1" s="1"/>
  <c r="CU216" i="1"/>
  <c r="CU13" i="1"/>
  <c r="CV13" i="1" s="1"/>
  <c r="CU101" i="1"/>
  <c r="CU127" i="1"/>
  <c r="CV127" i="1" s="1"/>
  <c r="CU210" i="1"/>
  <c r="CZ210" i="1" s="1"/>
  <c r="CU95" i="1"/>
  <c r="CZ95" i="1" s="1"/>
  <c r="CU124" i="1"/>
  <c r="CV124" i="1" s="1"/>
  <c r="CU209" i="1"/>
  <c r="CV209" i="1" s="1"/>
  <c r="CU79" i="1"/>
  <c r="DD79" i="1" s="1"/>
  <c r="CU250" i="1"/>
  <c r="CZ250" i="1" s="1"/>
  <c r="CU112" i="1"/>
  <c r="DD112" i="1" s="1"/>
  <c r="CU267" i="1"/>
  <c r="CX267" i="1" s="1"/>
  <c r="CU242" i="1"/>
  <c r="CU252" i="1"/>
  <c r="CY252" i="1" s="1"/>
  <c r="CU158" i="1"/>
  <c r="CU40" i="1"/>
  <c r="CU34" i="1"/>
  <c r="CU194" i="1"/>
  <c r="CU25" i="1"/>
  <c r="CU160" i="1"/>
  <c r="CU10" i="1"/>
  <c r="CU66" i="1"/>
  <c r="CW66" i="1" s="1"/>
  <c r="CU75" i="1"/>
  <c r="CU182" i="1"/>
  <c r="CU48" i="1"/>
  <c r="CU140" i="1"/>
  <c r="CY140" i="1" s="1"/>
  <c r="CU129" i="1"/>
  <c r="CU206" i="1"/>
  <c r="CU139" i="1"/>
  <c r="CU175" i="1"/>
  <c r="CW175" i="1" s="1"/>
  <c r="CU161" i="1"/>
  <c r="CU104" i="1"/>
  <c r="CU63" i="1"/>
  <c r="CU52" i="1"/>
  <c r="CU197" i="1"/>
  <c r="CU138" i="1"/>
  <c r="CU135" i="1"/>
  <c r="CU172" i="1"/>
  <c r="CU171" i="1"/>
  <c r="CU226" i="1"/>
  <c r="CU183" i="1"/>
  <c r="CU190" i="1"/>
  <c r="CU249" i="1"/>
  <c r="CU173" i="1"/>
  <c r="CU255" i="1"/>
  <c r="CU202" i="1"/>
  <c r="CU162" i="1"/>
  <c r="CU150" i="1"/>
  <c r="CU165" i="1"/>
  <c r="CU251" i="1"/>
  <c r="CU231" i="1"/>
  <c r="CU204" i="1"/>
  <c r="CU211" i="1"/>
  <c r="CU49" i="1"/>
  <c r="CU77" i="1"/>
  <c r="CU72" i="1"/>
  <c r="CU269" i="1"/>
  <c r="CU177" i="1"/>
  <c r="CU55" i="1"/>
  <c r="CU81" i="1"/>
  <c r="CU107" i="1"/>
  <c r="CU156" i="1"/>
  <c r="CU236" i="1"/>
  <c r="CU225" i="1"/>
  <c r="CU29" i="1"/>
  <c r="CU151" i="1"/>
  <c r="CU264" i="1"/>
  <c r="CU263" i="1"/>
  <c r="CU71" i="1"/>
  <c r="CU181" i="1"/>
  <c r="CU26" i="1"/>
  <c r="CU14" i="1"/>
  <c r="CU7" i="1"/>
  <c r="CU35" i="1"/>
  <c r="CU257" i="1"/>
  <c r="CU195" i="1"/>
  <c r="CU199" i="1"/>
  <c r="CU198" i="1"/>
  <c r="CU85" i="1"/>
  <c r="CU98" i="1"/>
  <c r="CU144" i="1"/>
  <c r="CU234" i="1"/>
  <c r="CU64" i="1"/>
  <c r="CU170" i="1"/>
  <c r="CU68" i="1"/>
  <c r="CU56" i="1"/>
  <c r="CU174" i="1"/>
  <c r="CU262" i="1"/>
  <c r="CU247" i="1"/>
  <c r="CU130" i="1"/>
  <c r="CU228" i="1"/>
  <c r="CU8" i="1"/>
  <c r="CU47" i="1"/>
  <c r="CU266" i="1"/>
  <c r="CU84" i="1"/>
  <c r="CU54" i="1"/>
  <c r="CU261" i="1"/>
  <c r="CU51" i="1"/>
  <c r="CU83" i="1"/>
  <c r="CU100" i="1"/>
  <c r="CU221" i="1"/>
  <c r="CU254" i="1"/>
  <c r="CU232" i="1"/>
  <c r="CU200" i="1"/>
  <c r="CU184" i="1"/>
  <c r="CU89" i="1"/>
  <c r="CU38" i="1"/>
  <c r="CU167" i="1"/>
  <c r="CU24" i="1"/>
  <c r="CU220" i="1"/>
  <c r="CU118" i="1"/>
  <c r="CU57" i="1"/>
  <c r="CU16" i="1"/>
  <c r="CU193" i="1"/>
  <c r="CU11" i="1"/>
  <c r="CU22" i="1"/>
  <c r="CU239" i="1"/>
  <c r="CU39" i="1"/>
  <c r="CU132" i="1"/>
  <c r="CU207" i="1"/>
  <c r="CU215" i="1"/>
  <c r="CU80" i="1"/>
  <c r="CU42" i="1"/>
  <c r="CU23" i="1"/>
  <c r="CU229" i="1"/>
  <c r="CU94" i="1"/>
  <c r="CU134" i="1"/>
  <c r="CU241" i="1"/>
  <c r="CU17" i="1"/>
  <c r="CU67" i="1"/>
  <c r="CU128" i="1"/>
  <c r="CU99" i="1"/>
  <c r="CU187" i="1"/>
  <c r="CU222" i="1"/>
  <c r="CU119" i="1"/>
  <c r="CU122" i="1"/>
  <c r="CU19" i="1"/>
  <c r="CU110" i="1"/>
  <c r="CU245" i="1"/>
  <c r="CU46" i="1"/>
  <c r="CU205" i="1"/>
  <c r="CU271" i="1"/>
  <c r="CU114" i="1"/>
  <c r="CU152" i="1"/>
  <c r="CU78" i="1"/>
  <c r="CU227" i="1"/>
  <c r="CU65" i="1"/>
  <c r="CU59" i="1"/>
  <c r="CU146" i="1"/>
  <c r="CU97" i="1"/>
  <c r="CU62" i="1"/>
  <c r="CU91" i="1"/>
  <c r="CU70" i="1"/>
  <c r="CU90" i="1"/>
  <c r="CU61" i="1"/>
  <c r="CU145" i="1"/>
  <c r="CU185" i="1"/>
  <c r="CU133" i="1"/>
  <c r="CU265" i="1"/>
  <c r="CU240" i="1"/>
  <c r="CU121" i="1"/>
  <c r="CU212" i="1"/>
  <c r="CU9" i="1"/>
  <c r="CU88" i="1"/>
  <c r="CU125" i="1"/>
  <c r="CU233" i="1"/>
  <c r="CU214" i="1"/>
  <c r="CU147" i="1"/>
  <c r="CU244" i="1"/>
  <c r="CU243" i="1"/>
  <c r="CU131" i="1"/>
  <c r="CU230" i="1"/>
  <c r="CU253" i="1"/>
  <c r="CU143" i="1"/>
  <c r="CU27" i="1"/>
  <c r="CU28" i="1"/>
  <c r="CU148" i="1"/>
  <c r="CU37" i="1"/>
  <c r="CU191" i="1"/>
  <c r="CU238" i="1"/>
  <c r="CU45" i="1"/>
  <c r="CU176" i="1"/>
  <c r="CU32" i="1"/>
  <c r="CU189" i="1"/>
  <c r="CU123" i="1"/>
  <c r="CU142" i="1"/>
  <c r="CU196" i="1"/>
  <c r="CU256" i="1"/>
  <c r="CU115" i="1"/>
  <c r="CU120" i="1"/>
  <c r="CU157" i="1"/>
  <c r="CU93" i="1"/>
  <c r="CU50" i="1"/>
  <c r="CU36" i="1"/>
  <c r="CU33" i="1"/>
  <c r="CU208" i="1"/>
  <c r="CU163" i="1"/>
  <c r="CU60" i="1"/>
  <c r="CU235" i="1"/>
  <c r="CU136" i="1"/>
  <c r="CU82" i="1"/>
  <c r="CU73" i="1"/>
  <c r="CU217" i="1"/>
  <c r="CU186" i="1"/>
  <c r="CU259" i="1"/>
  <c r="CU18" i="1"/>
  <c r="CU102" i="1"/>
  <c r="CU53" i="1"/>
  <c r="CU168" i="1"/>
  <c r="CU106" i="1"/>
  <c r="CU43" i="1"/>
  <c r="CU108" i="1"/>
  <c r="CU117" i="1"/>
  <c r="CU15" i="1"/>
  <c r="CU58" i="1"/>
  <c r="CU44" i="1"/>
  <c r="CU153" i="1"/>
  <c r="CU31" i="1"/>
  <c r="CU111" i="1"/>
  <c r="CU164" i="1"/>
  <c r="CU188" i="1"/>
  <c r="CU201" i="1"/>
  <c r="CU86" i="1"/>
  <c r="CU105" i="1"/>
  <c r="CU149" i="1"/>
  <c r="CU246" i="1"/>
  <c r="CU166" i="1"/>
  <c r="CU223" i="1"/>
  <c r="CU96" i="1"/>
  <c r="CU270" i="1"/>
  <c r="CU92" i="1"/>
  <c r="CU137" i="1"/>
  <c r="CU213" i="1"/>
  <c r="CU159" i="1"/>
  <c r="CU87" i="1"/>
  <c r="CU180" i="1"/>
  <c r="CU30" i="1"/>
  <c r="CU154" i="1"/>
  <c r="CU224" i="1"/>
  <c r="CU248" i="1"/>
  <c r="CU260" i="1"/>
  <c r="CU109" i="1"/>
  <c r="CU169" i="1"/>
  <c r="CU103" i="1"/>
  <c r="CU12" i="1"/>
  <c r="CU69" i="1"/>
  <c r="CU192" i="1"/>
  <c r="CU179" i="1"/>
  <c r="CU218" i="1"/>
  <c r="CU219" i="1"/>
  <c r="CU41" i="1"/>
  <c r="CU76" i="1"/>
  <c r="CU21" i="1"/>
  <c r="CU74" i="1"/>
  <c r="CU141" i="1"/>
  <c r="CU126" i="1"/>
  <c r="CU116" i="1"/>
  <c r="CU155" i="1"/>
  <c r="CU268" i="1"/>
  <c r="CU178" i="1"/>
  <c r="CU20" i="1"/>
  <c r="CU203" i="1"/>
  <c r="CU237" i="1"/>
  <c r="CV258" i="1" l="1"/>
  <c r="CY258" i="1"/>
  <c r="CX258" i="1"/>
  <c r="CW258" i="1"/>
  <c r="CW113" i="1"/>
  <c r="DG113" i="1"/>
  <c r="DF258" i="1"/>
  <c r="DA258" i="1"/>
  <c r="DE258" i="1"/>
  <c r="DC258" i="1"/>
  <c r="DH258" i="1"/>
  <c r="CZ258" i="1"/>
  <c r="DB258" i="1"/>
  <c r="DG258" i="1"/>
  <c r="DD258" i="1"/>
  <c r="DE113" i="1"/>
  <c r="DF113" i="1"/>
  <c r="DH113" i="1"/>
  <c r="CZ113" i="1"/>
  <c r="DI113" i="1"/>
  <c r="DD113" i="1"/>
  <c r="CV113" i="1"/>
  <c r="CY113" i="1"/>
  <c r="DB113" i="1"/>
  <c r="CX113" i="1"/>
  <c r="DC113" i="1"/>
  <c r="DF267" i="1"/>
  <c r="CZ101" i="1"/>
  <c r="CX101" i="1"/>
  <c r="DB101" i="1"/>
  <c r="CY101" i="1"/>
  <c r="DC101" i="1"/>
  <c r="DA101" i="1"/>
  <c r="CX186" i="1"/>
  <c r="DB186" i="1"/>
  <c r="DA186" i="1"/>
  <c r="CY186" i="1"/>
  <c r="DC186" i="1"/>
  <c r="CZ186" i="1"/>
  <c r="DA127" i="1"/>
  <c r="CY127" i="1"/>
  <c r="DF127" i="1"/>
  <c r="DD127" i="1"/>
  <c r="DH127" i="1"/>
  <c r="DC127" i="1"/>
  <c r="CZ127" i="1"/>
  <c r="CX127" i="1"/>
  <c r="DG127" i="1"/>
  <c r="DB127" i="1"/>
  <c r="DI127" i="1"/>
  <c r="CW127" i="1"/>
  <c r="DE127" i="1"/>
  <c r="DG210" i="1"/>
  <c r="DA210" i="1"/>
  <c r="DI210" i="1"/>
  <c r="DC210" i="1"/>
  <c r="CY210" i="1"/>
  <c r="DE210" i="1"/>
  <c r="DB210" i="1"/>
  <c r="CV210" i="1"/>
  <c r="CX210" i="1"/>
  <c r="DF210" i="1"/>
  <c r="DD210" i="1"/>
  <c r="CW210" i="1"/>
  <c r="DH210" i="1"/>
  <c r="DF13" i="1"/>
  <c r="CX13" i="1"/>
  <c r="DB124" i="1"/>
  <c r="CW79" i="1"/>
  <c r="DC124" i="1"/>
  <c r="CW95" i="1"/>
  <c r="CW13" i="1"/>
  <c r="CX250" i="1"/>
  <c r="CY13" i="1"/>
  <c r="DG95" i="1"/>
  <c r="CV250" i="1"/>
  <c r="CY95" i="1"/>
  <c r="CW250" i="1"/>
  <c r="DC95" i="1"/>
  <c r="CX95" i="1"/>
  <c r="CY250" i="1"/>
  <c r="DD95" i="1"/>
  <c r="DH250" i="1"/>
  <c r="DE13" i="1"/>
  <c r="DF79" i="1"/>
  <c r="DG250" i="1"/>
  <c r="DA13" i="1"/>
  <c r="DF95" i="1"/>
  <c r="DH13" i="1"/>
  <c r="DB95" i="1"/>
  <c r="DC13" i="1"/>
  <c r="DD13" i="1"/>
  <c r="DI95" i="1"/>
  <c r="DI13" i="1"/>
  <c r="DH95" i="1"/>
  <c r="DG13" i="1"/>
  <c r="DE95" i="1"/>
  <c r="DB13" i="1"/>
  <c r="CZ13" i="1"/>
  <c r="CV95" i="1"/>
  <c r="DH124" i="1"/>
  <c r="CX124" i="1"/>
  <c r="DF124" i="1"/>
  <c r="DA95" i="1"/>
  <c r="DG209" i="1"/>
  <c r="DE209" i="1"/>
  <c r="CW209" i="1"/>
  <c r="CX112" i="1"/>
  <c r="CW124" i="1"/>
  <c r="CY209" i="1"/>
  <c r="DF209" i="1"/>
  <c r="DG124" i="1"/>
  <c r="DA124" i="1"/>
  <c r="DD124" i="1"/>
  <c r="DC209" i="1"/>
  <c r="DD209" i="1"/>
  <c r="DI124" i="1"/>
  <c r="DI209" i="1"/>
  <c r="DA209" i="1"/>
  <c r="CY124" i="1"/>
  <c r="CX209" i="1"/>
  <c r="DH209" i="1"/>
  <c r="DE124" i="1"/>
  <c r="CZ124" i="1"/>
  <c r="DB209" i="1"/>
  <c r="CZ209" i="1"/>
  <c r="DF250" i="1"/>
  <c r="DA250" i="1"/>
  <c r="DE250" i="1"/>
  <c r="CY79" i="1"/>
  <c r="DG79" i="1"/>
  <c r="DI79" i="1"/>
  <c r="CX79" i="1"/>
  <c r="CW267" i="1"/>
  <c r="DE79" i="1"/>
  <c r="DH79" i="1"/>
  <c r="DA79" i="1"/>
  <c r="DC79" i="1"/>
  <c r="CZ79" i="1"/>
  <c r="CV79" i="1"/>
  <c r="DB250" i="1"/>
  <c r="DB79" i="1"/>
  <c r="DC250" i="1"/>
  <c r="DI250" i="1"/>
  <c r="DD250" i="1"/>
  <c r="DF112" i="1"/>
  <c r="DA112" i="1"/>
  <c r="DI112" i="1"/>
  <c r="CY267" i="1"/>
  <c r="DC112" i="1"/>
  <c r="CZ112" i="1"/>
  <c r="DB112" i="1"/>
  <c r="CV112" i="1"/>
  <c r="CW112" i="1"/>
  <c r="DG112" i="1"/>
  <c r="DE112" i="1"/>
  <c r="CY112" i="1"/>
  <c r="DH112" i="1"/>
  <c r="CV116" i="1"/>
  <c r="DI116" i="1"/>
  <c r="CV218" i="1"/>
  <c r="DI218" i="1"/>
  <c r="CV260" i="1"/>
  <c r="DI260" i="1"/>
  <c r="CV159" i="1"/>
  <c r="DI159" i="1"/>
  <c r="CV201" i="1"/>
  <c r="DI201" i="1"/>
  <c r="CV15" i="1"/>
  <c r="DI15" i="1"/>
  <c r="CV217" i="1"/>
  <c r="DI217" i="1"/>
  <c r="CV157" i="1"/>
  <c r="DI157" i="1"/>
  <c r="CV191" i="1"/>
  <c r="DI191" i="1"/>
  <c r="CV214" i="1"/>
  <c r="DI214" i="1"/>
  <c r="CV61" i="1"/>
  <c r="DI61" i="1"/>
  <c r="CV65" i="1"/>
  <c r="DI65" i="1"/>
  <c r="CV245" i="1"/>
  <c r="DI245" i="1"/>
  <c r="CV128" i="1"/>
  <c r="DI128" i="1"/>
  <c r="CV207" i="1"/>
  <c r="DI207" i="1"/>
  <c r="CV167" i="1"/>
  <c r="DI167" i="1"/>
  <c r="CV54" i="1"/>
  <c r="DI54" i="1"/>
  <c r="CV262" i="1"/>
  <c r="DI262" i="1"/>
  <c r="CV7" i="1"/>
  <c r="DI7" i="1"/>
  <c r="CV29" i="1"/>
  <c r="DI29" i="1"/>
  <c r="CV211" i="1"/>
  <c r="DI211" i="1"/>
  <c r="CV135" i="1"/>
  <c r="DI135" i="1"/>
  <c r="CV161" i="1"/>
  <c r="DI161" i="1"/>
  <c r="CV75" i="1"/>
  <c r="DI75" i="1"/>
  <c r="CV237" i="1"/>
  <c r="DI237" i="1"/>
  <c r="CV268" i="1"/>
  <c r="DI268" i="1"/>
  <c r="CV126" i="1"/>
  <c r="DI126" i="1"/>
  <c r="CV76" i="1"/>
  <c r="DI76" i="1"/>
  <c r="CV179" i="1"/>
  <c r="DI179" i="1"/>
  <c r="CV103" i="1"/>
  <c r="DI103" i="1"/>
  <c r="CV248" i="1"/>
  <c r="DI248" i="1"/>
  <c r="CV180" i="1"/>
  <c r="DI180" i="1"/>
  <c r="CV213" i="1"/>
  <c r="DI213" i="1"/>
  <c r="CV96" i="1"/>
  <c r="DI96" i="1"/>
  <c r="CV149" i="1"/>
  <c r="DI149" i="1"/>
  <c r="CV188" i="1"/>
  <c r="DI188" i="1"/>
  <c r="CV153" i="1"/>
  <c r="DI153" i="1"/>
  <c r="CV117" i="1"/>
  <c r="DI117" i="1"/>
  <c r="CV106" i="1"/>
  <c r="DI106" i="1"/>
  <c r="CV18" i="1"/>
  <c r="DI18" i="1"/>
  <c r="CV73" i="1"/>
  <c r="DI73" i="1"/>
  <c r="CV60" i="1"/>
  <c r="DI60" i="1"/>
  <c r="CV36" i="1"/>
  <c r="DI36" i="1"/>
  <c r="CV120" i="1"/>
  <c r="DI120" i="1"/>
  <c r="CV142" i="1"/>
  <c r="DI142" i="1"/>
  <c r="CV176" i="1"/>
  <c r="DI176" i="1"/>
  <c r="CV37" i="1"/>
  <c r="DI37" i="1"/>
  <c r="CV143" i="1"/>
  <c r="DI143" i="1"/>
  <c r="CV243" i="1"/>
  <c r="DI243" i="1"/>
  <c r="CV233" i="1"/>
  <c r="DI233" i="1"/>
  <c r="CV212" i="1"/>
  <c r="DI212" i="1"/>
  <c r="CV133" i="1"/>
  <c r="DI133" i="1"/>
  <c r="CV90" i="1"/>
  <c r="DI90" i="1"/>
  <c r="CV97" i="1"/>
  <c r="DI97" i="1"/>
  <c r="CV227" i="1"/>
  <c r="DI227" i="1"/>
  <c r="CV271" i="1"/>
  <c r="DI271" i="1"/>
  <c r="CV110" i="1"/>
  <c r="DI110" i="1"/>
  <c r="CV222" i="1"/>
  <c r="DI222" i="1"/>
  <c r="CV67" i="1"/>
  <c r="DI67" i="1"/>
  <c r="CV134" i="1"/>
  <c r="DI134" i="1"/>
  <c r="CV42" i="1"/>
  <c r="DI42" i="1"/>
  <c r="CV132" i="1"/>
  <c r="DI132" i="1"/>
  <c r="CV11" i="1"/>
  <c r="DI11" i="1"/>
  <c r="CV118" i="1"/>
  <c r="DI118" i="1"/>
  <c r="CV38" i="1"/>
  <c r="DI38" i="1"/>
  <c r="CV232" i="1"/>
  <c r="DI232" i="1"/>
  <c r="CV83" i="1"/>
  <c r="DI83" i="1"/>
  <c r="CV84" i="1"/>
  <c r="DI84" i="1"/>
  <c r="CV228" i="1"/>
  <c r="DI228" i="1"/>
  <c r="CV174" i="1"/>
  <c r="DI174" i="1"/>
  <c r="CV170" i="1"/>
  <c r="DI170" i="1"/>
  <c r="CV98" i="1"/>
  <c r="DI98" i="1"/>
  <c r="CV195" i="1"/>
  <c r="DI195" i="1"/>
  <c r="CV14" i="1"/>
  <c r="DI14" i="1"/>
  <c r="CV263" i="1"/>
  <c r="DI263" i="1"/>
  <c r="CV225" i="1"/>
  <c r="DI225" i="1"/>
  <c r="CV81" i="1"/>
  <c r="DI81" i="1"/>
  <c r="CV72" i="1"/>
  <c r="DI72" i="1"/>
  <c r="CV204" i="1"/>
  <c r="DI204" i="1"/>
  <c r="CV150" i="1"/>
  <c r="DI150" i="1"/>
  <c r="CV173" i="1"/>
  <c r="DI173" i="1"/>
  <c r="CV226" i="1"/>
  <c r="DI226" i="1"/>
  <c r="CV138" i="1"/>
  <c r="DI138" i="1"/>
  <c r="CV52" i="1"/>
  <c r="DI52" i="1"/>
  <c r="CV175" i="1"/>
  <c r="DI175" i="1"/>
  <c r="CV140" i="1"/>
  <c r="DI140" i="1"/>
  <c r="CV66" i="1"/>
  <c r="DI66" i="1"/>
  <c r="CV194" i="1"/>
  <c r="DI194" i="1"/>
  <c r="CV252" i="1"/>
  <c r="DI252" i="1"/>
  <c r="CV270" i="1"/>
  <c r="DI270" i="1"/>
  <c r="CV43" i="1"/>
  <c r="DI43" i="1"/>
  <c r="CV235" i="1"/>
  <c r="DI235" i="1"/>
  <c r="CV196" i="1"/>
  <c r="DI196" i="1"/>
  <c r="CV27" i="1"/>
  <c r="DI27" i="1"/>
  <c r="CV265" i="1"/>
  <c r="DI265" i="1"/>
  <c r="CV114" i="1"/>
  <c r="DI114" i="1"/>
  <c r="CV22" i="1"/>
  <c r="DI22" i="1"/>
  <c r="CV100" i="1"/>
  <c r="DI100" i="1"/>
  <c r="CV8" i="1"/>
  <c r="DI8" i="1"/>
  <c r="CV144" i="1"/>
  <c r="DI144" i="1"/>
  <c r="CV71" i="1"/>
  <c r="DI71" i="1"/>
  <c r="CV269" i="1"/>
  <c r="DI269" i="1"/>
  <c r="CV255" i="1"/>
  <c r="DI255" i="1"/>
  <c r="CV25" i="1"/>
  <c r="DI25" i="1"/>
  <c r="CV192" i="1"/>
  <c r="DI192" i="1"/>
  <c r="CV216" i="1"/>
  <c r="DI216" i="1"/>
  <c r="CV105" i="1"/>
  <c r="DI105" i="1"/>
  <c r="CV108" i="1"/>
  <c r="DI108" i="1"/>
  <c r="CV82" i="1"/>
  <c r="DI82" i="1"/>
  <c r="CV50" i="1"/>
  <c r="DI50" i="1"/>
  <c r="CV123" i="1"/>
  <c r="DI123" i="1"/>
  <c r="CV45" i="1"/>
  <c r="DI45" i="1"/>
  <c r="CV148" i="1"/>
  <c r="DI148" i="1"/>
  <c r="CV253" i="1"/>
  <c r="DI253" i="1"/>
  <c r="CV244" i="1"/>
  <c r="DI244" i="1"/>
  <c r="CV125" i="1"/>
  <c r="DI125" i="1"/>
  <c r="CV121" i="1"/>
  <c r="DI121" i="1"/>
  <c r="CV185" i="1"/>
  <c r="DI185" i="1"/>
  <c r="CV70" i="1"/>
  <c r="DI70" i="1"/>
  <c r="CV146" i="1"/>
  <c r="DI146" i="1"/>
  <c r="CV78" i="1"/>
  <c r="DI78" i="1"/>
  <c r="CV205" i="1"/>
  <c r="DI205" i="1"/>
  <c r="CV19" i="1"/>
  <c r="DI19" i="1"/>
  <c r="CV187" i="1"/>
  <c r="DI187" i="1"/>
  <c r="CV17" i="1"/>
  <c r="DI17" i="1"/>
  <c r="CV94" i="1"/>
  <c r="DI94" i="1"/>
  <c r="CV80" i="1"/>
  <c r="DI80" i="1"/>
  <c r="CV39" i="1"/>
  <c r="DI39" i="1"/>
  <c r="CV193" i="1"/>
  <c r="DI193" i="1"/>
  <c r="CV220" i="1"/>
  <c r="DI220" i="1"/>
  <c r="CV89" i="1"/>
  <c r="DI89" i="1"/>
  <c r="CV254" i="1"/>
  <c r="DI254" i="1"/>
  <c r="CV51" i="1"/>
  <c r="DI51" i="1"/>
  <c r="CV266" i="1"/>
  <c r="DI266" i="1"/>
  <c r="CV130" i="1"/>
  <c r="DI130" i="1"/>
  <c r="CV101" i="1"/>
  <c r="DI101" i="1"/>
  <c r="CV64" i="1"/>
  <c r="DI64" i="1"/>
  <c r="CV85" i="1"/>
  <c r="DI85" i="1"/>
  <c r="CV257" i="1"/>
  <c r="DI257" i="1"/>
  <c r="CV26" i="1"/>
  <c r="DI26" i="1"/>
  <c r="CV264" i="1"/>
  <c r="DI264" i="1"/>
  <c r="CV236" i="1"/>
  <c r="DI236" i="1"/>
  <c r="CV55" i="1"/>
  <c r="DI55" i="1"/>
  <c r="CV77" i="1"/>
  <c r="DI77" i="1"/>
  <c r="CV231" i="1"/>
  <c r="DI231" i="1"/>
  <c r="CV162" i="1"/>
  <c r="DI162" i="1"/>
  <c r="CV249" i="1"/>
  <c r="DI249" i="1"/>
  <c r="CV171" i="1"/>
  <c r="DI171" i="1"/>
  <c r="CV63" i="1"/>
  <c r="DI63" i="1"/>
  <c r="CV139" i="1"/>
  <c r="DI139" i="1"/>
  <c r="CV48" i="1"/>
  <c r="DI48" i="1"/>
  <c r="CV10" i="1"/>
  <c r="DI10" i="1"/>
  <c r="CV34" i="1"/>
  <c r="DI34" i="1"/>
  <c r="CV242" i="1"/>
  <c r="DI242" i="1"/>
  <c r="CV178" i="1"/>
  <c r="DI178" i="1"/>
  <c r="CV21" i="1"/>
  <c r="DI21" i="1"/>
  <c r="CV12" i="1"/>
  <c r="DI12" i="1"/>
  <c r="CV30" i="1"/>
  <c r="DI30" i="1"/>
  <c r="CV246" i="1"/>
  <c r="DI246" i="1"/>
  <c r="CV31" i="1"/>
  <c r="DI31" i="1"/>
  <c r="CV102" i="1"/>
  <c r="DI102" i="1"/>
  <c r="CV33" i="1"/>
  <c r="DI33" i="1"/>
  <c r="CV32" i="1"/>
  <c r="DI32" i="1"/>
  <c r="CV131" i="1"/>
  <c r="DI131" i="1"/>
  <c r="CV9" i="1"/>
  <c r="DI9" i="1"/>
  <c r="CV62" i="1"/>
  <c r="DI62" i="1"/>
  <c r="CV119" i="1"/>
  <c r="DI119" i="1"/>
  <c r="CV23" i="1"/>
  <c r="DI23" i="1"/>
  <c r="CV57" i="1"/>
  <c r="DI57" i="1"/>
  <c r="CV200" i="1"/>
  <c r="DI200" i="1"/>
  <c r="CV68" i="1"/>
  <c r="DI68" i="1"/>
  <c r="CV199" i="1"/>
  <c r="DI199" i="1"/>
  <c r="CV107" i="1"/>
  <c r="DI107" i="1"/>
  <c r="CV165" i="1"/>
  <c r="DI165" i="1"/>
  <c r="CV183" i="1"/>
  <c r="DI183" i="1"/>
  <c r="CV197" i="1"/>
  <c r="DI197" i="1"/>
  <c r="CV129" i="1"/>
  <c r="DI129" i="1"/>
  <c r="CV158" i="1"/>
  <c r="DI158" i="1"/>
  <c r="CV203" i="1"/>
  <c r="DI203" i="1"/>
  <c r="CV141" i="1"/>
  <c r="DI141" i="1"/>
  <c r="CV41" i="1"/>
  <c r="DI41" i="1"/>
  <c r="CV169" i="1"/>
  <c r="DI169" i="1"/>
  <c r="CV224" i="1"/>
  <c r="DI224" i="1"/>
  <c r="CV137" i="1"/>
  <c r="DI137" i="1"/>
  <c r="CV223" i="1"/>
  <c r="DI223" i="1"/>
  <c r="CV164" i="1"/>
  <c r="DI164" i="1"/>
  <c r="CV44" i="1"/>
  <c r="DI44" i="1"/>
  <c r="CV168" i="1"/>
  <c r="DI168" i="1"/>
  <c r="CV259" i="1"/>
  <c r="DI259" i="1"/>
  <c r="CV163" i="1"/>
  <c r="DI163" i="1"/>
  <c r="CV115" i="1"/>
  <c r="DI115" i="1"/>
  <c r="CV20" i="1"/>
  <c r="DI20" i="1"/>
  <c r="CV155" i="1"/>
  <c r="DI155" i="1"/>
  <c r="CV74" i="1"/>
  <c r="DI74" i="1"/>
  <c r="CV219" i="1"/>
  <c r="DI219" i="1"/>
  <c r="CV69" i="1"/>
  <c r="DI69" i="1"/>
  <c r="CV109" i="1"/>
  <c r="DI109" i="1"/>
  <c r="CV154" i="1"/>
  <c r="DI154" i="1"/>
  <c r="CV87" i="1"/>
  <c r="DI87" i="1"/>
  <c r="CV92" i="1"/>
  <c r="DI92" i="1"/>
  <c r="CV166" i="1"/>
  <c r="DI166" i="1"/>
  <c r="CV86" i="1"/>
  <c r="DI86" i="1"/>
  <c r="CV111" i="1"/>
  <c r="DI111" i="1"/>
  <c r="CV58" i="1"/>
  <c r="DI58" i="1"/>
  <c r="CV53" i="1"/>
  <c r="DI53" i="1"/>
  <c r="CV186" i="1"/>
  <c r="DI186" i="1"/>
  <c r="CV136" i="1"/>
  <c r="DI136" i="1"/>
  <c r="CV208" i="1"/>
  <c r="DI208" i="1"/>
  <c r="CV93" i="1"/>
  <c r="DI93" i="1"/>
  <c r="CV256" i="1"/>
  <c r="DI256" i="1"/>
  <c r="CV189" i="1"/>
  <c r="DI189" i="1"/>
  <c r="CV238" i="1"/>
  <c r="DI238" i="1"/>
  <c r="CV28" i="1"/>
  <c r="DI28" i="1"/>
  <c r="CV230" i="1"/>
  <c r="DI230" i="1"/>
  <c r="CV147" i="1"/>
  <c r="DI147" i="1"/>
  <c r="CV88" i="1"/>
  <c r="DI88" i="1"/>
  <c r="CV240" i="1"/>
  <c r="DI240" i="1"/>
  <c r="CV145" i="1"/>
  <c r="DI145" i="1"/>
  <c r="CV91" i="1"/>
  <c r="DI91" i="1"/>
  <c r="CV59" i="1"/>
  <c r="DI59" i="1"/>
  <c r="CV152" i="1"/>
  <c r="DI152" i="1"/>
  <c r="CV46" i="1"/>
  <c r="DI46" i="1"/>
  <c r="CV122" i="1"/>
  <c r="DI122" i="1"/>
  <c r="CV99" i="1"/>
  <c r="DI99" i="1"/>
  <c r="CV241" i="1"/>
  <c r="DI241" i="1"/>
  <c r="CV229" i="1"/>
  <c r="DI229" i="1"/>
  <c r="CV215" i="1"/>
  <c r="DI215" i="1"/>
  <c r="CV239" i="1"/>
  <c r="DI239" i="1"/>
  <c r="CV16" i="1"/>
  <c r="DI16" i="1"/>
  <c r="CV24" i="1"/>
  <c r="DI24" i="1"/>
  <c r="CV184" i="1"/>
  <c r="DI184" i="1"/>
  <c r="CV221" i="1"/>
  <c r="DI221" i="1"/>
  <c r="CV261" i="1"/>
  <c r="DI261" i="1"/>
  <c r="CV47" i="1"/>
  <c r="DI47" i="1"/>
  <c r="CV247" i="1"/>
  <c r="DI247" i="1"/>
  <c r="CV56" i="1"/>
  <c r="DI56" i="1"/>
  <c r="CV234" i="1"/>
  <c r="DI234" i="1"/>
  <c r="CV198" i="1"/>
  <c r="DI198" i="1"/>
  <c r="CV35" i="1"/>
  <c r="DI35" i="1"/>
  <c r="CV181" i="1"/>
  <c r="DI181" i="1"/>
  <c r="CV151" i="1"/>
  <c r="DI151" i="1"/>
  <c r="CV156" i="1"/>
  <c r="DI156" i="1"/>
  <c r="CV177" i="1"/>
  <c r="DI177" i="1"/>
  <c r="CV49" i="1"/>
  <c r="DI49" i="1"/>
  <c r="CV251" i="1"/>
  <c r="DI251" i="1"/>
  <c r="CV202" i="1"/>
  <c r="DI202" i="1"/>
  <c r="CV190" i="1"/>
  <c r="DI190" i="1"/>
  <c r="CV172" i="1"/>
  <c r="DI172" i="1"/>
  <c r="CV104" i="1"/>
  <c r="DI104" i="1"/>
  <c r="CV206" i="1"/>
  <c r="DI206" i="1"/>
  <c r="CV182" i="1"/>
  <c r="DI182" i="1"/>
  <c r="CV160" i="1"/>
  <c r="DI160" i="1"/>
  <c r="CV40" i="1"/>
  <c r="DI40" i="1"/>
  <c r="CV267" i="1"/>
  <c r="DI267" i="1"/>
  <c r="DB20" i="1"/>
  <c r="DC20" i="1"/>
  <c r="CZ20" i="1"/>
  <c r="DA20" i="1"/>
  <c r="DD20" i="1"/>
  <c r="DE20" i="1"/>
  <c r="CZ219" i="1"/>
  <c r="DD219" i="1"/>
  <c r="DB219" i="1"/>
  <c r="DC219" i="1"/>
  <c r="DE219" i="1"/>
  <c r="DA219" i="1"/>
  <c r="DB154" i="1"/>
  <c r="DC154" i="1"/>
  <c r="DD154" i="1"/>
  <c r="CZ154" i="1"/>
  <c r="DE154" i="1"/>
  <c r="DA154" i="1"/>
  <c r="CZ92" i="1"/>
  <c r="DD92" i="1"/>
  <c r="DA92" i="1"/>
  <c r="DE92" i="1"/>
  <c r="DB92" i="1"/>
  <c r="DC92" i="1"/>
  <c r="CZ111" i="1"/>
  <c r="DD111" i="1"/>
  <c r="DC111" i="1"/>
  <c r="DE111" i="1"/>
  <c r="DA111" i="1"/>
  <c r="DB111" i="1"/>
  <c r="CZ53" i="1"/>
  <c r="DD53" i="1"/>
  <c r="DA53" i="1"/>
  <c r="DE53" i="1"/>
  <c r="DB53" i="1"/>
  <c r="DC53" i="1"/>
  <c r="DB136" i="1"/>
  <c r="DC136" i="1"/>
  <c r="DD136" i="1"/>
  <c r="CZ136" i="1"/>
  <c r="DE136" i="1"/>
  <c r="DA136" i="1"/>
  <c r="DB256" i="1"/>
  <c r="DD256" i="1"/>
  <c r="CZ256" i="1"/>
  <c r="DE256" i="1"/>
  <c r="DA256" i="1"/>
  <c r="DC256" i="1"/>
  <c r="DB28" i="1"/>
  <c r="DC28" i="1"/>
  <c r="CZ28" i="1"/>
  <c r="DE28" i="1"/>
  <c r="DA28" i="1"/>
  <c r="DD28" i="1"/>
  <c r="CZ147" i="1"/>
  <c r="DD147" i="1"/>
  <c r="DA147" i="1"/>
  <c r="DB147" i="1"/>
  <c r="DC147" i="1"/>
  <c r="DE147" i="1"/>
  <c r="CZ145" i="1"/>
  <c r="DD145" i="1"/>
  <c r="DB145" i="1"/>
  <c r="DC145" i="1"/>
  <c r="DE145" i="1"/>
  <c r="DA145" i="1"/>
  <c r="CZ59" i="1"/>
  <c r="DD59" i="1"/>
  <c r="DA59" i="1"/>
  <c r="DE59" i="1"/>
  <c r="DB59" i="1"/>
  <c r="DC59" i="1"/>
  <c r="DB122" i="1"/>
  <c r="DA122" i="1"/>
  <c r="DC122" i="1"/>
  <c r="DD122" i="1"/>
  <c r="CZ122" i="1"/>
  <c r="DE122" i="1"/>
  <c r="CZ241" i="1"/>
  <c r="DD241" i="1"/>
  <c r="DC241" i="1"/>
  <c r="DA241" i="1"/>
  <c r="DE241" i="1"/>
  <c r="DB241" i="1"/>
  <c r="CZ239" i="1"/>
  <c r="DD239" i="1"/>
  <c r="DE239" i="1"/>
  <c r="DB239" i="1"/>
  <c r="DA239" i="1"/>
  <c r="DC239" i="1"/>
  <c r="DB184" i="1"/>
  <c r="DD184" i="1"/>
  <c r="CZ184" i="1"/>
  <c r="DE184" i="1"/>
  <c r="DA184" i="1"/>
  <c r="DC184" i="1"/>
  <c r="DB130" i="1"/>
  <c r="DA130" i="1"/>
  <c r="DC130" i="1"/>
  <c r="DD130" i="1"/>
  <c r="DE130" i="1"/>
  <c r="CZ130" i="1"/>
  <c r="DB64" i="1"/>
  <c r="DC64" i="1"/>
  <c r="CZ64" i="1"/>
  <c r="DD64" i="1"/>
  <c r="DE64" i="1"/>
  <c r="DA64" i="1"/>
  <c r="CZ257" i="1"/>
  <c r="DD257" i="1"/>
  <c r="DC257" i="1"/>
  <c r="DA257" i="1"/>
  <c r="DE257" i="1"/>
  <c r="DB257" i="1"/>
  <c r="CZ264" i="1"/>
  <c r="DD264" i="1"/>
  <c r="DC264" i="1"/>
  <c r="DE264" i="1"/>
  <c r="DA264" i="1"/>
  <c r="DB264" i="1"/>
  <c r="CZ77" i="1"/>
  <c r="DD77" i="1"/>
  <c r="DE77" i="1"/>
  <c r="DA77" i="1"/>
  <c r="DB77" i="1"/>
  <c r="DC77" i="1"/>
  <c r="DB162" i="1"/>
  <c r="DC162" i="1"/>
  <c r="DD162" i="1"/>
  <c r="CZ162" i="1"/>
  <c r="DE162" i="1"/>
  <c r="DA162" i="1"/>
  <c r="CZ171" i="1"/>
  <c r="DD171" i="1"/>
  <c r="DA171" i="1"/>
  <c r="DE171" i="1"/>
  <c r="DB171" i="1"/>
  <c r="DC171" i="1"/>
  <c r="CZ63" i="1"/>
  <c r="DD63" i="1"/>
  <c r="DA63" i="1"/>
  <c r="DE63" i="1"/>
  <c r="DB63" i="1"/>
  <c r="DC63" i="1"/>
  <c r="DB48" i="1"/>
  <c r="DC48" i="1"/>
  <c r="CZ48" i="1"/>
  <c r="DD48" i="1"/>
  <c r="DE48" i="1"/>
  <c r="DA48" i="1"/>
  <c r="CY10" i="1"/>
  <c r="DB10" i="1"/>
  <c r="DC10" i="1"/>
  <c r="DD10" i="1"/>
  <c r="CZ10" i="1"/>
  <c r="DA10" i="1"/>
  <c r="DE10" i="1"/>
  <c r="DB34" i="1"/>
  <c r="DC34" i="1"/>
  <c r="DD34" i="1"/>
  <c r="DA34" i="1"/>
  <c r="DE34" i="1"/>
  <c r="CZ34" i="1"/>
  <c r="DG242" i="1"/>
  <c r="DB242" i="1"/>
  <c r="DC242" i="1"/>
  <c r="DE242" i="1"/>
  <c r="DD242" i="1"/>
  <c r="CZ242" i="1"/>
  <c r="DA242" i="1"/>
  <c r="DB178" i="1"/>
  <c r="DC178" i="1"/>
  <c r="CZ178" i="1"/>
  <c r="DE178" i="1"/>
  <c r="DD178" i="1"/>
  <c r="DA178" i="1"/>
  <c r="DB116" i="1"/>
  <c r="CZ116" i="1"/>
  <c r="DE116" i="1"/>
  <c r="DA116" i="1"/>
  <c r="DC116" i="1"/>
  <c r="DD116" i="1"/>
  <c r="CZ21" i="1"/>
  <c r="DD21" i="1"/>
  <c r="DA21" i="1"/>
  <c r="DE21" i="1"/>
  <c r="DB21" i="1"/>
  <c r="DC21" i="1"/>
  <c r="DB218" i="1"/>
  <c r="DC218" i="1"/>
  <c r="DE218" i="1"/>
  <c r="DD218" i="1"/>
  <c r="CZ218" i="1"/>
  <c r="DA218" i="1"/>
  <c r="DB12" i="1"/>
  <c r="DC12" i="1"/>
  <c r="CZ12" i="1"/>
  <c r="DE12" i="1"/>
  <c r="DA12" i="1"/>
  <c r="DD12" i="1"/>
  <c r="DB260" i="1"/>
  <c r="DA260" i="1"/>
  <c r="DD260" i="1"/>
  <c r="DC260" i="1"/>
  <c r="DE260" i="1"/>
  <c r="CZ260" i="1"/>
  <c r="DB30" i="1"/>
  <c r="DC30" i="1"/>
  <c r="DD30" i="1"/>
  <c r="DE30" i="1"/>
  <c r="CZ30" i="1"/>
  <c r="DA30" i="1"/>
  <c r="CZ159" i="1"/>
  <c r="DD159" i="1"/>
  <c r="DA159" i="1"/>
  <c r="DE159" i="1"/>
  <c r="DB159" i="1"/>
  <c r="DC159" i="1"/>
  <c r="DB270" i="1"/>
  <c r="DD270" i="1"/>
  <c r="CZ270" i="1"/>
  <c r="DE270" i="1"/>
  <c r="DA270" i="1"/>
  <c r="DC270" i="1"/>
  <c r="DB246" i="1"/>
  <c r="CZ246" i="1"/>
  <c r="DE246" i="1"/>
  <c r="DC246" i="1"/>
  <c r="DA246" i="1"/>
  <c r="DD246" i="1"/>
  <c r="CZ201" i="1"/>
  <c r="DD201" i="1"/>
  <c r="DC201" i="1"/>
  <c r="DE201" i="1"/>
  <c r="DA201" i="1"/>
  <c r="DB201" i="1"/>
  <c r="CZ31" i="1"/>
  <c r="DD31" i="1"/>
  <c r="DA31" i="1"/>
  <c r="DE31" i="1"/>
  <c r="DB31" i="1"/>
  <c r="DC31" i="1"/>
  <c r="CZ15" i="1"/>
  <c r="DD15" i="1"/>
  <c r="DA15" i="1"/>
  <c r="DE15" i="1"/>
  <c r="DB15" i="1"/>
  <c r="DC15" i="1"/>
  <c r="CZ43" i="1"/>
  <c r="DD43" i="1"/>
  <c r="DA43" i="1"/>
  <c r="DE43" i="1"/>
  <c r="DB43" i="1"/>
  <c r="DC43" i="1"/>
  <c r="DB102" i="1"/>
  <c r="DD102" i="1"/>
  <c r="CZ102" i="1"/>
  <c r="DE102" i="1"/>
  <c r="DA102" i="1"/>
  <c r="DC102" i="1"/>
  <c r="CZ217" i="1"/>
  <c r="DD217" i="1"/>
  <c r="DC217" i="1"/>
  <c r="DA217" i="1"/>
  <c r="DE217" i="1"/>
  <c r="DB217" i="1"/>
  <c r="CZ235" i="1"/>
  <c r="DD235" i="1"/>
  <c r="DB235" i="1"/>
  <c r="DE235" i="1"/>
  <c r="DC235" i="1"/>
  <c r="DA235" i="1"/>
  <c r="CZ33" i="1"/>
  <c r="DD33" i="1"/>
  <c r="DA33" i="1"/>
  <c r="DE33" i="1"/>
  <c r="DB33" i="1"/>
  <c r="DC33" i="1"/>
  <c r="CZ157" i="1"/>
  <c r="DD157" i="1"/>
  <c r="DA157" i="1"/>
  <c r="DE157" i="1"/>
  <c r="DB157" i="1"/>
  <c r="DC157" i="1"/>
  <c r="DB196" i="1"/>
  <c r="DA196" i="1"/>
  <c r="DC196" i="1"/>
  <c r="DD196" i="1"/>
  <c r="DE196" i="1"/>
  <c r="CZ196" i="1"/>
  <c r="DB32" i="1"/>
  <c r="DC32" i="1"/>
  <c r="CZ32" i="1"/>
  <c r="DD32" i="1"/>
  <c r="DE32" i="1"/>
  <c r="DA32" i="1"/>
  <c r="DB191" i="1"/>
  <c r="DD191" i="1"/>
  <c r="CZ191" i="1"/>
  <c r="DE191" i="1"/>
  <c r="DA191" i="1"/>
  <c r="DC191" i="1"/>
  <c r="CZ27" i="1"/>
  <c r="DD27" i="1"/>
  <c r="DA27" i="1"/>
  <c r="DE27" i="1"/>
  <c r="DB27" i="1"/>
  <c r="DC27" i="1"/>
  <c r="CZ131" i="1"/>
  <c r="DD131" i="1"/>
  <c r="DA131" i="1"/>
  <c r="DB131" i="1"/>
  <c r="DC131" i="1"/>
  <c r="DE131" i="1"/>
  <c r="DB214" i="1"/>
  <c r="CZ214" i="1"/>
  <c r="DE214" i="1"/>
  <c r="DA214" i="1"/>
  <c r="DC214" i="1"/>
  <c r="DD214" i="1"/>
  <c r="CZ9" i="1"/>
  <c r="DD9" i="1"/>
  <c r="DA9" i="1"/>
  <c r="DE9" i="1"/>
  <c r="DB9" i="1"/>
  <c r="DC9" i="1"/>
  <c r="DB265" i="1"/>
  <c r="DC265" i="1"/>
  <c r="CZ265" i="1"/>
  <c r="DD265" i="1"/>
  <c r="DE265" i="1"/>
  <c r="DA265" i="1"/>
  <c r="CZ61" i="1"/>
  <c r="DD61" i="1"/>
  <c r="DA61" i="1"/>
  <c r="DE61" i="1"/>
  <c r="DB61" i="1"/>
  <c r="DC61" i="1"/>
  <c r="DB62" i="1"/>
  <c r="DC62" i="1"/>
  <c r="DD62" i="1"/>
  <c r="DE62" i="1"/>
  <c r="CZ62" i="1"/>
  <c r="DA62" i="1"/>
  <c r="CZ65" i="1"/>
  <c r="DD65" i="1"/>
  <c r="DA65" i="1"/>
  <c r="DE65" i="1"/>
  <c r="DB65" i="1"/>
  <c r="DC65" i="1"/>
  <c r="CZ114" i="1"/>
  <c r="DD114" i="1"/>
  <c r="DC114" i="1"/>
  <c r="DE114" i="1"/>
  <c r="DA114" i="1"/>
  <c r="DB114" i="1"/>
  <c r="CZ245" i="1"/>
  <c r="DD245" i="1"/>
  <c r="DA245" i="1"/>
  <c r="DB245" i="1"/>
  <c r="DC245" i="1"/>
  <c r="DE245" i="1"/>
  <c r="CZ119" i="1"/>
  <c r="DD119" i="1"/>
  <c r="DC119" i="1"/>
  <c r="DE119" i="1"/>
  <c r="DA119" i="1"/>
  <c r="DB119" i="1"/>
  <c r="DB128" i="1"/>
  <c r="DC128" i="1"/>
  <c r="DD128" i="1"/>
  <c r="DE128" i="1"/>
  <c r="CZ128" i="1"/>
  <c r="DA128" i="1"/>
  <c r="CZ23" i="1"/>
  <c r="DD23" i="1"/>
  <c r="DA23" i="1"/>
  <c r="DE23" i="1"/>
  <c r="DC23" i="1"/>
  <c r="DB23" i="1"/>
  <c r="CZ207" i="1"/>
  <c r="DD207" i="1"/>
  <c r="DE207" i="1"/>
  <c r="DB207" i="1"/>
  <c r="DA207" i="1"/>
  <c r="DC207" i="1"/>
  <c r="DB22" i="1"/>
  <c r="DC22" i="1"/>
  <c r="DD22" i="1"/>
  <c r="CZ22" i="1"/>
  <c r="DA22" i="1"/>
  <c r="DE22" i="1"/>
  <c r="CZ57" i="1"/>
  <c r="DD57" i="1"/>
  <c r="DA57" i="1"/>
  <c r="DE57" i="1"/>
  <c r="DB57" i="1"/>
  <c r="DC57" i="1"/>
  <c r="CZ167" i="1"/>
  <c r="DD167" i="1"/>
  <c r="DA167" i="1"/>
  <c r="DE167" i="1"/>
  <c r="DB167" i="1"/>
  <c r="DC167" i="1"/>
  <c r="DB200" i="1"/>
  <c r="DD200" i="1"/>
  <c r="DA200" i="1"/>
  <c r="CZ200" i="1"/>
  <c r="DE200" i="1"/>
  <c r="DC200" i="1"/>
  <c r="DB100" i="1"/>
  <c r="CZ100" i="1"/>
  <c r="DE100" i="1"/>
  <c r="DA100" i="1"/>
  <c r="DC100" i="1"/>
  <c r="DD100" i="1"/>
  <c r="CZ261" i="1"/>
  <c r="DD261" i="1"/>
  <c r="DA261" i="1"/>
  <c r="DB261" i="1"/>
  <c r="DC261" i="1"/>
  <c r="DE261" i="1"/>
  <c r="CZ47" i="1"/>
  <c r="DD47" i="1"/>
  <c r="DA47" i="1"/>
  <c r="DE47" i="1"/>
  <c r="DB47" i="1"/>
  <c r="DC47" i="1"/>
  <c r="CZ247" i="1"/>
  <c r="DD247" i="1"/>
  <c r="DE247" i="1"/>
  <c r="DA247" i="1"/>
  <c r="DB247" i="1"/>
  <c r="DC247" i="1"/>
  <c r="DB56" i="1"/>
  <c r="DC56" i="1"/>
  <c r="CZ56" i="1"/>
  <c r="DA56" i="1"/>
  <c r="DD56" i="1"/>
  <c r="DE56" i="1"/>
  <c r="DB234" i="1"/>
  <c r="DC234" i="1"/>
  <c r="CZ234" i="1"/>
  <c r="DD234" i="1"/>
  <c r="DE234" i="1"/>
  <c r="DA234" i="1"/>
  <c r="DB198" i="1"/>
  <c r="CZ198" i="1"/>
  <c r="DE198" i="1"/>
  <c r="DC198" i="1"/>
  <c r="DA198" i="1"/>
  <c r="DD198" i="1"/>
  <c r="CZ35" i="1"/>
  <c r="DD35" i="1"/>
  <c r="DE35" i="1"/>
  <c r="DB35" i="1"/>
  <c r="DA35" i="1"/>
  <c r="DC35" i="1"/>
  <c r="CZ181" i="1"/>
  <c r="DD181" i="1"/>
  <c r="DA181" i="1"/>
  <c r="DC181" i="1"/>
  <c r="DB181" i="1"/>
  <c r="DE181" i="1"/>
  <c r="DB151" i="1"/>
  <c r="DC151" i="1"/>
  <c r="DD151" i="1"/>
  <c r="CZ151" i="1"/>
  <c r="DE151" i="1"/>
  <c r="DA151" i="1"/>
  <c r="DB156" i="1"/>
  <c r="DC156" i="1"/>
  <c r="CZ156" i="1"/>
  <c r="DD156" i="1"/>
  <c r="DA156" i="1"/>
  <c r="DE156" i="1"/>
  <c r="CZ177" i="1"/>
  <c r="DD177" i="1"/>
  <c r="DA177" i="1"/>
  <c r="DE177" i="1"/>
  <c r="DB177" i="1"/>
  <c r="DC177" i="1"/>
  <c r="CZ49" i="1"/>
  <c r="DD49" i="1"/>
  <c r="DA49" i="1"/>
  <c r="DE49" i="1"/>
  <c r="DB49" i="1"/>
  <c r="DC49" i="1"/>
  <c r="CZ251" i="1"/>
  <c r="DD251" i="1"/>
  <c r="DB251" i="1"/>
  <c r="DE251" i="1"/>
  <c r="DC251" i="1"/>
  <c r="DA251" i="1"/>
  <c r="CZ202" i="1"/>
  <c r="DD202" i="1"/>
  <c r="DE202" i="1"/>
  <c r="DB202" i="1"/>
  <c r="DA202" i="1"/>
  <c r="DC202" i="1"/>
  <c r="DB190" i="1"/>
  <c r="CZ190" i="1"/>
  <c r="DE190" i="1"/>
  <c r="DC190" i="1"/>
  <c r="DA190" i="1"/>
  <c r="DD190" i="1"/>
  <c r="CX172" i="1"/>
  <c r="DB172" i="1"/>
  <c r="DC172" i="1"/>
  <c r="CZ172" i="1"/>
  <c r="DD172" i="1"/>
  <c r="DA172" i="1"/>
  <c r="DE172" i="1"/>
  <c r="DB104" i="1"/>
  <c r="DC104" i="1"/>
  <c r="DD104" i="1"/>
  <c r="CZ104" i="1"/>
  <c r="DE104" i="1"/>
  <c r="DA104" i="1"/>
  <c r="DB206" i="1"/>
  <c r="CZ206" i="1"/>
  <c r="DE206" i="1"/>
  <c r="DA206" i="1"/>
  <c r="DC206" i="1"/>
  <c r="DD206" i="1"/>
  <c r="DF182" i="1"/>
  <c r="DB182" i="1"/>
  <c r="CZ182" i="1"/>
  <c r="DE182" i="1"/>
  <c r="DC182" i="1"/>
  <c r="DA182" i="1"/>
  <c r="DD182" i="1"/>
  <c r="DB160" i="1"/>
  <c r="DC160" i="1"/>
  <c r="CZ160" i="1"/>
  <c r="DD160" i="1"/>
  <c r="DA160" i="1"/>
  <c r="DE160" i="1"/>
  <c r="DG40" i="1"/>
  <c r="DB40" i="1"/>
  <c r="DC40" i="1"/>
  <c r="CZ40" i="1"/>
  <c r="DA40" i="1"/>
  <c r="DD40" i="1"/>
  <c r="DE40" i="1"/>
  <c r="DB267" i="1"/>
  <c r="DA267" i="1"/>
  <c r="DC267" i="1"/>
  <c r="DD267" i="1"/>
  <c r="CZ267" i="1"/>
  <c r="DE267" i="1"/>
  <c r="DB155" i="1"/>
  <c r="DA155" i="1"/>
  <c r="DD155" i="1"/>
  <c r="DC155" i="1"/>
  <c r="DE155" i="1"/>
  <c r="CZ155" i="1"/>
  <c r="CZ109" i="1"/>
  <c r="DD109" i="1"/>
  <c r="DE109" i="1"/>
  <c r="DA109" i="1"/>
  <c r="DB109" i="1"/>
  <c r="DC109" i="1"/>
  <c r="DB166" i="1"/>
  <c r="DC166" i="1"/>
  <c r="DD166" i="1"/>
  <c r="CZ166" i="1"/>
  <c r="DE166" i="1"/>
  <c r="DA166" i="1"/>
  <c r="DB208" i="1"/>
  <c r="DD208" i="1"/>
  <c r="CZ208" i="1"/>
  <c r="DE208" i="1"/>
  <c r="DA208" i="1"/>
  <c r="DC208" i="1"/>
  <c r="DB238" i="1"/>
  <c r="CZ238" i="1"/>
  <c r="DE238" i="1"/>
  <c r="DA238" i="1"/>
  <c r="DC238" i="1"/>
  <c r="DD238" i="1"/>
  <c r="DB240" i="1"/>
  <c r="DD240" i="1"/>
  <c r="CZ240" i="1"/>
  <c r="DE240" i="1"/>
  <c r="DA240" i="1"/>
  <c r="DC240" i="1"/>
  <c r="CZ152" i="1"/>
  <c r="DD152" i="1"/>
  <c r="DA152" i="1"/>
  <c r="DE152" i="1"/>
  <c r="DB152" i="1"/>
  <c r="DC152" i="1"/>
  <c r="CZ229" i="1"/>
  <c r="DD229" i="1"/>
  <c r="DA229" i="1"/>
  <c r="DB229" i="1"/>
  <c r="DC229" i="1"/>
  <c r="DE229" i="1"/>
  <c r="DB16" i="1"/>
  <c r="DC16" i="1"/>
  <c r="CZ16" i="1"/>
  <c r="DD16" i="1"/>
  <c r="DE16" i="1"/>
  <c r="DA16" i="1"/>
  <c r="CZ51" i="1"/>
  <c r="DD51" i="1"/>
  <c r="DA51" i="1"/>
  <c r="DE51" i="1"/>
  <c r="DB51" i="1"/>
  <c r="DC51" i="1"/>
  <c r="DD101" i="1"/>
  <c r="DE101" i="1"/>
  <c r="DB236" i="1"/>
  <c r="DA236" i="1"/>
  <c r="DC236" i="1"/>
  <c r="DD236" i="1"/>
  <c r="CZ236" i="1"/>
  <c r="DE236" i="1"/>
  <c r="CZ237" i="1"/>
  <c r="DD237" i="1"/>
  <c r="DA237" i="1"/>
  <c r="DC237" i="1"/>
  <c r="DB237" i="1"/>
  <c r="DE237" i="1"/>
  <c r="DB76" i="1"/>
  <c r="CZ76" i="1"/>
  <c r="DE76" i="1"/>
  <c r="DA76" i="1"/>
  <c r="DC76" i="1"/>
  <c r="DD76" i="1"/>
  <c r="DB248" i="1"/>
  <c r="DD248" i="1"/>
  <c r="DA248" i="1"/>
  <c r="CZ248" i="1"/>
  <c r="DE248" i="1"/>
  <c r="DC248" i="1"/>
  <c r="DB96" i="1"/>
  <c r="DC96" i="1"/>
  <c r="DD96" i="1"/>
  <c r="DE96" i="1"/>
  <c r="CZ96" i="1"/>
  <c r="DA96" i="1"/>
  <c r="DB153" i="1"/>
  <c r="CZ153" i="1"/>
  <c r="DE153" i="1"/>
  <c r="DA153" i="1"/>
  <c r="DC153" i="1"/>
  <c r="DD153" i="1"/>
  <c r="CZ73" i="1"/>
  <c r="DD73" i="1"/>
  <c r="DB73" i="1"/>
  <c r="DC73" i="1"/>
  <c r="DE73" i="1"/>
  <c r="DA73" i="1"/>
  <c r="DB142" i="1"/>
  <c r="DD142" i="1"/>
  <c r="CZ142" i="1"/>
  <c r="DE142" i="1"/>
  <c r="DA142" i="1"/>
  <c r="DC142" i="1"/>
  <c r="CZ143" i="1"/>
  <c r="DD143" i="1"/>
  <c r="DC143" i="1"/>
  <c r="DE143" i="1"/>
  <c r="DA143" i="1"/>
  <c r="DB143" i="1"/>
  <c r="CZ233" i="1"/>
  <c r="DD233" i="1"/>
  <c r="DC233" i="1"/>
  <c r="DE233" i="1"/>
  <c r="DA233" i="1"/>
  <c r="DB233" i="1"/>
  <c r="CZ133" i="1"/>
  <c r="DD133" i="1"/>
  <c r="DE133" i="1"/>
  <c r="DA133" i="1"/>
  <c r="DB133" i="1"/>
  <c r="DC133" i="1"/>
  <c r="CZ97" i="1"/>
  <c r="DD97" i="1"/>
  <c r="DB97" i="1"/>
  <c r="DC97" i="1"/>
  <c r="DE97" i="1"/>
  <c r="DA97" i="1"/>
  <c r="CZ271" i="1"/>
  <c r="DD271" i="1"/>
  <c r="DC271" i="1"/>
  <c r="DA271" i="1"/>
  <c r="DE271" i="1"/>
  <c r="DB271" i="1"/>
  <c r="DB110" i="1"/>
  <c r="DD110" i="1"/>
  <c r="CZ110" i="1"/>
  <c r="DE110" i="1"/>
  <c r="DA110" i="1"/>
  <c r="DC110" i="1"/>
  <c r="DB222" i="1"/>
  <c r="CZ222" i="1"/>
  <c r="DE222" i="1"/>
  <c r="DC222" i="1"/>
  <c r="DA222" i="1"/>
  <c r="DD222" i="1"/>
  <c r="DB67" i="1"/>
  <c r="DC67" i="1"/>
  <c r="DD67" i="1"/>
  <c r="CZ67" i="1"/>
  <c r="DE67" i="1"/>
  <c r="DA67" i="1"/>
  <c r="DB134" i="1"/>
  <c r="DD134" i="1"/>
  <c r="CZ134" i="1"/>
  <c r="DE134" i="1"/>
  <c r="DA134" i="1"/>
  <c r="DC134" i="1"/>
  <c r="DB42" i="1"/>
  <c r="DC42" i="1"/>
  <c r="DD42" i="1"/>
  <c r="CZ42" i="1"/>
  <c r="DA42" i="1"/>
  <c r="DE42" i="1"/>
  <c r="DB132" i="1"/>
  <c r="CZ132" i="1"/>
  <c r="DE132" i="1"/>
  <c r="DA132" i="1"/>
  <c r="DC132" i="1"/>
  <c r="DD132" i="1"/>
  <c r="CZ11" i="1"/>
  <c r="DD11" i="1"/>
  <c r="DA11" i="1"/>
  <c r="DE11" i="1"/>
  <c r="DB11" i="1"/>
  <c r="DC11" i="1"/>
  <c r="DB118" i="1"/>
  <c r="DD118" i="1"/>
  <c r="CZ118" i="1"/>
  <c r="DE118" i="1"/>
  <c r="DA118" i="1"/>
  <c r="DC118" i="1"/>
  <c r="DB38" i="1"/>
  <c r="DC38" i="1"/>
  <c r="DD38" i="1"/>
  <c r="CZ38" i="1"/>
  <c r="DA38" i="1"/>
  <c r="DE38" i="1"/>
  <c r="DB232" i="1"/>
  <c r="DD232" i="1"/>
  <c r="DA232" i="1"/>
  <c r="CZ232" i="1"/>
  <c r="DE232" i="1"/>
  <c r="DC232" i="1"/>
  <c r="DB54" i="1"/>
  <c r="DC54" i="1"/>
  <c r="DD54" i="1"/>
  <c r="CZ54" i="1"/>
  <c r="DA54" i="1"/>
  <c r="DE54" i="1"/>
  <c r="DB262" i="1"/>
  <c r="CZ262" i="1"/>
  <c r="DE262" i="1"/>
  <c r="DC262" i="1"/>
  <c r="DA262" i="1"/>
  <c r="DD262" i="1"/>
  <c r="DB68" i="1"/>
  <c r="CZ68" i="1"/>
  <c r="DE68" i="1"/>
  <c r="DA68" i="1"/>
  <c r="DC68" i="1"/>
  <c r="DD68" i="1"/>
  <c r="DB144" i="1"/>
  <c r="DC144" i="1"/>
  <c r="DD144" i="1"/>
  <c r="DE144" i="1"/>
  <c r="CZ144" i="1"/>
  <c r="DA144" i="1"/>
  <c r="CZ199" i="1"/>
  <c r="DD199" i="1"/>
  <c r="DE199" i="1"/>
  <c r="DA199" i="1"/>
  <c r="DB199" i="1"/>
  <c r="DC199" i="1"/>
  <c r="CZ7" i="1"/>
  <c r="DD7" i="1"/>
  <c r="DB7" i="1"/>
  <c r="DC7" i="1"/>
  <c r="DE7" i="1"/>
  <c r="DA7" i="1"/>
  <c r="CZ71" i="1"/>
  <c r="DD71" i="1"/>
  <c r="DC71" i="1"/>
  <c r="DE71" i="1"/>
  <c r="DA71" i="1"/>
  <c r="DB71" i="1"/>
  <c r="CZ29" i="1"/>
  <c r="DD29" i="1"/>
  <c r="DA29" i="1"/>
  <c r="DE29" i="1"/>
  <c r="DB29" i="1"/>
  <c r="DC29" i="1"/>
  <c r="CZ107" i="1"/>
  <c r="DD107" i="1"/>
  <c r="DA107" i="1"/>
  <c r="DB107" i="1"/>
  <c r="DC107" i="1"/>
  <c r="DE107" i="1"/>
  <c r="CZ269" i="1"/>
  <c r="DD269" i="1"/>
  <c r="DE269" i="1"/>
  <c r="DB269" i="1"/>
  <c r="DA269" i="1"/>
  <c r="DC269" i="1"/>
  <c r="CZ211" i="1"/>
  <c r="DD211" i="1"/>
  <c r="DB211" i="1"/>
  <c r="DE211" i="1"/>
  <c r="DC211" i="1"/>
  <c r="DA211" i="1"/>
  <c r="CZ165" i="1"/>
  <c r="DD165" i="1"/>
  <c r="DA165" i="1"/>
  <c r="DE165" i="1"/>
  <c r="DB165" i="1"/>
  <c r="DC165" i="1"/>
  <c r="DB255" i="1"/>
  <c r="DC255" i="1"/>
  <c r="CZ255" i="1"/>
  <c r="DD255" i="1"/>
  <c r="DE255" i="1"/>
  <c r="DA255" i="1"/>
  <c r="CZ183" i="1"/>
  <c r="DD183" i="1"/>
  <c r="DE183" i="1"/>
  <c r="DB183" i="1"/>
  <c r="DA183" i="1"/>
  <c r="DC183" i="1"/>
  <c r="CZ135" i="1"/>
  <c r="DD135" i="1"/>
  <c r="DC135" i="1"/>
  <c r="DE135" i="1"/>
  <c r="DA135" i="1"/>
  <c r="DB135" i="1"/>
  <c r="CZ197" i="1"/>
  <c r="DD197" i="1"/>
  <c r="DA197" i="1"/>
  <c r="DC197" i="1"/>
  <c r="DB197" i="1"/>
  <c r="DE197" i="1"/>
  <c r="DF161" i="1"/>
  <c r="CZ161" i="1"/>
  <c r="DD161" i="1"/>
  <c r="DA161" i="1"/>
  <c r="DE161" i="1"/>
  <c r="DB161" i="1"/>
  <c r="DC161" i="1"/>
  <c r="CZ129" i="1"/>
  <c r="DD129" i="1"/>
  <c r="DB129" i="1"/>
  <c r="DC129" i="1"/>
  <c r="DE129" i="1"/>
  <c r="DA129" i="1"/>
  <c r="CX75" i="1"/>
  <c r="CZ75" i="1"/>
  <c r="DD75" i="1"/>
  <c r="DA75" i="1"/>
  <c r="DB75" i="1"/>
  <c r="DC75" i="1"/>
  <c r="DE75" i="1"/>
  <c r="CZ25" i="1"/>
  <c r="DD25" i="1"/>
  <c r="DA25" i="1"/>
  <c r="DE25" i="1"/>
  <c r="DB25" i="1"/>
  <c r="DC25" i="1"/>
  <c r="DB158" i="1"/>
  <c r="DC158" i="1"/>
  <c r="DD158" i="1"/>
  <c r="CZ158" i="1"/>
  <c r="DE158" i="1"/>
  <c r="DA158" i="1"/>
  <c r="DB74" i="1"/>
  <c r="DA74" i="1"/>
  <c r="DC74" i="1"/>
  <c r="DD74" i="1"/>
  <c r="CZ74" i="1"/>
  <c r="DE74" i="1"/>
  <c r="CZ69" i="1"/>
  <c r="DD69" i="1"/>
  <c r="DE69" i="1"/>
  <c r="DA69" i="1"/>
  <c r="DB69" i="1"/>
  <c r="DC69" i="1"/>
  <c r="CZ87" i="1"/>
  <c r="DD87" i="1"/>
  <c r="DC87" i="1"/>
  <c r="DE87" i="1"/>
  <c r="DA87" i="1"/>
  <c r="DB87" i="1"/>
  <c r="DB86" i="1"/>
  <c r="DD86" i="1"/>
  <c r="CZ86" i="1"/>
  <c r="DE86" i="1"/>
  <c r="DA86" i="1"/>
  <c r="DC86" i="1"/>
  <c r="DB58" i="1"/>
  <c r="DC58" i="1"/>
  <c r="DD58" i="1"/>
  <c r="CZ58" i="1"/>
  <c r="DA58" i="1"/>
  <c r="DE58" i="1"/>
  <c r="DD186" i="1"/>
  <c r="DE186" i="1"/>
  <c r="CZ93" i="1"/>
  <c r="DD93" i="1"/>
  <c r="DE93" i="1"/>
  <c r="DA93" i="1"/>
  <c r="DB93" i="1"/>
  <c r="DC93" i="1"/>
  <c r="CZ189" i="1"/>
  <c r="DD189" i="1"/>
  <c r="DA189" i="1"/>
  <c r="DC189" i="1"/>
  <c r="DB189" i="1"/>
  <c r="DE189" i="1"/>
  <c r="DB230" i="1"/>
  <c r="CZ230" i="1"/>
  <c r="DE230" i="1"/>
  <c r="DC230" i="1"/>
  <c r="DA230" i="1"/>
  <c r="DD230" i="1"/>
  <c r="DB88" i="1"/>
  <c r="DC88" i="1"/>
  <c r="DD88" i="1"/>
  <c r="CZ88" i="1"/>
  <c r="DE88" i="1"/>
  <c r="DA88" i="1"/>
  <c r="CZ91" i="1"/>
  <c r="DD91" i="1"/>
  <c r="DA91" i="1"/>
  <c r="DB91" i="1"/>
  <c r="DC91" i="1"/>
  <c r="DE91" i="1"/>
  <c r="DB46" i="1"/>
  <c r="DC46" i="1"/>
  <c r="DD46" i="1"/>
  <c r="DE46" i="1"/>
  <c r="CZ46" i="1"/>
  <c r="DA46" i="1"/>
  <c r="CZ99" i="1"/>
  <c r="DD99" i="1"/>
  <c r="DA99" i="1"/>
  <c r="DB99" i="1"/>
  <c r="DC99" i="1"/>
  <c r="DE99" i="1"/>
  <c r="CZ215" i="1"/>
  <c r="DD215" i="1"/>
  <c r="DE215" i="1"/>
  <c r="DB215" i="1"/>
  <c r="DA215" i="1"/>
  <c r="DC215" i="1"/>
  <c r="DB24" i="1"/>
  <c r="DC24" i="1"/>
  <c r="CZ24" i="1"/>
  <c r="DA24" i="1"/>
  <c r="DD24" i="1"/>
  <c r="DE24" i="1"/>
  <c r="CZ221" i="1"/>
  <c r="DD221" i="1"/>
  <c r="DA221" i="1"/>
  <c r="DB221" i="1"/>
  <c r="DC221" i="1"/>
  <c r="DE221" i="1"/>
  <c r="CZ266" i="1"/>
  <c r="DD266" i="1"/>
  <c r="DB266" i="1"/>
  <c r="DE266" i="1"/>
  <c r="DC266" i="1"/>
  <c r="DA266" i="1"/>
  <c r="CZ85" i="1"/>
  <c r="DD85" i="1"/>
  <c r="DE85" i="1"/>
  <c r="DA85" i="1"/>
  <c r="DB85" i="1"/>
  <c r="DC85" i="1"/>
  <c r="DB26" i="1"/>
  <c r="DC26" i="1"/>
  <c r="DD26" i="1"/>
  <c r="CZ26" i="1"/>
  <c r="DA26" i="1"/>
  <c r="DE26" i="1"/>
  <c r="CZ55" i="1"/>
  <c r="DD55" i="1"/>
  <c r="DA55" i="1"/>
  <c r="DE55" i="1"/>
  <c r="DC55" i="1"/>
  <c r="DB55" i="1"/>
  <c r="CZ231" i="1"/>
  <c r="DD231" i="1"/>
  <c r="DE231" i="1"/>
  <c r="DA231" i="1"/>
  <c r="DB231" i="1"/>
  <c r="DC231" i="1"/>
  <c r="CZ249" i="1"/>
  <c r="DD249" i="1"/>
  <c r="DC249" i="1"/>
  <c r="DE249" i="1"/>
  <c r="DA249" i="1"/>
  <c r="DB249" i="1"/>
  <c r="CW139" i="1"/>
  <c r="CZ139" i="1"/>
  <c r="DD139" i="1"/>
  <c r="DA139" i="1"/>
  <c r="DB139" i="1"/>
  <c r="DC139" i="1"/>
  <c r="DE139" i="1"/>
  <c r="CZ268" i="1"/>
  <c r="DD268" i="1"/>
  <c r="DA268" i="1"/>
  <c r="DC268" i="1"/>
  <c r="DB268" i="1"/>
  <c r="DE268" i="1"/>
  <c r="DB126" i="1"/>
  <c r="DD126" i="1"/>
  <c r="CZ126" i="1"/>
  <c r="DE126" i="1"/>
  <c r="DA126" i="1"/>
  <c r="DC126" i="1"/>
  <c r="CZ179" i="1"/>
  <c r="DD179" i="1"/>
  <c r="DB179" i="1"/>
  <c r="DE179" i="1"/>
  <c r="DC179" i="1"/>
  <c r="DA179" i="1"/>
  <c r="CZ103" i="1"/>
  <c r="DD103" i="1"/>
  <c r="DC103" i="1"/>
  <c r="DE103" i="1"/>
  <c r="DA103" i="1"/>
  <c r="DB103" i="1"/>
  <c r="DB180" i="1"/>
  <c r="CZ180" i="1"/>
  <c r="DE180" i="1"/>
  <c r="DA180" i="1"/>
  <c r="DC180" i="1"/>
  <c r="DD180" i="1"/>
  <c r="CZ213" i="1"/>
  <c r="DD213" i="1"/>
  <c r="DA213" i="1"/>
  <c r="DC213" i="1"/>
  <c r="DB213" i="1"/>
  <c r="DE213" i="1"/>
  <c r="CZ149" i="1"/>
  <c r="DD149" i="1"/>
  <c r="DE149" i="1"/>
  <c r="DA149" i="1"/>
  <c r="DB149" i="1"/>
  <c r="DC149" i="1"/>
  <c r="DB188" i="1"/>
  <c r="DA188" i="1"/>
  <c r="DD188" i="1"/>
  <c r="DC188" i="1"/>
  <c r="CZ188" i="1"/>
  <c r="DE188" i="1"/>
  <c r="CZ117" i="1"/>
  <c r="DD117" i="1"/>
  <c r="DE117" i="1"/>
  <c r="DA117" i="1"/>
  <c r="DB117" i="1"/>
  <c r="DC117" i="1"/>
  <c r="DB106" i="1"/>
  <c r="DA106" i="1"/>
  <c r="DC106" i="1"/>
  <c r="DD106" i="1"/>
  <c r="CZ106" i="1"/>
  <c r="DE106" i="1"/>
  <c r="DB18" i="1"/>
  <c r="DC18" i="1"/>
  <c r="DD18" i="1"/>
  <c r="DA18" i="1"/>
  <c r="DE18" i="1"/>
  <c r="CZ18" i="1"/>
  <c r="DB60" i="1"/>
  <c r="DC60" i="1"/>
  <c r="CZ60" i="1"/>
  <c r="DE60" i="1"/>
  <c r="DA60" i="1"/>
  <c r="DD60" i="1"/>
  <c r="DB36" i="1"/>
  <c r="DC36" i="1"/>
  <c r="CZ36" i="1"/>
  <c r="DA36" i="1"/>
  <c r="DD36" i="1"/>
  <c r="DE36" i="1"/>
  <c r="DB120" i="1"/>
  <c r="DC120" i="1"/>
  <c r="CZ120" i="1"/>
  <c r="DD120" i="1"/>
  <c r="DA120" i="1"/>
  <c r="DE120" i="1"/>
  <c r="DB176" i="1"/>
  <c r="DC176" i="1"/>
  <c r="CZ176" i="1"/>
  <c r="DD176" i="1"/>
  <c r="DA176" i="1"/>
  <c r="DE176" i="1"/>
  <c r="CZ37" i="1"/>
  <c r="DD37" i="1"/>
  <c r="DA37" i="1"/>
  <c r="DE37" i="1"/>
  <c r="DB37" i="1"/>
  <c r="DC37" i="1"/>
  <c r="CZ243" i="1"/>
  <c r="DD243" i="1"/>
  <c r="DB243" i="1"/>
  <c r="DC243" i="1"/>
  <c r="DE243" i="1"/>
  <c r="DA243" i="1"/>
  <c r="DB212" i="1"/>
  <c r="DA212" i="1"/>
  <c r="DC212" i="1"/>
  <c r="DD212" i="1"/>
  <c r="DE212" i="1"/>
  <c r="CZ212" i="1"/>
  <c r="CZ90" i="1"/>
  <c r="DD90" i="1"/>
  <c r="DA90" i="1"/>
  <c r="DE90" i="1"/>
  <c r="DB90" i="1"/>
  <c r="DC90" i="1"/>
  <c r="CZ227" i="1"/>
  <c r="DD227" i="1"/>
  <c r="DB227" i="1"/>
  <c r="DC227" i="1"/>
  <c r="DE227" i="1"/>
  <c r="DA227" i="1"/>
  <c r="CZ203" i="1"/>
  <c r="DD203" i="1"/>
  <c r="DB203" i="1"/>
  <c r="DE203" i="1"/>
  <c r="DC203" i="1"/>
  <c r="DA203" i="1"/>
  <c r="CZ141" i="1"/>
  <c r="DD141" i="1"/>
  <c r="DE141" i="1"/>
  <c r="DA141" i="1"/>
  <c r="DB141" i="1"/>
  <c r="DC141" i="1"/>
  <c r="CZ41" i="1"/>
  <c r="DD41" i="1"/>
  <c r="DA41" i="1"/>
  <c r="DE41" i="1"/>
  <c r="DB41" i="1"/>
  <c r="DC41" i="1"/>
  <c r="DB192" i="1"/>
  <c r="DD192" i="1"/>
  <c r="DA192" i="1"/>
  <c r="CZ192" i="1"/>
  <c r="DE192" i="1"/>
  <c r="DC192" i="1"/>
  <c r="CZ169" i="1"/>
  <c r="DD169" i="1"/>
  <c r="DA169" i="1"/>
  <c r="DE169" i="1"/>
  <c r="DB169" i="1"/>
  <c r="DC169" i="1"/>
  <c r="DB224" i="1"/>
  <c r="DD224" i="1"/>
  <c r="DA224" i="1"/>
  <c r="CZ224" i="1"/>
  <c r="DE224" i="1"/>
  <c r="DC224" i="1"/>
  <c r="DB216" i="1"/>
  <c r="DD216" i="1"/>
  <c r="CZ216" i="1"/>
  <c r="DE216" i="1"/>
  <c r="DA216" i="1"/>
  <c r="DC216" i="1"/>
  <c r="CZ137" i="1"/>
  <c r="DD137" i="1"/>
  <c r="DB137" i="1"/>
  <c r="DC137" i="1"/>
  <c r="DE137" i="1"/>
  <c r="DA137" i="1"/>
  <c r="CZ223" i="1"/>
  <c r="DD223" i="1"/>
  <c r="DE223" i="1"/>
  <c r="DA223" i="1"/>
  <c r="DB223" i="1"/>
  <c r="DC223" i="1"/>
  <c r="CZ105" i="1"/>
  <c r="DD105" i="1"/>
  <c r="DB105" i="1"/>
  <c r="DC105" i="1"/>
  <c r="DE105" i="1"/>
  <c r="DA105" i="1"/>
  <c r="DB164" i="1"/>
  <c r="DC164" i="1"/>
  <c r="CZ164" i="1"/>
  <c r="DD164" i="1"/>
  <c r="DA164" i="1"/>
  <c r="DE164" i="1"/>
  <c r="DB44" i="1"/>
  <c r="DC44" i="1"/>
  <c r="CZ44" i="1"/>
  <c r="DE44" i="1"/>
  <c r="DA44" i="1"/>
  <c r="DD44" i="1"/>
  <c r="DB108" i="1"/>
  <c r="CZ108" i="1"/>
  <c r="DE108" i="1"/>
  <c r="DA108" i="1"/>
  <c r="DC108" i="1"/>
  <c r="DD108" i="1"/>
  <c r="DB168" i="1"/>
  <c r="DC168" i="1"/>
  <c r="CZ168" i="1"/>
  <c r="DD168" i="1"/>
  <c r="DA168" i="1"/>
  <c r="DE168" i="1"/>
  <c r="CZ259" i="1"/>
  <c r="DD259" i="1"/>
  <c r="DB259" i="1"/>
  <c r="DC259" i="1"/>
  <c r="DE259" i="1"/>
  <c r="DA259" i="1"/>
  <c r="DB82" i="1"/>
  <c r="DA82" i="1"/>
  <c r="DC82" i="1"/>
  <c r="DD82" i="1"/>
  <c r="DE82" i="1"/>
  <c r="CZ82" i="1"/>
  <c r="DB163" i="1"/>
  <c r="DA163" i="1"/>
  <c r="DC163" i="1"/>
  <c r="DD163" i="1"/>
  <c r="CZ163" i="1"/>
  <c r="DE163" i="1"/>
  <c r="DB50" i="1"/>
  <c r="DC50" i="1"/>
  <c r="DD50" i="1"/>
  <c r="DA50" i="1"/>
  <c r="DE50" i="1"/>
  <c r="CZ50" i="1"/>
  <c r="CZ115" i="1"/>
  <c r="DD115" i="1"/>
  <c r="DA115" i="1"/>
  <c r="DB115" i="1"/>
  <c r="DC115" i="1"/>
  <c r="DE115" i="1"/>
  <c r="CZ123" i="1"/>
  <c r="DD123" i="1"/>
  <c r="DA123" i="1"/>
  <c r="DB123" i="1"/>
  <c r="DC123" i="1"/>
  <c r="DE123" i="1"/>
  <c r="CZ45" i="1"/>
  <c r="DD45" i="1"/>
  <c r="DA45" i="1"/>
  <c r="DE45" i="1"/>
  <c r="DB45" i="1"/>
  <c r="DC45" i="1"/>
  <c r="DB148" i="1"/>
  <c r="CZ148" i="1"/>
  <c r="DE148" i="1"/>
  <c r="DA148" i="1"/>
  <c r="DC148" i="1"/>
  <c r="DD148" i="1"/>
  <c r="CZ253" i="1"/>
  <c r="DD253" i="1"/>
  <c r="DA253" i="1"/>
  <c r="DC253" i="1"/>
  <c r="DB253" i="1"/>
  <c r="DE253" i="1"/>
  <c r="DB244" i="1"/>
  <c r="DA244" i="1"/>
  <c r="DD244" i="1"/>
  <c r="DC244" i="1"/>
  <c r="DE244" i="1"/>
  <c r="CZ244" i="1"/>
  <c r="CZ125" i="1"/>
  <c r="DD125" i="1"/>
  <c r="DE125" i="1"/>
  <c r="DA125" i="1"/>
  <c r="DB125" i="1"/>
  <c r="DC125" i="1"/>
  <c r="CZ121" i="1"/>
  <c r="DD121" i="1"/>
  <c r="DA121" i="1"/>
  <c r="DB121" i="1"/>
  <c r="DC121" i="1"/>
  <c r="DE121" i="1"/>
  <c r="CZ185" i="1"/>
  <c r="DD185" i="1"/>
  <c r="DC185" i="1"/>
  <c r="DA185" i="1"/>
  <c r="DE185" i="1"/>
  <c r="DB185" i="1"/>
  <c r="CZ70" i="1"/>
  <c r="DD70" i="1"/>
  <c r="DB70" i="1"/>
  <c r="DC70" i="1"/>
  <c r="DE70" i="1"/>
  <c r="DA70" i="1"/>
  <c r="DB146" i="1"/>
  <c r="DA146" i="1"/>
  <c r="DC146" i="1"/>
  <c r="DD146" i="1"/>
  <c r="DE146" i="1"/>
  <c r="CZ146" i="1"/>
  <c r="DB78" i="1"/>
  <c r="DD78" i="1"/>
  <c r="CZ78" i="1"/>
  <c r="DE78" i="1"/>
  <c r="DA78" i="1"/>
  <c r="DC78" i="1"/>
  <c r="CZ205" i="1"/>
  <c r="DD205" i="1"/>
  <c r="DA205" i="1"/>
  <c r="DC205" i="1"/>
  <c r="DB205" i="1"/>
  <c r="DE205" i="1"/>
  <c r="DB19" i="1"/>
  <c r="DC19" i="1"/>
  <c r="CZ19" i="1"/>
  <c r="DE19" i="1"/>
  <c r="DD19" i="1"/>
  <c r="DA19" i="1"/>
  <c r="CZ187" i="1"/>
  <c r="DD187" i="1"/>
  <c r="DB187" i="1"/>
  <c r="DE187" i="1"/>
  <c r="DC187" i="1"/>
  <c r="DA187" i="1"/>
  <c r="CZ17" i="1"/>
  <c r="DD17" i="1"/>
  <c r="DA17" i="1"/>
  <c r="DE17" i="1"/>
  <c r="DB17" i="1"/>
  <c r="DC17" i="1"/>
  <c r="DB94" i="1"/>
  <c r="DD94" i="1"/>
  <c r="CZ94" i="1"/>
  <c r="DE94" i="1"/>
  <c r="DA94" i="1"/>
  <c r="DC94" i="1"/>
  <c r="DB80" i="1"/>
  <c r="DC80" i="1"/>
  <c r="DD80" i="1"/>
  <c r="DE80" i="1"/>
  <c r="CZ80" i="1"/>
  <c r="DA80" i="1"/>
  <c r="CZ39" i="1"/>
  <c r="DD39" i="1"/>
  <c r="DA39" i="1"/>
  <c r="DE39" i="1"/>
  <c r="DC39" i="1"/>
  <c r="DB39" i="1"/>
  <c r="CZ193" i="1"/>
  <c r="DD193" i="1"/>
  <c r="DC193" i="1"/>
  <c r="DA193" i="1"/>
  <c r="DE193" i="1"/>
  <c r="DB193" i="1"/>
  <c r="DB220" i="1"/>
  <c r="DA220" i="1"/>
  <c r="DD220" i="1"/>
  <c r="DC220" i="1"/>
  <c r="CZ220" i="1"/>
  <c r="DE220" i="1"/>
  <c r="DB89" i="1"/>
  <c r="DA89" i="1"/>
  <c r="DC89" i="1"/>
  <c r="DD89" i="1"/>
  <c r="DE89" i="1"/>
  <c r="CZ89" i="1"/>
  <c r="DB254" i="1"/>
  <c r="CZ254" i="1"/>
  <c r="DE254" i="1"/>
  <c r="DA254" i="1"/>
  <c r="DC254" i="1"/>
  <c r="DD254" i="1"/>
  <c r="CX242" i="1"/>
  <c r="CZ83" i="1"/>
  <c r="DD83" i="1"/>
  <c r="DA83" i="1"/>
  <c r="DB83" i="1"/>
  <c r="DC83" i="1"/>
  <c r="DE83" i="1"/>
  <c r="DB84" i="1"/>
  <c r="CZ84" i="1"/>
  <c r="DE84" i="1"/>
  <c r="DA84" i="1"/>
  <c r="DC84" i="1"/>
  <c r="DD84" i="1"/>
  <c r="DB228" i="1"/>
  <c r="DA228" i="1"/>
  <c r="DD228" i="1"/>
  <c r="DC228" i="1"/>
  <c r="DE228" i="1"/>
  <c r="CZ228" i="1"/>
  <c r="DB174" i="1"/>
  <c r="DC174" i="1"/>
  <c r="DD174" i="1"/>
  <c r="CZ174" i="1"/>
  <c r="DE174" i="1"/>
  <c r="DA174" i="1"/>
  <c r="DB170" i="1"/>
  <c r="DC170" i="1"/>
  <c r="DD170" i="1"/>
  <c r="CZ170" i="1"/>
  <c r="DE170" i="1"/>
  <c r="DA170" i="1"/>
  <c r="DB98" i="1"/>
  <c r="DA98" i="1"/>
  <c r="DC98" i="1"/>
  <c r="DD98" i="1"/>
  <c r="DE98" i="1"/>
  <c r="CZ98" i="1"/>
  <c r="CZ195" i="1"/>
  <c r="DD195" i="1"/>
  <c r="DB195" i="1"/>
  <c r="DE195" i="1"/>
  <c r="DC195" i="1"/>
  <c r="DA195" i="1"/>
  <c r="CZ14" i="1"/>
  <c r="DD14" i="1"/>
  <c r="DC14" i="1"/>
  <c r="DE14" i="1"/>
  <c r="DA14" i="1"/>
  <c r="DB14" i="1"/>
  <c r="CZ263" i="1"/>
  <c r="DD263" i="1"/>
  <c r="DE263" i="1"/>
  <c r="DA263" i="1"/>
  <c r="DB263" i="1"/>
  <c r="DC263" i="1"/>
  <c r="CZ225" i="1"/>
  <c r="DD225" i="1"/>
  <c r="DC225" i="1"/>
  <c r="DE225" i="1"/>
  <c r="DA225" i="1"/>
  <c r="DB225" i="1"/>
  <c r="CZ81" i="1"/>
  <c r="DD81" i="1"/>
  <c r="DB81" i="1"/>
  <c r="DC81" i="1"/>
  <c r="DE81" i="1"/>
  <c r="DA81" i="1"/>
  <c r="DB72" i="1"/>
  <c r="DC72" i="1"/>
  <c r="DD72" i="1"/>
  <c r="CZ72" i="1"/>
  <c r="DE72" i="1"/>
  <c r="DA72" i="1"/>
  <c r="DB204" i="1"/>
  <c r="DA204" i="1"/>
  <c r="DC204" i="1"/>
  <c r="DD204" i="1"/>
  <c r="CZ204" i="1"/>
  <c r="DE204" i="1"/>
  <c r="DB150" i="1"/>
  <c r="DD150" i="1"/>
  <c r="CZ150" i="1"/>
  <c r="DE150" i="1"/>
  <c r="DA150" i="1"/>
  <c r="DC150" i="1"/>
  <c r="CZ173" i="1"/>
  <c r="DD173" i="1"/>
  <c r="DA173" i="1"/>
  <c r="DE173" i="1"/>
  <c r="DB173" i="1"/>
  <c r="DC173" i="1"/>
  <c r="DB226" i="1"/>
  <c r="DC226" i="1"/>
  <c r="CZ226" i="1"/>
  <c r="DE226" i="1"/>
  <c r="DD226" i="1"/>
  <c r="DA226" i="1"/>
  <c r="DB138" i="1"/>
  <c r="DA138" i="1"/>
  <c r="DC138" i="1"/>
  <c r="DD138" i="1"/>
  <c r="CZ138" i="1"/>
  <c r="DE138" i="1"/>
  <c r="DB52" i="1"/>
  <c r="DC52" i="1"/>
  <c r="CZ52" i="1"/>
  <c r="DA52" i="1"/>
  <c r="DD52" i="1"/>
  <c r="DE52" i="1"/>
  <c r="CZ175" i="1"/>
  <c r="DD175" i="1"/>
  <c r="DA175" i="1"/>
  <c r="DE175" i="1"/>
  <c r="DB175" i="1"/>
  <c r="DC175" i="1"/>
  <c r="DF140" i="1"/>
  <c r="DB140" i="1"/>
  <c r="CZ140" i="1"/>
  <c r="DE140" i="1"/>
  <c r="DA140" i="1"/>
  <c r="DC140" i="1"/>
  <c r="DD140" i="1"/>
  <c r="DC66" i="1"/>
  <c r="DA66" i="1"/>
  <c r="CZ66" i="1"/>
  <c r="DB66" i="1"/>
  <c r="DD66" i="1"/>
  <c r="DE66" i="1"/>
  <c r="DB194" i="1"/>
  <c r="DC194" i="1"/>
  <c r="DE194" i="1"/>
  <c r="DD194" i="1"/>
  <c r="CZ194" i="1"/>
  <c r="DA194" i="1"/>
  <c r="DB252" i="1"/>
  <c r="DA252" i="1"/>
  <c r="DC252" i="1"/>
  <c r="DD252" i="1"/>
  <c r="CZ252" i="1"/>
  <c r="DE252" i="1"/>
  <c r="DE8" i="1"/>
  <c r="DA8" i="1"/>
  <c r="DB8" i="1"/>
  <c r="DD8" i="1"/>
  <c r="CZ8" i="1"/>
  <c r="DC8" i="1"/>
  <c r="CY194" i="1"/>
  <c r="DH267" i="1"/>
  <c r="DG267" i="1"/>
  <c r="CX52" i="1"/>
  <c r="DF194" i="1"/>
  <c r="DG66" i="1"/>
  <c r="CX252" i="1"/>
  <c r="CX175" i="1"/>
  <c r="CY66" i="1"/>
  <c r="CW140" i="1"/>
  <c r="CW194" i="1"/>
  <c r="CW52" i="1"/>
  <c r="DH140" i="1"/>
  <c r="DF25" i="1"/>
  <c r="DF52" i="1"/>
  <c r="DH175" i="1"/>
  <c r="CY175" i="1"/>
  <c r="CX66" i="1"/>
  <c r="CX140" i="1"/>
  <c r="CW252" i="1"/>
  <c r="CX194" i="1"/>
  <c r="CY52" i="1"/>
  <c r="CX25" i="1"/>
  <c r="DF66" i="1"/>
  <c r="DG252" i="1"/>
  <c r="CX161" i="1"/>
  <c r="CW75" i="1"/>
  <c r="CY158" i="1"/>
  <c r="DG158" i="1"/>
  <c r="CW242" i="1"/>
  <c r="DF242" i="1"/>
  <c r="CY242" i="1"/>
  <c r="DH242" i="1"/>
  <c r="DH52" i="1"/>
  <c r="DG140" i="1"/>
  <c r="DG175" i="1"/>
  <c r="DH194" i="1"/>
  <c r="DF252" i="1"/>
  <c r="DG52" i="1"/>
  <c r="DF175" i="1"/>
  <c r="DG194" i="1"/>
  <c r="DH66" i="1"/>
  <c r="DH252" i="1"/>
  <c r="CX160" i="1"/>
  <c r="CY104" i="1"/>
  <c r="DG182" i="1"/>
  <c r="CX182" i="1"/>
  <c r="DG206" i="1"/>
  <c r="DF104" i="1"/>
  <c r="CY40" i="1"/>
  <c r="CY129" i="1"/>
  <c r="CW182" i="1"/>
  <c r="CW25" i="1"/>
  <c r="CX158" i="1"/>
  <c r="CX206" i="1"/>
  <c r="DH25" i="1"/>
  <c r="DF129" i="1"/>
  <c r="DF158" i="1"/>
  <c r="DF40" i="1"/>
  <c r="CY160" i="1"/>
  <c r="CY25" i="1"/>
  <c r="CW158" i="1"/>
  <c r="CW104" i="1"/>
  <c r="CW206" i="1"/>
  <c r="DG25" i="1"/>
  <c r="DH158" i="1"/>
  <c r="DF75" i="1"/>
  <c r="CX34" i="1"/>
  <c r="DG34" i="1"/>
  <c r="CW34" i="1"/>
  <c r="CX40" i="1"/>
  <c r="CW160" i="1"/>
  <c r="CX63" i="1"/>
  <c r="DH40" i="1"/>
  <c r="DF63" i="1"/>
  <c r="DF34" i="1"/>
  <c r="CY34" i="1"/>
  <c r="CW40" i="1"/>
  <c r="CY182" i="1"/>
  <c r="CX104" i="1"/>
  <c r="CY206" i="1"/>
  <c r="DH182" i="1"/>
  <c r="DF160" i="1"/>
  <c r="DH34" i="1"/>
  <c r="DH104" i="1"/>
  <c r="CY139" i="1"/>
  <c r="DF139" i="1"/>
  <c r="DG48" i="1"/>
  <c r="CX48" i="1"/>
  <c r="DF10" i="1"/>
  <c r="CW48" i="1"/>
  <c r="CX139" i="1"/>
  <c r="CW63" i="1"/>
  <c r="DH139" i="1"/>
  <c r="DH63" i="1"/>
  <c r="DH48" i="1"/>
  <c r="CY63" i="1"/>
  <c r="DG139" i="1"/>
  <c r="DG63" i="1"/>
  <c r="DF48" i="1"/>
  <c r="DF206" i="1"/>
  <c r="DG10" i="1"/>
  <c r="DH160" i="1"/>
  <c r="CW10" i="1"/>
  <c r="CX10" i="1"/>
  <c r="CY48" i="1"/>
  <c r="DH206" i="1"/>
  <c r="DH10" i="1"/>
  <c r="DG160" i="1"/>
  <c r="DG104" i="1"/>
  <c r="CX129" i="1"/>
  <c r="CW161" i="1"/>
  <c r="CY197" i="1"/>
  <c r="CY75" i="1"/>
  <c r="DH129" i="1"/>
  <c r="DG161" i="1"/>
  <c r="DG197" i="1"/>
  <c r="DH75" i="1"/>
  <c r="CX197" i="1"/>
  <c r="DG129" i="1"/>
  <c r="DH161" i="1"/>
  <c r="DH197" i="1"/>
  <c r="DG75" i="1"/>
  <c r="CW129" i="1"/>
  <c r="CY161" i="1"/>
  <c r="CW197" i="1"/>
  <c r="DF197" i="1"/>
  <c r="CW172" i="1"/>
  <c r="CY138" i="1"/>
  <c r="CX135" i="1"/>
  <c r="CX14" i="1"/>
  <c r="CY81" i="1"/>
  <c r="CY150" i="1"/>
  <c r="CX173" i="1"/>
  <c r="CW138" i="1"/>
  <c r="CX138" i="1"/>
  <c r="DG270" i="1"/>
  <c r="DH270" i="1"/>
  <c r="DF270" i="1"/>
  <c r="DF20" i="1"/>
  <c r="DG20" i="1"/>
  <c r="DH20" i="1"/>
  <c r="DF74" i="1"/>
  <c r="DG74" i="1"/>
  <c r="DH74" i="1"/>
  <c r="DG109" i="1"/>
  <c r="DH109" i="1"/>
  <c r="DF109" i="1"/>
  <c r="DF92" i="1"/>
  <c r="DG92" i="1"/>
  <c r="DH92" i="1"/>
  <c r="DG111" i="1"/>
  <c r="DH111" i="1"/>
  <c r="DF111" i="1"/>
  <c r="DF136" i="1"/>
  <c r="DG136" i="1"/>
  <c r="DH136" i="1"/>
  <c r="DG256" i="1"/>
  <c r="DH256" i="1"/>
  <c r="DF256" i="1"/>
  <c r="DG45" i="1"/>
  <c r="DH45" i="1"/>
  <c r="DF45" i="1"/>
  <c r="DG125" i="1"/>
  <c r="DH125" i="1"/>
  <c r="DF125" i="1"/>
  <c r="DG70" i="1"/>
  <c r="DH70" i="1"/>
  <c r="DF70" i="1"/>
  <c r="DF78" i="1"/>
  <c r="DG78" i="1"/>
  <c r="DH78" i="1"/>
  <c r="DF187" i="1"/>
  <c r="DG187" i="1"/>
  <c r="DH187" i="1"/>
  <c r="DG17" i="1"/>
  <c r="DH17" i="1"/>
  <c r="DF17" i="1"/>
  <c r="DG39" i="1"/>
  <c r="DH39" i="1"/>
  <c r="DF39" i="1"/>
  <c r="DG220" i="1"/>
  <c r="DH220" i="1"/>
  <c r="DF220" i="1"/>
  <c r="DF8" i="1"/>
  <c r="DG8" i="1"/>
  <c r="DH8" i="1"/>
  <c r="DF144" i="1"/>
  <c r="DG144" i="1"/>
  <c r="DH144" i="1"/>
  <c r="DG71" i="1"/>
  <c r="DH71" i="1"/>
  <c r="DF71" i="1"/>
  <c r="DG107" i="1"/>
  <c r="DH107" i="1"/>
  <c r="DF107" i="1"/>
  <c r="DG255" i="1"/>
  <c r="DH255" i="1"/>
  <c r="DF255" i="1"/>
  <c r="DG135" i="1"/>
  <c r="DH135" i="1"/>
  <c r="DF135" i="1"/>
  <c r="DG178" i="1"/>
  <c r="DH178" i="1"/>
  <c r="DF178" i="1"/>
  <c r="DF116" i="1"/>
  <c r="DG116" i="1"/>
  <c r="DH116" i="1"/>
  <c r="DG21" i="1"/>
  <c r="DH21" i="1"/>
  <c r="DF21" i="1"/>
  <c r="DG218" i="1"/>
  <c r="DH218" i="1"/>
  <c r="DF218" i="1"/>
  <c r="DF12" i="1"/>
  <c r="DG12" i="1"/>
  <c r="DH12" i="1"/>
  <c r="DG260" i="1"/>
  <c r="DH260" i="1"/>
  <c r="DF260" i="1"/>
  <c r="DF30" i="1"/>
  <c r="DG30" i="1"/>
  <c r="DH30" i="1"/>
  <c r="DF159" i="1"/>
  <c r="DG159" i="1"/>
  <c r="DH159" i="1"/>
  <c r="DG246" i="1"/>
  <c r="DH246" i="1"/>
  <c r="DF246" i="1"/>
  <c r="DF201" i="1"/>
  <c r="DH201" i="1"/>
  <c r="DG201" i="1"/>
  <c r="DG31" i="1"/>
  <c r="DH31" i="1"/>
  <c r="DF31" i="1"/>
  <c r="DG15" i="1"/>
  <c r="DH15" i="1"/>
  <c r="DF15" i="1"/>
  <c r="DG43" i="1"/>
  <c r="DH43" i="1"/>
  <c r="DF43" i="1"/>
  <c r="DF102" i="1"/>
  <c r="DG102" i="1"/>
  <c r="DH102" i="1"/>
  <c r="DF217" i="1"/>
  <c r="DH217" i="1"/>
  <c r="DG217" i="1"/>
  <c r="DF235" i="1"/>
  <c r="DG235" i="1"/>
  <c r="DH235" i="1"/>
  <c r="DG33" i="1"/>
  <c r="DH33" i="1"/>
  <c r="DF33" i="1"/>
  <c r="DF157" i="1"/>
  <c r="DH157" i="1"/>
  <c r="DG157" i="1"/>
  <c r="DG196" i="1"/>
  <c r="DH196" i="1"/>
  <c r="DF196" i="1"/>
  <c r="DF32" i="1"/>
  <c r="DG32" i="1"/>
  <c r="DH32" i="1"/>
  <c r="DG238" i="1"/>
  <c r="DH238" i="1"/>
  <c r="DF238" i="1"/>
  <c r="DF28" i="1"/>
  <c r="DG28" i="1"/>
  <c r="DH28" i="1"/>
  <c r="DG230" i="1"/>
  <c r="DH230" i="1"/>
  <c r="DF230" i="1"/>
  <c r="DG147" i="1"/>
  <c r="DH147" i="1"/>
  <c r="DF147" i="1"/>
  <c r="DF88" i="1"/>
  <c r="DH88" i="1"/>
  <c r="DG88" i="1"/>
  <c r="DG240" i="1"/>
  <c r="DH240" i="1"/>
  <c r="DF240" i="1"/>
  <c r="DG145" i="1"/>
  <c r="DH145" i="1"/>
  <c r="DF145" i="1"/>
  <c r="DG91" i="1"/>
  <c r="DH91" i="1"/>
  <c r="DF91" i="1"/>
  <c r="DG59" i="1"/>
  <c r="DH59" i="1"/>
  <c r="DF59" i="1"/>
  <c r="DF152" i="1"/>
  <c r="DG152" i="1"/>
  <c r="DH152" i="1"/>
  <c r="DF46" i="1"/>
  <c r="DG46" i="1"/>
  <c r="DH46" i="1"/>
  <c r="DF122" i="1"/>
  <c r="DG122" i="1"/>
  <c r="DH122" i="1"/>
  <c r="DG99" i="1"/>
  <c r="DH99" i="1"/>
  <c r="DF99" i="1"/>
  <c r="DF241" i="1"/>
  <c r="DH241" i="1"/>
  <c r="DG241" i="1"/>
  <c r="DF229" i="1"/>
  <c r="DH229" i="1"/>
  <c r="DG229" i="1"/>
  <c r="DF215" i="1"/>
  <c r="DG215" i="1"/>
  <c r="DH215" i="1"/>
  <c r="DF239" i="1"/>
  <c r="DG239" i="1"/>
  <c r="DH239" i="1"/>
  <c r="DF16" i="1"/>
  <c r="DG16" i="1"/>
  <c r="DH16" i="1"/>
  <c r="DF24" i="1"/>
  <c r="DG24" i="1"/>
  <c r="DH24" i="1"/>
  <c r="DF184" i="1"/>
  <c r="DG184" i="1"/>
  <c r="DH184" i="1"/>
  <c r="DF221" i="1"/>
  <c r="DH221" i="1"/>
  <c r="DG221" i="1"/>
  <c r="DG83" i="1"/>
  <c r="DH83" i="1"/>
  <c r="DF83" i="1"/>
  <c r="DF84" i="1"/>
  <c r="DG84" i="1"/>
  <c r="DH84" i="1"/>
  <c r="DG228" i="1"/>
  <c r="DH228" i="1"/>
  <c r="DF228" i="1"/>
  <c r="DG174" i="1"/>
  <c r="DH174" i="1"/>
  <c r="DF174" i="1"/>
  <c r="DG170" i="1"/>
  <c r="DH170" i="1"/>
  <c r="DF170" i="1"/>
  <c r="DF98" i="1"/>
  <c r="DG98" i="1"/>
  <c r="DH98" i="1"/>
  <c r="DF195" i="1"/>
  <c r="DG195" i="1"/>
  <c r="DH195" i="1"/>
  <c r="DG14" i="1"/>
  <c r="DH14" i="1"/>
  <c r="DF14" i="1"/>
  <c r="DF263" i="1"/>
  <c r="DG263" i="1"/>
  <c r="DH263" i="1"/>
  <c r="DF225" i="1"/>
  <c r="DH225" i="1"/>
  <c r="DG225" i="1"/>
  <c r="DG81" i="1"/>
  <c r="DH81" i="1"/>
  <c r="DF81" i="1"/>
  <c r="DF72" i="1"/>
  <c r="DH72" i="1"/>
  <c r="DG72" i="1"/>
  <c r="DG204" i="1"/>
  <c r="DH204" i="1"/>
  <c r="DF204" i="1"/>
  <c r="DF150" i="1"/>
  <c r="DH150" i="1"/>
  <c r="DG150" i="1"/>
  <c r="DF173" i="1"/>
  <c r="DH173" i="1"/>
  <c r="DG173" i="1"/>
  <c r="DG226" i="1"/>
  <c r="DH226" i="1"/>
  <c r="DF226" i="1"/>
  <c r="DF138" i="1"/>
  <c r="DH138" i="1"/>
  <c r="DG138" i="1"/>
  <c r="DF219" i="1"/>
  <c r="DG219" i="1"/>
  <c r="DH219" i="1"/>
  <c r="DG87" i="1"/>
  <c r="DH87" i="1"/>
  <c r="DF87" i="1"/>
  <c r="DF86" i="1"/>
  <c r="DG86" i="1"/>
  <c r="DH86" i="1"/>
  <c r="DG53" i="1"/>
  <c r="DH53" i="1"/>
  <c r="DF53" i="1"/>
  <c r="DG93" i="1"/>
  <c r="DH93" i="1"/>
  <c r="DF93" i="1"/>
  <c r="DF253" i="1"/>
  <c r="DH253" i="1"/>
  <c r="DG253" i="1"/>
  <c r="DG121" i="1"/>
  <c r="DH121" i="1"/>
  <c r="DF121" i="1"/>
  <c r="DF205" i="1"/>
  <c r="DH205" i="1"/>
  <c r="DG205" i="1"/>
  <c r="DF80" i="1"/>
  <c r="DH80" i="1"/>
  <c r="DG80" i="1"/>
  <c r="DF89" i="1"/>
  <c r="DG89" i="1"/>
  <c r="DH89" i="1"/>
  <c r="DG262" i="1"/>
  <c r="DH262" i="1"/>
  <c r="DF262" i="1"/>
  <c r="DG7" i="1"/>
  <c r="DH7" i="1"/>
  <c r="DF7" i="1"/>
  <c r="DF211" i="1"/>
  <c r="DG211" i="1"/>
  <c r="DH211" i="1"/>
  <c r="DF126" i="1"/>
  <c r="DH126" i="1"/>
  <c r="DG126" i="1"/>
  <c r="DG103" i="1"/>
  <c r="DH103" i="1"/>
  <c r="DF103" i="1"/>
  <c r="DF96" i="1"/>
  <c r="DH96" i="1"/>
  <c r="DG96" i="1"/>
  <c r="DF153" i="1"/>
  <c r="DG153" i="1"/>
  <c r="DH153" i="1"/>
  <c r="DG73" i="1"/>
  <c r="DH73" i="1"/>
  <c r="DF73" i="1"/>
  <c r="DG120" i="1"/>
  <c r="DH120" i="1"/>
  <c r="DF120" i="1"/>
  <c r="DG176" i="1"/>
  <c r="DH176" i="1"/>
  <c r="DF176" i="1"/>
  <c r="DG27" i="1"/>
  <c r="DH27" i="1"/>
  <c r="DF27" i="1"/>
  <c r="DG214" i="1"/>
  <c r="DH214" i="1"/>
  <c r="DF214" i="1"/>
  <c r="DG9" i="1"/>
  <c r="DH9" i="1"/>
  <c r="DF9" i="1"/>
  <c r="DG265" i="1"/>
  <c r="DH265" i="1"/>
  <c r="DF265" i="1"/>
  <c r="DG61" i="1"/>
  <c r="DH61" i="1"/>
  <c r="DF61" i="1"/>
  <c r="DF62" i="1"/>
  <c r="DG62" i="1"/>
  <c r="DH62" i="1"/>
  <c r="DF65" i="1"/>
  <c r="DG65" i="1"/>
  <c r="DH65" i="1"/>
  <c r="DF114" i="1"/>
  <c r="DH114" i="1"/>
  <c r="DG114" i="1"/>
  <c r="DF245" i="1"/>
  <c r="DH245" i="1"/>
  <c r="DG245" i="1"/>
  <c r="DG119" i="1"/>
  <c r="DH119" i="1"/>
  <c r="DF119" i="1"/>
  <c r="DF128" i="1"/>
  <c r="DG128" i="1"/>
  <c r="DH128" i="1"/>
  <c r="DG23" i="1"/>
  <c r="DH23" i="1"/>
  <c r="DF23" i="1"/>
  <c r="DF207" i="1"/>
  <c r="DG207" i="1"/>
  <c r="DH207" i="1"/>
  <c r="DF22" i="1"/>
  <c r="DG22" i="1"/>
  <c r="DH22" i="1"/>
  <c r="DG57" i="1"/>
  <c r="DH57" i="1"/>
  <c r="DF57" i="1"/>
  <c r="DF167" i="1"/>
  <c r="DG167" i="1"/>
  <c r="DH167" i="1"/>
  <c r="DG200" i="1"/>
  <c r="DH200" i="1"/>
  <c r="DF200" i="1"/>
  <c r="DF100" i="1"/>
  <c r="DG100" i="1"/>
  <c r="DH100" i="1"/>
  <c r="DG51" i="1"/>
  <c r="DH51" i="1"/>
  <c r="DF51" i="1"/>
  <c r="DF266" i="1"/>
  <c r="DG266" i="1"/>
  <c r="DH266" i="1"/>
  <c r="DF130" i="1"/>
  <c r="DH130" i="1"/>
  <c r="DG130" i="1"/>
  <c r="DG101" i="1"/>
  <c r="DH101" i="1"/>
  <c r="DF101" i="1"/>
  <c r="DF64" i="1"/>
  <c r="DH64" i="1"/>
  <c r="DG64" i="1"/>
  <c r="DG85" i="1"/>
  <c r="DH85" i="1"/>
  <c r="DF85" i="1"/>
  <c r="DF257" i="1"/>
  <c r="DH257" i="1"/>
  <c r="DG257" i="1"/>
  <c r="DF26" i="1"/>
  <c r="DG26" i="1"/>
  <c r="DH26" i="1"/>
  <c r="DF264" i="1"/>
  <c r="DH264" i="1"/>
  <c r="DG264" i="1"/>
  <c r="DG236" i="1"/>
  <c r="DH236" i="1"/>
  <c r="DF236" i="1"/>
  <c r="DG55" i="1"/>
  <c r="DH55" i="1"/>
  <c r="DF55" i="1"/>
  <c r="DG77" i="1"/>
  <c r="DH77" i="1"/>
  <c r="DF77" i="1"/>
  <c r="DF231" i="1"/>
  <c r="DG231" i="1"/>
  <c r="DH231" i="1"/>
  <c r="DG162" i="1"/>
  <c r="DH162" i="1"/>
  <c r="DF162" i="1"/>
  <c r="DF249" i="1"/>
  <c r="DH249" i="1"/>
  <c r="DG249" i="1"/>
  <c r="DF171" i="1"/>
  <c r="DG171" i="1"/>
  <c r="DH171" i="1"/>
  <c r="DG155" i="1"/>
  <c r="DH155" i="1"/>
  <c r="DF155" i="1"/>
  <c r="DG69" i="1"/>
  <c r="DH69" i="1"/>
  <c r="DF69" i="1"/>
  <c r="DG154" i="1"/>
  <c r="DH154" i="1"/>
  <c r="DF154" i="1"/>
  <c r="DG166" i="1"/>
  <c r="DH166" i="1"/>
  <c r="DF166" i="1"/>
  <c r="DF58" i="1"/>
  <c r="DG58" i="1"/>
  <c r="DH58" i="1"/>
  <c r="DF186" i="1"/>
  <c r="DG186" i="1"/>
  <c r="DH186" i="1"/>
  <c r="DG208" i="1"/>
  <c r="DH208" i="1"/>
  <c r="DF208" i="1"/>
  <c r="DF189" i="1"/>
  <c r="DH189" i="1"/>
  <c r="DG189" i="1"/>
  <c r="DF148" i="1"/>
  <c r="DG148" i="1"/>
  <c r="DH148" i="1"/>
  <c r="DG244" i="1"/>
  <c r="DH244" i="1"/>
  <c r="DF244" i="1"/>
  <c r="DF185" i="1"/>
  <c r="DH185" i="1"/>
  <c r="DG185" i="1"/>
  <c r="DF146" i="1"/>
  <c r="DH146" i="1"/>
  <c r="DG146" i="1"/>
  <c r="DG19" i="1"/>
  <c r="DH19" i="1"/>
  <c r="DF19" i="1"/>
  <c r="DF94" i="1"/>
  <c r="DG94" i="1"/>
  <c r="DH94" i="1"/>
  <c r="DF193" i="1"/>
  <c r="DH193" i="1"/>
  <c r="DG193" i="1"/>
  <c r="DG254" i="1"/>
  <c r="DH254" i="1"/>
  <c r="DF254" i="1"/>
  <c r="DF54" i="1"/>
  <c r="DG54" i="1"/>
  <c r="DH54" i="1"/>
  <c r="DF68" i="1"/>
  <c r="DG68" i="1"/>
  <c r="DH68" i="1"/>
  <c r="DF199" i="1"/>
  <c r="DG199" i="1"/>
  <c r="DH199" i="1"/>
  <c r="DG29" i="1"/>
  <c r="DH29" i="1"/>
  <c r="DF29" i="1"/>
  <c r="DF269" i="1"/>
  <c r="DG269" i="1"/>
  <c r="DH269" i="1"/>
  <c r="DF165" i="1"/>
  <c r="DH165" i="1"/>
  <c r="DG165" i="1"/>
  <c r="DF183" i="1"/>
  <c r="DG183" i="1"/>
  <c r="DH183" i="1"/>
  <c r="DF237" i="1"/>
  <c r="DH237" i="1"/>
  <c r="DG237" i="1"/>
  <c r="DF268" i="1"/>
  <c r="DH268" i="1"/>
  <c r="DG268" i="1"/>
  <c r="DF76" i="1"/>
  <c r="DG76" i="1"/>
  <c r="DH76" i="1"/>
  <c r="DF179" i="1"/>
  <c r="DG179" i="1"/>
  <c r="DH179" i="1"/>
  <c r="DG248" i="1"/>
  <c r="DH248" i="1"/>
  <c r="DF248" i="1"/>
  <c r="DF180" i="1"/>
  <c r="DG180" i="1"/>
  <c r="DH180" i="1"/>
  <c r="DF213" i="1"/>
  <c r="DH213" i="1"/>
  <c r="DG213" i="1"/>
  <c r="DG149" i="1"/>
  <c r="DH149" i="1"/>
  <c r="DF149" i="1"/>
  <c r="DG188" i="1"/>
  <c r="DH188" i="1"/>
  <c r="DF188" i="1"/>
  <c r="DG117" i="1"/>
  <c r="DH117" i="1"/>
  <c r="DF117" i="1"/>
  <c r="DF106" i="1"/>
  <c r="DG106" i="1"/>
  <c r="DH106" i="1"/>
  <c r="DF18" i="1"/>
  <c r="DG18" i="1"/>
  <c r="DH18" i="1"/>
  <c r="DF60" i="1"/>
  <c r="DG60" i="1"/>
  <c r="DH60" i="1"/>
  <c r="DF36" i="1"/>
  <c r="DG36" i="1"/>
  <c r="DH36" i="1"/>
  <c r="DF142" i="1"/>
  <c r="DH142" i="1"/>
  <c r="DG142" i="1"/>
  <c r="DG191" i="1"/>
  <c r="DH191" i="1"/>
  <c r="DF191" i="1"/>
  <c r="DG131" i="1"/>
  <c r="DH131" i="1"/>
  <c r="DF131" i="1"/>
  <c r="DF203" i="1"/>
  <c r="DG203" i="1"/>
  <c r="DH203" i="1"/>
  <c r="DG141" i="1"/>
  <c r="DH141" i="1"/>
  <c r="DF141" i="1"/>
  <c r="DG41" i="1"/>
  <c r="DH41" i="1"/>
  <c r="DF41" i="1"/>
  <c r="DG192" i="1"/>
  <c r="DH192" i="1"/>
  <c r="DF192" i="1"/>
  <c r="DF169" i="1"/>
  <c r="DH169" i="1"/>
  <c r="DG169" i="1"/>
  <c r="DG224" i="1"/>
  <c r="DH224" i="1"/>
  <c r="DF224" i="1"/>
  <c r="DG216" i="1"/>
  <c r="DH216" i="1"/>
  <c r="DF216" i="1"/>
  <c r="DG137" i="1"/>
  <c r="DH137" i="1"/>
  <c r="DF137" i="1"/>
  <c r="DF223" i="1"/>
  <c r="DG223" i="1"/>
  <c r="DH223" i="1"/>
  <c r="DG105" i="1"/>
  <c r="DH105" i="1"/>
  <c r="DF105" i="1"/>
  <c r="DG164" i="1"/>
  <c r="DH164" i="1"/>
  <c r="DF164" i="1"/>
  <c r="DF44" i="1"/>
  <c r="DG44" i="1"/>
  <c r="DH44" i="1"/>
  <c r="DF108" i="1"/>
  <c r="DG108" i="1"/>
  <c r="DH108" i="1"/>
  <c r="DG168" i="1"/>
  <c r="DH168" i="1"/>
  <c r="DF168" i="1"/>
  <c r="DF259" i="1"/>
  <c r="DG259" i="1"/>
  <c r="DH259" i="1"/>
  <c r="DF82" i="1"/>
  <c r="DG82" i="1"/>
  <c r="DH82" i="1"/>
  <c r="DF163" i="1"/>
  <c r="DG163" i="1"/>
  <c r="DH163" i="1"/>
  <c r="DF50" i="1"/>
  <c r="DG50" i="1"/>
  <c r="DH50" i="1"/>
  <c r="DG115" i="1"/>
  <c r="DH115" i="1"/>
  <c r="DF115" i="1"/>
  <c r="DG123" i="1"/>
  <c r="DH123" i="1"/>
  <c r="DF123" i="1"/>
  <c r="DG37" i="1"/>
  <c r="DH37" i="1"/>
  <c r="DF37" i="1"/>
  <c r="DG143" i="1"/>
  <c r="DH143" i="1"/>
  <c r="DF143" i="1"/>
  <c r="DF243" i="1"/>
  <c r="DG243" i="1"/>
  <c r="DH243" i="1"/>
  <c r="DF233" i="1"/>
  <c r="DH233" i="1"/>
  <c r="DG233" i="1"/>
  <c r="DG212" i="1"/>
  <c r="DH212" i="1"/>
  <c r="DF212" i="1"/>
  <c r="DG133" i="1"/>
  <c r="DH133" i="1"/>
  <c r="DF133" i="1"/>
  <c r="DG90" i="1"/>
  <c r="DH90" i="1"/>
  <c r="DF90" i="1"/>
  <c r="DG97" i="1"/>
  <c r="DH97" i="1"/>
  <c r="DF97" i="1"/>
  <c r="DF227" i="1"/>
  <c r="DG227" i="1"/>
  <c r="DH227" i="1"/>
  <c r="DF271" i="1"/>
  <c r="DH271" i="1"/>
  <c r="DG271" i="1"/>
  <c r="DF110" i="1"/>
  <c r="DG110" i="1"/>
  <c r="DH110" i="1"/>
  <c r="DG222" i="1"/>
  <c r="DH222" i="1"/>
  <c r="DF222" i="1"/>
  <c r="DF67" i="1"/>
  <c r="DH67" i="1"/>
  <c r="DG67" i="1"/>
  <c r="DF134" i="1"/>
  <c r="DH134" i="1"/>
  <c r="DG134" i="1"/>
  <c r="DF42" i="1"/>
  <c r="DG42" i="1"/>
  <c r="DH42" i="1"/>
  <c r="DF132" i="1"/>
  <c r="DG132" i="1"/>
  <c r="DH132" i="1"/>
  <c r="DG11" i="1"/>
  <c r="DH11" i="1"/>
  <c r="DF11" i="1"/>
  <c r="DF118" i="1"/>
  <c r="DG118" i="1"/>
  <c r="DH118" i="1"/>
  <c r="DF38" i="1"/>
  <c r="DG38" i="1"/>
  <c r="DH38" i="1"/>
  <c r="DG232" i="1"/>
  <c r="DH232" i="1"/>
  <c r="DF232" i="1"/>
  <c r="CW135" i="1"/>
  <c r="DF261" i="1"/>
  <c r="DH261" i="1"/>
  <c r="DG261" i="1"/>
  <c r="DG47" i="1"/>
  <c r="DH47" i="1"/>
  <c r="DF47" i="1"/>
  <c r="DF247" i="1"/>
  <c r="DG247" i="1"/>
  <c r="DH247" i="1"/>
  <c r="DF56" i="1"/>
  <c r="DH56" i="1"/>
  <c r="DG56" i="1"/>
  <c r="DG234" i="1"/>
  <c r="DH234" i="1"/>
  <c r="DF234" i="1"/>
  <c r="DG198" i="1"/>
  <c r="DH198" i="1"/>
  <c r="DF198" i="1"/>
  <c r="DF35" i="1"/>
  <c r="DG35" i="1"/>
  <c r="DH35" i="1"/>
  <c r="DF181" i="1"/>
  <c r="DH181" i="1"/>
  <c r="DG181" i="1"/>
  <c r="DG151" i="1"/>
  <c r="DH151" i="1"/>
  <c r="DF151" i="1"/>
  <c r="DG156" i="1"/>
  <c r="DH156" i="1"/>
  <c r="DF156" i="1"/>
  <c r="DF177" i="1"/>
  <c r="DH177" i="1"/>
  <c r="DG177" i="1"/>
  <c r="DG49" i="1"/>
  <c r="DH49" i="1"/>
  <c r="DF49" i="1"/>
  <c r="DF251" i="1"/>
  <c r="DG251" i="1"/>
  <c r="DH251" i="1"/>
  <c r="DF202" i="1"/>
  <c r="DG202" i="1"/>
  <c r="DH202" i="1"/>
  <c r="DG190" i="1"/>
  <c r="DH190" i="1"/>
  <c r="DF190" i="1"/>
  <c r="DG172" i="1"/>
  <c r="DH172" i="1"/>
  <c r="DF172" i="1"/>
  <c r="CX8" i="1"/>
  <c r="CY29" i="1"/>
  <c r="CY83" i="1"/>
  <c r="CY84" i="1"/>
  <c r="CW228" i="1"/>
  <c r="CW174" i="1"/>
  <c r="CW170" i="1"/>
  <c r="CY98" i="1"/>
  <c r="CW195" i="1"/>
  <c r="CY14" i="1"/>
  <c r="CY71" i="1"/>
  <c r="CW269" i="1"/>
  <c r="CY135" i="1"/>
  <c r="CW266" i="1"/>
  <c r="CX130" i="1"/>
  <c r="CY64" i="1"/>
  <c r="CX257" i="1"/>
  <c r="CW264" i="1"/>
  <c r="CW231" i="1"/>
  <c r="CW171" i="1"/>
  <c r="CY7" i="1"/>
  <c r="CW183" i="1"/>
  <c r="CW261" i="1"/>
  <c r="CW247" i="1"/>
  <c r="CW35" i="1"/>
  <c r="CX181" i="1"/>
  <c r="CW151" i="1"/>
  <c r="CW156" i="1"/>
  <c r="CX202" i="1"/>
  <c r="CW190" i="1"/>
  <c r="CX171" i="1"/>
  <c r="CX26" i="1"/>
  <c r="CY172" i="1"/>
  <c r="CY249" i="1"/>
  <c r="CW257" i="1"/>
  <c r="CW51" i="1"/>
  <c r="CX85" i="1"/>
  <c r="CY171" i="1"/>
  <c r="CW162" i="1"/>
  <c r="CY231" i="1"/>
  <c r="CW236" i="1"/>
  <c r="CW249" i="1"/>
  <c r="CX174" i="1"/>
  <c r="CX71" i="1"/>
  <c r="CW211" i="1"/>
  <c r="CY130" i="1"/>
  <c r="CX199" i="1"/>
  <c r="CY54" i="1"/>
  <c r="CY255" i="1"/>
  <c r="CX68" i="1"/>
  <c r="CW144" i="1"/>
  <c r="CW255" i="1"/>
  <c r="CW165" i="1"/>
  <c r="CW8" i="1"/>
  <c r="CW199" i="1"/>
  <c r="CW7" i="1"/>
  <c r="CW71" i="1"/>
  <c r="CY183" i="1"/>
  <c r="CY8" i="1"/>
  <c r="CX255" i="1"/>
  <c r="CY107" i="1"/>
  <c r="CX183" i="1"/>
  <c r="CX144" i="1"/>
  <c r="CX211" i="1"/>
  <c r="CY262" i="1"/>
  <c r="CX170" i="1"/>
  <c r="CW81" i="1"/>
  <c r="CY263" i="1"/>
  <c r="CX263" i="1"/>
  <c r="CY225" i="1"/>
  <c r="CX225" i="1"/>
  <c r="CY228" i="1"/>
  <c r="CW204" i="1"/>
  <c r="CX72" i="1"/>
  <c r="CW72" i="1"/>
  <c r="CW226" i="1"/>
  <c r="CW173" i="1"/>
  <c r="CX150" i="1"/>
  <c r="CX81" i="1"/>
  <c r="CW14" i="1"/>
  <c r="CW263" i="1"/>
  <c r="CW225" i="1"/>
  <c r="CX226" i="1"/>
  <c r="CY226" i="1"/>
  <c r="CX228" i="1"/>
  <c r="CY204" i="1"/>
  <c r="CX204" i="1"/>
  <c r="CY72" i="1"/>
  <c r="CY173" i="1"/>
  <c r="CX195" i="1"/>
  <c r="CW150" i="1"/>
  <c r="CX83" i="1"/>
  <c r="CW202" i="1"/>
  <c r="CW77" i="1"/>
  <c r="CX156" i="1"/>
  <c r="CW198" i="1"/>
  <c r="CX190" i="1"/>
  <c r="CX251" i="1"/>
  <c r="CY190" i="1"/>
  <c r="CW251" i="1"/>
  <c r="CW68" i="1"/>
  <c r="CX177" i="1"/>
  <c r="CW49" i="1"/>
  <c r="CX107" i="1"/>
  <c r="CW29" i="1"/>
  <c r="CX165" i="1"/>
  <c r="CX262" i="1"/>
  <c r="CY269" i="1"/>
  <c r="CX269" i="1"/>
  <c r="CY156" i="1"/>
  <c r="CY251" i="1"/>
  <c r="CW177" i="1"/>
  <c r="CY202" i="1"/>
  <c r="CY199" i="1"/>
  <c r="CX7" i="1"/>
  <c r="CY177" i="1"/>
  <c r="CY49" i="1"/>
  <c r="CX49" i="1"/>
  <c r="CW107" i="1"/>
  <c r="CY165" i="1"/>
  <c r="CY211" i="1"/>
  <c r="CX231" i="1"/>
  <c r="CY26" i="1"/>
  <c r="CX236" i="1"/>
  <c r="CX51" i="1"/>
  <c r="CX64" i="1"/>
  <c r="CW64" i="1"/>
  <c r="CY85" i="1"/>
  <c r="CW130" i="1"/>
  <c r="CX162" i="1"/>
  <c r="CW55" i="1"/>
  <c r="CX77" i="1"/>
  <c r="CY264" i="1"/>
  <c r="CX264" i="1"/>
  <c r="CY236" i="1"/>
  <c r="CY51" i="1"/>
  <c r="CY266" i="1"/>
  <c r="CX266" i="1"/>
  <c r="CW101" i="1"/>
  <c r="CY162" i="1"/>
  <c r="CX55" i="1"/>
  <c r="CY77" i="1"/>
  <c r="CX249" i="1"/>
  <c r="CY257" i="1"/>
  <c r="CW26" i="1"/>
  <c r="CW85" i="1"/>
  <c r="CY55" i="1"/>
  <c r="CY151" i="1"/>
  <c r="CY247" i="1"/>
  <c r="CY56" i="1"/>
  <c r="CY198" i="1"/>
  <c r="CX35" i="1"/>
  <c r="CY68" i="1"/>
  <c r="CY181" i="1"/>
  <c r="CX29" i="1"/>
  <c r="CY144" i="1"/>
  <c r="CW54" i="1"/>
  <c r="CW262" i="1"/>
  <c r="CX54" i="1"/>
  <c r="CX247" i="1"/>
  <c r="CX198" i="1"/>
  <c r="CY35" i="1"/>
  <c r="CX234" i="1"/>
  <c r="CY234" i="1"/>
  <c r="CW47" i="1"/>
  <c r="CW56" i="1"/>
  <c r="CW234" i="1"/>
  <c r="CW181" i="1"/>
  <c r="CX151" i="1"/>
  <c r="CX47" i="1"/>
  <c r="CX56" i="1"/>
  <c r="CY261" i="1"/>
  <c r="CX261" i="1"/>
  <c r="CY47" i="1"/>
  <c r="CY195" i="1"/>
  <c r="CY170" i="1"/>
  <c r="CW83" i="1"/>
  <c r="CX84" i="1"/>
  <c r="CW84" i="1"/>
  <c r="CY174" i="1"/>
  <c r="CW98" i="1"/>
  <c r="CX98" i="1"/>
  <c r="CW270" i="1"/>
  <c r="CX270" i="1"/>
  <c r="CY270" i="1"/>
  <c r="CW203" i="1"/>
  <c r="CX203" i="1"/>
  <c r="CY203" i="1"/>
  <c r="CX141" i="1"/>
  <c r="CY141" i="1"/>
  <c r="CW141" i="1"/>
  <c r="CW192" i="1"/>
  <c r="CX192" i="1"/>
  <c r="CY192" i="1"/>
  <c r="CW224" i="1"/>
  <c r="CX224" i="1"/>
  <c r="CY224" i="1"/>
  <c r="CX137" i="1"/>
  <c r="CY137" i="1"/>
  <c r="CW137" i="1"/>
  <c r="CY105" i="1"/>
  <c r="CW105" i="1"/>
  <c r="CX105" i="1"/>
  <c r="CW44" i="1"/>
  <c r="CX44" i="1"/>
  <c r="CY44" i="1"/>
  <c r="CY108" i="1"/>
  <c r="CW108" i="1"/>
  <c r="CX108" i="1"/>
  <c r="CX259" i="1"/>
  <c r="CY259" i="1"/>
  <c r="CW259" i="1"/>
  <c r="CY163" i="1"/>
  <c r="CW163" i="1"/>
  <c r="CX163" i="1"/>
  <c r="CX115" i="1"/>
  <c r="CY115" i="1"/>
  <c r="CW115" i="1"/>
  <c r="CX123" i="1"/>
  <c r="CY123" i="1"/>
  <c r="CW123" i="1"/>
  <c r="CW37" i="1"/>
  <c r="CX37" i="1"/>
  <c r="CY37" i="1"/>
  <c r="CW243" i="1"/>
  <c r="CY243" i="1"/>
  <c r="CX243" i="1"/>
  <c r="CW212" i="1"/>
  <c r="CX212" i="1"/>
  <c r="CY212" i="1"/>
  <c r="CX90" i="1"/>
  <c r="CY90" i="1"/>
  <c r="CW90" i="1"/>
  <c r="CX271" i="1"/>
  <c r="CW271" i="1"/>
  <c r="CY271" i="1"/>
  <c r="CW222" i="1"/>
  <c r="CX222" i="1"/>
  <c r="CY222" i="1"/>
  <c r="CX67" i="1"/>
  <c r="CY67" i="1"/>
  <c r="CW67" i="1"/>
  <c r="CX132" i="1"/>
  <c r="CY132" i="1"/>
  <c r="CW132" i="1"/>
  <c r="CX118" i="1"/>
  <c r="CY118" i="1"/>
  <c r="CW118" i="1"/>
  <c r="CW232" i="1"/>
  <c r="CX232" i="1"/>
  <c r="CY232" i="1"/>
  <c r="CX20" i="1"/>
  <c r="CY20" i="1"/>
  <c r="CW20" i="1"/>
  <c r="CW155" i="1"/>
  <c r="CX155" i="1"/>
  <c r="CY155" i="1"/>
  <c r="CY74" i="1"/>
  <c r="CW74" i="1"/>
  <c r="CX74" i="1"/>
  <c r="CW219" i="1"/>
  <c r="CX219" i="1"/>
  <c r="CY219" i="1"/>
  <c r="CY69" i="1"/>
  <c r="CW69" i="1"/>
  <c r="CX69" i="1"/>
  <c r="CX109" i="1"/>
  <c r="CY109" i="1"/>
  <c r="CW109" i="1"/>
  <c r="CW154" i="1"/>
  <c r="CX154" i="1"/>
  <c r="CY154" i="1"/>
  <c r="CY87" i="1"/>
  <c r="CW87" i="1"/>
  <c r="CX87" i="1"/>
  <c r="CW92" i="1"/>
  <c r="CX92" i="1"/>
  <c r="CY92" i="1"/>
  <c r="CW166" i="1"/>
  <c r="CX166" i="1"/>
  <c r="CY166" i="1"/>
  <c r="CY86" i="1"/>
  <c r="CW86" i="1"/>
  <c r="CX86" i="1"/>
  <c r="CX111" i="1"/>
  <c r="CY111" i="1"/>
  <c r="CW111" i="1"/>
  <c r="CW58" i="1"/>
  <c r="CX58" i="1"/>
  <c r="CY58" i="1"/>
  <c r="CW53" i="1"/>
  <c r="CX53" i="1"/>
  <c r="CY53" i="1"/>
  <c r="CW186" i="1"/>
  <c r="CX136" i="1"/>
  <c r="CY136" i="1"/>
  <c r="CW136" i="1"/>
  <c r="CW208" i="1"/>
  <c r="CX208" i="1"/>
  <c r="CY208" i="1"/>
  <c r="CY93" i="1"/>
  <c r="CW93" i="1"/>
  <c r="CX93" i="1"/>
  <c r="CX256" i="1"/>
  <c r="CY256" i="1"/>
  <c r="CW256" i="1"/>
  <c r="CW189" i="1"/>
  <c r="CX189" i="1"/>
  <c r="CY189" i="1"/>
  <c r="CW45" i="1"/>
  <c r="CX45" i="1"/>
  <c r="CY45" i="1"/>
  <c r="CX148" i="1"/>
  <c r="CY148" i="1"/>
  <c r="CW148" i="1"/>
  <c r="CX253" i="1"/>
  <c r="CY253" i="1"/>
  <c r="CW253" i="1"/>
  <c r="CW244" i="1"/>
  <c r="CX244" i="1"/>
  <c r="CY244" i="1"/>
  <c r="CX125" i="1"/>
  <c r="CY125" i="1"/>
  <c r="CW125" i="1"/>
  <c r="CY121" i="1"/>
  <c r="CW121" i="1"/>
  <c r="CX121" i="1"/>
  <c r="CW185" i="1"/>
  <c r="CX185" i="1"/>
  <c r="CY185" i="1"/>
  <c r="CX70" i="1"/>
  <c r="CY70" i="1"/>
  <c r="CW70" i="1"/>
  <c r="CX146" i="1"/>
  <c r="CY146" i="1"/>
  <c r="CW146" i="1"/>
  <c r="CY78" i="1"/>
  <c r="CW78" i="1"/>
  <c r="CX78" i="1"/>
  <c r="CW205" i="1"/>
  <c r="CX205" i="1"/>
  <c r="CY205" i="1"/>
  <c r="CW19" i="1"/>
  <c r="CX19" i="1"/>
  <c r="CY19" i="1"/>
  <c r="CW187" i="1"/>
  <c r="CX187" i="1"/>
  <c r="CY187" i="1"/>
  <c r="CX17" i="1"/>
  <c r="CY17" i="1"/>
  <c r="CW17" i="1"/>
  <c r="CY94" i="1"/>
  <c r="CW94" i="1"/>
  <c r="CX94" i="1"/>
  <c r="CY80" i="1"/>
  <c r="CW80" i="1"/>
  <c r="CX80" i="1"/>
  <c r="CW39" i="1"/>
  <c r="CX39" i="1"/>
  <c r="CY39" i="1"/>
  <c r="CW193" i="1"/>
  <c r="CX193" i="1"/>
  <c r="CY193" i="1"/>
  <c r="CW220" i="1"/>
  <c r="CX220" i="1"/>
  <c r="CY220" i="1"/>
  <c r="CX89" i="1"/>
  <c r="CY89" i="1"/>
  <c r="CW89" i="1"/>
  <c r="CX254" i="1"/>
  <c r="CY254" i="1"/>
  <c r="CW254" i="1"/>
  <c r="CW178" i="1"/>
  <c r="CX178" i="1"/>
  <c r="CY178" i="1"/>
  <c r="CX21" i="1"/>
  <c r="CY21" i="1"/>
  <c r="CW21" i="1"/>
  <c r="CX260" i="1"/>
  <c r="CW260" i="1"/>
  <c r="CY260" i="1"/>
  <c r="CW159" i="1"/>
  <c r="CX159" i="1"/>
  <c r="CY159" i="1"/>
  <c r="CW201" i="1"/>
  <c r="CX201" i="1"/>
  <c r="CY201" i="1"/>
  <c r="CW43" i="1"/>
  <c r="CX43" i="1"/>
  <c r="CY43" i="1"/>
  <c r="CW217" i="1"/>
  <c r="CX217" i="1"/>
  <c r="CY217" i="1"/>
  <c r="CX33" i="1"/>
  <c r="CY33" i="1"/>
  <c r="CW33" i="1"/>
  <c r="CW196" i="1"/>
  <c r="CX196" i="1"/>
  <c r="CY196" i="1"/>
  <c r="CX28" i="1"/>
  <c r="CY28" i="1"/>
  <c r="CW28" i="1"/>
  <c r="CX147" i="1"/>
  <c r="CY147" i="1"/>
  <c r="CW147" i="1"/>
  <c r="CY91" i="1"/>
  <c r="CW91" i="1"/>
  <c r="CX91" i="1"/>
  <c r="CW46" i="1"/>
  <c r="CX46" i="1"/>
  <c r="CY46" i="1"/>
  <c r="CW241" i="1"/>
  <c r="CX241" i="1"/>
  <c r="CY241" i="1"/>
  <c r="CW239" i="1"/>
  <c r="CY239" i="1"/>
  <c r="CX239" i="1"/>
  <c r="CW221" i="1"/>
  <c r="CX221" i="1"/>
  <c r="CY221" i="1"/>
  <c r="CW41" i="1"/>
  <c r="CX41" i="1"/>
  <c r="CY41" i="1"/>
  <c r="CW169" i="1"/>
  <c r="CX169" i="1"/>
  <c r="CY169" i="1"/>
  <c r="CW216" i="1"/>
  <c r="CX216" i="1"/>
  <c r="CY216" i="1"/>
  <c r="CW223" i="1"/>
  <c r="CY223" i="1"/>
  <c r="CX223" i="1"/>
  <c r="CW164" i="1"/>
  <c r="CX164" i="1"/>
  <c r="CY164" i="1"/>
  <c r="CW168" i="1"/>
  <c r="CX168" i="1"/>
  <c r="CY168" i="1"/>
  <c r="CY82" i="1"/>
  <c r="CW82" i="1"/>
  <c r="CX82" i="1"/>
  <c r="CW50" i="1"/>
  <c r="CX50" i="1"/>
  <c r="CY50" i="1"/>
  <c r="CX143" i="1"/>
  <c r="CY143" i="1"/>
  <c r="CW143" i="1"/>
  <c r="CW233" i="1"/>
  <c r="CX233" i="1"/>
  <c r="CY233" i="1"/>
  <c r="CX133" i="1"/>
  <c r="CY133" i="1"/>
  <c r="CW133" i="1"/>
  <c r="CY97" i="1"/>
  <c r="CW97" i="1"/>
  <c r="CX97" i="1"/>
  <c r="CW227" i="1"/>
  <c r="CY227" i="1"/>
  <c r="CX227" i="1"/>
  <c r="CX110" i="1"/>
  <c r="CY110" i="1"/>
  <c r="CW110" i="1"/>
  <c r="CX134" i="1"/>
  <c r="CY134" i="1"/>
  <c r="CW134" i="1"/>
  <c r="CW42" i="1"/>
  <c r="CX42" i="1"/>
  <c r="CY42" i="1"/>
  <c r="CX11" i="1"/>
  <c r="CY11" i="1"/>
  <c r="CW11" i="1"/>
  <c r="CW38" i="1"/>
  <c r="CX38" i="1"/>
  <c r="CY38" i="1"/>
  <c r="CX116" i="1"/>
  <c r="CY116" i="1"/>
  <c r="CW116" i="1"/>
  <c r="CW218" i="1"/>
  <c r="CX218" i="1"/>
  <c r="CY218" i="1"/>
  <c r="CX12" i="1"/>
  <c r="CY12" i="1"/>
  <c r="CW12" i="1"/>
  <c r="CX30" i="1"/>
  <c r="CY30" i="1"/>
  <c r="CW30" i="1"/>
  <c r="CW246" i="1"/>
  <c r="CX246" i="1"/>
  <c r="CY246" i="1"/>
  <c r="CX31" i="1"/>
  <c r="CY31" i="1"/>
  <c r="CW31" i="1"/>
  <c r="CX15" i="1"/>
  <c r="CY15" i="1"/>
  <c r="CW15" i="1"/>
  <c r="CY102" i="1"/>
  <c r="CW102" i="1"/>
  <c r="CX102" i="1"/>
  <c r="CW235" i="1"/>
  <c r="CY235" i="1"/>
  <c r="CX235" i="1"/>
  <c r="CW157" i="1"/>
  <c r="CX157" i="1"/>
  <c r="CY157" i="1"/>
  <c r="CX32" i="1"/>
  <c r="CY32" i="1"/>
  <c r="CW32" i="1"/>
  <c r="CW238" i="1"/>
  <c r="CY238" i="1"/>
  <c r="CX238" i="1"/>
  <c r="CW230" i="1"/>
  <c r="CY230" i="1"/>
  <c r="CX230" i="1"/>
  <c r="CY88" i="1"/>
  <c r="CW88" i="1"/>
  <c r="CX88" i="1"/>
  <c r="CW240" i="1"/>
  <c r="CX240" i="1"/>
  <c r="CY240" i="1"/>
  <c r="CX145" i="1"/>
  <c r="CY145" i="1"/>
  <c r="CW145" i="1"/>
  <c r="CW59" i="1"/>
  <c r="CX59" i="1"/>
  <c r="CY59" i="1"/>
  <c r="CW152" i="1"/>
  <c r="CX152" i="1"/>
  <c r="CY152" i="1"/>
  <c r="CX122" i="1"/>
  <c r="CY122" i="1"/>
  <c r="CW122" i="1"/>
  <c r="CY99" i="1"/>
  <c r="CW99" i="1"/>
  <c r="CX99" i="1"/>
  <c r="CW229" i="1"/>
  <c r="CX229" i="1"/>
  <c r="CY229" i="1"/>
  <c r="CW215" i="1"/>
  <c r="CX215" i="1"/>
  <c r="CY215" i="1"/>
  <c r="CX16" i="1"/>
  <c r="CY16" i="1"/>
  <c r="CW16" i="1"/>
  <c r="CX24" i="1"/>
  <c r="CY24" i="1"/>
  <c r="CW24" i="1"/>
  <c r="CY184" i="1"/>
  <c r="CW184" i="1"/>
  <c r="CX184" i="1"/>
  <c r="CW237" i="1"/>
  <c r="CX237" i="1"/>
  <c r="CY237" i="1"/>
  <c r="CX268" i="1"/>
  <c r="CW268" i="1"/>
  <c r="CY268" i="1"/>
  <c r="CX126" i="1"/>
  <c r="CY126" i="1"/>
  <c r="CW126" i="1"/>
  <c r="CY76" i="1"/>
  <c r="CW76" i="1"/>
  <c r="CX76" i="1"/>
  <c r="CW179" i="1"/>
  <c r="CX179" i="1"/>
  <c r="CY179" i="1"/>
  <c r="CY103" i="1"/>
  <c r="CW103" i="1"/>
  <c r="CX103" i="1"/>
  <c r="CW248" i="1"/>
  <c r="CX248" i="1"/>
  <c r="CY248" i="1"/>
  <c r="CY180" i="1"/>
  <c r="CW180" i="1"/>
  <c r="CX180" i="1"/>
  <c r="CW213" i="1"/>
  <c r="CX213" i="1"/>
  <c r="CY213" i="1"/>
  <c r="CY96" i="1"/>
  <c r="CW96" i="1"/>
  <c r="CX96" i="1"/>
  <c r="CX149" i="1"/>
  <c r="CY149" i="1"/>
  <c r="CW149" i="1"/>
  <c r="CW188" i="1"/>
  <c r="CX188" i="1"/>
  <c r="CY188" i="1"/>
  <c r="CX153" i="1"/>
  <c r="CY153" i="1"/>
  <c r="CW153" i="1"/>
  <c r="CX117" i="1"/>
  <c r="CY117" i="1"/>
  <c r="CW117" i="1"/>
  <c r="CY106" i="1"/>
  <c r="CW106" i="1"/>
  <c r="CX106" i="1"/>
  <c r="CX18" i="1"/>
  <c r="CY18" i="1"/>
  <c r="CW18" i="1"/>
  <c r="CY73" i="1"/>
  <c r="CW73" i="1"/>
  <c r="CX73" i="1"/>
  <c r="CW60" i="1"/>
  <c r="CX60" i="1"/>
  <c r="CY60" i="1"/>
  <c r="CW36" i="1"/>
  <c r="CX36" i="1"/>
  <c r="CY36" i="1"/>
  <c r="CW120" i="1"/>
  <c r="CX120" i="1"/>
  <c r="CY120" i="1"/>
  <c r="CX142" i="1"/>
  <c r="CY142" i="1"/>
  <c r="CW142" i="1"/>
  <c r="CW176" i="1"/>
  <c r="CX176" i="1"/>
  <c r="CY176" i="1"/>
  <c r="CW191" i="1"/>
  <c r="CX191" i="1"/>
  <c r="CY191" i="1"/>
  <c r="CX27" i="1"/>
  <c r="CY27" i="1"/>
  <c r="CW27" i="1"/>
  <c r="CX131" i="1"/>
  <c r="CY131" i="1"/>
  <c r="CW131" i="1"/>
  <c r="CW214" i="1"/>
  <c r="CX214" i="1"/>
  <c r="CY214" i="1"/>
  <c r="CX9" i="1"/>
  <c r="CY9" i="1"/>
  <c r="CW9" i="1"/>
  <c r="CX265" i="1"/>
  <c r="CW265" i="1"/>
  <c r="CY265" i="1"/>
  <c r="CW61" i="1"/>
  <c r="CX61" i="1"/>
  <c r="CY61" i="1"/>
  <c r="CW62" i="1"/>
  <c r="CX62" i="1"/>
  <c r="CY62" i="1"/>
  <c r="CW65" i="1"/>
  <c r="CX65" i="1"/>
  <c r="CY65" i="1"/>
  <c r="CW114" i="1"/>
  <c r="CX114" i="1"/>
  <c r="CY114" i="1"/>
  <c r="CW245" i="1"/>
  <c r="CX245" i="1"/>
  <c r="CY245" i="1"/>
  <c r="CX119" i="1"/>
  <c r="CY119" i="1"/>
  <c r="CW119" i="1"/>
  <c r="CX128" i="1"/>
  <c r="CY128" i="1"/>
  <c r="CW128" i="1"/>
  <c r="CX23" i="1"/>
  <c r="CY23" i="1"/>
  <c r="CW23" i="1"/>
  <c r="CW207" i="1"/>
  <c r="CX207" i="1"/>
  <c r="CY207" i="1"/>
  <c r="CX22" i="1"/>
  <c r="CY22" i="1"/>
  <c r="CW22" i="1"/>
  <c r="CW57" i="1"/>
  <c r="CX57" i="1"/>
  <c r="CY57" i="1"/>
  <c r="CW167" i="1"/>
  <c r="CX167" i="1"/>
  <c r="CY167" i="1"/>
  <c r="CW200" i="1"/>
  <c r="CX200" i="1"/>
  <c r="CY200" i="1"/>
  <c r="CY100" i="1"/>
  <c r="CW100" i="1"/>
  <c r="CX100" i="1"/>
  <c r="DK258" i="1" l="1" a="1"/>
  <c r="DK258" i="1" s="1"/>
  <c r="DO258" i="1" s="1"/>
  <c r="DL258" i="1" a="1"/>
  <c r="DL258" i="1" s="1"/>
  <c r="DP258" i="1" s="1"/>
  <c r="DL113" i="1" a="1"/>
  <c r="DL113" i="1" s="1"/>
  <c r="DP113" i="1" s="1"/>
  <c r="DK113" i="1" a="1"/>
  <c r="DK113" i="1" s="1"/>
  <c r="DO113" i="1" s="1"/>
  <c r="DL127" i="1" a="1"/>
  <c r="DL127" i="1" s="1"/>
  <c r="DK127" i="1" a="1"/>
  <c r="DK127" i="1" s="1"/>
  <c r="DK210" i="1" a="1"/>
  <c r="DK210" i="1" s="1"/>
  <c r="DL210" i="1" a="1"/>
  <c r="DL210" i="1" s="1"/>
  <c r="DK95" i="1" a="1"/>
  <c r="DK95" i="1" s="1"/>
  <c r="DK13" i="1" a="1"/>
  <c r="DK13" i="1" s="1"/>
  <c r="DL13" i="1" a="1"/>
  <c r="DL13" i="1" s="1"/>
  <c r="DL95" i="1" a="1"/>
  <c r="DL95" i="1" s="1"/>
  <c r="DK124" i="1" a="1"/>
  <c r="DK124" i="1" s="1"/>
  <c r="DK209" i="1" a="1"/>
  <c r="DK209" i="1" s="1"/>
  <c r="DL209" i="1" a="1"/>
  <c r="DL209" i="1" s="1"/>
  <c r="DL124" i="1" a="1"/>
  <c r="DL124" i="1" s="1"/>
  <c r="DL79" i="1" a="1"/>
  <c r="DL79" i="1" s="1"/>
  <c r="DL250" i="1" a="1"/>
  <c r="DL250" i="1" s="1"/>
  <c r="DK79" i="1" a="1"/>
  <c r="DK79" i="1" s="1"/>
  <c r="DK250" i="1" a="1"/>
  <c r="DK250" i="1" s="1"/>
  <c r="DL112" i="1" a="1"/>
  <c r="DL112" i="1" s="1"/>
  <c r="DK112" i="1" a="1"/>
  <c r="DK112" i="1" s="1"/>
  <c r="DK270" i="1" a="1"/>
  <c r="DK270" i="1" s="1"/>
  <c r="DL270" i="1" a="1"/>
  <c r="DL270" i="1" s="1"/>
  <c r="DK267" i="1" a="1"/>
  <c r="DK267" i="1" s="1"/>
  <c r="DL267" i="1" a="1"/>
  <c r="DL267" i="1" s="1"/>
  <c r="DP267" i="1" s="1"/>
  <c r="DL160" i="1" a="1"/>
  <c r="DL160" i="1" s="1"/>
  <c r="DK160" i="1" a="1"/>
  <c r="DK160" i="1" s="1"/>
  <c r="DL206" i="1" a="1"/>
  <c r="DL206" i="1" s="1"/>
  <c r="DK206" i="1" a="1"/>
  <c r="DK206" i="1" s="1"/>
  <c r="DL172" i="1" a="1"/>
  <c r="DL172" i="1" s="1"/>
  <c r="DK172" i="1" a="1"/>
  <c r="DK172" i="1" s="1"/>
  <c r="DL202" i="1" a="1"/>
  <c r="DL202" i="1" s="1"/>
  <c r="DK202" i="1" a="1"/>
  <c r="DK202" i="1" s="1"/>
  <c r="DL49" i="1" a="1"/>
  <c r="DL49" i="1" s="1"/>
  <c r="DK49" i="1" a="1"/>
  <c r="DK49" i="1" s="1"/>
  <c r="DL156" i="1" a="1"/>
  <c r="DL156" i="1" s="1"/>
  <c r="DK156" i="1" a="1"/>
  <c r="DK156" i="1" s="1"/>
  <c r="DK181" i="1" a="1"/>
  <c r="DK181" i="1" s="1"/>
  <c r="DL181" i="1" a="1"/>
  <c r="DL181" i="1" s="1"/>
  <c r="DL198" i="1" a="1"/>
  <c r="DL198" i="1" s="1"/>
  <c r="DK198" i="1" a="1"/>
  <c r="DK198" i="1" s="1"/>
  <c r="DL56" i="1" a="1"/>
  <c r="DL56" i="1" s="1"/>
  <c r="DK56" i="1" a="1"/>
  <c r="DK56" i="1" s="1"/>
  <c r="DL47" i="1" a="1"/>
  <c r="DL47" i="1" s="1"/>
  <c r="DK47" i="1" a="1"/>
  <c r="DK47" i="1" s="1"/>
  <c r="DK221" i="1" a="1"/>
  <c r="DK221" i="1" s="1"/>
  <c r="DL221" i="1" a="1"/>
  <c r="DL221" i="1" s="1"/>
  <c r="DL24" i="1" a="1"/>
  <c r="DL24" i="1" s="1"/>
  <c r="DK24" i="1" a="1"/>
  <c r="DK24" i="1" s="1"/>
  <c r="DL239" i="1" a="1"/>
  <c r="DL239" i="1" s="1"/>
  <c r="DK239" i="1" a="1"/>
  <c r="DK239" i="1" s="1"/>
  <c r="DK229" i="1" a="1"/>
  <c r="DK229" i="1" s="1"/>
  <c r="DL229" i="1" a="1"/>
  <c r="DL229" i="1" s="1"/>
  <c r="DK99" i="1" a="1"/>
  <c r="DK99" i="1" s="1"/>
  <c r="DL99" i="1" a="1"/>
  <c r="DL99" i="1" s="1"/>
  <c r="DK46" i="1" a="1"/>
  <c r="DK46" i="1" s="1"/>
  <c r="DL46" i="1" a="1"/>
  <c r="DL46" i="1" s="1"/>
  <c r="DK59" i="1" a="1"/>
  <c r="DK59" i="1" s="1"/>
  <c r="DL59" i="1" a="1"/>
  <c r="DL59" i="1" s="1"/>
  <c r="DL145" i="1" a="1"/>
  <c r="DL145" i="1" s="1"/>
  <c r="DK145" i="1" a="1"/>
  <c r="DK145" i="1" s="1"/>
  <c r="DL88" i="1" a="1"/>
  <c r="DL88" i="1" s="1"/>
  <c r="DK88" i="1" a="1"/>
  <c r="DK88" i="1" s="1"/>
  <c r="DL230" i="1" a="1"/>
  <c r="DL230" i="1" s="1"/>
  <c r="DK230" i="1" a="1"/>
  <c r="DK230" i="1" s="1"/>
  <c r="DK238" i="1" a="1"/>
  <c r="DK238" i="1" s="1"/>
  <c r="DL238" i="1" a="1"/>
  <c r="DL238" i="1" s="1"/>
  <c r="DK256" i="1" a="1"/>
  <c r="DK256" i="1" s="1"/>
  <c r="DL256" i="1" a="1"/>
  <c r="DL256" i="1" s="1"/>
  <c r="DL208" i="1" a="1"/>
  <c r="DL208" i="1" s="1"/>
  <c r="DK208" i="1" a="1"/>
  <c r="DK208" i="1" s="1"/>
  <c r="DK186" i="1" a="1"/>
  <c r="DK186" i="1" s="1"/>
  <c r="DL186" i="1" a="1"/>
  <c r="DL186" i="1" s="1"/>
  <c r="DK111" i="1" a="1"/>
  <c r="DK111" i="1" s="1"/>
  <c r="DL111" i="1" a="1"/>
  <c r="DL111" i="1" s="1"/>
  <c r="DL166" i="1" a="1"/>
  <c r="DL166" i="1" s="1"/>
  <c r="DK166" i="1" a="1"/>
  <c r="DK166" i="1" s="1"/>
  <c r="DK87" i="1" a="1"/>
  <c r="DK87" i="1" s="1"/>
  <c r="DL87" i="1" a="1"/>
  <c r="DL87" i="1" s="1"/>
  <c r="DK109" i="1" a="1"/>
  <c r="DK109" i="1" s="1"/>
  <c r="DL109" i="1" a="1"/>
  <c r="DL109" i="1" s="1"/>
  <c r="DK219" i="1" a="1"/>
  <c r="DK219" i="1" s="1"/>
  <c r="DL219" i="1" a="1"/>
  <c r="DL219" i="1" s="1"/>
  <c r="DL155" i="1" a="1"/>
  <c r="DL155" i="1" s="1"/>
  <c r="DK155" i="1" a="1"/>
  <c r="DK155" i="1" s="1"/>
  <c r="DK115" i="1" a="1"/>
  <c r="DK115" i="1" s="1"/>
  <c r="DL115" i="1" a="1"/>
  <c r="DL115" i="1" s="1"/>
  <c r="DL259" i="1" a="1"/>
  <c r="DL259" i="1" s="1"/>
  <c r="DK259" i="1" a="1"/>
  <c r="DK259" i="1" s="1"/>
  <c r="DK44" i="1" a="1"/>
  <c r="DK44" i="1" s="1"/>
  <c r="DL44" i="1" a="1"/>
  <c r="DL44" i="1" s="1"/>
  <c r="DK223" i="1" a="1"/>
  <c r="DK223" i="1" s="1"/>
  <c r="DL223" i="1" a="1"/>
  <c r="DL223" i="1" s="1"/>
  <c r="DL224" i="1" a="1"/>
  <c r="DL224" i="1" s="1"/>
  <c r="DK224" i="1" a="1"/>
  <c r="DK224" i="1" s="1"/>
  <c r="DK41" i="1" a="1"/>
  <c r="DK41" i="1" s="1"/>
  <c r="DL41" i="1" a="1"/>
  <c r="DL41" i="1" s="1"/>
  <c r="DK203" i="1" a="1"/>
  <c r="DK203" i="1" s="1"/>
  <c r="DL203" i="1" a="1"/>
  <c r="DL203" i="1" s="1"/>
  <c r="DL129" i="1" a="1"/>
  <c r="DL129" i="1" s="1"/>
  <c r="DK129" i="1" a="1"/>
  <c r="DK129" i="1" s="1"/>
  <c r="DK183" i="1" a="1"/>
  <c r="DK183" i="1" s="1"/>
  <c r="DL183" i="1" a="1"/>
  <c r="DL183" i="1" s="1"/>
  <c r="DK107" i="1" a="1"/>
  <c r="DK107" i="1" s="1"/>
  <c r="DL107" i="1" a="1"/>
  <c r="DL107" i="1" s="1"/>
  <c r="DK68" i="1" a="1"/>
  <c r="DK68" i="1" s="1"/>
  <c r="DL68" i="1" a="1"/>
  <c r="DL68" i="1" s="1"/>
  <c r="DK57" i="1" a="1"/>
  <c r="DK57" i="1" s="1"/>
  <c r="DL57" i="1" a="1"/>
  <c r="DL57" i="1" s="1"/>
  <c r="DK119" i="1" a="1"/>
  <c r="DK119" i="1" s="1"/>
  <c r="DL119" i="1" a="1"/>
  <c r="DL119" i="1" s="1"/>
  <c r="DK9" i="1" a="1"/>
  <c r="DK9" i="1" s="1"/>
  <c r="DL9" i="1" a="1"/>
  <c r="DL9" i="1" s="1"/>
  <c r="DK32" i="1" a="1"/>
  <c r="DK32" i="1" s="1"/>
  <c r="DL32" i="1" a="1"/>
  <c r="DL32" i="1" s="1"/>
  <c r="DK102" i="1" a="1"/>
  <c r="DK102" i="1" s="1"/>
  <c r="DL102" i="1" a="1"/>
  <c r="DL102" i="1" s="1"/>
  <c r="DK246" i="1" a="1"/>
  <c r="DK246" i="1" s="1"/>
  <c r="DL246" i="1" a="1"/>
  <c r="DL246" i="1" s="1"/>
  <c r="DK12" i="1" a="1"/>
  <c r="DK12" i="1" s="1"/>
  <c r="DL12" i="1" a="1"/>
  <c r="DL12" i="1" s="1"/>
  <c r="DL178" i="1" a="1"/>
  <c r="DL178" i="1" s="1"/>
  <c r="DK178" i="1" a="1"/>
  <c r="DK178" i="1" s="1"/>
  <c r="DK48" i="1" a="1"/>
  <c r="DK48" i="1" s="1"/>
  <c r="DL48" i="1" a="1"/>
  <c r="DL48" i="1" s="1"/>
  <c r="DK249" i="1" a="1"/>
  <c r="DK249" i="1" s="1"/>
  <c r="DL249" i="1" a="1"/>
  <c r="DL249" i="1" s="1"/>
  <c r="DK231" i="1" a="1"/>
  <c r="DK231" i="1" s="1"/>
  <c r="DL231" i="1" a="1"/>
  <c r="DL231" i="1" s="1"/>
  <c r="DK55" i="1" a="1"/>
  <c r="DK55" i="1" s="1"/>
  <c r="DL55" i="1" a="1"/>
  <c r="DL55" i="1" s="1"/>
  <c r="DK264" i="1" a="1"/>
  <c r="DK264" i="1" s="1"/>
  <c r="DL264" i="1" a="1"/>
  <c r="DL264" i="1" s="1"/>
  <c r="DK257" i="1" a="1"/>
  <c r="DK257" i="1" s="1"/>
  <c r="DL257" i="1" a="1"/>
  <c r="DL257" i="1" s="1"/>
  <c r="DK64" i="1" a="1"/>
  <c r="DK64" i="1" s="1"/>
  <c r="DL64" i="1" a="1"/>
  <c r="DL64" i="1" s="1"/>
  <c r="DK130" i="1" a="1"/>
  <c r="DK130" i="1" s="1"/>
  <c r="DL130" i="1" a="1"/>
  <c r="DL130" i="1" s="1"/>
  <c r="DK51" i="1" a="1"/>
  <c r="DK51" i="1" s="1"/>
  <c r="DL51" i="1" a="1"/>
  <c r="DL51" i="1" s="1"/>
  <c r="DK89" i="1" a="1"/>
  <c r="DK89" i="1" s="1"/>
  <c r="DL89" i="1" a="1"/>
  <c r="DL89" i="1" s="1"/>
  <c r="DK193" i="1" a="1"/>
  <c r="DK193" i="1" s="1"/>
  <c r="DL193" i="1" a="1"/>
  <c r="DL193" i="1" s="1"/>
  <c r="DK80" i="1" a="1"/>
  <c r="DK80" i="1" s="1"/>
  <c r="DL80" i="1" a="1"/>
  <c r="DL80" i="1" s="1"/>
  <c r="DL17" i="1" a="1"/>
  <c r="DL17" i="1" s="1"/>
  <c r="DK17" i="1" a="1"/>
  <c r="DK17" i="1" s="1"/>
  <c r="DL19" i="1" a="1"/>
  <c r="DL19" i="1" s="1"/>
  <c r="DK19" i="1" a="1"/>
  <c r="DK19" i="1" s="1"/>
  <c r="DK78" i="1" a="1"/>
  <c r="DK78" i="1" s="1"/>
  <c r="DL78" i="1" a="1"/>
  <c r="DL78" i="1" s="1"/>
  <c r="DL70" i="1" a="1"/>
  <c r="DL70" i="1" s="1"/>
  <c r="DK70" i="1" a="1"/>
  <c r="DK70" i="1" s="1"/>
  <c r="DK121" i="1" a="1"/>
  <c r="DK121" i="1" s="1"/>
  <c r="DL121" i="1" a="1"/>
  <c r="DL121" i="1" s="1"/>
  <c r="DK244" i="1" a="1"/>
  <c r="DK244" i="1" s="1"/>
  <c r="DL244" i="1" a="1"/>
  <c r="DL244" i="1" s="1"/>
  <c r="DK148" i="1" a="1"/>
  <c r="DK148" i="1" s="1"/>
  <c r="DL148" i="1" a="1"/>
  <c r="DL148" i="1" s="1"/>
  <c r="DK123" i="1" a="1"/>
  <c r="DK123" i="1" s="1"/>
  <c r="DL123" i="1" a="1"/>
  <c r="DL123" i="1" s="1"/>
  <c r="DK82" i="1" a="1"/>
  <c r="DK82" i="1" s="1"/>
  <c r="DL82" i="1" a="1"/>
  <c r="DL82" i="1" s="1"/>
  <c r="DK105" i="1" a="1"/>
  <c r="DK105" i="1" s="1"/>
  <c r="DL105" i="1" a="1"/>
  <c r="DL105" i="1" s="1"/>
  <c r="DL192" i="1" a="1"/>
  <c r="DL192" i="1" s="1"/>
  <c r="DK192" i="1" a="1"/>
  <c r="DK192" i="1" s="1"/>
  <c r="DK25" i="1" a="1"/>
  <c r="DK25" i="1" s="1"/>
  <c r="DO25" i="1" s="1"/>
  <c r="DL25" i="1" a="1"/>
  <c r="DL25" i="1" s="1"/>
  <c r="DL269" i="1" a="1"/>
  <c r="DL269" i="1" s="1"/>
  <c r="DK269" i="1" a="1"/>
  <c r="DK269" i="1" s="1"/>
  <c r="DK144" i="1" a="1"/>
  <c r="DK144" i="1" s="1"/>
  <c r="DL144" i="1" a="1"/>
  <c r="DL144" i="1" s="1"/>
  <c r="DK100" i="1" a="1"/>
  <c r="DK100" i="1" s="1"/>
  <c r="DL100" i="1" a="1"/>
  <c r="DL100" i="1" s="1"/>
  <c r="DK265" i="1" a="1"/>
  <c r="DK265" i="1" s="1"/>
  <c r="DL265" i="1" a="1"/>
  <c r="DL265" i="1" s="1"/>
  <c r="DL196" i="1" a="1"/>
  <c r="DL196" i="1" s="1"/>
  <c r="DK196" i="1" a="1"/>
  <c r="DK196" i="1" s="1"/>
  <c r="DK43" i="1" a="1"/>
  <c r="DK43" i="1" s="1"/>
  <c r="DL43" i="1" a="1"/>
  <c r="DL43" i="1" s="1"/>
  <c r="DK252" i="1" a="1"/>
  <c r="DK252" i="1" s="1"/>
  <c r="DL252" i="1" a="1"/>
  <c r="DL252" i="1" s="1"/>
  <c r="DK66" i="1" a="1"/>
  <c r="DK66" i="1" s="1"/>
  <c r="DL66" i="1" a="1"/>
  <c r="DL66" i="1" s="1"/>
  <c r="DK175" i="1" a="1"/>
  <c r="DK175" i="1" s="1"/>
  <c r="DL175" i="1" a="1"/>
  <c r="DL175" i="1" s="1"/>
  <c r="DK138" i="1" a="1"/>
  <c r="DK138" i="1" s="1"/>
  <c r="DL138" i="1" a="1"/>
  <c r="DL138" i="1" s="1"/>
  <c r="DK173" i="1" a="1"/>
  <c r="DK173" i="1" s="1"/>
  <c r="DL173" i="1" a="1"/>
  <c r="DL173" i="1" s="1"/>
  <c r="DL204" i="1" a="1"/>
  <c r="DL204" i="1" s="1"/>
  <c r="DK204" i="1" a="1"/>
  <c r="DK204" i="1" s="1"/>
  <c r="DL81" i="1" a="1"/>
  <c r="DL81" i="1" s="1"/>
  <c r="DK81" i="1" a="1"/>
  <c r="DK81" i="1" s="1"/>
  <c r="DL263" i="1" a="1"/>
  <c r="DL263" i="1" s="1"/>
  <c r="DK263" i="1" a="1"/>
  <c r="DK263" i="1" s="1"/>
  <c r="DK195" i="1" a="1"/>
  <c r="DK195" i="1" s="1"/>
  <c r="DL195" i="1" a="1"/>
  <c r="DL195" i="1" s="1"/>
  <c r="DL170" i="1" a="1"/>
  <c r="DL170" i="1" s="1"/>
  <c r="DK170" i="1" a="1"/>
  <c r="DK170" i="1" s="1"/>
  <c r="DL228" i="1" a="1"/>
  <c r="DL228" i="1" s="1"/>
  <c r="DK228" i="1" a="1"/>
  <c r="DK228" i="1" s="1"/>
  <c r="DK83" i="1" a="1"/>
  <c r="DK83" i="1" s="1"/>
  <c r="DL83" i="1" a="1"/>
  <c r="DL83" i="1" s="1"/>
  <c r="DK38" i="1" a="1"/>
  <c r="DK38" i="1" s="1"/>
  <c r="DL38" i="1" a="1"/>
  <c r="DL38" i="1" s="1"/>
  <c r="DK11" i="1" a="1"/>
  <c r="DK11" i="1" s="1"/>
  <c r="DL11" i="1" a="1"/>
  <c r="DL11" i="1" s="1"/>
  <c r="DL42" i="1" a="1"/>
  <c r="DL42" i="1" s="1"/>
  <c r="DK42" i="1" a="1"/>
  <c r="DK42" i="1" s="1"/>
  <c r="DK67" i="1" a="1"/>
  <c r="DK67" i="1" s="1"/>
  <c r="DL67" i="1" a="1"/>
  <c r="DL67" i="1" s="1"/>
  <c r="DK110" i="1" a="1"/>
  <c r="DK110" i="1" s="1"/>
  <c r="DL110" i="1" a="1"/>
  <c r="DL110" i="1" s="1"/>
  <c r="DK227" i="1" a="1"/>
  <c r="DK227" i="1" s="1"/>
  <c r="DL227" i="1" a="1"/>
  <c r="DL227" i="1" s="1"/>
  <c r="DK90" i="1" a="1"/>
  <c r="DK90" i="1" s="1"/>
  <c r="DL90" i="1" a="1"/>
  <c r="DL90" i="1" s="1"/>
  <c r="DL212" i="1" a="1"/>
  <c r="DL212" i="1" s="1"/>
  <c r="DK212" i="1" a="1"/>
  <c r="DK212" i="1" s="1"/>
  <c r="DL243" i="1" a="1"/>
  <c r="DL243" i="1" s="1"/>
  <c r="DK243" i="1" a="1"/>
  <c r="DK243" i="1" s="1"/>
  <c r="DK37" i="1" a="1"/>
  <c r="DK37" i="1" s="1"/>
  <c r="DL37" i="1" a="1"/>
  <c r="DL37" i="1" s="1"/>
  <c r="DL142" i="1" a="1"/>
  <c r="DL142" i="1" s="1"/>
  <c r="DK142" i="1" a="1"/>
  <c r="DK142" i="1" s="1"/>
  <c r="DK36" i="1" a="1"/>
  <c r="DK36" i="1" s="1"/>
  <c r="DL36" i="1" a="1"/>
  <c r="DL36" i="1" s="1"/>
  <c r="DK73" i="1" a="1"/>
  <c r="DK73" i="1" s="1"/>
  <c r="DL73" i="1" a="1"/>
  <c r="DL73" i="1" s="1"/>
  <c r="DK106" i="1" a="1"/>
  <c r="DK106" i="1" s="1"/>
  <c r="DL106" i="1" a="1"/>
  <c r="DL106" i="1" s="1"/>
  <c r="DK153" i="1" a="1"/>
  <c r="DK153" i="1" s="1"/>
  <c r="DL153" i="1" a="1"/>
  <c r="DL153" i="1" s="1"/>
  <c r="DK149" i="1" a="1"/>
  <c r="DK149" i="1" s="1"/>
  <c r="DL149" i="1" a="1"/>
  <c r="DL149" i="1" s="1"/>
  <c r="DK213" i="1" a="1"/>
  <c r="DK213" i="1" s="1"/>
  <c r="DL213" i="1" a="1"/>
  <c r="DL213" i="1" s="1"/>
  <c r="DK248" i="1" a="1"/>
  <c r="DK248" i="1" s="1"/>
  <c r="DL248" i="1" a="1"/>
  <c r="DL248" i="1" s="1"/>
  <c r="DK179" i="1" a="1"/>
  <c r="DK179" i="1" s="1"/>
  <c r="DL179" i="1" a="1"/>
  <c r="DL179" i="1" s="1"/>
  <c r="DL126" i="1" a="1"/>
  <c r="DL126" i="1" s="1"/>
  <c r="DK126" i="1" a="1"/>
  <c r="DK126" i="1" s="1"/>
  <c r="DK237" i="1" a="1"/>
  <c r="DK237" i="1" s="1"/>
  <c r="DL237" i="1" a="1"/>
  <c r="DL237" i="1" s="1"/>
  <c r="DK161" i="1" a="1"/>
  <c r="DK161" i="1" s="1"/>
  <c r="DL161" i="1" a="1"/>
  <c r="DL161" i="1" s="1"/>
  <c r="DK211" i="1" a="1"/>
  <c r="DK211" i="1" s="1"/>
  <c r="DL211" i="1" a="1"/>
  <c r="DL211" i="1" s="1"/>
  <c r="DK7" i="1" a="1"/>
  <c r="DK7" i="1" s="1"/>
  <c r="DL7" i="1" a="1"/>
  <c r="DL7" i="1" s="1"/>
  <c r="DK54" i="1" a="1"/>
  <c r="DK54" i="1" s="1"/>
  <c r="DL54" i="1" a="1"/>
  <c r="DL54" i="1" s="1"/>
  <c r="DK207" i="1" a="1"/>
  <c r="DK207" i="1" s="1"/>
  <c r="DL207" i="1" a="1"/>
  <c r="DL207" i="1" s="1"/>
  <c r="DK245" i="1" a="1"/>
  <c r="DK245" i="1" s="1"/>
  <c r="DL245" i="1" a="1"/>
  <c r="DL245" i="1" s="1"/>
  <c r="DK61" i="1" a="1"/>
  <c r="DK61" i="1" s="1"/>
  <c r="DL61" i="1" a="1"/>
  <c r="DL61" i="1" s="1"/>
  <c r="DL191" i="1" a="1"/>
  <c r="DL191" i="1" s="1"/>
  <c r="DK191" i="1" a="1"/>
  <c r="DK191" i="1" s="1"/>
  <c r="DK217" i="1" a="1"/>
  <c r="DK217" i="1" s="1"/>
  <c r="DL217" i="1" a="1"/>
  <c r="DL217" i="1" s="1"/>
  <c r="DK201" i="1" a="1"/>
  <c r="DK201" i="1" s="1"/>
  <c r="DL201" i="1" a="1"/>
  <c r="DL201" i="1" s="1"/>
  <c r="DK260" i="1" a="1"/>
  <c r="DK260" i="1" s="1"/>
  <c r="DL260" i="1" a="1"/>
  <c r="DL260" i="1" s="1"/>
  <c r="DK116" i="1" a="1"/>
  <c r="DK116" i="1" s="1"/>
  <c r="DL116" i="1" a="1"/>
  <c r="DL116" i="1" s="1"/>
  <c r="DK34" i="1" a="1"/>
  <c r="DK34" i="1" s="1"/>
  <c r="DL34" i="1" a="1"/>
  <c r="DL34" i="1" s="1"/>
  <c r="DL63" i="1" a="1"/>
  <c r="DL63" i="1" s="1"/>
  <c r="DK63" i="1" a="1"/>
  <c r="DK63" i="1" s="1"/>
  <c r="DL40" i="1" a="1"/>
  <c r="DL40" i="1" s="1"/>
  <c r="DK40" i="1" a="1"/>
  <c r="DK40" i="1" s="1"/>
  <c r="DL182" i="1" a="1"/>
  <c r="DL182" i="1" s="1"/>
  <c r="DK182" i="1" a="1"/>
  <c r="DK182" i="1" s="1"/>
  <c r="DK104" i="1" a="1"/>
  <c r="DK104" i="1" s="1"/>
  <c r="DL104" i="1" a="1"/>
  <c r="DL104" i="1" s="1"/>
  <c r="DL190" i="1" a="1"/>
  <c r="DL190" i="1" s="1"/>
  <c r="DK190" i="1" a="1"/>
  <c r="DK190" i="1" s="1"/>
  <c r="DL251" i="1" a="1"/>
  <c r="DL251" i="1" s="1"/>
  <c r="DK251" i="1" a="1"/>
  <c r="DK251" i="1" s="1"/>
  <c r="DK177" i="1" a="1"/>
  <c r="DK177" i="1" s="1"/>
  <c r="DL177" i="1" a="1"/>
  <c r="DL177" i="1" s="1"/>
  <c r="DK151" i="1" a="1"/>
  <c r="DK151" i="1" s="1"/>
  <c r="DL151" i="1" a="1"/>
  <c r="DL151" i="1" s="1"/>
  <c r="DK35" i="1" a="1"/>
  <c r="DK35" i="1" s="1"/>
  <c r="DL35" i="1" a="1"/>
  <c r="DL35" i="1" s="1"/>
  <c r="DK234" i="1" a="1"/>
  <c r="DK234" i="1" s="1"/>
  <c r="DL234" i="1" a="1"/>
  <c r="DL234" i="1" s="1"/>
  <c r="DL247" i="1" a="1"/>
  <c r="DL247" i="1" s="1"/>
  <c r="DK247" i="1" a="1"/>
  <c r="DK247" i="1" s="1"/>
  <c r="DK261" i="1" a="1"/>
  <c r="DK261" i="1" s="1"/>
  <c r="DL261" i="1" a="1"/>
  <c r="DL261" i="1" s="1"/>
  <c r="DK184" i="1" a="1"/>
  <c r="DK184" i="1" s="1"/>
  <c r="DL184" i="1" a="1"/>
  <c r="DL184" i="1" s="1"/>
  <c r="DK16" i="1" a="1"/>
  <c r="DK16" i="1" s="1"/>
  <c r="DL16" i="1" a="1"/>
  <c r="DL16" i="1" s="1"/>
  <c r="DK215" i="1" a="1"/>
  <c r="DK215" i="1" s="1"/>
  <c r="DL215" i="1" a="1"/>
  <c r="DL215" i="1" s="1"/>
  <c r="DK241" i="1" a="1"/>
  <c r="DK241" i="1" s="1"/>
  <c r="DL241" i="1" a="1"/>
  <c r="DL241" i="1" s="1"/>
  <c r="DK122" i="1" a="1"/>
  <c r="DK122" i="1" s="1"/>
  <c r="DL122" i="1" a="1"/>
  <c r="DL122" i="1" s="1"/>
  <c r="DL152" i="1" a="1"/>
  <c r="DL152" i="1" s="1"/>
  <c r="DK152" i="1" a="1"/>
  <c r="DK152" i="1" s="1"/>
  <c r="DK91" i="1" a="1"/>
  <c r="DK91" i="1" s="1"/>
  <c r="DL91" i="1" a="1"/>
  <c r="DL91" i="1" s="1"/>
  <c r="DK240" i="1" a="1"/>
  <c r="DK240" i="1" s="1"/>
  <c r="DL240" i="1" a="1"/>
  <c r="DL240" i="1" s="1"/>
  <c r="DK147" i="1" a="1"/>
  <c r="DK147" i="1" s="1"/>
  <c r="DL147" i="1" a="1"/>
  <c r="DL147" i="1" s="1"/>
  <c r="DK28" i="1" a="1"/>
  <c r="DK28" i="1" s="1"/>
  <c r="DL28" i="1" a="1"/>
  <c r="DL28" i="1" s="1"/>
  <c r="DK189" i="1" a="1"/>
  <c r="DK189" i="1" s="1"/>
  <c r="DL189" i="1" a="1"/>
  <c r="DL189" i="1" s="1"/>
  <c r="DK93" i="1" a="1"/>
  <c r="DK93" i="1" s="1"/>
  <c r="DL93" i="1" a="1"/>
  <c r="DL93" i="1" s="1"/>
  <c r="DK136" i="1" a="1"/>
  <c r="DK136" i="1" s="1"/>
  <c r="DL136" i="1" a="1"/>
  <c r="DL136" i="1" s="1"/>
  <c r="DK53" i="1" a="1"/>
  <c r="DK53" i="1" s="1"/>
  <c r="DL53" i="1" a="1"/>
  <c r="DL53" i="1" s="1"/>
  <c r="DL58" i="1" a="1"/>
  <c r="DL58" i="1" s="1"/>
  <c r="DK58" i="1" a="1"/>
  <c r="DK58" i="1" s="1"/>
  <c r="DK86" i="1" a="1"/>
  <c r="DK86" i="1" s="1"/>
  <c r="DL86" i="1" a="1"/>
  <c r="DL86" i="1" s="1"/>
  <c r="DK92" i="1" a="1"/>
  <c r="DK92" i="1" s="1"/>
  <c r="DL92" i="1" a="1"/>
  <c r="DL92" i="1" s="1"/>
  <c r="DK154" i="1" a="1"/>
  <c r="DK154" i="1" s="1"/>
  <c r="DL154" i="1" a="1"/>
  <c r="DL154" i="1" s="1"/>
  <c r="DK69" i="1" a="1"/>
  <c r="DK69" i="1" s="1"/>
  <c r="DL69" i="1" a="1"/>
  <c r="DL69" i="1" s="1"/>
  <c r="DL74" i="1" a="1"/>
  <c r="DL74" i="1" s="1"/>
  <c r="DK74" i="1" a="1"/>
  <c r="DK74" i="1" s="1"/>
  <c r="DK20" i="1" a="1"/>
  <c r="DK20" i="1" s="1"/>
  <c r="DL20" i="1" a="1"/>
  <c r="DL20" i="1" s="1"/>
  <c r="DL163" i="1" a="1"/>
  <c r="DL163" i="1" s="1"/>
  <c r="DK163" i="1" a="1"/>
  <c r="DK163" i="1" s="1"/>
  <c r="DL168" i="1" a="1"/>
  <c r="DL168" i="1" s="1"/>
  <c r="DK168" i="1" a="1"/>
  <c r="DK168" i="1" s="1"/>
  <c r="DL164" i="1" a="1"/>
  <c r="DL164" i="1" s="1"/>
  <c r="DK164" i="1" a="1"/>
  <c r="DK164" i="1" s="1"/>
  <c r="DL137" i="1" a="1"/>
  <c r="DL137" i="1" s="1"/>
  <c r="DK137" i="1" a="1"/>
  <c r="DK137" i="1" s="1"/>
  <c r="DK169" i="1" a="1"/>
  <c r="DK169" i="1" s="1"/>
  <c r="DL169" i="1" a="1"/>
  <c r="DL169" i="1" s="1"/>
  <c r="DK141" i="1" a="1"/>
  <c r="DK141" i="1" s="1"/>
  <c r="DL141" i="1" a="1"/>
  <c r="DL141" i="1" s="1"/>
  <c r="DL158" i="1" a="1"/>
  <c r="DL158" i="1" s="1"/>
  <c r="DK158" i="1" a="1"/>
  <c r="DK158" i="1" s="1"/>
  <c r="DK197" i="1" a="1"/>
  <c r="DK197" i="1" s="1"/>
  <c r="DL197" i="1" a="1"/>
  <c r="DL197" i="1" s="1"/>
  <c r="DK165" i="1" a="1"/>
  <c r="DK165" i="1" s="1"/>
  <c r="DL165" i="1" a="1"/>
  <c r="DL165" i="1" s="1"/>
  <c r="DK199" i="1" a="1"/>
  <c r="DK199" i="1" s="1"/>
  <c r="DL199" i="1" a="1"/>
  <c r="DL199" i="1" s="1"/>
  <c r="DL200" i="1" a="1"/>
  <c r="DL200" i="1" s="1"/>
  <c r="DK200" i="1" a="1"/>
  <c r="DK200" i="1" s="1"/>
  <c r="DK23" i="1" a="1"/>
  <c r="DK23" i="1" s="1"/>
  <c r="DL23" i="1" a="1"/>
  <c r="DL23" i="1" s="1"/>
  <c r="DK62" i="1" a="1"/>
  <c r="DK62" i="1" s="1"/>
  <c r="DL62" i="1" a="1"/>
  <c r="DL62" i="1" s="1"/>
  <c r="DK131" i="1" a="1"/>
  <c r="DK131" i="1" s="1"/>
  <c r="DL131" i="1" a="1"/>
  <c r="DL131" i="1" s="1"/>
  <c r="DL33" i="1" a="1"/>
  <c r="DL33" i="1" s="1"/>
  <c r="DK33" i="1" a="1"/>
  <c r="DK33" i="1" s="1"/>
  <c r="DL31" i="1" a="1"/>
  <c r="DL31" i="1" s="1"/>
  <c r="DK31" i="1" a="1"/>
  <c r="DK31" i="1" s="1"/>
  <c r="DK30" i="1" a="1"/>
  <c r="DK30" i="1" s="1"/>
  <c r="DL30" i="1" a="1"/>
  <c r="DL30" i="1" s="1"/>
  <c r="DK21" i="1" a="1"/>
  <c r="DK21" i="1" s="1"/>
  <c r="DL21" i="1" a="1"/>
  <c r="DL21" i="1" s="1"/>
  <c r="DK242" i="1" a="1"/>
  <c r="DK242" i="1" s="1"/>
  <c r="DL242" i="1" a="1"/>
  <c r="DL242" i="1" s="1"/>
  <c r="DL10" i="1" a="1"/>
  <c r="DL10" i="1" s="1"/>
  <c r="DK10" i="1" a="1"/>
  <c r="DK10" i="1" s="1"/>
  <c r="DK139" i="1" a="1"/>
  <c r="DK139" i="1" s="1"/>
  <c r="DL139" i="1" a="1"/>
  <c r="DL139" i="1" s="1"/>
  <c r="DK171" i="1" a="1"/>
  <c r="DK171" i="1" s="1"/>
  <c r="DL171" i="1" a="1"/>
  <c r="DL171" i="1" s="1"/>
  <c r="DL162" i="1" a="1"/>
  <c r="DL162" i="1" s="1"/>
  <c r="DK162" i="1" a="1"/>
  <c r="DK162" i="1" s="1"/>
  <c r="DK77" i="1" a="1"/>
  <c r="DK77" i="1" s="1"/>
  <c r="DL77" i="1" a="1"/>
  <c r="DL77" i="1" s="1"/>
  <c r="DK236" i="1" a="1"/>
  <c r="DK236" i="1" s="1"/>
  <c r="DL236" i="1" a="1"/>
  <c r="DL236" i="1" s="1"/>
  <c r="DL26" i="1" a="1"/>
  <c r="DL26" i="1" s="1"/>
  <c r="DK26" i="1" a="1"/>
  <c r="DK26" i="1" s="1"/>
  <c r="DK85" i="1" a="1"/>
  <c r="DK85" i="1" s="1"/>
  <c r="DL85" i="1" a="1"/>
  <c r="DL85" i="1" s="1"/>
  <c r="DK101" i="1" a="1"/>
  <c r="DK101" i="1" s="1"/>
  <c r="DL101" i="1" a="1"/>
  <c r="DL101" i="1" s="1"/>
  <c r="DL266" i="1" a="1"/>
  <c r="DL266" i="1" s="1"/>
  <c r="DK266" i="1" a="1"/>
  <c r="DK266" i="1" s="1"/>
  <c r="DK254" i="1" a="1"/>
  <c r="DK254" i="1" s="1"/>
  <c r="DL254" i="1" a="1"/>
  <c r="DL254" i="1" s="1"/>
  <c r="DL220" i="1" a="1"/>
  <c r="DL220" i="1" s="1"/>
  <c r="DK220" i="1" a="1"/>
  <c r="DK220" i="1" s="1"/>
  <c r="DK39" i="1" a="1"/>
  <c r="DK39" i="1" s="1"/>
  <c r="DL39" i="1" a="1"/>
  <c r="DL39" i="1" s="1"/>
  <c r="DK94" i="1" a="1"/>
  <c r="DK94" i="1" s="1"/>
  <c r="DL94" i="1" a="1"/>
  <c r="DL94" i="1" s="1"/>
  <c r="DK187" i="1" a="1"/>
  <c r="DK187" i="1" s="1"/>
  <c r="DL187" i="1" a="1"/>
  <c r="DL187" i="1" s="1"/>
  <c r="DK205" i="1" a="1"/>
  <c r="DK205" i="1" s="1"/>
  <c r="DL205" i="1" a="1"/>
  <c r="DL205" i="1" s="1"/>
  <c r="DK146" i="1" a="1"/>
  <c r="DK146" i="1" s="1"/>
  <c r="DL146" i="1" a="1"/>
  <c r="DL146" i="1" s="1"/>
  <c r="DK185" i="1" a="1"/>
  <c r="DK185" i="1" s="1"/>
  <c r="DL185" i="1" a="1"/>
  <c r="DL185" i="1" s="1"/>
  <c r="DK125" i="1" a="1"/>
  <c r="DK125" i="1" s="1"/>
  <c r="DL125" i="1" a="1"/>
  <c r="DL125" i="1" s="1"/>
  <c r="DK253" i="1" a="1"/>
  <c r="DK253" i="1" s="1"/>
  <c r="DL253" i="1" a="1"/>
  <c r="DL253" i="1" s="1"/>
  <c r="DK45" i="1" a="1"/>
  <c r="DK45" i="1" s="1"/>
  <c r="DL45" i="1" a="1"/>
  <c r="DL45" i="1" s="1"/>
  <c r="DK50" i="1" a="1"/>
  <c r="DK50" i="1" s="1"/>
  <c r="DL50" i="1" a="1"/>
  <c r="DL50" i="1" s="1"/>
  <c r="DK108" i="1" a="1"/>
  <c r="DK108" i="1" s="1"/>
  <c r="DL108" i="1" a="1"/>
  <c r="DL108" i="1" s="1"/>
  <c r="DL216" i="1" a="1"/>
  <c r="DL216" i="1" s="1"/>
  <c r="DK216" i="1" a="1"/>
  <c r="DK216" i="1" s="1"/>
  <c r="DL255" i="1" a="1"/>
  <c r="DL255" i="1" s="1"/>
  <c r="DK255" i="1" a="1"/>
  <c r="DK255" i="1" s="1"/>
  <c r="DK71" i="1" a="1"/>
  <c r="DK71" i="1" s="1"/>
  <c r="DL71" i="1" a="1"/>
  <c r="DL71" i="1" s="1"/>
  <c r="DL8" i="1" a="1"/>
  <c r="DL8" i="1" s="1"/>
  <c r="DK8" i="1" a="1"/>
  <c r="DK8" i="1" s="1"/>
  <c r="DK22" i="1" a="1"/>
  <c r="DK22" i="1" s="1"/>
  <c r="DL22" i="1" a="1"/>
  <c r="DL22" i="1" s="1"/>
  <c r="DK114" i="1" a="1"/>
  <c r="DK114" i="1" s="1"/>
  <c r="DL114" i="1" a="1"/>
  <c r="DL114" i="1" s="1"/>
  <c r="DK27" i="1" a="1"/>
  <c r="DK27" i="1" s="1"/>
  <c r="DL27" i="1" a="1"/>
  <c r="DL27" i="1" s="1"/>
  <c r="DK235" i="1" a="1"/>
  <c r="DK235" i="1" s="1"/>
  <c r="DL235" i="1" a="1"/>
  <c r="DL235" i="1" s="1"/>
  <c r="DL194" i="1" a="1"/>
  <c r="DL194" i="1" s="1"/>
  <c r="DK194" i="1" a="1"/>
  <c r="DK194" i="1" s="1"/>
  <c r="DK140" i="1" a="1"/>
  <c r="DK140" i="1" s="1"/>
  <c r="DL140" i="1" a="1"/>
  <c r="DL140" i="1" s="1"/>
  <c r="DK52" i="1" a="1"/>
  <c r="DK52" i="1" s="1"/>
  <c r="DL52" i="1" a="1"/>
  <c r="DL52" i="1" s="1"/>
  <c r="DL226" i="1" a="1"/>
  <c r="DL226" i="1" s="1"/>
  <c r="DK226" i="1" a="1"/>
  <c r="DK226" i="1" s="1"/>
  <c r="DL150" i="1" a="1"/>
  <c r="DL150" i="1" s="1"/>
  <c r="DK150" i="1" a="1"/>
  <c r="DK150" i="1" s="1"/>
  <c r="DL72" i="1" a="1"/>
  <c r="DL72" i="1" s="1"/>
  <c r="DK72" i="1" a="1"/>
  <c r="DK72" i="1" s="1"/>
  <c r="DK225" i="1" a="1"/>
  <c r="DK225" i="1" s="1"/>
  <c r="DL225" i="1" a="1"/>
  <c r="DL225" i="1" s="1"/>
  <c r="DK14" i="1" a="1"/>
  <c r="DK14" i="1" s="1"/>
  <c r="DL14" i="1" a="1"/>
  <c r="DL14" i="1" s="1"/>
  <c r="DK98" i="1" a="1"/>
  <c r="DK98" i="1" s="1"/>
  <c r="DL98" i="1" a="1"/>
  <c r="DL98" i="1" s="1"/>
  <c r="DL174" i="1" a="1"/>
  <c r="DL174" i="1" s="1"/>
  <c r="DK174" i="1" a="1"/>
  <c r="DK174" i="1" s="1"/>
  <c r="DK84" i="1" a="1"/>
  <c r="DK84" i="1" s="1"/>
  <c r="DL84" i="1" a="1"/>
  <c r="DL84" i="1" s="1"/>
  <c r="DK232" i="1" a="1"/>
  <c r="DK232" i="1" s="1"/>
  <c r="DL232" i="1" a="1"/>
  <c r="DL232" i="1" s="1"/>
  <c r="DL118" i="1" a="1"/>
  <c r="DL118" i="1" s="1"/>
  <c r="DK118" i="1" a="1"/>
  <c r="DK118" i="1" s="1"/>
  <c r="DK132" i="1" a="1"/>
  <c r="DK132" i="1" s="1"/>
  <c r="DL132" i="1" a="1"/>
  <c r="DL132" i="1" s="1"/>
  <c r="DL134" i="1" a="1"/>
  <c r="DL134" i="1" s="1"/>
  <c r="DK134" i="1" a="1"/>
  <c r="DK134" i="1" s="1"/>
  <c r="DL222" i="1" a="1"/>
  <c r="DL222" i="1" s="1"/>
  <c r="DK222" i="1" a="1"/>
  <c r="DK222" i="1" s="1"/>
  <c r="DK271" i="1" a="1"/>
  <c r="DK271" i="1" s="1"/>
  <c r="DL271" i="1" a="1"/>
  <c r="DL271" i="1" s="1"/>
  <c r="DK97" i="1" a="1"/>
  <c r="DK97" i="1" s="1"/>
  <c r="DL97" i="1" a="1"/>
  <c r="DL97" i="1" s="1"/>
  <c r="DK133" i="1" a="1"/>
  <c r="DK133" i="1" s="1"/>
  <c r="DL133" i="1" a="1"/>
  <c r="DL133" i="1" s="1"/>
  <c r="DL233" i="1" a="1"/>
  <c r="DL233" i="1" s="1"/>
  <c r="DK233" i="1" a="1"/>
  <c r="DK233" i="1" s="1"/>
  <c r="DK143" i="1" a="1"/>
  <c r="DK143" i="1" s="1"/>
  <c r="DL143" i="1" a="1"/>
  <c r="DL143" i="1" s="1"/>
  <c r="DL176" i="1" a="1"/>
  <c r="DL176" i="1" s="1"/>
  <c r="DK176" i="1" a="1"/>
  <c r="DK176" i="1" s="1"/>
  <c r="DK120" i="1" a="1"/>
  <c r="DK120" i="1" s="1"/>
  <c r="DL120" i="1" a="1"/>
  <c r="DL120" i="1" s="1"/>
  <c r="DK60" i="1" a="1"/>
  <c r="DK60" i="1" s="1"/>
  <c r="DL60" i="1" a="1"/>
  <c r="DL60" i="1" s="1"/>
  <c r="DK18" i="1" a="1"/>
  <c r="DK18" i="1" s="1"/>
  <c r="DL18" i="1" a="1"/>
  <c r="DL18" i="1" s="1"/>
  <c r="DK117" i="1" a="1"/>
  <c r="DK117" i="1" s="1"/>
  <c r="DL117" i="1" a="1"/>
  <c r="DL117" i="1" s="1"/>
  <c r="DL188" i="1" a="1"/>
  <c r="DL188" i="1" s="1"/>
  <c r="DK188" i="1" a="1"/>
  <c r="DK188" i="1" s="1"/>
  <c r="DK96" i="1" a="1"/>
  <c r="DK96" i="1" s="1"/>
  <c r="DL96" i="1" a="1"/>
  <c r="DL96" i="1" s="1"/>
  <c r="DK180" i="1" a="1"/>
  <c r="DK180" i="1" s="1"/>
  <c r="DL180" i="1" a="1"/>
  <c r="DL180" i="1" s="1"/>
  <c r="DK103" i="1" a="1"/>
  <c r="DK103" i="1" s="1"/>
  <c r="DL103" i="1" a="1"/>
  <c r="DL103" i="1" s="1"/>
  <c r="DK76" i="1" a="1"/>
  <c r="DK76" i="1" s="1"/>
  <c r="DL76" i="1" a="1"/>
  <c r="DL76" i="1" s="1"/>
  <c r="DK268" i="1" a="1"/>
  <c r="DK268" i="1" s="1"/>
  <c r="DL268" i="1" a="1"/>
  <c r="DL268" i="1" s="1"/>
  <c r="DK75" i="1" a="1"/>
  <c r="DK75" i="1" s="1"/>
  <c r="DL75" i="1" a="1"/>
  <c r="DL75" i="1" s="1"/>
  <c r="DK135" i="1" a="1"/>
  <c r="DK135" i="1" s="1"/>
  <c r="DL135" i="1" a="1"/>
  <c r="DL135" i="1" s="1"/>
  <c r="DK29" i="1" a="1"/>
  <c r="DK29" i="1" s="1"/>
  <c r="DL29" i="1" a="1"/>
  <c r="DL29" i="1" s="1"/>
  <c r="DK262" i="1" a="1"/>
  <c r="DK262" i="1" s="1"/>
  <c r="DL262" i="1" a="1"/>
  <c r="DL262" i="1" s="1"/>
  <c r="DK167" i="1" a="1"/>
  <c r="DK167" i="1" s="1"/>
  <c r="DL167" i="1" a="1"/>
  <c r="DL167" i="1" s="1"/>
  <c r="DK128" i="1" a="1"/>
  <c r="DK128" i="1" s="1"/>
  <c r="DL128" i="1" a="1"/>
  <c r="DL128" i="1" s="1"/>
  <c r="DK65" i="1" a="1"/>
  <c r="DK65" i="1" s="1"/>
  <c r="DL65" i="1" a="1"/>
  <c r="DL65" i="1" s="1"/>
  <c r="DL214" i="1" a="1"/>
  <c r="DL214" i="1" s="1"/>
  <c r="DK214" i="1" a="1"/>
  <c r="DK214" i="1" s="1"/>
  <c r="DK157" i="1" a="1"/>
  <c r="DK157" i="1" s="1"/>
  <c r="DL157" i="1" a="1"/>
  <c r="DL157" i="1" s="1"/>
  <c r="DL15" i="1" a="1"/>
  <c r="DL15" i="1" s="1"/>
  <c r="DK15" i="1" a="1"/>
  <c r="DK15" i="1" s="1"/>
  <c r="DK159" i="1" a="1"/>
  <c r="DK159" i="1" s="1"/>
  <c r="DL159" i="1" a="1"/>
  <c r="DL159" i="1" s="1"/>
  <c r="DL218" i="1" a="1"/>
  <c r="DL218" i="1" s="1"/>
  <c r="DK218" i="1" a="1"/>
  <c r="DK218" i="1" s="1"/>
  <c r="DU180" i="1" l="1"/>
  <c r="DU90" i="1"/>
  <c r="DU7" i="1"/>
  <c r="DN113" i="1"/>
  <c r="DN258" i="1"/>
  <c r="DU258" i="1"/>
  <c r="DU113" i="1"/>
  <c r="DO14" i="1"/>
  <c r="DO127" i="1"/>
  <c r="DO124" i="1"/>
  <c r="DU127" i="1"/>
  <c r="DP127" i="1"/>
  <c r="DP210" i="1"/>
  <c r="DP112" i="1"/>
  <c r="DO95" i="1"/>
  <c r="DU210" i="1"/>
  <c r="DP13" i="1"/>
  <c r="DP209" i="1"/>
  <c r="DU13" i="1"/>
  <c r="DO210" i="1"/>
  <c r="DO13" i="1"/>
  <c r="DP95" i="1"/>
  <c r="DU95" i="1"/>
  <c r="DU209" i="1"/>
  <c r="DP79" i="1"/>
  <c r="DU124" i="1"/>
  <c r="DP250" i="1"/>
  <c r="DP124" i="1"/>
  <c r="DU79" i="1"/>
  <c r="DO209" i="1"/>
  <c r="DU250" i="1"/>
  <c r="DO55" i="1"/>
  <c r="DO115" i="1"/>
  <c r="DO256" i="1"/>
  <c r="DO78" i="1"/>
  <c r="DO68" i="1"/>
  <c r="DO186" i="1"/>
  <c r="DO175" i="1"/>
  <c r="DO153" i="1"/>
  <c r="DO116" i="1"/>
  <c r="DO79" i="1"/>
  <c r="DO46" i="1"/>
  <c r="DO92" i="1"/>
  <c r="DO219" i="1"/>
  <c r="DO173" i="1"/>
  <c r="DO90" i="1"/>
  <c r="DO89" i="1"/>
  <c r="DO250" i="1"/>
  <c r="DO231" i="1"/>
  <c r="DO11" i="1"/>
  <c r="DO148" i="1"/>
  <c r="DO270" i="1"/>
  <c r="DO161" i="1"/>
  <c r="DO102" i="1"/>
  <c r="DO9" i="1"/>
  <c r="DO7" i="1"/>
  <c r="DO121" i="1"/>
  <c r="DO109" i="1"/>
  <c r="DU112" i="1"/>
  <c r="DO238" i="1"/>
  <c r="DO99" i="1"/>
  <c r="DO41" i="1"/>
  <c r="DO82" i="1"/>
  <c r="DO37" i="1"/>
  <c r="DO44" i="1"/>
  <c r="DO130" i="1"/>
  <c r="DO119" i="1"/>
  <c r="DO252" i="1"/>
  <c r="DO237" i="1"/>
  <c r="DO73" i="1"/>
  <c r="DO38" i="1"/>
  <c r="DO201" i="1"/>
  <c r="DO244" i="1"/>
  <c r="DO195" i="1"/>
  <c r="DO177" i="1"/>
  <c r="DO267" i="1"/>
  <c r="DN267" i="1" s="1"/>
  <c r="DO112" i="1"/>
  <c r="DO183" i="1"/>
  <c r="DO179" i="1"/>
  <c r="DO203" i="1"/>
  <c r="DO54" i="1"/>
  <c r="DO32" i="1"/>
  <c r="DO211" i="1"/>
  <c r="DO246" i="1"/>
  <c r="DO105" i="1"/>
  <c r="DO249" i="1"/>
  <c r="DO111" i="1"/>
  <c r="DO87" i="1"/>
  <c r="DO35" i="1"/>
  <c r="DO257" i="1"/>
  <c r="DO213" i="1"/>
  <c r="DO245" i="1"/>
  <c r="DO110" i="1"/>
  <c r="DO144" i="1"/>
  <c r="DO80" i="1"/>
  <c r="DO229" i="1"/>
  <c r="DO123" i="1"/>
  <c r="DO154" i="1"/>
  <c r="DO236" i="1"/>
  <c r="DO193" i="1"/>
  <c r="DO165" i="1"/>
  <c r="DO43" i="1"/>
  <c r="DO234" i="1"/>
  <c r="DO241" i="1"/>
  <c r="DO93" i="1"/>
  <c r="DO16" i="1"/>
  <c r="DO106" i="1"/>
  <c r="DO217" i="1"/>
  <c r="DO227" i="1"/>
  <c r="DO53" i="1"/>
  <c r="DO260" i="1"/>
  <c r="DO248" i="1"/>
  <c r="DO114" i="1"/>
  <c r="DO34" i="1"/>
  <c r="DO131" i="1"/>
  <c r="DO108" i="1"/>
  <c r="DO23" i="1"/>
  <c r="DO22" i="1"/>
  <c r="DO125" i="1"/>
  <c r="DO101" i="1"/>
  <c r="DO199" i="1"/>
  <c r="DO197" i="1"/>
  <c r="DO21" i="1"/>
  <c r="DO253" i="1"/>
  <c r="DO132" i="1"/>
  <c r="DO96" i="1"/>
  <c r="DO77" i="1"/>
  <c r="DO45" i="1"/>
  <c r="DO254" i="1"/>
  <c r="DO71" i="1"/>
  <c r="DO147" i="1"/>
  <c r="DO122" i="1"/>
  <c r="DO20" i="1"/>
  <c r="DO136" i="1"/>
  <c r="DO141" i="1"/>
  <c r="DO146" i="1"/>
  <c r="DO171" i="1"/>
  <c r="DO52" i="1"/>
  <c r="DO187" i="1"/>
  <c r="DO65" i="1"/>
  <c r="DO215" i="1"/>
  <c r="DO69" i="1"/>
  <c r="DO189" i="1"/>
  <c r="DO91" i="1"/>
  <c r="DO27" i="1"/>
  <c r="DO184" i="1"/>
  <c r="DO39" i="1"/>
  <c r="DO242" i="1"/>
  <c r="DO261" i="1"/>
  <c r="DO85" i="1"/>
  <c r="DO117" i="1"/>
  <c r="DO235" i="1"/>
  <c r="DO62" i="1"/>
  <c r="DO98" i="1"/>
  <c r="DO225" i="1"/>
  <c r="DO143" i="1"/>
  <c r="DO126" i="1"/>
  <c r="DO15" i="1"/>
  <c r="DO233" i="1"/>
  <c r="DO222" i="1"/>
  <c r="DO226" i="1"/>
  <c r="DO8" i="1"/>
  <c r="DO216" i="1"/>
  <c r="DO220" i="1"/>
  <c r="DO162" i="1"/>
  <c r="DO33" i="1"/>
  <c r="DO200" i="1"/>
  <c r="DO164" i="1"/>
  <c r="DO74" i="1"/>
  <c r="DO263" i="1"/>
  <c r="DO269" i="1"/>
  <c r="DO17" i="1"/>
  <c r="DO166" i="1"/>
  <c r="DO208" i="1"/>
  <c r="DO88" i="1"/>
  <c r="DO172" i="1"/>
  <c r="DO128" i="1"/>
  <c r="DO135" i="1"/>
  <c r="DO103" i="1"/>
  <c r="DO60" i="1"/>
  <c r="DO232" i="1"/>
  <c r="DO48" i="1"/>
  <c r="DO104" i="1"/>
  <c r="DO100" i="1"/>
  <c r="DO221" i="1"/>
  <c r="DO169" i="1"/>
  <c r="DO223" i="1"/>
  <c r="DO140" i="1"/>
  <c r="DO151" i="1"/>
  <c r="DO264" i="1"/>
  <c r="DO107" i="1"/>
  <c r="DO188" i="1"/>
  <c r="DO134" i="1"/>
  <c r="DO118" i="1"/>
  <c r="DO150" i="1"/>
  <c r="DO194" i="1"/>
  <c r="DO26" i="1"/>
  <c r="DO10" i="1"/>
  <c r="DO31" i="1"/>
  <c r="DO137" i="1"/>
  <c r="DO168" i="1"/>
  <c r="DO58" i="1"/>
  <c r="DO247" i="1"/>
  <c r="DO190" i="1"/>
  <c r="DO182" i="1"/>
  <c r="DO63" i="1"/>
  <c r="DO191" i="1"/>
  <c r="DO142" i="1"/>
  <c r="DO243" i="1"/>
  <c r="DO42" i="1"/>
  <c r="DO228" i="1"/>
  <c r="DO81" i="1"/>
  <c r="DO196" i="1"/>
  <c r="DO70" i="1"/>
  <c r="DO19" i="1"/>
  <c r="DO178" i="1"/>
  <c r="DO224" i="1"/>
  <c r="DO230" i="1"/>
  <c r="DO145" i="1"/>
  <c r="DO24" i="1"/>
  <c r="DO47" i="1"/>
  <c r="DO198" i="1"/>
  <c r="DO156" i="1"/>
  <c r="DO202" i="1"/>
  <c r="DO206" i="1"/>
  <c r="DO218" i="1"/>
  <c r="DO214" i="1"/>
  <c r="DO176" i="1"/>
  <c r="DO174" i="1"/>
  <c r="DO72" i="1"/>
  <c r="DO255" i="1"/>
  <c r="DO266" i="1"/>
  <c r="DO152" i="1"/>
  <c r="DO251" i="1"/>
  <c r="DO40" i="1"/>
  <c r="DO212" i="1"/>
  <c r="DO170" i="1"/>
  <c r="DO204" i="1"/>
  <c r="DO192" i="1"/>
  <c r="DO129" i="1"/>
  <c r="DO259" i="1"/>
  <c r="DO239" i="1"/>
  <c r="DO56" i="1"/>
  <c r="DO49" i="1"/>
  <c r="DO160" i="1"/>
  <c r="DO158" i="1"/>
  <c r="DO262" i="1"/>
  <c r="DO185" i="1"/>
  <c r="DO51" i="1"/>
  <c r="DO97" i="1"/>
  <c r="DO94" i="1"/>
  <c r="DO59" i="1"/>
  <c r="DO66" i="1"/>
  <c r="DO240" i="1"/>
  <c r="DO61" i="1"/>
  <c r="DO155" i="1"/>
  <c r="DO205" i="1"/>
  <c r="DO207" i="1"/>
  <c r="DO86" i="1"/>
  <c r="DO268" i="1"/>
  <c r="DO138" i="1"/>
  <c r="DO139" i="1"/>
  <c r="DO30" i="1"/>
  <c r="DO149" i="1"/>
  <c r="DO36" i="1"/>
  <c r="DO181" i="1"/>
  <c r="DO64" i="1"/>
  <c r="DO163" i="1"/>
  <c r="DO67" i="1"/>
  <c r="DO28" i="1"/>
  <c r="DO50" i="1"/>
  <c r="DO83" i="1"/>
  <c r="DO12" i="1"/>
  <c r="DO265" i="1"/>
  <c r="DO57" i="1"/>
  <c r="DO159" i="1"/>
  <c r="DO157" i="1"/>
  <c r="DO167" i="1"/>
  <c r="DO29" i="1"/>
  <c r="DO75" i="1"/>
  <c r="DO76" i="1"/>
  <c r="DO180" i="1"/>
  <c r="DO18" i="1"/>
  <c r="DO120" i="1"/>
  <c r="DO133" i="1"/>
  <c r="DO271" i="1"/>
  <c r="DO84" i="1"/>
  <c r="DU267" i="1"/>
  <c r="DP270" i="1"/>
  <c r="DU270" i="1"/>
  <c r="DP190" i="1"/>
  <c r="DU190" i="1"/>
  <c r="DP68" i="1"/>
  <c r="DU68" i="1"/>
  <c r="DP101" i="1"/>
  <c r="DU101" i="1"/>
  <c r="DP108" i="1"/>
  <c r="DU108" i="1"/>
  <c r="DP70" i="1"/>
  <c r="DU70" i="1"/>
  <c r="DP218" i="1"/>
  <c r="DU218" i="1"/>
  <c r="DP152" i="1"/>
  <c r="DU152" i="1"/>
  <c r="DP76" i="1"/>
  <c r="DU76" i="1"/>
  <c r="DP213" i="1"/>
  <c r="DU213" i="1"/>
  <c r="DP191" i="1"/>
  <c r="DU191" i="1"/>
  <c r="DP65" i="1"/>
  <c r="DU65" i="1"/>
  <c r="DP167" i="1"/>
  <c r="DU167" i="1"/>
  <c r="DP176" i="1"/>
  <c r="DU176" i="1"/>
  <c r="DP204" i="1"/>
  <c r="DU204" i="1"/>
  <c r="DP151" i="1"/>
  <c r="DU151" i="1"/>
  <c r="DP199" i="1"/>
  <c r="DU199" i="1"/>
  <c r="DP181" i="1"/>
  <c r="DU181" i="1"/>
  <c r="DP222" i="1"/>
  <c r="DU222" i="1"/>
  <c r="DP219" i="1"/>
  <c r="DU219" i="1"/>
  <c r="DP111" i="1"/>
  <c r="DU111" i="1"/>
  <c r="DP93" i="1"/>
  <c r="DU93" i="1"/>
  <c r="DP78" i="1"/>
  <c r="DU78" i="1"/>
  <c r="DP220" i="1"/>
  <c r="DU220" i="1"/>
  <c r="DP221" i="1"/>
  <c r="DU221" i="1"/>
  <c r="DP38" i="1"/>
  <c r="DU38" i="1"/>
  <c r="DP36" i="1"/>
  <c r="DU36" i="1"/>
  <c r="DP116" i="1"/>
  <c r="DU116" i="1"/>
  <c r="DP120" i="1"/>
  <c r="DU120" i="1"/>
  <c r="DP100" i="1"/>
  <c r="DU100" i="1"/>
  <c r="DP212" i="1"/>
  <c r="DU212" i="1"/>
  <c r="DP195" i="1"/>
  <c r="DU195" i="1"/>
  <c r="DP198" i="1"/>
  <c r="DU198" i="1"/>
  <c r="DP56" i="1"/>
  <c r="DU56" i="1"/>
  <c r="DP45" i="1"/>
  <c r="DU45" i="1"/>
  <c r="DP28" i="1"/>
  <c r="DU28" i="1"/>
  <c r="DP88" i="1"/>
  <c r="DU88" i="1"/>
  <c r="DP214" i="1"/>
  <c r="DU214" i="1"/>
  <c r="DP255" i="1"/>
  <c r="DU255" i="1"/>
  <c r="DP148" i="1"/>
  <c r="DU148" i="1"/>
  <c r="DP147" i="1"/>
  <c r="DU147" i="1"/>
  <c r="DP138" i="1"/>
  <c r="DU138" i="1"/>
  <c r="DP177" i="1"/>
  <c r="DU177" i="1"/>
  <c r="DP203" i="1"/>
  <c r="DU203" i="1"/>
  <c r="DP67" i="1"/>
  <c r="DU67" i="1"/>
  <c r="DP58" i="1"/>
  <c r="DU58" i="1"/>
  <c r="DP89" i="1"/>
  <c r="DU89" i="1"/>
  <c r="DP133" i="1"/>
  <c r="DU133" i="1"/>
  <c r="DP266" i="1"/>
  <c r="DU266" i="1"/>
  <c r="DP202" i="1"/>
  <c r="DU202" i="1"/>
  <c r="DP232" i="1"/>
  <c r="DU232" i="1"/>
  <c r="DP249" i="1"/>
  <c r="DU249" i="1"/>
  <c r="DP235" i="1"/>
  <c r="DU235" i="1"/>
  <c r="DP261" i="1"/>
  <c r="DU261" i="1"/>
  <c r="DP239" i="1"/>
  <c r="DU239" i="1"/>
  <c r="DP259" i="1"/>
  <c r="DU259" i="1"/>
  <c r="DP237" i="1"/>
  <c r="DU237" i="1"/>
  <c r="DP129" i="1"/>
  <c r="DU129" i="1"/>
  <c r="DP10" i="1"/>
  <c r="DU10" i="1"/>
  <c r="DP139" i="1"/>
  <c r="DU139" i="1"/>
  <c r="DP175" i="1"/>
  <c r="DU175" i="1"/>
  <c r="DP211" i="1"/>
  <c r="DU211" i="1"/>
  <c r="DP49" i="1"/>
  <c r="DU49" i="1"/>
  <c r="DP83" i="1"/>
  <c r="DU83" i="1"/>
  <c r="DP37" i="1"/>
  <c r="DU37" i="1"/>
  <c r="DP46" i="1"/>
  <c r="DU46" i="1"/>
  <c r="DP30" i="1"/>
  <c r="DU30" i="1"/>
  <c r="DP215" i="1"/>
  <c r="DU215" i="1"/>
  <c r="DP179" i="1"/>
  <c r="DU179" i="1"/>
  <c r="DP96" i="1"/>
  <c r="DU96" i="1"/>
  <c r="DP131" i="1"/>
  <c r="DU131" i="1"/>
  <c r="DP128" i="1"/>
  <c r="DU128" i="1"/>
  <c r="DP122" i="1"/>
  <c r="DU122" i="1"/>
  <c r="DP119" i="1"/>
  <c r="DU119" i="1"/>
  <c r="DP189" i="1"/>
  <c r="DU189" i="1"/>
  <c r="DP162" i="1"/>
  <c r="DU162" i="1"/>
  <c r="DP71" i="1"/>
  <c r="DU71" i="1"/>
  <c r="DP98" i="1"/>
  <c r="DU98" i="1"/>
  <c r="DP132" i="1"/>
  <c r="DU132" i="1"/>
  <c r="DP69" i="1"/>
  <c r="DU69" i="1"/>
  <c r="DP121" i="1"/>
  <c r="DU121" i="1"/>
  <c r="DP205" i="1"/>
  <c r="DU205" i="1"/>
  <c r="DP21" i="1"/>
  <c r="DU21" i="1"/>
  <c r="DP216" i="1"/>
  <c r="DU216" i="1"/>
  <c r="DP145" i="1"/>
  <c r="DU145" i="1"/>
  <c r="DP41" i="1"/>
  <c r="DU41" i="1"/>
  <c r="DP102" i="1"/>
  <c r="DU102" i="1"/>
  <c r="DP27" i="1"/>
  <c r="DU27" i="1"/>
  <c r="DP174" i="1"/>
  <c r="DU174" i="1"/>
  <c r="DP92" i="1"/>
  <c r="DU92" i="1"/>
  <c r="DP156" i="1"/>
  <c r="DU156" i="1"/>
  <c r="DP130" i="1"/>
  <c r="DU130" i="1"/>
  <c r="DP84" i="1"/>
  <c r="DU84" i="1"/>
  <c r="DP125" i="1"/>
  <c r="DU125" i="1"/>
  <c r="DP97" i="1"/>
  <c r="DU97" i="1"/>
  <c r="DP99" i="1"/>
  <c r="DU99" i="1"/>
  <c r="DP62" i="1"/>
  <c r="DU62" i="1"/>
  <c r="DP7" i="1"/>
  <c r="DP17" i="1"/>
  <c r="DU17" i="1"/>
  <c r="DP82" i="1"/>
  <c r="DU82" i="1"/>
  <c r="DP172" i="1"/>
  <c r="DU172" i="1"/>
  <c r="DP107" i="1"/>
  <c r="DU107" i="1"/>
  <c r="DP105" i="1"/>
  <c r="DU105" i="1"/>
  <c r="DP118" i="1"/>
  <c r="DU118" i="1"/>
  <c r="DP136" i="1"/>
  <c r="DU136" i="1"/>
  <c r="DP196" i="1"/>
  <c r="DU196" i="1"/>
  <c r="DP12" i="1"/>
  <c r="DU12" i="1"/>
  <c r="DP231" i="1"/>
  <c r="DU231" i="1"/>
  <c r="DP224" i="1"/>
  <c r="DU224" i="1"/>
  <c r="DP253" i="1"/>
  <c r="DU253" i="1"/>
  <c r="DP247" i="1"/>
  <c r="DU247" i="1"/>
  <c r="DP226" i="1"/>
  <c r="DU226" i="1"/>
  <c r="DP256" i="1"/>
  <c r="DU256" i="1"/>
  <c r="DP230" i="1"/>
  <c r="DU230" i="1"/>
  <c r="DP262" i="1"/>
  <c r="DU262" i="1"/>
  <c r="DP248" i="1"/>
  <c r="DU248" i="1"/>
  <c r="DP254" i="1"/>
  <c r="DU254" i="1"/>
  <c r="DP268" i="1"/>
  <c r="DU268" i="1"/>
  <c r="DP161" i="1"/>
  <c r="DU161" i="1"/>
  <c r="DP197" i="1"/>
  <c r="DU197" i="1"/>
  <c r="DP206" i="1"/>
  <c r="DU206" i="1"/>
  <c r="DP194" i="1"/>
  <c r="DU194" i="1"/>
  <c r="DP170" i="1"/>
  <c r="DU170" i="1"/>
  <c r="DP81" i="1"/>
  <c r="DU81" i="1"/>
  <c r="DP29" i="1"/>
  <c r="DU29" i="1"/>
  <c r="DP137" i="1"/>
  <c r="DU137" i="1"/>
  <c r="DP20" i="1"/>
  <c r="DU20" i="1"/>
  <c r="DP50" i="1"/>
  <c r="DU50" i="1"/>
  <c r="DP31" i="1"/>
  <c r="DU31" i="1"/>
  <c r="DP184" i="1"/>
  <c r="DU184" i="1"/>
  <c r="DP103" i="1"/>
  <c r="DU103" i="1"/>
  <c r="DP153" i="1"/>
  <c r="DU153" i="1"/>
  <c r="DP9" i="1"/>
  <c r="DU9" i="1"/>
  <c r="DP23" i="1"/>
  <c r="DU23" i="1"/>
  <c r="DP188" i="1"/>
  <c r="DU188" i="1"/>
  <c r="DP200" i="1"/>
  <c r="DU200" i="1"/>
  <c r="DP168" i="1"/>
  <c r="DU168" i="1"/>
  <c r="DP144" i="1"/>
  <c r="DU144" i="1"/>
  <c r="DP72" i="1"/>
  <c r="DU72" i="1"/>
  <c r="DP123" i="1"/>
  <c r="DU123" i="1"/>
  <c r="DP155" i="1"/>
  <c r="DU155" i="1"/>
  <c r="DP166" i="1"/>
  <c r="DU166" i="1"/>
  <c r="DP186" i="1"/>
  <c r="DU186" i="1"/>
  <c r="DP185" i="1"/>
  <c r="DU185" i="1"/>
  <c r="DP187" i="1"/>
  <c r="DU187" i="1"/>
  <c r="DP159" i="1"/>
  <c r="DU159" i="1"/>
  <c r="DP164" i="1"/>
  <c r="DU164" i="1"/>
  <c r="DP24" i="1"/>
  <c r="DU24" i="1"/>
  <c r="DP143" i="1"/>
  <c r="DU143" i="1"/>
  <c r="DP59" i="1"/>
  <c r="DU59" i="1"/>
  <c r="DP114" i="1"/>
  <c r="DU114" i="1"/>
  <c r="DP8" i="1"/>
  <c r="DU8" i="1"/>
  <c r="DP223" i="1"/>
  <c r="DU223" i="1"/>
  <c r="DP51" i="1"/>
  <c r="DU51" i="1"/>
  <c r="DP85" i="1"/>
  <c r="DU85" i="1"/>
  <c r="DP141" i="1"/>
  <c r="DU141" i="1"/>
  <c r="DP39" i="1"/>
  <c r="DU39" i="1"/>
  <c r="DP11" i="1"/>
  <c r="DU11" i="1"/>
  <c r="DP106" i="1"/>
  <c r="DU106" i="1"/>
  <c r="DP57" i="1"/>
  <c r="DU57" i="1"/>
  <c r="DP193" i="1"/>
  <c r="DU193" i="1"/>
  <c r="DP178" i="1"/>
  <c r="DU178" i="1"/>
  <c r="DP32" i="1"/>
  <c r="DU32" i="1"/>
  <c r="DP14" i="1"/>
  <c r="DU14" i="1"/>
  <c r="DP64" i="1"/>
  <c r="DU64" i="1"/>
  <c r="DP163" i="1"/>
  <c r="DU163" i="1"/>
  <c r="DP154" i="1"/>
  <c r="DU154" i="1"/>
  <c r="DP19" i="1"/>
  <c r="DU19" i="1"/>
  <c r="DP91" i="1"/>
  <c r="DU91" i="1"/>
  <c r="DP117" i="1"/>
  <c r="DU117" i="1"/>
  <c r="DP257" i="1"/>
  <c r="DU257" i="1"/>
  <c r="DP243" i="1"/>
  <c r="DU243" i="1"/>
  <c r="DP260" i="1"/>
  <c r="DU260" i="1"/>
  <c r="DP228" i="1"/>
  <c r="DU228" i="1"/>
  <c r="DP263" i="1"/>
  <c r="DU263" i="1"/>
  <c r="DP227" i="1"/>
  <c r="DU227" i="1"/>
  <c r="DP240" i="1"/>
  <c r="DU240" i="1"/>
  <c r="DP234" i="1"/>
  <c r="DU234" i="1"/>
  <c r="DP225" i="1"/>
  <c r="DU225" i="1"/>
  <c r="DP233" i="1"/>
  <c r="DU233" i="1"/>
  <c r="DP265" i="1"/>
  <c r="DU265" i="1"/>
  <c r="DP160" i="1"/>
  <c r="DU160" i="1"/>
  <c r="DP63" i="1"/>
  <c r="DU63" i="1"/>
  <c r="DP40" i="1"/>
  <c r="DU40" i="1"/>
  <c r="DP104" i="1"/>
  <c r="DU104" i="1"/>
  <c r="DP25" i="1"/>
  <c r="DN25" i="1" s="1"/>
  <c r="DU25" i="1"/>
  <c r="DP242" i="1"/>
  <c r="DU242" i="1"/>
  <c r="DP252" i="1"/>
  <c r="DU252" i="1"/>
  <c r="DP171" i="1"/>
  <c r="DU171" i="1"/>
  <c r="DP173" i="1"/>
  <c r="DU173" i="1"/>
  <c r="DP55" i="1"/>
  <c r="DU55" i="1"/>
  <c r="DP44" i="1"/>
  <c r="DU44" i="1"/>
  <c r="DP53" i="1"/>
  <c r="DU53" i="1"/>
  <c r="DP110" i="1"/>
  <c r="DU110" i="1"/>
  <c r="DP157" i="1"/>
  <c r="DU157" i="1"/>
  <c r="DP126" i="1"/>
  <c r="DU126" i="1"/>
  <c r="DP180" i="1"/>
  <c r="DP142" i="1"/>
  <c r="DU142" i="1"/>
  <c r="DP61" i="1"/>
  <c r="DU61" i="1"/>
  <c r="DP22" i="1"/>
  <c r="DU22" i="1"/>
  <c r="DP73" i="1"/>
  <c r="DU73" i="1"/>
  <c r="DP35" i="1"/>
  <c r="DU35" i="1"/>
  <c r="DP165" i="1"/>
  <c r="DU165" i="1"/>
  <c r="DP26" i="1"/>
  <c r="DU26" i="1"/>
  <c r="DP90" i="1"/>
  <c r="DP74" i="1"/>
  <c r="DU74" i="1"/>
  <c r="DP86" i="1"/>
  <c r="DU86" i="1"/>
  <c r="DP208" i="1"/>
  <c r="DU208" i="1"/>
  <c r="DP146" i="1"/>
  <c r="DU146" i="1"/>
  <c r="DP80" i="1"/>
  <c r="DU80" i="1"/>
  <c r="DP33" i="1"/>
  <c r="DU33" i="1"/>
  <c r="DP42" i="1"/>
  <c r="DU42" i="1"/>
  <c r="DP149" i="1"/>
  <c r="DU149" i="1"/>
  <c r="DP134" i="1"/>
  <c r="DU134" i="1"/>
  <c r="DP18" i="1"/>
  <c r="DU18" i="1"/>
  <c r="DP207" i="1"/>
  <c r="DU207" i="1"/>
  <c r="DP192" i="1"/>
  <c r="DU192" i="1"/>
  <c r="DP135" i="1"/>
  <c r="DU135" i="1"/>
  <c r="DP77" i="1"/>
  <c r="DU77" i="1"/>
  <c r="DP54" i="1"/>
  <c r="DU54" i="1"/>
  <c r="DP109" i="1"/>
  <c r="DU109" i="1"/>
  <c r="DP43" i="1"/>
  <c r="DU43" i="1"/>
  <c r="DP15" i="1"/>
  <c r="DU15" i="1"/>
  <c r="DP60" i="1"/>
  <c r="DU60" i="1"/>
  <c r="DP183" i="1"/>
  <c r="DU183" i="1"/>
  <c r="DP201" i="1"/>
  <c r="DU201" i="1"/>
  <c r="DP217" i="1"/>
  <c r="DU217" i="1"/>
  <c r="DP16" i="1"/>
  <c r="DU16" i="1"/>
  <c r="DP150" i="1"/>
  <c r="DU150" i="1"/>
  <c r="DP47" i="1"/>
  <c r="DU47" i="1"/>
  <c r="DP115" i="1"/>
  <c r="DU115" i="1"/>
  <c r="DP87" i="1"/>
  <c r="DU87" i="1"/>
  <c r="DP94" i="1"/>
  <c r="DU94" i="1"/>
  <c r="DP169" i="1"/>
  <c r="DU169" i="1"/>
  <c r="DP269" i="1"/>
  <c r="DU269" i="1"/>
  <c r="DP236" i="1"/>
  <c r="DU236" i="1"/>
  <c r="DP271" i="1"/>
  <c r="DU271" i="1"/>
  <c r="DP241" i="1"/>
  <c r="DU241" i="1"/>
  <c r="DP264" i="1"/>
  <c r="DU264" i="1"/>
  <c r="DP246" i="1"/>
  <c r="DU246" i="1"/>
  <c r="DP229" i="1"/>
  <c r="DU229" i="1"/>
  <c r="DP244" i="1"/>
  <c r="DU244" i="1"/>
  <c r="DP251" i="1"/>
  <c r="DU251" i="1"/>
  <c r="DP238" i="1"/>
  <c r="DU238" i="1"/>
  <c r="DP245" i="1"/>
  <c r="DU245" i="1"/>
  <c r="DP75" i="1"/>
  <c r="DU75" i="1"/>
  <c r="DP48" i="1"/>
  <c r="DU48" i="1"/>
  <c r="DP182" i="1"/>
  <c r="DU182" i="1"/>
  <c r="DP34" i="1"/>
  <c r="DU34" i="1"/>
  <c r="DP158" i="1"/>
  <c r="DU158" i="1"/>
  <c r="DP52" i="1"/>
  <c r="DU52" i="1"/>
  <c r="DP66" i="1"/>
  <c r="DU66" i="1"/>
  <c r="DP140" i="1"/>
  <c r="DU140" i="1"/>
  <c r="DN209" i="1" l="1"/>
  <c r="DN13" i="1"/>
  <c r="DN79" i="1"/>
  <c r="DN112" i="1"/>
  <c r="DN250" i="1"/>
  <c r="DN127" i="1"/>
  <c r="DN133" i="1"/>
  <c r="DN138" i="1"/>
  <c r="DN152" i="1"/>
  <c r="DN205" i="1"/>
  <c r="DN66" i="1"/>
  <c r="DN51" i="1"/>
  <c r="DN160" i="1"/>
  <c r="DN259" i="1"/>
  <c r="DN47" i="1"/>
  <c r="DN196" i="1"/>
  <c r="DN243" i="1"/>
  <c r="DN182" i="1"/>
  <c r="DN26" i="1"/>
  <c r="DN134" i="1"/>
  <c r="DN151" i="1"/>
  <c r="DN128" i="1"/>
  <c r="DN166" i="1"/>
  <c r="DN74" i="1"/>
  <c r="DN162" i="1"/>
  <c r="DN226" i="1"/>
  <c r="DN126" i="1"/>
  <c r="DN261" i="1"/>
  <c r="DN27" i="1"/>
  <c r="DN215" i="1"/>
  <c r="DN23" i="1"/>
  <c r="DN227" i="1"/>
  <c r="DN93" i="1"/>
  <c r="DN123" i="1"/>
  <c r="DN110" i="1"/>
  <c r="DN35" i="1"/>
  <c r="DN54" i="1"/>
  <c r="DN244" i="1"/>
  <c r="DN44" i="1"/>
  <c r="DN99" i="1"/>
  <c r="DN231" i="1"/>
  <c r="DN173" i="1"/>
  <c r="DN14" i="1"/>
  <c r="DN76" i="1"/>
  <c r="DN67" i="1"/>
  <c r="DN224" i="1"/>
  <c r="DN120" i="1"/>
  <c r="DN75" i="1"/>
  <c r="DN159" i="1"/>
  <c r="DN83" i="1"/>
  <c r="DN163" i="1"/>
  <c r="DN149" i="1"/>
  <c r="DN268" i="1"/>
  <c r="DN155" i="1"/>
  <c r="DN59" i="1"/>
  <c r="DN185" i="1"/>
  <c r="DN49" i="1"/>
  <c r="DN129" i="1"/>
  <c r="DN212" i="1"/>
  <c r="DN266" i="1"/>
  <c r="DN176" i="1"/>
  <c r="DN202" i="1"/>
  <c r="DN24" i="1"/>
  <c r="DN178" i="1"/>
  <c r="DN81" i="1"/>
  <c r="DN142" i="1"/>
  <c r="DN190" i="1"/>
  <c r="DN137" i="1"/>
  <c r="DN194" i="1"/>
  <c r="DN188" i="1"/>
  <c r="DN140" i="1"/>
  <c r="DN100" i="1"/>
  <c r="DN60" i="1"/>
  <c r="DN172" i="1"/>
  <c r="DN17" i="1"/>
  <c r="DN164" i="1"/>
  <c r="DN220" i="1"/>
  <c r="DN222" i="1"/>
  <c r="DN143" i="1"/>
  <c r="DN235" i="1"/>
  <c r="DN242" i="1"/>
  <c r="DN91" i="1"/>
  <c r="DN65" i="1"/>
  <c r="DN146" i="1"/>
  <c r="DN122" i="1"/>
  <c r="DN45" i="1"/>
  <c r="DN253" i="1"/>
  <c r="DN101" i="1"/>
  <c r="DN108" i="1"/>
  <c r="DN248" i="1"/>
  <c r="DN217" i="1"/>
  <c r="DN241" i="1"/>
  <c r="DN193" i="1"/>
  <c r="DN229" i="1"/>
  <c r="DN245" i="1"/>
  <c r="DN87" i="1"/>
  <c r="DN246" i="1"/>
  <c r="DN203" i="1"/>
  <c r="DN201" i="1"/>
  <c r="DN252" i="1"/>
  <c r="DN37" i="1"/>
  <c r="DN238" i="1"/>
  <c r="DN7" i="1"/>
  <c r="DN270" i="1"/>
  <c r="DN219" i="1"/>
  <c r="DN116" i="1"/>
  <c r="DN68" i="1"/>
  <c r="DN55" i="1"/>
  <c r="DN210" i="1"/>
  <c r="DN12" i="1"/>
  <c r="DN174" i="1"/>
  <c r="DN168" i="1"/>
  <c r="DN232" i="1"/>
  <c r="DN20" i="1"/>
  <c r="DN254" i="1"/>
  <c r="DN199" i="1"/>
  <c r="DN114" i="1"/>
  <c r="DN237" i="1"/>
  <c r="DN161" i="1"/>
  <c r="DN115" i="1"/>
  <c r="DN84" i="1"/>
  <c r="DN18" i="1"/>
  <c r="DN29" i="1"/>
  <c r="DN57" i="1"/>
  <c r="DN50" i="1"/>
  <c r="DN64" i="1"/>
  <c r="DN30" i="1"/>
  <c r="DN86" i="1"/>
  <c r="DN61" i="1"/>
  <c r="DN94" i="1"/>
  <c r="DN262" i="1"/>
  <c r="DN56" i="1"/>
  <c r="DN192" i="1"/>
  <c r="DN40" i="1"/>
  <c r="DN255" i="1"/>
  <c r="DN214" i="1"/>
  <c r="DN156" i="1"/>
  <c r="DN145" i="1"/>
  <c r="DN19" i="1"/>
  <c r="DN228" i="1"/>
  <c r="DN191" i="1"/>
  <c r="DN247" i="1"/>
  <c r="DN31" i="1"/>
  <c r="DN150" i="1"/>
  <c r="DN107" i="1"/>
  <c r="DN223" i="1"/>
  <c r="DN104" i="1"/>
  <c r="DN103" i="1"/>
  <c r="DN88" i="1"/>
  <c r="DN269" i="1"/>
  <c r="DN200" i="1"/>
  <c r="DN216" i="1"/>
  <c r="DN233" i="1"/>
  <c r="DN225" i="1"/>
  <c r="DN117" i="1"/>
  <c r="DN39" i="1"/>
  <c r="DN189" i="1"/>
  <c r="DN187" i="1"/>
  <c r="DN141" i="1"/>
  <c r="DN147" i="1"/>
  <c r="DN77" i="1"/>
  <c r="DN21" i="1"/>
  <c r="DN125" i="1"/>
  <c r="DN131" i="1"/>
  <c r="DN260" i="1"/>
  <c r="DN106" i="1"/>
  <c r="DN234" i="1"/>
  <c r="DN236" i="1"/>
  <c r="DN80" i="1"/>
  <c r="DN213" i="1"/>
  <c r="DN111" i="1"/>
  <c r="DN211" i="1"/>
  <c r="DN179" i="1"/>
  <c r="DN177" i="1"/>
  <c r="DN38" i="1"/>
  <c r="DN119" i="1"/>
  <c r="DN82" i="1"/>
  <c r="DN9" i="1"/>
  <c r="DN148" i="1"/>
  <c r="DN89" i="1"/>
  <c r="DN92" i="1"/>
  <c r="DN153" i="1"/>
  <c r="DN78" i="1"/>
  <c r="DN95" i="1"/>
  <c r="DN157" i="1"/>
  <c r="DN36" i="1"/>
  <c r="DN170" i="1"/>
  <c r="DN206" i="1"/>
  <c r="DN221" i="1"/>
  <c r="DN62" i="1"/>
  <c r="DN171" i="1"/>
  <c r="DN132" i="1"/>
  <c r="DN165" i="1"/>
  <c r="DN105" i="1"/>
  <c r="DN121" i="1"/>
  <c r="DN186" i="1"/>
  <c r="DN271" i="1"/>
  <c r="DN180" i="1"/>
  <c r="DN167" i="1"/>
  <c r="DN265" i="1"/>
  <c r="DN28" i="1"/>
  <c r="DN181" i="1"/>
  <c r="DN139" i="1"/>
  <c r="DN207" i="1"/>
  <c r="DN240" i="1"/>
  <c r="DN97" i="1"/>
  <c r="DN158" i="1"/>
  <c r="DN239" i="1"/>
  <c r="DN204" i="1"/>
  <c r="DN251" i="1"/>
  <c r="DN72" i="1"/>
  <c r="DN218" i="1"/>
  <c r="DN198" i="1"/>
  <c r="DN230" i="1"/>
  <c r="DN70" i="1"/>
  <c r="DN42" i="1"/>
  <c r="DN63" i="1"/>
  <c r="DN58" i="1"/>
  <c r="DN10" i="1"/>
  <c r="DN118" i="1"/>
  <c r="DN264" i="1"/>
  <c r="DN169" i="1"/>
  <c r="DN48" i="1"/>
  <c r="DN135" i="1"/>
  <c r="DN208" i="1"/>
  <c r="DN263" i="1"/>
  <c r="DN33" i="1"/>
  <c r="DN8" i="1"/>
  <c r="DN15" i="1"/>
  <c r="DN98" i="1"/>
  <c r="DN85" i="1"/>
  <c r="DN184" i="1"/>
  <c r="DN69" i="1"/>
  <c r="DN52" i="1"/>
  <c r="DN136" i="1"/>
  <c r="DN71" i="1"/>
  <c r="DN96" i="1"/>
  <c r="DN197" i="1"/>
  <c r="DN22" i="1"/>
  <c r="DN34" i="1"/>
  <c r="DN53" i="1"/>
  <c r="DN16" i="1"/>
  <c r="DN43" i="1"/>
  <c r="DN154" i="1"/>
  <c r="DN144" i="1"/>
  <c r="DN257" i="1"/>
  <c r="DN249" i="1"/>
  <c r="DN32" i="1"/>
  <c r="DN183" i="1"/>
  <c r="DN195" i="1"/>
  <c r="DN73" i="1"/>
  <c r="DN130" i="1"/>
  <c r="DN41" i="1"/>
  <c r="DN109" i="1"/>
  <c r="DN102" i="1"/>
  <c r="DN11" i="1"/>
  <c r="DN90" i="1"/>
  <c r="DN46" i="1"/>
  <c r="DN175" i="1"/>
  <c r="DN256" i="1"/>
  <c r="DN1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<sst xmlns="http://schemas.openxmlformats.org/spreadsheetml/2006/main" count="1444" uniqueCount="1055">
  <si>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</si>
  <si>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</si>
  <si>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</si>
  <si>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</si>
  <si>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</si>
  <si>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</si>
  <si>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</si>
  <si>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</si>
  <si>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</si>
  <si>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</si>
  <si>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</si>
  <si>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</si>
  <si>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</si>
  <si>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</si>
  <si>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</si>
  <si>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</si>
  <si>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</si>
  <si>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</si>
  <si>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</si>
  <si>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</si>
  <si>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</si>
  <si>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</si>
  <si>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</si>
  <si>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</si>
  <si>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</si>
  <si>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</si>
  <si>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</si>
  <si>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</si>
  <si>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</si>
  <si>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</si>
  <si>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</si>
  <si>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</si>
  <si>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</si>
  <si>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</si>
  <si>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</si>
  <si>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</si>
  <si>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</si>
  <si>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</si>
  <si>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</si>
  <si>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</si>
  <si>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</si>
  <si>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</si>
  <si>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</si>
  <si>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</si>
  <si>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</si>
  <si>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</si>
  <si>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</si>
  <si>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</si>
  <si>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</si>
  <si>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</si>
  <si>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</si>
  <si>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</si>
  <si>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</si>
  <si>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</si>
  <si>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</si>
  <si>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</si>
  <si>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</si>
  <si>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</si>
  <si>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</si>
  <si>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</si>
  <si>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</si>
  <si>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</si>
  <si>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</si>
  <si>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</si>
  <si>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</si>
  <si>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</si>
  <si>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</si>
  <si>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</si>
  <si>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</si>
  <si>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</si>
  <si>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</si>
  <si>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</si>
  <si>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</si>
  <si>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</si>
  <si>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</si>
  <si>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</si>
  <si>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</si>
  <si>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</si>
  <si>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</si>
  <si>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</si>
  <si>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</si>
  <si>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</si>
  <si>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</si>
  <si>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</si>
  <si>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</si>
  <si>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</si>
  <si>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</si>
  <si>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</si>
  <si>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</si>
  <si>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</si>
  <si>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</si>
  <si>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</si>
  <si>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</si>
  <si>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</si>
  <si>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</si>
  <si>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</si>
  <si>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</si>
  <si>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</si>
  <si>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</si>
  <si>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</si>
  <si>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</si>
  <si>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</si>
  <si>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</si>
  <si>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</si>
  <si>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</si>
  <si>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</si>
  <si>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</si>
  <si>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</si>
  <si>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</si>
  <si>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</si>
  <si>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</si>
  <si>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</si>
  <si>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</si>
  <si>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</si>
  <si>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</si>
  <si>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</si>
  <si>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</si>
  <si>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</si>
  <si>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</si>
  <si>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</si>
  <si>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</si>
  <si>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</si>
  <si>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</si>
  <si>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</si>
  <si>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</si>
  <si>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</si>
  <si>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</si>
  <si>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</si>
  <si>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</si>
  <si>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</si>
  <si>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</si>
  <si>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</si>
  <si>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</si>
  <si>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</si>
  <si>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</si>
  <si>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</si>
  <si>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</si>
  <si>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</si>
  <si>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</si>
  <si>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</si>
  <si>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</si>
  <si>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</si>
  <si>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</si>
  <si>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</si>
  <si>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</si>
  <si>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</si>
  <si>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</si>
  <si>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</si>
  <si>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</si>
  <si>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</si>
  <si>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</si>
  <si>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</si>
  <si>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</si>
  <si>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</si>
  <si>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</si>
  <si>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</si>
  <si>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</si>
  <si>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</si>
  <si>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</si>
  <si>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</si>
  <si>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</si>
  <si>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</si>
  <si>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</si>
  <si>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</si>
  <si>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</si>
  <si>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</si>
  <si>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</si>
  <si>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</si>
  <si>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</si>
  <si>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</si>
  <si>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</si>
  <si>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</si>
  <si>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</si>
  <si>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</si>
  <si>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</si>
  <si>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</si>
  <si>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</si>
  <si>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</si>
  <si>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</si>
  <si>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</si>
  <si>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</si>
  <si>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</si>
  <si>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</si>
  <si>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</si>
  <si>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</si>
  <si>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</si>
  <si>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</si>
  <si>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</si>
  <si>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</si>
  <si>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</si>
  <si>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</si>
  <si>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</si>
  <si>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</si>
  <si>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</si>
  <si>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</si>
  <si>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</si>
  <si>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</si>
  <si>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</si>
  <si>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</si>
  <si>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</si>
  <si>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</si>
  <si>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</si>
  <si>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</si>
  <si>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</si>
  <si>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</si>
  <si>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</si>
  <si>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</si>
  <si>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</si>
  <si>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</si>
  <si>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</si>
  <si>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</si>
  <si>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</si>
  <si>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</si>
  <si>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</si>
  <si>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</si>
  <si>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</si>
  <si>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</si>
  <si>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</si>
  <si>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</si>
  <si>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</si>
  <si>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</si>
  <si>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</si>
  <si>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</si>
  <si>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</si>
  <si>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</si>
  <si>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</si>
  <si>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</si>
  <si>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</si>
  <si>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</si>
  <si>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</si>
  <si>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</si>
  <si>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</si>
  <si>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</si>
  <si>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</si>
  <si>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</si>
  <si>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</si>
  <si>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</si>
  <si>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</si>
  <si>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</si>
  <si>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</si>
  <si>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</si>
  <si>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</si>
  <si>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</si>
  <si>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</si>
  <si>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</si>
  <si>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</si>
  <si>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</si>
  <si>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</si>
  <si>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</si>
  <si>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</si>
  <si>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</si>
  <si>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</si>
  <si>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</si>
  <si>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</si>
  <si>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</si>
  <si>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</si>
  <si>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</si>
  <si>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</si>
  <si>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</si>
  <si>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</si>
  <si>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</si>
  <si>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</si>
  <si>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</si>
  <si>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</si>
  <si>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</si>
  <si>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</si>
  <si>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</si>
  <si>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</si>
  <si>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</si>
  <si>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</si>
  <si>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</si>
  <si>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</si>
  <si>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</si>
  <si>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</si>
  <si>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</si>
  <si>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</si>
  <si>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</si>
  <si>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</si>
  <si>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Maior</t>
  </si>
  <si>
    <t>k(17)</t>
  </si>
  <si>
    <t>k (33)</t>
  </si>
  <si>
    <t>k (65)</t>
  </si>
  <si>
    <t>k (17)</t>
  </si>
  <si>
    <t>k (65</t>
  </si>
  <si>
    <t>Volume</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</si>
  <si>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</si>
  <si>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</si>
  <si>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</si>
  <si>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</si>
  <si>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</si>
  <si>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</si>
  <si>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</si>
  <si>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</si>
  <si>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</si>
  <si>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</si>
  <si>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</si>
  <si>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</si>
  <si>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</si>
  <si>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</si>
  <si>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</si>
  <si>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</si>
  <si>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</si>
  <si>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</si>
  <si>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</si>
  <si>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</si>
  <si>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</si>
  <si>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</si>
  <si>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</si>
  <si>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</si>
  <si>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</si>
  <si>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</si>
  <si>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</si>
  <si>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</si>
  <si>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</si>
  <si>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</si>
  <si>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</si>
  <si>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</si>
  <si>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</si>
  <si>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</si>
  <si>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</si>
  <si>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</si>
  <si>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</si>
  <si>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</si>
  <si>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</si>
  <si>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</si>
  <si>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</si>
  <si>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</si>
  <si>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</si>
  <si>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</si>
  <si>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</si>
  <si>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</si>
  <si>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</si>
  <si>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</si>
  <si>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</si>
  <si>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</si>
  <si>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</si>
  <si>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</si>
  <si>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</si>
  <si>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</si>
  <si>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</si>
  <si>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</si>
  <si>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</si>
  <si>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</si>
  <si>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</si>
  <si>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</si>
  <si>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</si>
  <si>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</si>
  <si>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</si>
  <si>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</si>
  <si>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</si>
  <si>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</si>
  <si>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</si>
  <si>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</si>
  <si>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</si>
  <si>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</si>
  <si>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</si>
  <si>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</si>
  <si>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</si>
  <si>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</si>
  <si>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</si>
  <si>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</si>
  <si>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</si>
  <si>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</si>
  <si>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</si>
  <si>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</si>
  <si>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</si>
  <si>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</si>
  <si>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</si>
  <si>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</si>
  <si>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</si>
  <si>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</si>
  <si>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</si>
  <si>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</si>
  <si>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</si>
  <si>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</si>
  <si>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</si>
  <si>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</si>
  <si>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</si>
  <si>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</si>
  <si>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</si>
  <si>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</si>
  <si>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</si>
  <si>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</si>
  <si>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</si>
  <si>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</si>
  <si>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</si>
  <si>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</si>
  <si>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</si>
  <si>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</si>
  <si>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</si>
  <si>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</si>
  <si>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</si>
  <si>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</si>
  <si>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</si>
  <si>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</si>
  <si>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</si>
  <si>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</si>
  <si>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</si>
  <si>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</si>
  <si>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</si>
  <si>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</si>
  <si>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</si>
  <si>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</si>
  <si>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</si>
  <si>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</si>
  <si>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</si>
  <si>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</si>
  <si>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</si>
  <si>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</si>
  <si>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</si>
  <si>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</si>
  <si>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</si>
  <si>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</si>
  <si>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</si>
  <si>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</si>
  <si>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</si>
  <si>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</si>
  <si>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</si>
  <si>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</si>
  <si>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</si>
  <si>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</si>
  <si>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</si>
  <si>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</si>
  <si>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</si>
  <si>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</si>
  <si>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</si>
  <si>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</si>
  <si>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</si>
  <si>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</si>
  <si>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</si>
  <si>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</si>
  <si>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</si>
  <si>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</si>
  <si>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</si>
  <si>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</si>
  <si>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</si>
  <si>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</si>
  <si>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</si>
  <si>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</si>
  <si>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</si>
  <si>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</si>
  <si>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</si>
  <si>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</si>
  <si>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</si>
  <si>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</si>
  <si>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</si>
  <si>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</si>
  <si>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</si>
  <si>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</si>
  <si>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</si>
  <si>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</si>
  <si>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</si>
  <si>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</si>
  <si>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</si>
  <si>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</si>
  <si>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</si>
  <si>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</si>
  <si>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</si>
  <si>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</si>
  <si>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</si>
  <si>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</si>
  <si>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</si>
  <si>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</si>
  <si>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</si>
  <si>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</si>
  <si>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</si>
  <si>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</si>
  <si>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</si>
  <si>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</si>
  <si>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</si>
  <si>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ROIC (capital)</t>
  </si>
  <si>
    <t>Caixa (Liq. Corr)</t>
  </si>
  <si>
    <t>Lucro</t>
  </si>
  <si>
    <t>Valor Patr.</t>
  </si>
  <si>
    <t>Cap. Giro</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</si>
  <si>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</si>
  <si>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</si>
  <si>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</si>
  <si>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</si>
  <si>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</si>
  <si>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</si>
  <si>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</si>
  <si>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</si>
  <si>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</si>
  <si>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</si>
  <si>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</si>
  <si>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</si>
  <si>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</si>
  <si>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</si>
  <si>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</si>
  <si>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</si>
  <si>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</si>
  <si>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</si>
  <si>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</si>
  <si>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t>
  </si>
  <si>
    <t>(+)</t>
  </si>
  <si>
    <t>Posição</t>
  </si>
  <si>
    <t>GOLD11</t>
  </si>
  <si>
    <t>CTAX3</t>
  </si>
  <si>
    <t>MWET3</t>
  </si>
  <si>
    <t>ELET5</t>
  </si>
  <si>
    <t>Acm (%)</t>
  </si>
  <si>
    <t>Spread (%)</t>
  </si>
  <si>
    <t>trf55                                               ç4444444444444445x</t>
  </si>
  <si>
    <t>Alvo</t>
  </si>
  <si>
    <t>BTC-USD</t>
  </si>
  <si>
    <t>ETH-USD</t>
  </si>
  <si>
    <t>ACWI11</t>
  </si>
  <si>
    <t>AGRI11</t>
  </si>
  <si>
    <t>ALUG11</t>
  </si>
  <si>
    <t>BBOV11</t>
  </si>
  <si>
    <t>BBSD11</t>
  </si>
  <si>
    <t>BDEF11</t>
  </si>
  <si>
    <t>BDOM11</t>
  </si>
  <si>
    <t>BITH11</t>
  </si>
  <si>
    <t>BMMT11</t>
  </si>
  <si>
    <t>BOVA11</t>
  </si>
  <si>
    <t>BOVB11</t>
  </si>
  <si>
    <t>BOVV11</t>
  </si>
  <si>
    <t>BOVX11</t>
  </si>
  <si>
    <t>BRAX11</t>
  </si>
  <si>
    <t>BXPO11</t>
  </si>
  <si>
    <t>CMDB11</t>
  </si>
  <si>
    <t>CORN11</t>
  </si>
  <si>
    <t>DIVO11</t>
  </si>
  <si>
    <t>DOLA11</t>
  </si>
  <si>
    <t>ECOO11</t>
  </si>
  <si>
    <t>ESGB11</t>
  </si>
  <si>
    <t>ETHE11</t>
  </si>
  <si>
    <t>FIND11</t>
  </si>
  <si>
    <t>GENB11</t>
  </si>
  <si>
    <t>GOVE11</t>
  </si>
  <si>
    <t>HASH11</t>
  </si>
  <si>
    <t>HTEK11</t>
  </si>
  <si>
    <t>IBOB11</t>
  </si>
  <si>
    <t>IRFM11</t>
  </si>
  <si>
    <t>ISUS11</t>
  </si>
  <si>
    <t>IVVB11</t>
  </si>
  <si>
    <t>JOGO11</t>
  </si>
  <si>
    <t>LFTS11</t>
  </si>
  <si>
    <t>MATB11</t>
  </si>
  <si>
    <t>MILL11</t>
  </si>
  <si>
    <t>NASD11</t>
  </si>
  <si>
    <t>PIBB11</t>
  </si>
  <si>
    <t>QBTC11</t>
  </si>
  <si>
    <t>QETH11</t>
  </si>
  <si>
    <t>REVE11</t>
  </si>
  <si>
    <t>SMAB11</t>
  </si>
  <si>
    <t>SMAC11</t>
  </si>
  <si>
    <t>SMAL11</t>
  </si>
  <si>
    <t>SOLH11</t>
  </si>
  <si>
    <t>SPXB11</t>
  </si>
  <si>
    <t>SPXI11</t>
  </si>
  <si>
    <t>TECK11</t>
  </si>
  <si>
    <t>TRIG11</t>
  </si>
  <si>
    <t>USTK11</t>
  </si>
  <si>
    <t>WRLD11</t>
  </si>
  <si>
    <t>XBOV11</t>
  </si>
  <si>
    <t>XFIX11</t>
  </si>
  <si>
    <t>XINA11</t>
  </si>
  <si>
    <t>YDRO11</t>
  </si>
  <si>
    <t>MXRF11</t>
  </si>
  <si>
    <t>XPML11</t>
  </si>
  <si>
    <t>HGLG11</t>
  </si>
  <si>
    <t>KNCR11</t>
  </si>
  <si>
    <t>VGHF11</t>
  </si>
  <si>
    <t>BTLG11</t>
  </si>
  <si>
    <t>CPTS11</t>
  </si>
  <si>
    <t>VISC11</t>
  </si>
  <si>
    <t>XPLG11</t>
  </si>
  <si>
    <t>KNRI11</t>
  </si>
  <si>
    <t>IRDM11</t>
  </si>
  <si>
    <t>GARE11</t>
  </si>
  <si>
    <t>VGIR11</t>
  </si>
  <si>
    <t>HGRU11</t>
  </si>
  <si>
    <t>RECR11</t>
  </si>
  <si>
    <t>PVBI11</t>
  </si>
  <si>
    <t>TGAR11</t>
  </si>
  <si>
    <t>HGBS11</t>
  </si>
  <si>
    <t>MCCI11</t>
  </si>
  <si>
    <t>KNIP11</t>
  </si>
  <si>
    <t>SOL-USD</t>
  </si>
  <si>
    <t>9.44</t>
  </si>
  <si>
    <t>6.73</t>
  </si>
  <si>
    <t>7.35</t>
  </si>
  <si>
    <t>13.88</t>
  </si>
  <si>
    <t>15.02</t>
  </si>
  <si>
    <t>45.27</t>
  </si>
  <si>
    <t>41.75</t>
  </si>
  <si>
    <t>71.17</t>
  </si>
  <si>
    <t>111.35</t>
  </si>
  <si>
    <t>132.52</t>
  </si>
  <si>
    <t>116.57</t>
  </si>
  <si>
    <t>147.2</t>
  </si>
  <si>
    <t>127.09</t>
  </si>
  <si>
    <t>133.5</t>
  </si>
  <si>
    <t>138.76</t>
  </si>
  <si>
    <t>139.68</t>
  </si>
  <si>
    <t>114.04</t>
  </si>
  <si>
    <t>134.58</t>
  </si>
  <si>
    <t>13.36</t>
  </si>
  <si>
    <t>101.1</t>
  </si>
  <si>
    <t>10.45</t>
  </si>
  <si>
    <t>123.98</t>
  </si>
  <si>
    <t>107.96</t>
  </si>
  <si>
    <t>47.51</t>
  </si>
  <si>
    <t>144.33</t>
  </si>
  <si>
    <t>19.2</t>
  </si>
  <si>
    <t>19.48</t>
  </si>
  <si>
    <t>59.28</t>
  </si>
  <si>
    <t>86.21</t>
  </si>
  <si>
    <t>50.64</t>
  </si>
  <si>
    <t>111.95</t>
  </si>
  <si>
    <t>90.69</t>
  </si>
  <si>
    <t>37.48</t>
  </si>
  <si>
    <t>388.8</t>
  </si>
  <si>
    <t>143.8</t>
  </si>
  <si>
    <t>136.22</t>
  </si>
  <si>
    <t>50.6</t>
  </si>
  <si>
    <t>78.1</t>
  </si>
  <si>
    <t>17.62</t>
  </si>
  <si>
    <t>240.4</t>
  </si>
  <si>
    <t>38.7</t>
  </si>
  <si>
    <t>11.47</t>
  </si>
  <si>
    <t>65.21</t>
  </si>
  <si>
    <t>7.76</t>
  </si>
  <si>
    <t>54.8</t>
  </si>
  <si>
    <t>105.3</t>
  </si>
  <si>
    <t>25.33</t>
  </si>
  <si>
    <t>15.22</t>
  </si>
  <si>
    <t>378.45</t>
  </si>
  <si>
    <t>107.13</t>
  </si>
  <si>
    <t>43.64</t>
  </si>
  <si>
    <t>16.77</t>
  </si>
  <si>
    <t>128.49</t>
  </si>
  <si>
    <t>133.48</t>
  </si>
  <si>
    <t>12.33</t>
  </si>
  <si>
    <t>7.83</t>
  </si>
  <si>
    <t>36.01</t>
  </si>
  <si>
    <t>100.21</t>
  </si>
  <si>
    <t>8.92</t>
  </si>
  <si>
    <t>19.43</t>
  </si>
  <si>
    <t>156.33</t>
  </si>
  <si>
    <t>125</t>
  </si>
  <si>
    <t>67.28</t>
  </si>
  <si>
    <t>103.33</t>
  </si>
  <si>
    <t>88.22</t>
  </si>
  <si>
    <t>144.99</t>
  </si>
  <si>
    <t>87.15</t>
  </si>
  <si>
    <t>9.49</t>
  </si>
  <si>
    <t>77.23</t>
  </si>
  <si>
    <t>84.65</t>
  </si>
  <si>
    <t>89.4</t>
  </si>
  <si>
    <t>7.68</t>
  </si>
  <si>
    <t>104.52</t>
  </si>
  <si>
    <t>100.14</t>
  </si>
  <si>
    <t>104</t>
  </si>
  <si>
    <t>BNB-USD</t>
  </si>
  <si>
    <t>ADA-USD</t>
  </si>
  <si>
    <t>XRP-USD</t>
  </si>
  <si>
    <t>MMMC34</t>
  </si>
  <si>
    <t>A1BB34</t>
  </si>
  <si>
    <t>ABTT34</t>
  </si>
  <si>
    <t>ABBV34</t>
  </si>
  <si>
    <t>ABAM34</t>
  </si>
  <si>
    <t>A2SO34</t>
  </si>
  <si>
    <t>ACNB34</t>
  </si>
  <si>
    <t>ATVI34</t>
  </si>
  <si>
    <t>A2HC34</t>
  </si>
  <si>
    <t>ADBE34</t>
  </si>
  <si>
    <t>A1AP34</t>
  </si>
  <si>
    <t>A1MD34</t>
  </si>
  <si>
    <t>A1EG34</t>
  </si>
  <si>
    <t>A1ES34</t>
  </si>
  <si>
    <t>A1FL34</t>
  </si>
  <si>
    <t>A1GI34</t>
  </si>
  <si>
    <t>A1PD34</t>
  </si>
  <si>
    <t>AIRB34</t>
  </si>
  <si>
    <t>A1KA34</t>
  </si>
  <si>
    <t>AKZA34</t>
  </si>
  <si>
    <t>A1LK34</t>
  </si>
  <si>
    <t>A1LB34</t>
  </si>
  <si>
    <t>A2LC34</t>
  </si>
  <si>
    <t>A1RE34</t>
  </si>
  <si>
    <t>BABA34</t>
  </si>
  <si>
    <t>A1LG34</t>
  </si>
  <si>
    <t>A1GN34</t>
  </si>
  <si>
    <t>ALFG34</t>
  </si>
  <si>
    <t>A1EN34</t>
  </si>
  <si>
    <t>M2DR34</t>
  </si>
  <si>
    <t>A1TT34</t>
  </si>
  <si>
    <t>A1LN34</t>
  </si>
  <si>
    <t>GOGL34</t>
  </si>
  <si>
    <t>GOGL35</t>
  </si>
  <si>
    <t>A1YX34</t>
  </si>
  <si>
    <t>MOOO34</t>
  </si>
  <si>
    <t>AMZO34</t>
  </si>
  <si>
    <t>A2MB34</t>
  </si>
  <si>
    <t>A2MC34</t>
  </si>
  <si>
    <t>A1CR34</t>
  </si>
  <si>
    <t>D2OX34</t>
  </si>
  <si>
    <t>A2ME34</t>
  </si>
  <si>
    <t>A1EE34</t>
  </si>
  <si>
    <t>AALL34</t>
  </si>
  <si>
    <t>A1EP34</t>
  </si>
  <si>
    <t>AXPB34</t>
  </si>
  <si>
    <t>AIGB34</t>
  </si>
  <si>
    <t>T1OW34</t>
  </si>
  <si>
    <t>A1WK34</t>
  </si>
  <si>
    <t>A1MP34</t>
  </si>
  <si>
    <t>A1MB34</t>
  </si>
  <si>
    <t>A1ME34</t>
  </si>
  <si>
    <t>AMGN34</t>
  </si>
  <si>
    <t>A1PH34</t>
  </si>
  <si>
    <t>A2MR34</t>
  </si>
  <si>
    <t>A1DI34</t>
  </si>
  <si>
    <t>AAGO34</t>
  </si>
  <si>
    <t>A1UA34</t>
  </si>
  <si>
    <t>ABUD34</t>
  </si>
  <si>
    <t>N2LY34</t>
  </si>
  <si>
    <t>A1NS34</t>
  </si>
  <si>
    <t>A1OS34</t>
  </si>
  <si>
    <t>A1ON34</t>
  </si>
  <si>
    <t>A1PA34</t>
  </si>
  <si>
    <t>A1IV34</t>
  </si>
  <si>
    <t>AAPL34</t>
  </si>
  <si>
    <t>A1MT34</t>
  </si>
  <si>
    <t>A2TR34</t>
  </si>
  <si>
    <t>APTV34</t>
  </si>
  <si>
    <t>ARMT34</t>
  </si>
  <si>
    <t>A1DM34</t>
  </si>
  <si>
    <t>A2RE34</t>
  </si>
  <si>
    <t>A1RG34</t>
  </si>
  <si>
    <t>A1NE34</t>
  </si>
  <si>
    <t>AWII34</t>
  </si>
  <si>
    <t>A2RW34</t>
  </si>
  <si>
    <t>A2RR34</t>
  </si>
  <si>
    <t>A1JG34</t>
  </si>
  <si>
    <t>A1SN34</t>
  </si>
  <si>
    <t>ASML34</t>
  </si>
  <si>
    <t>A1SU34</t>
  </si>
  <si>
    <t>A1ZN34</t>
  </si>
  <si>
    <t>ATTB34</t>
  </si>
  <si>
    <t>T1AM34</t>
  </si>
  <si>
    <t>A1TM34</t>
  </si>
  <si>
    <t>A1UT34</t>
  </si>
  <si>
    <t>A1TH34</t>
  </si>
  <si>
    <t>ADPR34</t>
  </si>
  <si>
    <t>AZOI34</t>
  </si>
  <si>
    <t>A1VB34</t>
  </si>
  <si>
    <t>A1VY34</t>
  </si>
  <si>
    <t>A2XO34</t>
  </si>
  <si>
    <t>A2ZT34</t>
  </si>
  <si>
    <t>118003.23</t>
  </si>
  <si>
    <t>3549.02</t>
  </si>
  <si>
    <t>177.38</t>
  </si>
  <si>
    <t>730.22</t>
  </si>
  <si>
    <t>0.82</t>
  </si>
  <si>
    <t>3.42</t>
  </si>
  <si>
    <t>21.16</t>
  </si>
  <si>
    <t>53.89</t>
  </si>
  <si>
    <t>665.97</t>
  </si>
  <si>
    <t>302.4</t>
  </si>
  <si>
    <t>271.35</t>
  </si>
  <si>
    <t>39.4</t>
  </si>
  <si>
    <t>335.2</t>
  </si>
  <si>
    <t>280.95</t>
  </si>
  <si>
    <t>75.04</t>
  </si>
  <si>
    <t>571.2</t>
  </si>
  <si>
    <t>327.86</t>
  </si>
  <si>
    <t>382.75</t>
  </si>
  <si>
    <t>48.61</t>
  </si>
  <si>
    <t>855</t>
  </si>
  <si>
    <t>35.3</t>
  </si>
  <si>
    <t>17.94</t>
  </si>
  <si>
    <t>281.24</t>
  </si>
  <si>
    <t>269.46</t>
  </si>
  <si>
    <t>85.74</t>
  </si>
  <si>
    <t>109.9</t>
  </si>
  <si>
    <t>42.16</t>
  </si>
  <si>
    <t>761.98</t>
  </si>
  <si>
    <t>106.16</t>
  </si>
  <si>
    <t>156.3</t>
  </si>
  <si>
    <t>471.84</t>
  </si>
  <si>
    <t>481.2</t>
  </si>
  <si>
    <t>350</t>
  </si>
  <si>
    <t>111.98</t>
  </si>
  <si>
    <t>389.52</t>
  </si>
  <si>
    <t>282.24</t>
  </si>
  <si>
    <t>109.23</t>
  </si>
  <si>
    <t>125.4</t>
  </si>
  <si>
    <t>63.2</t>
  </si>
  <si>
    <t>264.16</t>
  </si>
  <si>
    <t>15.62</t>
  </si>
  <si>
    <t>417.9</t>
  </si>
  <si>
    <t>44.4</t>
  </si>
  <si>
    <t>404.44</t>
  </si>
  <si>
    <t>281.6</t>
  </si>
  <si>
    <t>531.81</t>
  </si>
  <si>
    <t>198.2</t>
  </si>
  <si>
    <t>63.96</t>
  </si>
  <si>
    <t>15.52</t>
  </si>
  <si>
    <t>102.02</t>
  </si>
  <si>
    <t>11.4</t>
  </si>
  <si>
    <t>46.65</t>
  </si>
  <si>
    <t>66.99</t>
  </si>
  <si>
    <t>233.22</t>
  </si>
  <si>
    <t>15.04</t>
  </si>
  <si>
    <t>69.8</t>
  </si>
  <si>
    <t>59.12</t>
  </si>
  <si>
    <t>65.87</t>
  </si>
  <si>
    <t>58</t>
  </si>
  <si>
    <t>63.06</t>
  </si>
  <si>
    <t>1568.23</t>
  </si>
  <si>
    <t>40.41</t>
  </si>
  <si>
    <t>69.35</t>
  </si>
  <si>
    <t>451</t>
  </si>
  <si>
    <t>38.84</t>
  </si>
  <si>
    <t>59.07</t>
  </si>
  <si>
    <t>63.22</t>
  </si>
  <si>
    <t>193.2</t>
  </si>
  <si>
    <t>90.45</t>
  </si>
  <si>
    <t>74.29</t>
  </si>
  <si>
    <t>49.98</t>
  </si>
  <si>
    <t>44.9</t>
  </si>
  <si>
    <t>886.86</t>
  </si>
  <si>
    <t>172.01</t>
  </si>
  <si>
    <t>94.23</t>
  </si>
  <si>
    <t>23.88</t>
  </si>
  <si>
    <t/>
  </si>
  <si>
    <t>86.37</t>
  </si>
  <si>
    <t>86.36</t>
  </si>
  <si>
    <t>212.99</t>
  </si>
  <si>
    <t>322.25</t>
  </si>
  <si>
    <t>111.1</t>
  </si>
  <si>
    <t>54.2</t>
  </si>
  <si>
    <t>52.3</t>
  </si>
  <si>
    <t>15.19</t>
  </si>
  <si>
    <t>42.12</t>
  </si>
  <si>
    <t>69.7</t>
  </si>
  <si>
    <t>109.17</t>
  </si>
  <si>
    <t>130.51</t>
  </si>
  <si>
    <t>114.84</t>
  </si>
  <si>
    <t>149.2</t>
  </si>
  <si>
    <t>124.86</t>
  </si>
  <si>
    <t>130.3</t>
  </si>
  <si>
    <t>135.91</t>
  </si>
  <si>
    <t>136.8</t>
  </si>
  <si>
    <t>13.62</t>
  </si>
  <si>
    <t>111.91</t>
  </si>
  <si>
    <t>132.02</t>
  </si>
  <si>
    <t>13.05</t>
  </si>
  <si>
    <t>6.65</t>
  </si>
  <si>
    <t>98.84</t>
  </si>
  <si>
    <t>10.55</t>
  </si>
  <si>
    <t>121.62</t>
  </si>
  <si>
    <t>105.73</t>
  </si>
  <si>
    <t>57.4</t>
  </si>
  <si>
    <t>141.02</t>
  </si>
  <si>
    <t>19.57</t>
  </si>
  <si>
    <t>19.55</t>
  </si>
  <si>
    <t>58.15</t>
  </si>
  <si>
    <t>90</t>
  </si>
  <si>
    <t>49.71</t>
  </si>
  <si>
    <t>109.7</t>
  </si>
  <si>
    <t>90.63</t>
  </si>
  <si>
    <t>36.74</t>
  </si>
  <si>
    <t>394.28</t>
  </si>
  <si>
    <t>151.1</t>
  </si>
  <si>
    <t>136.57</t>
  </si>
  <si>
    <t>49.77</t>
  </si>
  <si>
    <t>82.66</t>
  </si>
  <si>
    <t>17.93</t>
  </si>
  <si>
    <t>235.15</t>
  </si>
  <si>
    <t>39.18</t>
  </si>
  <si>
    <t>13.76</t>
  </si>
  <si>
    <t>65.91</t>
  </si>
  <si>
    <t>7.61</t>
  </si>
  <si>
    <t>54.05</t>
  </si>
  <si>
    <t>102.78</t>
  </si>
  <si>
    <t>27.03</t>
  </si>
  <si>
    <t>15.39</t>
  </si>
  <si>
    <t>383.57</t>
  </si>
  <si>
    <t>108.95</t>
  </si>
  <si>
    <t>42.67</t>
  </si>
  <si>
    <t>17.23</t>
  </si>
  <si>
    <t>130.02</t>
  </si>
  <si>
    <t>130.77</t>
  </si>
  <si>
    <t>12.26</t>
  </si>
  <si>
    <t>8.27</t>
  </si>
  <si>
    <t>35.55</t>
  </si>
  <si>
    <t>99.85</t>
  </si>
  <si>
    <t>7.34</t>
  </si>
  <si>
    <t>8.9</t>
  </si>
  <si>
    <t>19.3</t>
  </si>
  <si>
    <t>156.12</t>
  </si>
  <si>
    <t>124.72</t>
  </si>
  <si>
    <t>62.13</t>
  </si>
  <si>
    <t>104.26</t>
  </si>
  <si>
    <t>87.94</t>
  </si>
  <si>
    <t>144.72</t>
  </si>
  <si>
    <t>86.11</t>
  </si>
  <si>
    <t>9.5</t>
  </si>
  <si>
    <t>74.4</t>
  </si>
  <si>
    <t>83.82</t>
  </si>
  <si>
    <t>85.83</t>
  </si>
  <si>
    <t>7.64</t>
  </si>
  <si>
    <t>9.63</t>
  </si>
  <si>
    <t>104.35</t>
  </si>
  <si>
    <t>99.79</t>
  </si>
  <si>
    <t>102.9</t>
  </si>
  <si>
    <t>EQPA6</t>
  </si>
  <si>
    <t>NATU3</t>
  </si>
  <si>
    <t>TOKY3</t>
  </si>
  <si>
    <t>119764.74</t>
  </si>
  <si>
    <t>3857.39</t>
  </si>
  <si>
    <t>190.31</t>
  </si>
  <si>
    <t>844.61</t>
  </si>
  <si>
    <t>0.84</t>
  </si>
  <si>
    <t>3.25</t>
  </si>
  <si>
    <t>20.44</t>
  </si>
  <si>
    <t>53.77</t>
  </si>
  <si>
    <t>633.64</t>
  </si>
  <si>
    <t>307.21</t>
  </si>
  <si>
    <t>40.28</t>
  </si>
  <si>
    <t>304.49</t>
  </si>
  <si>
    <t>76.56</t>
  </si>
  <si>
    <t>567.4</t>
  </si>
  <si>
    <t>48.3</t>
  </si>
  <si>
    <t>874.65</t>
  </si>
  <si>
    <t>37.12</t>
  </si>
  <si>
    <t>19.24</t>
  </si>
  <si>
    <t>265</t>
  </si>
  <si>
    <t>91.45</t>
  </si>
  <si>
    <t>115.75</t>
  </si>
  <si>
    <t>41.68</t>
  </si>
  <si>
    <t>725.62</t>
  </si>
  <si>
    <t>161</t>
  </si>
  <si>
    <t>105.5</t>
  </si>
  <si>
    <t>413</t>
  </si>
  <si>
    <t>292.4</t>
  </si>
  <si>
    <t>114.5</t>
  </si>
  <si>
    <t>130.78</t>
  </si>
  <si>
    <t>15.38</t>
  </si>
  <si>
    <t>421.26</t>
  </si>
  <si>
    <t>281.12</t>
  </si>
  <si>
    <t>195.3</t>
  </si>
  <si>
    <t>67.48</t>
  </si>
  <si>
    <t>103.2</t>
  </si>
  <si>
    <t>10.86</t>
  </si>
  <si>
    <t>46.8</t>
  </si>
  <si>
    <t>227.26</t>
  </si>
  <si>
    <t>64</t>
  </si>
  <si>
    <t>59.62</t>
  </si>
  <si>
    <t>65.05</t>
  </si>
  <si>
    <t>57.91</t>
  </si>
  <si>
    <t>65.16</t>
  </si>
  <si>
    <t>1562.63</t>
  </si>
  <si>
    <t>41.84</t>
  </si>
  <si>
    <t>71.5</t>
  </si>
  <si>
    <t>439.4</t>
  </si>
  <si>
    <t>39.32</t>
  </si>
  <si>
    <t>61.2</t>
  </si>
  <si>
    <t>64.6</t>
  </si>
  <si>
    <t>193.8</t>
  </si>
  <si>
    <t>92.52</t>
  </si>
  <si>
    <t>73</t>
  </si>
  <si>
    <t>52.5</t>
  </si>
  <si>
    <t>46.73</t>
  </si>
  <si>
    <t>173.39</t>
  </si>
  <si>
    <t>96.8</t>
  </si>
  <si>
    <t>23.72</t>
  </si>
  <si>
    <t>61.56</t>
  </si>
  <si>
    <t>89.57</t>
  </si>
  <si>
    <t>90.18</t>
  </si>
  <si>
    <t>210</t>
  </si>
  <si>
    <t>329.34</t>
  </si>
  <si>
    <t>115.93</t>
  </si>
  <si>
    <t>56.52</t>
  </si>
  <si>
    <t>53.15</t>
  </si>
  <si>
    <t>15.36</t>
  </si>
  <si>
    <t>44.67</t>
  </si>
  <si>
    <t>42.76</t>
  </si>
  <si>
    <t>69.75</t>
  </si>
  <si>
    <t>110.03</t>
  </si>
  <si>
    <t>131.21</t>
  </si>
  <si>
    <t>114.52</t>
  </si>
  <si>
    <t>147.69</t>
  </si>
  <si>
    <t>124.45</t>
  </si>
  <si>
    <t>130.45</t>
  </si>
  <si>
    <t>136.19</t>
  </si>
  <si>
    <t>136.9</t>
  </si>
  <si>
    <t>13.64</t>
  </si>
  <si>
    <t>111.78</t>
  </si>
  <si>
    <t>132.37</t>
  </si>
  <si>
    <t>13.37</t>
  </si>
  <si>
    <t>6.42</t>
  </si>
  <si>
    <t>99.67</t>
  </si>
  <si>
    <t>10.5</t>
  </si>
  <si>
    <t>120.52</t>
  </si>
  <si>
    <t>105.85</t>
  </si>
  <si>
    <t>58.89</t>
  </si>
  <si>
    <t>140.27</t>
  </si>
  <si>
    <t>19.46</t>
  </si>
  <si>
    <t>19.38</t>
  </si>
  <si>
    <t>58.21</t>
  </si>
  <si>
    <t>89.61</t>
  </si>
  <si>
    <t>51.13</t>
  </si>
  <si>
    <t>109.81</t>
  </si>
  <si>
    <t>90.99</t>
  </si>
  <si>
    <t>36.6</t>
  </si>
  <si>
    <t>398.3</t>
  </si>
  <si>
    <t>148.23</t>
  </si>
  <si>
    <t>136.98</t>
  </si>
  <si>
    <t>51.67</t>
  </si>
  <si>
    <t>81.31</t>
  </si>
  <si>
    <t>18.05</t>
  </si>
  <si>
    <t>235.19</t>
  </si>
  <si>
    <t>39.19</t>
  </si>
  <si>
    <t>14.28</t>
  </si>
  <si>
    <t>66.39</t>
  </si>
  <si>
    <t>7.6</t>
  </si>
  <si>
    <t>53.93</t>
  </si>
  <si>
    <t>102.83</t>
  </si>
  <si>
    <t>27.97</t>
  </si>
  <si>
    <t>15.58</t>
  </si>
  <si>
    <t>387.52</t>
  </si>
  <si>
    <t>109.04</t>
  </si>
  <si>
    <t>42.5</t>
  </si>
  <si>
    <t>17.26</t>
  </si>
  <si>
    <t>131.78</t>
  </si>
  <si>
    <t>130.92</t>
  </si>
  <si>
    <t>12.18</t>
  </si>
  <si>
    <t>8.41</t>
  </si>
  <si>
    <t>38.53</t>
  </si>
  <si>
    <t>99.55</t>
  </si>
  <si>
    <t>7.29</t>
  </si>
  <si>
    <t>8.99</t>
  </si>
  <si>
    <t>18.99</t>
  </si>
  <si>
    <t>155.71</t>
  </si>
  <si>
    <t>124.8</t>
  </si>
  <si>
    <t>61.99</t>
  </si>
  <si>
    <t>104.3</t>
  </si>
  <si>
    <t>87.37</t>
  </si>
  <si>
    <t>143.99</t>
  </si>
  <si>
    <t>86.85</t>
  </si>
  <si>
    <t>9.55</t>
  </si>
  <si>
    <t>73.4</t>
  </si>
  <si>
    <t>82.8</t>
  </si>
  <si>
    <t>83.11</t>
  </si>
  <si>
    <t>7.71</t>
  </si>
  <si>
    <t>9.65</t>
  </si>
  <si>
    <t>103.55</t>
  </si>
  <si>
    <t>99</t>
  </si>
  <si>
    <t>101.75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</si>
</sst>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 numFmtId="170" formatCode="_-[$R$-416]\ * #,##0.00_-;\-[$R$-416]\ * #,##0.00_-;_-[$R$-416]\ * &quot;-&quot;??_-;_-@_-"/>
  </numFmts>
  <fonts count="21"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
      <sz val="11"/>
      <color rgb="FF0D1421"/>
      <name val="Segoe UI"/>
      <family val="2"/>
    </font>
    <font>
      <sz val="11"/>
      <name val="Calibri"/>
      <family val="2"/>
    </font>
  </fonts>
  <fills count="6">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0" fillId="0" borderId="0"/>
  </cellStyleXfs>
  <cellXfs count="95">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0" fontId="0" fillId="0" borderId="0" xfId="0"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0" fontId="12" fillId="0" borderId="0" xfId="0" applyFont="1"/>
    <xf numFmtId="10" fontId="2" fillId="3" borderId="1" xfId="0" applyNumberFormat="1" applyFont="1" applyFill="1" applyBorder="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3"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3" borderId="2" xfId="0" applyNumberFormat="1" applyFont="1" applyFill="1" applyBorder="1" applyAlignment="1">
      <alignment horizontal="center"/>
    </xf>
    <xf numFmtId="10" fontId="15" fillId="4" borderId="1" xfId="0" applyNumberFormat="1" applyFont="1" applyFill="1" applyBorder="1" applyAlignment="1">
      <alignment horizontal="center"/>
    </xf>
    <xf numFmtId="164" fontId="17" fillId="4" borderId="1" xfId="0" applyNumberFormat="1" applyFont="1" applyFill="1" applyBorder="1" applyAlignment="1">
      <alignment horizontal="center"/>
    </xf>
    <xf numFmtId="10" fontId="17" fillId="4" borderId="1" xfId="0" applyNumberFormat="1" applyFont="1" applyFill="1" applyBorder="1" applyAlignment="1">
      <alignment horizontal="center"/>
    </xf>
    <xf numFmtId="164" fontId="2" fillId="4" borderId="1" xfId="0" applyNumberFormat="1" applyFont="1" applyFill="1" applyBorder="1" applyAlignment="1">
      <alignment horizontal="center"/>
    </xf>
    <xf numFmtId="3" fontId="1" fillId="4" borderId="1" xfId="0" applyNumberFormat="1" applyFont="1" applyFill="1" applyBorder="1" applyAlignment="1">
      <alignment horizontal="center"/>
    </xf>
    <xf numFmtId="164" fontId="6" fillId="4" borderId="0" xfId="0" applyNumberFormat="1" applyFont="1" applyFill="1" applyAlignment="1">
      <alignment horizontal="center"/>
    </xf>
    <xf numFmtId="164" fontId="2" fillId="0" borderId="1" xfId="0" applyNumberFormat="1" applyFont="1" applyBorder="1" applyAlignment="1">
      <alignment horizontal="center"/>
    </xf>
    <xf numFmtId="10" fontId="15" fillId="4"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7" fillId="4" borderId="3" xfId="0" applyNumberFormat="1" applyFont="1" applyFill="1" applyBorder="1" applyAlignment="1">
      <alignment horizontal="center"/>
    </xf>
    <xf numFmtId="10" fontId="17" fillId="4" borderId="3" xfId="0" applyNumberFormat="1" applyFont="1" applyFill="1" applyBorder="1" applyAlignment="1">
      <alignment horizontal="center"/>
    </xf>
    <xf numFmtId="4" fontId="1" fillId="3" borderId="3" xfId="0" applyNumberFormat="1" applyFont="1" applyFill="1" applyBorder="1" applyAlignment="1">
      <alignment horizontal="center"/>
    </xf>
    <xf numFmtId="10" fontId="15" fillId="4" borderId="2" xfId="0" applyNumberFormat="1" applyFont="1" applyFill="1" applyBorder="1" applyAlignment="1">
      <alignment horizontal="center"/>
    </xf>
    <xf numFmtId="10" fontId="2" fillId="0" borderId="2" xfId="0" applyNumberFormat="1" applyFont="1" applyBorder="1" applyAlignment="1">
      <alignment horizontal="center"/>
    </xf>
    <xf numFmtId="164" fontId="14" fillId="2" borderId="2" xfId="0" applyNumberFormat="1" applyFont="1" applyFill="1" applyBorder="1" applyAlignment="1">
      <alignment horizontal="center"/>
    </xf>
    <xf numFmtId="10" fontId="17" fillId="4" borderId="2" xfId="0" applyNumberFormat="1" applyFont="1" applyFill="1" applyBorder="1" applyAlignment="1">
      <alignment horizontal="center"/>
    </xf>
    <xf numFmtId="164" fontId="17" fillId="4"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4" borderId="1" xfId="0" applyNumberFormat="1" applyFont="1" applyFill="1" applyBorder="1" applyAlignment="1">
      <alignment horizontal="center"/>
    </xf>
    <xf numFmtId="164" fontId="18" fillId="0" borderId="1" xfId="0" applyNumberFormat="1" applyFont="1" applyBorder="1" applyAlignment="1">
      <alignment horizontal="center"/>
    </xf>
    <xf numFmtId="164" fontId="18" fillId="4" borderId="1" xfId="0" applyNumberFormat="1" applyFont="1" applyFill="1" applyBorder="1" applyAlignment="1">
      <alignment horizontal="center"/>
    </xf>
    <xf numFmtId="10" fontId="18" fillId="0" borderId="1" xfId="0" applyNumberFormat="1" applyFont="1" applyBorder="1" applyAlignment="1">
      <alignment horizontal="center"/>
    </xf>
    <xf numFmtId="164" fontId="2" fillId="4" borderId="0" xfId="0" applyNumberFormat="1" applyFont="1" applyFill="1" applyAlignment="1">
      <alignment horizontal="center"/>
    </xf>
    <xf numFmtId="8" fontId="0" fillId="0" borderId="0" xfId="0" applyNumberFormat="1"/>
    <xf numFmtId="6" fontId="0" fillId="0" borderId="0" xfId="0" applyNumberFormat="1"/>
    <xf numFmtId="0" fontId="16" fillId="0" borderId="0" xfId="0" applyFont="1"/>
    <xf numFmtId="164" fontId="13"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164" fontId="6" fillId="3" borderId="1" xfId="0" applyNumberFormat="1" applyFont="1" applyFill="1" applyBorder="1" applyAlignment="1">
      <alignment horizontal="center"/>
    </xf>
    <xf numFmtId="164" fontId="6" fillId="4"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3" borderId="1" xfId="0" applyNumberFormat="1" applyFont="1" applyFill="1" applyBorder="1" applyAlignment="1">
      <alignment horizontal="center"/>
    </xf>
    <xf numFmtId="164" fontId="5" fillId="3" borderId="1" xfId="0" applyNumberFormat="1" applyFont="1" applyFill="1" applyBorder="1" applyAlignment="1">
      <alignment horizontal="center"/>
    </xf>
    <xf numFmtId="10" fontId="8" fillId="4" borderId="1" xfId="0" applyNumberFormat="1" applyFont="1" applyFill="1" applyBorder="1" applyAlignment="1">
      <alignment horizontal="center"/>
    </xf>
    <xf numFmtId="2" fontId="5" fillId="4" borderId="1" xfId="0" applyNumberFormat="1" applyFont="1" applyFill="1" applyBorder="1" applyAlignment="1">
      <alignment horizontal="center"/>
    </xf>
    <xf numFmtId="2" fontId="3" fillId="0" borderId="0" xfId="0" applyNumberFormat="1" applyFont="1" applyAlignment="1">
      <alignment horizontal="center"/>
    </xf>
    <xf numFmtId="2" fontId="5" fillId="0" borderId="1" xfId="0" applyNumberFormat="1" applyFont="1" applyBorder="1" applyAlignment="1">
      <alignment horizontal="center"/>
    </xf>
    <xf numFmtId="2" fontId="2" fillId="4" borderId="1" xfId="0" applyNumberFormat="1" applyFont="1" applyFill="1" applyBorder="1" applyAlignment="1">
      <alignment horizontal="center"/>
    </xf>
    <xf numFmtId="169" fontId="2" fillId="0" borderId="0" xfId="0" applyNumberFormat="1" applyFont="1" applyAlignment="1">
      <alignment horizontal="center"/>
    </xf>
    <xf numFmtId="4" fontId="1" fillId="0" borderId="0" xfId="0" applyNumberFormat="1" applyFont="1" applyAlignment="1">
      <alignment horizontal="center"/>
    </xf>
    <xf numFmtId="0" fontId="2" fillId="0" borderId="0" xfId="0" quotePrefix="1" applyFont="1" applyAlignment="1">
      <alignment horizontal="center"/>
    </xf>
    <xf numFmtId="14" fontId="0" fillId="0" borderId="0" xfId="0" applyNumberFormat="1"/>
    <xf numFmtId="4" fontId="1" fillId="4" borderId="0" xfId="0" applyNumberFormat="1" applyFont="1" applyFill="1" applyAlignment="1">
      <alignment horizontal="center"/>
    </xf>
    <xf numFmtId="0" fontId="18" fillId="0" borderId="0" xfId="0" applyFont="1" applyAlignment="1">
      <alignment horizontal="center"/>
    </xf>
    <xf numFmtId="0" fontId="6" fillId="0" borderId="0" xfId="0" applyFont="1" applyAlignment="1">
      <alignment horizontal="center"/>
    </xf>
    <xf numFmtId="168" fontId="18" fillId="0" borderId="0" xfId="0" applyNumberFormat="1" applyFont="1" applyAlignment="1">
      <alignment horizontal="center"/>
    </xf>
    <xf numFmtId="10" fontId="6" fillId="0" borderId="0" xfId="0" applyNumberFormat="1" applyFont="1" applyAlignment="1">
      <alignment horizontal="center"/>
    </xf>
    <xf numFmtId="14" fontId="2" fillId="0" borderId="1" xfId="0" applyNumberFormat="1" applyFont="1" applyBorder="1" applyAlignment="1">
      <alignment horizontal="center"/>
    </xf>
    <xf numFmtId="10" fontId="3" fillId="0" borderId="0" xfId="0" applyNumberFormat="1" applyFont="1" applyAlignment="1">
      <alignment horizontal="center"/>
    </xf>
    <xf numFmtId="170" fontId="1" fillId="0" borderId="0" xfId="0" applyNumberFormat="1" applyFont="1" applyAlignment="1">
      <alignment horizontal="center"/>
    </xf>
    <xf numFmtId="10" fontId="8" fillId="4" borderId="0" xfId="0" applyNumberFormat="1" applyFont="1" applyFill="1" applyAlignment="1">
      <alignment horizontal="center"/>
    </xf>
    <xf numFmtId="10" fontId="9" fillId="5" borderId="2" xfId="0" applyNumberFormat="1" applyFont="1" applyFill="1" applyBorder="1" applyAlignment="1">
      <alignment horizontal="center"/>
    </xf>
    <xf numFmtId="2" fontId="19" fillId="0" borderId="0" xfId="0" applyNumberFormat="1" applyFont="1"/>
    <xf numFmtId="2" fontId="0" fillId="0" borderId="0" xfId="0" applyNumberFormat="1" applyAlignment="1">
      <alignment horizontal="left"/>
    </xf>
    <xf numFmtId="2" fontId="0" fillId="0" borderId="0" xfId="0" applyNumberFormat="1"/>
    <xf numFmtId="0" fontId="12" fillId="0" borderId="0" xfId="0" applyFont="1" applyAlignment="1">
      <alignment horizontal="left"/>
    </xf>
    <xf numFmtId="2" fontId="19" fillId="0" borderId="0" xfId="0" applyNumberFormat="1" applyFont="1" applyAlignment="1">
      <alignment horizontal="center"/>
    </xf>
  </cellXfs>
  <cellStyles count="2">
    <cellStyle name="Normal" xfId="0" builtinId="0"/>
    <cellStyle name="Normal 2" xfId="1" xr:uid="{A3A48D21-4439-46E1-ACE3-DA7868170AB4}"/>
  </cellStyles>
  <dxfs count="54">
    <dxf>
      <font>
        <color theme="0"/>
      </font>
      <fill>
        <patternFill>
          <bgColor theme="5" tint="0.39994506668294322"/>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ill>
        <patternFill>
          <bgColor theme="9" tint="0.59996337778862885"/>
        </patternFill>
      </fill>
    </dxf>
    <dxf>
      <font>
        <color theme="9" tint="-0.24994659260841701"/>
      </font>
      <fill>
        <patternFill>
          <bgColor theme="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rgb="FF0070C0"/>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0"/>
      </font>
      <fill>
        <patternFill>
          <bgColor theme="9" tint="-0.24994659260841701"/>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rgb="FF0070C0"/>
      </font>
      <fill>
        <patternFill patternType="none">
          <bgColor auto="1"/>
        </patternFill>
      </fill>
    </dxf>
    <dxf>
      <font>
        <b/>
        <i val="0"/>
        <color theme="0"/>
      </font>
      <fill>
        <patternFill>
          <bgColor rgb="FF0070C0"/>
        </patternFill>
      </fill>
    </dxf>
    <dxf>
      <font>
        <b/>
        <i val="0"/>
        <color theme="0"/>
      </font>
      <fill>
        <patternFill>
          <bgColor rgb="FF0070C0"/>
        </patternFill>
      </fill>
    </dxf>
    <dxf>
      <font>
        <b/>
        <i val="0"/>
        <color rgb="FF00B050"/>
      </font>
    </dxf>
    <dxf>
      <font>
        <b/>
        <i val="0"/>
        <color theme="9" tint="0.59996337778862885"/>
      </font>
    </dxf>
    <dxf>
      <font>
        <b/>
        <i val="0"/>
        <color rgb="FF00B050"/>
      </font>
    </dxf>
    <dxf>
      <font>
        <b/>
        <i val="0"/>
        <color theme="9" tint="0.59996337778862885"/>
      </font>
    </dxf>
    <dxf>
      <font>
        <color rgb="FF00B050"/>
      </font>
    </dxf>
    <dxf>
      <font>
        <color rgb="FF00B050"/>
      </font>
    </dxf>
    <dxf>
      <font>
        <color rgb="FF00B050"/>
      </font>
    </dxf>
    <dxf>
      <font>
        <b/>
        <i val="0"/>
        <color theme="0"/>
      </font>
      <fill>
        <patternFill>
          <bgColor rgb="FF00B050"/>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13.96</v>
    <v>BVMF</v>
    <v>19.46</v>
    <v>19.29</v>
    <v>0.98519999999999996</v>
    <v>B3 - Brazil Stock Exchange</v>
    <v>1739950981.78</v>
    <v>19.43</v>
    <v>45863.958333333336</v>
    <v>0</v>
    <v>BRL</v>
    <v>Trend ETF LBMA Ouro FIInd IE</v>
    <v>19.350000000000001</v>
    <v>19.38</v>
    <v>GOLD11</v>
    <v>Fundos mais negociados</v>
    <v>Trend ETF LBMA Ouro FIInd IE (BVMF:GOLD11)</v>
    <v>-0.05</v>
    <v>-2.5729999999999998E-3</v>
    <v>1127276</v>
  </rv>
  <rv s="2">
    <v>1</v>
  </rv>
  <rv s="0">
    <v>https://www.bing.com/financeapi/forcetrigger?t=apnmnm&amp;q=SAO+PAULO+SE+BOVESPA+INDEX&amp;form=skydnc</v>
    <v>Learn more on Bing</v>
  </rv>
  <rv s="3">
    <v>pt-BR</v>
    <v>apnmnm</v>
    <v>268435456</v>
    <v>1</v>
    <v>Da plataforma Refinitiv</v>
    <v>6</v>
    <v>7</v>
    <v>SAO PAULO SE BOVESPA INDEX</v>
    <v>3</v>
    <v>8</v>
    <v>Finance</v>
    <v>9</v>
    <v>141563.85</v>
    <v>118222.64</v>
    <v>134204.42000000001</v>
    <v>133285.09</v>
    <v>133807.59</v>
    <v>3</v>
    <v>SAO PAULO SE BOVESPA INDEX</v>
    <v>BR</v>
    <v>133819.95000000001</v>
    <v>133524.18</v>
    <v>IBOV</v>
    <v>Índice</v>
    <v>SAO PAULO SE BOVESPA INDEX</v>
    <v>-283.41000000000003</v>
    <v>-2.1180000000000001E-3</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7.58</v>
    <v>BVMF</v>
    <v>4453440</v>
    <v>8.0500000000000007</v>
    <v>1960</v>
    <v>8.0500000000000007</v>
    <v>0.65490000000000004</v>
    <v>B3 - Brazil Stock Exchange</v>
    <v>31802600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7.59</v>
    <v>1753</v>
    <v>45820.648055555554</v>
    <v>9</v>
    <v>BRL</v>
    <v>EQUATORIAL PARÁ DISTRIBUIDORA DE ENERGIA S.A</v>
    <v>EQUATORIAL PARÁ DISTRIBUIDORA DE ENERGIA S.A</v>
    <v>8.0500000000000007</v>
    <v>8.0500000000000007</v>
    <v>Rod Augusto Montenegro Km 8,5, Coqueiro, BELEM, PARA, 66.823-010 BR</v>
    <v>Electrical Utilities &amp; IPPs</v>
    <v>EQPA7</v>
    <v>Ações</v>
    <v>EQUATORIAL PARÁ DISTRIBUIDORA DE ENERGIA S.A (BVMF:EQPA7)</v>
    <v>0.46</v>
    <v>6.0606E-2</v>
    <v>500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27.95</v>
    <v>1950</v>
    <v>27.24</v>
    <v>0.57040000000000002</v>
    <v>B3 - Brazil Stock Exchange</v>
    <v>563418000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27.76</v>
    <v>2795</v>
    <v>45863.958333333336</v>
    <v>12</v>
    <v>8290</v>
    <v>BRL</v>
    <v>GRAZZIOTIN S.A.</v>
    <v>GRAZZIOTIN S.A.</v>
    <v>27.8</v>
    <v>27.24</v>
    <v>Rua Valentin Grazziotin, 077, Sao Cristovao, PASSO FUNDO, RIO GRANDE DO SUL, 99.060-030 BR</v>
    <v>Diversified Retail</v>
    <v>CGRA4</v>
    <v>Ações</v>
    <v>GRAZZIOTIN S.A. (BVMF:CGRA4)</v>
    <v>-0.52</v>
    <v>-1.8731999999999999E-2</v>
    <v>2200</v>
  </rv>
  <rv s="2">
    <v>13</v>
  </rv>
  <rv s="0">
    <v>https://www.bing.com/financeapi/forcetrigger?t=apnhoc&amp;q=BVMF%3aTRPL4&amp;form=skydnc</v>
    <v>Learn more on Bing</v>
  </rv>
  <rv s="8">
    <v>pt-BR</v>
    <v>apnhoc</v>
    <v>268435456</v>
    <v>1</v>
    <v>Da plataforma Refinitiv</v>
    <v>14</v>
    <v>15</v>
    <v>ISA ENERGIA BRASIL S.A. (BVMF:ISAE4)</v>
    <v>12</v>
    <v>16</v>
    <v>Finance</v>
    <v>5</v>
    <v>24.39</v>
    <v>20.38</v>
    <v>BVMF</v>
    <v>658883300</v>
    <v>22.49</v>
    <v>1999</v>
    <v>22.27</v>
    <v>0.70330000000000004</v>
    <v>B3 - Brazil Stock Exchange</v>
    <v>16774350000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22.4</v>
    <v>1700</v>
    <v>45863.958333333336</v>
    <v>15</v>
    <v>1276540</v>
    <v>BRL</v>
    <v>ISA ENERGIA BRASIL S.A.</v>
    <v>ISA ENERGIA BRASIL S.A.</v>
    <v>22.39</v>
    <v>22.37</v>
    <v>Av. das Nacoes Unidas 14171 - Torre Crystal, 6 andar, Vila Gertrudes, SAO PAULO, SAO PAULO, 04.794-000 BR</v>
    <v>Electrical Utilities &amp; IPPs</v>
    <v>ISAE4</v>
    <v>Ações</v>
    <v>ISA ENERGIA BRASIL S.A. (BVMF:ISAE4)</v>
    <v>-0.03</v>
    <v>-1.3389999999999999E-3</v>
    <v>885100</v>
  </rv>
  <rv s="2">
    <v>16</v>
  </rv>
  <rv s="0">
    <v>https://www.bing.com/financeapi/forcetrigger?t=aplzr7&amp;q=BVMF%3aBEES3&amp;form=skydnc</v>
    <v>Learn more on Bing</v>
  </rv>
  <rv s="8">
    <v>pt-BR</v>
    <v>aplzr7</v>
    <v>268435456</v>
    <v>1</v>
    <v>Da plataforma Refinitiv</v>
    <v>14</v>
    <v>15</v>
    <v>BANESTES S.A. – Banco do Estado do Espírito Santo (BVMF:BEES3)</v>
    <v>12</v>
    <v>16</v>
    <v>Finance</v>
    <v>5</v>
    <v>9.17</v>
    <v>7.65</v>
    <v>BVMF</v>
    <v>315912900</v>
    <v>8.44</v>
    <v>1937</v>
    <v>8.35</v>
    <v>0.45240000000000002</v>
    <v>B3 - Brazil Stock Exchange</v>
    <v>2650509000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8.36</v>
    <v>2204</v>
    <v>45863.958333333336</v>
    <v>18</v>
    <v>7090</v>
    <v>BRL</v>
    <v>BANESTES S.A. – Banco do Estado do Espírito Santo</v>
    <v>BANESTES S.A. – Banco do Estado do Espírito Santo</v>
    <v>8.36</v>
    <v>8.39</v>
    <v>Av Princesa Isabel 574, BL B, 9 ANDAR, Centro, VITORIA, ESPIRITO SANTO, 29.010-931 BR</v>
    <v>Banking Services</v>
    <v>BEES3</v>
    <v>Ações</v>
    <v>BANESTES S.A. – Banco do Estado do Espírito Santo (BVMF:BEES3)</v>
    <v>0.03</v>
    <v>3.5890000000000002E-3</v>
    <v>2900</v>
  </rv>
  <rv s="2">
    <v>19</v>
  </rv>
  <rv s="0">
    <v>https://www.bing.com/financeapi/forcetrigger?t=apltyc&amp;q=BVMF%3aABEV3&amp;form=skydnc</v>
    <v>Learn more on Bing</v>
  </rv>
  <rv s="8">
    <v>pt-BR</v>
    <v>apltyc</v>
    <v>268435456</v>
    <v>1</v>
    <v>Da plataforma Refinitiv</v>
    <v>14</v>
    <v>15</v>
    <v>Ambev S.A. (BVMF:ABEV3)</v>
    <v>12</v>
    <v>16</v>
    <v>Finance</v>
    <v>5</v>
    <v>14.9</v>
    <v>10.53</v>
    <v>BVMF</v>
    <v>15761640000</v>
    <v>13.6</v>
    <v>2005</v>
    <v>13.45</v>
    <v>0.68379999999999996</v>
    <v>B3 - Brazil Stock Exchange</v>
    <v>212309300000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13.5</v>
    <v>43000</v>
    <v>45863.958333333336</v>
    <v>21</v>
    <v>23870940</v>
    <v>BRL</v>
    <v>Ambev S.A.</v>
    <v>Ambev S.A.</v>
    <v>13.58</v>
    <v>13.47</v>
    <v>Rua Dr. Renato Paes de Barros, 1.017, 4 andar, Itaim Bibi, SAO PAULO, SAO PAULO, 04.530-001 BR</v>
    <v>Beverages</v>
    <v>ABEV3</v>
    <v>Ações</v>
    <v>Ambev S.A. (BVMF:ABEV3)</v>
    <v>-0.03</v>
    <v>-2.222E-3</v>
    <v>15426100</v>
  </rv>
  <rv s="2">
    <v>22</v>
  </rv>
  <rv s="0">
    <v>https://www.bing.com/financeapi/forcetrigger?t=apnahw&amp;q=BVMF%3aRPMG3&amp;form=skydnc</v>
    <v>Learn more on Bing</v>
  </rv>
  <rv s="9">
    <v>pt-BR</v>
    <v>apnahw</v>
    <v>268435456</v>
    <v>1</v>
    <v>Da plataforma Refinitiv</v>
    <v>17</v>
    <v>18</v>
    <v>REFINARIA DE PETROLEOS DE MANGUINHOS S/A - EM RECUPERACAO JUDICIAL (BVMF:RPMG3)</v>
    <v>12</v>
    <v>19</v>
    <v>Finance</v>
    <v>5</v>
    <v>3.25</v>
    <v>2.4</v>
    <v>BVMF</v>
    <v>67691630</v>
    <v>2.99</v>
    <v>1946</v>
    <v>2.91</v>
    <v>0.82550000000000001</v>
    <v>B3 - Brazil Stock Exchange</v>
    <v>201721100</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2.94</v>
    <v>45863.958333333336</v>
    <v>24</v>
    <v>3930</v>
    <v>BRL</v>
    <v>REFINARIA DE PETROLEOS DE MANGUINHOS S/A - EM RECUPERACAO JUDICIAL</v>
    <v>REFINARIA DE PETROLEOS DE MANGUINHOS S/A - EM RECUPERACAO JUDICIAL</v>
    <v>2.99</v>
    <v>2.98</v>
    <v>Avenida Brasil, 3.141,n/a, Benfica, RIO DE JANEIRO, RIO DE JANEIRO, 20.930-041 BR</v>
    <v>Oil &amp; Gas</v>
    <v>RPMG3</v>
    <v>Ações</v>
    <v>REFINARIA DE PETROLEOS DE MANGUINHOS S/A - EM RECUPERACAO JUDICIAL (BVMF:RPMG3)</v>
    <v>0.04</v>
    <v>1.3605000000000001E-2</v>
    <v>1700</v>
  </rv>
  <rv s="2">
    <v>25</v>
  </rv>
  <rv s="0">
    <v>https://www.bing.com/financeapi/forcetrigger?t=bvcw27&amp;q=BVMF%3aDMVF3&amp;form=skydnc</v>
    <v>Learn more on Bing</v>
  </rv>
  <rv s="8">
    <v>pt-BR</v>
    <v>bvcw27</v>
    <v>268435456</v>
    <v>1</v>
    <v>Da plataforma Refinitiv</v>
    <v>14</v>
    <v>15</v>
    <v>d1000 Varejo Farma Participações S.A. (BVMF:DMVF3)</v>
    <v>12</v>
    <v>16</v>
    <v>Finance</v>
    <v>5</v>
    <v>7.96</v>
    <v>4.5599999999999996</v>
    <v>BVMF</v>
    <v>50602840</v>
    <v>4.7300000000000004</v>
    <v>2010</v>
    <v>4.59</v>
    <v>0.96440000000000003</v>
    <v>B3 - Brazil Stock Exchange</v>
    <v>239351400</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4.5999999999999996</v>
    <v>4200</v>
    <v>45863.958333333336</v>
    <v>27</v>
    <v>34290</v>
    <v>BRL</v>
    <v>d1000 Varejo Farma Participações S.A.</v>
    <v>d1000 Varejo Farma Participações S.A.</v>
    <v>4.5999999999999996</v>
    <v>4.7300000000000004</v>
    <v>Avenida Ayrton Senna, n 2.150 Bloco P, 3 andar, Barra Da Tijuca, Rio De Janeiro, RIO DE JANEIRO, 22.775-003 BR</v>
    <v>Food &amp; Drug Retailing</v>
    <v>DMVF3</v>
    <v>Ações</v>
    <v>d1000 Varejo Farma Participações S.A. (BVMF:DMVF3)</v>
    <v>0.13</v>
    <v>2.8260999999999998E-2</v>
    <v>32700</v>
  </rv>
  <rv s="2">
    <v>28</v>
  </rv>
  <rv s="0">
    <v>https://www.bing.com/financeapi/forcetrigger?t=apncjc&amp;q=BVMF%3aSLCE3&amp;form=skydnc</v>
    <v>Learn more on Bing</v>
  </rv>
  <rv s="8">
    <v>pt-BR</v>
    <v>apncjc</v>
    <v>268435456</v>
    <v>1</v>
    <v>Da plataforma Refinitiv</v>
    <v>14</v>
    <v>15</v>
    <v>SLC Agrícola S.A. (BVMF:SLCE3)</v>
    <v>12</v>
    <v>16</v>
    <v>Finance</v>
    <v>5</v>
    <v>20.420000000000002</v>
    <v>16.22</v>
    <v>BVMF</v>
    <v>443329700</v>
    <v>18.02</v>
    <v>1977</v>
    <v>17.68</v>
    <v>0.4798</v>
    <v>B3 - Brazil Stock Exchange</v>
    <v>7975501000</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17.95</v>
    <v>6065</v>
    <v>45863.958333333336</v>
    <v>30</v>
    <v>2048150</v>
    <v>BRL</v>
    <v>SLC Agrícola S.A.</v>
    <v>SLC Agrícola S.A.</v>
    <v>17.91</v>
    <v>17.989999999999998</v>
    <v>Rua Bernardo Pires, 128,4andar, Porto Alegre, PORTO ALEGRE, RIO GRANDE DO SUL, 90.620-010 BR</v>
    <v>Food &amp; Tobacco</v>
    <v>SLCE3</v>
    <v>Ações</v>
    <v>SLC Agrícola S.A. (BVMF:SLCE3)</v>
    <v>0.04</v>
    <v>2.2279999999999999E-3</v>
    <v>2946900</v>
  </rv>
  <rv s="2">
    <v>31</v>
  </rv>
  <rv s="0">
    <v>https://www.bing.com/financeapi/forcetrigger?t=bxiatc&amp;q=BVMF%3aOPCT3&amp;form=skydnc</v>
    <v>Learn more on Bing</v>
  </rv>
  <rv s="8">
    <v>pt-BR</v>
    <v>bxiatc</v>
    <v>268435456</v>
    <v>1</v>
    <v>Da plataforma Refinitiv</v>
    <v>14</v>
    <v>15</v>
    <v>Oceanpact Serviços Maritimos S.A. (BVMF:OPCT3)</v>
    <v>12</v>
    <v>16</v>
    <v>Finance</v>
    <v>5</v>
    <v>7.26</v>
    <v>4.8499999999999996</v>
    <v>BVMF</v>
    <v>199959500</v>
    <v>6.45</v>
    <v>2007</v>
    <v>6.22</v>
    <v>1.2604</v>
    <v>B3 - Brazil Stock Exchange</v>
    <v>1279741000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6.33</v>
    <v>2162</v>
    <v>45863.958333333336</v>
    <v>33</v>
    <v>332490</v>
    <v>BRL</v>
    <v>Oceanpact Serviços Maritimos S.A.</v>
    <v>Oceanpact Serviços Maritimos S.A.</v>
    <v>6.38</v>
    <v>6.4</v>
    <v>Rua da Gloria, n 122, salas 801 e 802 10 pavimento salas 901 e 902, Gloria, RIO DE JANEIRO, RIO DE JANEIRO, 20.241-180 BR</v>
    <v>Professional &amp; Commercial Services</v>
    <v>OPCT3</v>
    <v>Ações</v>
    <v>Oceanpact Serviços Maritimos S.A. (BVMF:OPCT3)</v>
    <v>7.0000000000000007E-2</v>
    <v>1.1057999999999998E-2</v>
    <v>618500</v>
  </rv>
  <rv s="2">
    <v>34</v>
  </rv>
  <rv s="0">
    <v>http://en.wikipedia.org/wiki/Public_domain</v>
    <v>Public domain</v>
  </rv>
  <rv s="0">
    <v>http://en.wikipedia.org/wiki/Santander_Brasil</v>
    <v>Wikipedia</v>
  </rv>
  <rv s="10">
    <v>36</v>
    <v>37</v>
  </rv>
  <rv s="11">
    <v>25</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20</v>
    <v>21</v>
    <v>Banco Santander (Brasil) S.A. (BVMF:SANB4)</v>
    <v>23</v>
    <v>24</v>
    <v>Finance</v>
    <v>5</v>
    <v>15.72</v>
    <v>11.51</v>
    <v>BVMF</v>
    <v>3749266000</v>
    <v>13.96</v>
    <v>1985</v>
    <v>13.81</v>
    <v>1.1056999999999999</v>
    <v>B3 - Brazil Stock Exchange</v>
    <v>99180570000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13.8</v>
    <v>55646</v>
    <v>45863.958333333336</v>
    <v>39</v>
    <v>40</v>
    <v>71530</v>
    <v>BRL</v>
    <v>Banco Santander (Brasil) S.A.</v>
    <v>Banco Santander (Brasil) S.A.</v>
    <v>13.87</v>
    <v>13.96</v>
    <v>Avenida Presidente Juscelino Kubitschek, n 2041 CJ 281, Bloco A, Vila Nova Conceicao, SAO PAULO, SAO PAULO, 04.543-011 BR</v>
    <v>Banking Services</v>
    <v>SANB4</v>
    <v>Ações</v>
    <v>Banco Santander (Brasil) S.A. (BVMF:SANB4)</v>
    <v>0.16</v>
    <v>1.1594E-2</v>
    <v>21300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4.0999999999999996</v>
    <v>1957</v>
    <v>4.0599999999999996</v>
    <v>0.56169999999999998</v>
    <v>B3 - Brazil Stock Exchange</v>
    <v>6285672000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4.12</v>
    <v>8000</v>
    <v>45863.958333333336</v>
    <v>43</v>
    <v>50010</v>
    <v>BRL</v>
    <v>WHIRLPOOL S.A.</v>
    <v>WHIRLPOOL S.A.</v>
    <v>4.0999999999999996</v>
    <v>4.08</v>
    <v>Rua Olympia Semeraro, 675, 1 Andar Sala 06 PA, Jardim Santa Emilia, SAO PAULO, SAO PAULO, 04.183-090 BR</v>
    <v>Household Goods</v>
    <v>WHRL4</v>
    <v>Ações</v>
    <v>WHIRLPOOL S.A. (BVMF:WHRL4)</v>
    <v>-0.04</v>
    <v>-9.7090000000000006E-3</v>
    <v>34200</v>
  </rv>
  <rv s="2">
    <v>44</v>
  </rv>
  <rv s="0">
    <v>https://www.bing.com/financeapi/forcetrigger?t=apnfmw&amp;q=BVMF%3aTELB4&amp;form=skydnc</v>
    <v>Learn more on Bing</v>
  </rv>
  <rv s="8">
    <v>pt-BR</v>
    <v>apnfmw</v>
    <v>268435456</v>
    <v>1</v>
    <v>Da plataforma Refinitiv</v>
    <v>14</v>
    <v>15</v>
    <v>Telecomunicações Brasileiras S.A. – TELEBRAS (BVMF:TELB4)</v>
    <v>12</v>
    <v>16</v>
    <v>Finance</v>
    <v>5</v>
    <v>10.7</v>
    <v>6.53</v>
    <v>BVMF</v>
    <v>101983400</v>
    <v>7.75</v>
    <v>1972</v>
    <v>7.5</v>
    <v>1.0430999999999999</v>
    <v>B3 - Brazil Stock Exchange</v>
    <v>1171054000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7.55</v>
    <v>469</v>
    <v>45863.958333333336</v>
    <v>46</v>
    <v>4760</v>
    <v>BRL</v>
    <v>Telecomunicações Brasileiras S.A. – TELEBRAS</v>
    <v>Telecomunicações Brasileiras S.A. – TELEBRAS</v>
    <v>7.75</v>
    <v>7.5</v>
    <v>SIG Quadra 4 lotes 075, 083, 125 e 175, Bloco A, Salas 211 a 224, Sig, BRASILIA, DISTRITO FEDERAL, 70.610-440 BR</v>
    <v>Telecommunications Services</v>
    <v>TELB4</v>
    <v>Ações</v>
    <v>Telecomunicações Brasileiras S.A. – TELEBRAS (BVMF:TELB4)</v>
    <v>-0.05</v>
    <v>-6.6230000000000004E-3</v>
    <v>6700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32.18</v>
    <v>1953</v>
    <v>31.91</v>
    <v>1.0266</v>
    <v>B3 - Brazil Stock Exchange</v>
    <v>434954900000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31.94</v>
    <v>49185</v>
    <v>45863.958333333336</v>
    <v>49</v>
    <v>25405980</v>
    <v>BRL</v>
    <v>Petróleo Brasileiro S.A. (Petrobras)</v>
    <v>Petróleo Brasileiro S.A. (Petrobras)</v>
    <v>31.99</v>
    <v>31.98</v>
    <v>Av. Republica do Chile, n 65, 24 andar, Centro, RIO DE JANEIRO, RIO DE JANEIRO, 20.031-912 BR</v>
    <v>Oil &amp; Gas</v>
    <v>PETR4</v>
    <v>Ações</v>
    <v>Petróleo Brasileiro S.A. (Petrobras) (BVMF:PETR4)</v>
    <v>0.04</v>
    <v>1.2520000000000001E-3</v>
    <v>13317300</v>
  </rv>
  <rv s="2">
    <v>50</v>
  </rv>
  <rv s="0">
    <v>https://www.bing.com/financeapi/forcetrigger?t=bzt9p2&amp;q=BVMF%3aASAI3&amp;form=skydnc</v>
    <v>Learn more on Bing</v>
  </rv>
  <rv s="8">
    <v>pt-BR</v>
    <v>bzt9p2</v>
    <v>268435456</v>
    <v>1</v>
    <v>Da plataforma Refinitiv</v>
    <v>14</v>
    <v>15</v>
    <v>Sendas Distribuidora S.A. (BVMF:ASAI3)</v>
    <v>12</v>
    <v>16</v>
    <v>Finance</v>
    <v>5</v>
    <v>12.04</v>
    <v>4.96</v>
    <v>BVMF</v>
    <v>1352245000</v>
    <v>9.74</v>
    <v>2003</v>
    <v>9.5</v>
    <v>1.4517</v>
    <v>B3 - Brazil Stock Exchange</v>
    <v>13116780000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9.56</v>
    <v>87000</v>
    <v>45863.958333333336</v>
    <v>52</v>
    <v>12243270</v>
    <v>BRL</v>
    <v>Sendas Distribuidora S.A.</v>
    <v>Sendas Distribuidora S.A.</v>
    <v>9.61</v>
    <v>9.6999999999999993</v>
    <v>Avenida Ayrton Senna, 6.000 Jacarepagua, RIO DE JANEIRO, RIO DE JANEIRO, 22.775-005 BR</v>
    <v>Food &amp; Drug Retailing</v>
    <v>ASAI3</v>
    <v>Ações</v>
    <v>Sendas Distribuidora S.A. (BVMF:ASAI3)</v>
    <v>0.14000000000000001</v>
    <v>1.4643999999999999E-2</v>
    <v>17086700</v>
  </rv>
  <rv s="2">
    <v>53</v>
  </rv>
  <rv s="0">
    <v>https://www.bing.com/financeapi/forcetrigger?t=apncdm&amp;q=BVMF%3aSHUL4&amp;form=skydnc</v>
    <v>Learn more on Bing</v>
  </rv>
  <rv s="8">
    <v>pt-BR</v>
    <v>apncdm</v>
    <v>268435456</v>
    <v>1</v>
    <v>Da plataforma Refinitiv</v>
    <v>14</v>
    <v>15</v>
    <v>SCHULZ S.A. (BVMF:SHUL4)</v>
    <v>12</v>
    <v>16</v>
    <v>Finance</v>
    <v>5</v>
    <v>6.37</v>
    <v>4.93</v>
    <v>BVMF</v>
    <v>357374800</v>
    <v>5.12</v>
    <v>1963</v>
    <v>5.0599999999999996</v>
    <v>0.59019999999999995</v>
    <v>B3 - Brazil Stock Exchange</v>
    <v>1043878000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5.08</v>
    <v>3699</v>
    <v>45863.958333333336</v>
    <v>55</v>
    <v>282790</v>
    <v>BRL</v>
    <v>SCHULZ S.A.</v>
    <v>SCHULZ S.A.</v>
    <v>5.0599999999999996</v>
    <v>5.0999999999999996</v>
    <v>Rua: Dona Francisca, 6901, Distrito Industrial, JOINVILLE, SANTA CATARINA, 89.219-600 BR</v>
    <v>Machinery, Equipment &amp; Components</v>
    <v>SHUL4</v>
    <v>Ações</v>
    <v>SCHULZ S.A. (BVMF:SHUL4)</v>
    <v>0.02</v>
    <v>3.9369999999999995E-3</v>
    <v>86900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28.47</v>
    <v>1950</v>
    <v>28.16</v>
    <v>0.77480000000000004</v>
    <v>B3 - Brazil Stock Exchange</v>
    <v>3835754000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28.15</v>
    <v>7560</v>
    <v>45863.958333333336</v>
    <v>58</v>
    <v>231750</v>
    <v>BRL</v>
    <v>MAHLE Metal Leve S.A</v>
    <v>MAHLE Metal Leve S.A</v>
    <v>28.19</v>
    <v>28.3</v>
    <v>Av. Ernst MAHLE, 2000, Mombaca, MOGI GUACU, SAO PAULO, 13.849-050 BR</v>
    <v>Automobiles &amp; Auto Parts</v>
    <v>LEVE3</v>
    <v>Ações</v>
    <v>MAHLE Metal Leve S.A (BVMF:LEVE3)</v>
    <v>0.15</v>
    <v>5.3290000000000004E-3</v>
    <v>161500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11.72</v>
    <v>1954</v>
    <v>11.56</v>
    <v>0.86270000000000002</v>
    <v>B3 - Brazil Stock Exchange</v>
    <v>33794600000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11.73</v>
    <v>4396</v>
    <v>45863.958333333336</v>
    <v>61</v>
    <v>10023440</v>
    <v>BRL</v>
    <v>Companhia Paranaense de Energia - Copel</v>
    <v>Companhia Paranaense de Energia - Copel</v>
    <v>11.68</v>
    <v>11.67</v>
    <v>Rua Jose Izidoro Biazetto, 158, Orleans, CURITIBA, PARANA, 81.200-240 BR</v>
    <v>Electrical Utilities &amp; IPPs</v>
    <v>CPLE6</v>
    <v>Ações</v>
    <v>Companhia Paranaense de Energia - Copel (BVMF:CPLE6)</v>
    <v>-0.06</v>
    <v>-5.1149999999999998E-3</v>
    <v>6637000</v>
  </rv>
  <rv s="2">
    <v>62</v>
  </rv>
  <rv s="0">
    <v>https://www.bing.com/financeapi/forcetrigger?t=apm7rw&amp;q=BVMF%3aCEBR6&amp;form=skydnc</v>
    <v>Learn more on Bing</v>
  </rv>
  <rv s="8">
    <v>pt-BR</v>
    <v>apm7rw</v>
    <v>268435456</v>
    <v>1</v>
    <v>Da plataforma Refinitiv</v>
    <v>14</v>
    <v>15</v>
    <v>COMPANHIA ENERGÉTICA DE BRASÍLIA - CEB (BVMF:CEBR6)</v>
    <v>12</v>
    <v>16</v>
    <v>Finance</v>
    <v>5</v>
    <v>22.35</v>
    <v>14.98</v>
    <v>BVMF</v>
    <v>72081910</v>
    <v>21.19</v>
    <v>1968</v>
    <v>20.78</v>
    <v>0.63919999999999999</v>
    <v>B3 - Brazil Stock Exchange</v>
    <v>1448745000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20.75</v>
    <v>845</v>
    <v>45863.958333333336</v>
    <v>64</v>
    <v>2790</v>
    <v>BRL</v>
    <v>COMPANHIA ENERGÉTICA DE BRASÍLIA - CEB</v>
    <v>COMPANHIA ENERGÉTICA DE BRASÍLIA - CEB</v>
    <v>21.19</v>
    <v>21.15</v>
    <v>SGAN Quadra 601, Bloco H, Salas 2010 a 2023 Edificio ION, Asa Norte, BRASILIA, DISTRITO FEDERAL, 70.830-010 BR</v>
    <v>Electrical Utilities &amp; IPPs</v>
    <v>CEBR6</v>
    <v>Ações</v>
    <v>COMPANHIA ENERGÉTICA DE BRASÍLIA - CEB (BVMF:CEBR6)</v>
    <v>0.4</v>
    <v>1.9276999999999999E-2</v>
    <v>1200</v>
  </rv>
  <rv s="2">
    <v>65</v>
  </rv>
  <rv s="0">
    <v>https://www.bing.com/financeapi/forcetrigger?t=awjx27&amp;q=BVMF%3aPRNR3&amp;form=skydnc</v>
    <v>Learn more on Bing</v>
  </rv>
  <rv s="8">
    <v>pt-BR</v>
    <v>awjx27</v>
    <v>268435456</v>
    <v>1</v>
    <v>Da plataforma Refinitiv</v>
    <v>14</v>
    <v>15</v>
    <v>PRINER SERVIÇOS INDUSTRIAIS S.A. (BVMF:PRNR3)</v>
    <v>12</v>
    <v>16</v>
    <v>Finance</v>
    <v>5</v>
    <v>17.829999999999998</v>
    <v>9.8800000000000008</v>
    <v>BVMF</v>
    <v>56720760</v>
    <v>15.1</v>
    <v>2013</v>
    <v>14.96</v>
    <v>1.0409999999999999</v>
    <v>B3 - Brazil Stock Exchange</v>
    <v>850811400</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v>
    <v>6994</v>
    <v>45863.958333333336</v>
    <v>67</v>
    <v>278470</v>
    <v>BRL</v>
    <v>PRINER SERVIÇOS INDUSTRIAIS S.A.</v>
    <v>PRINER SERVIÇOS INDUSTRIAIS S.A.</v>
    <v>15.03</v>
    <v>15</v>
    <v>Av. Geremario Dantas, 1400 2. Piso - Quality Shopping - Freguesia Jacarepagua, RIO DE JANEIRO, RIO DE JANEIRO BR</v>
    <v>Professional &amp; Commercial Services</v>
    <v>PRNR3</v>
    <v>Ações</v>
    <v>PRINER SERVIÇOS INDUSTRIAIS S.A. (BVMF:PRNR3)</v>
    <v>0</v>
    <v>0</v>
    <v>122100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11.27</v>
    <v>8.7100000000000009</v>
    <v>BVMF</v>
    <v>2861782000</v>
    <v>10.6</v>
    <v>1952</v>
    <v>10.46</v>
    <v>0.81740000000000002</v>
    <v>B3 - Brazil Stock Exchange</v>
    <v>34277050000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10.53</v>
    <v>5028</v>
    <v>45863.958333333336</v>
    <v>70</v>
    <v>8570610</v>
    <v>BRL</v>
    <v>Companhia Energética de Minas Gerais - CEMIG</v>
    <v>Companhia Energética de Minas Gerais - CEMIG</v>
    <v>10.52</v>
    <v>10.48</v>
    <v>Avenida Barbacena, 1200, 16 / B1, Santo Agostinho, BELO HORIZONTE, MINAS GERAIS, 30.190-131 BR</v>
    <v>Electrical Utilities &amp; IPPs</v>
    <v>CMIG4</v>
    <v>Ações</v>
    <v>Companhia Energética de Minas Gerais - CEMIG (BVMF:CMIG4)</v>
    <v>-0.05</v>
    <v>-4.7479999999999996E-3</v>
    <v>6455600</v>
  </rv>
  <rv s="2">
    <v>71</v>
  </rv>
  <rv s="0">
    <v>https://www.bing.com/financeapi/forcetrigger?t=aplzu2&amp;q=BVMF%3aBEES4&amp;form=skydnc</v>
    <v>Learn more on Bing</v>
  </rv>
  <rv s="8">
    <v>pt-BR</v>
    <v>aplzu2</v>
    <v>268435456</v>
    <v>1</v>
    <v>Da plataforma Refinitiv</v>
    <v>14</v>
    <v>15</v>
    <v>BANESTES S.A. – Banco do Estado do Espírito Santo (BVMF:BEES4)</v>
    <v>12</v>
    <v>16</v>
    <v>Finance</v>
    <v>5</v>
    <v>9.7899999999999991</v>
    <v>7.8</v>
    <v>BVMF</v>
    <v>315912900</v>
    <v>8.4</v>
    <v>1937</v>
    <v>8.36</v>
    <v>0.45240000000000002</v>
    <v>B3 - Brazil Stock Exchange</v>
    <v>2650509000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8.4</v>
    <v>2204</v>
    <v>45863.958333333336</v>
    <v>73</v>
    <v>7090</v>
    <v>BRL</v>
    <v>BANESTES S.A. – Banco do Estado do Espírito Santo</v>
    <v>BANESTES S.A. – Banco do Estado do Espírito Santo</v>
    <v>8.39</v>
    <v>8.39</v>
    <v>Av Princesa Isabel 574, BL B, 9 ANDAR, Centro, VITORIA, ESPIRITO SANTO, 29.010-931 BR</v>
    <v>Banking Services</v>
    <v>BEES4</v>
    <v>Ações</v>
    <v>BANESTES S.A. – Banco do Estado do Espírito Santo (BVMF:BEES4)</v>
    <v>-0.01</v>
    <v>-1.1899999999999999E-3</v>
    <v>900</v>
  </rv>
  <rv s="2">
    <v>74</v>
  </rv>
  <rv s="0">
    <v>https://www.bing.com/financeapi/forcetrigger?t=apn5a2&amp;q=BVMF%3aPOMO3&amp;form=skydnc</v>
    <v>Learn more on Bing</v>
  </rv>
  <rv s="8">
    <v>pt-BR</v>
    <v>apn5a2</v>
    <v>268435456</v>
    <v>1</v>
    <v>Da plataforma Refinitiv</v>
    <v>14</v>
    <v>15</v>
    <v>MARCOPOLO S.A. (BVMF:POMO3)</v>
    <v>12</v>
    <v>16</v>
    <v>Finance</v>
    <v>5</v>
    <v>6.93</v>
    <v>4.2300000000000004</v>
    <v>BVMF</v>
    <v>1136271000</v>
    <v>6.8</v>
    <v>1949</v>
    <v>6.59</v>
    <v>0.80769999999999997</v>
    <v>B3 - Brazil Stock Exchange</v>
    <v>8859126000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6.64</v>
    <v>16027</v>
    <v>45863.958333333336</v>
    <v>76</v>
    <v>7143500</v>
    <v>BRL</v>
    <v>MARCOPOLO S.A.</v>
    <v>MARCOPOLO S.A.</v>
    <v>6.59</v>
    <v>6.71</v>
    <v>Avenida Marcopolo,280, Planalto, CAXIAS DO SUL, RIO GRANDE DO SUL, 95.086-200 BR</v>
    <v>Automobiles &amp; Auto Parts</v>
    <v>POMO3</v>
    <v>Ações</v>
    <v>MARCOPOLO S.A. (BVMF:POMO3)</v>
    <v>7.0000000000000007E-2</v>
    <v>1.0542000000000001E-2</v>
    <v>347300</v>
  </rv>
  <rv s="2">
    <v>77</v>
  </rv>
  <rv s="0">
    <v>https://www.bing.com/financeapi/forcetrigger?t=bxgdk2&amp;q=BVMF%3aBMOB3&amp;form=skydnc</v>
    <v>Learn more on Bing</v>
  </rv>
  <rv s="9">
    <v>pt-BR</v>
    <v>bxgdk2</v>
    <v>268435456</v>
    <v>1</v>
    <v>Da plataforma Refinitiv</v>
    <v>17</v>
    <v>18</v>
    <v>BEMOBI MOBILE TECH S.A. (BVMF:BMOB3)</v>
    <v>12</v>
    <v>19</v>
    <v>Finance</v>
    <v>5</v>
    <v>23.45</v>
    <v>12.4</v>
    <v>BVMF</v>
    <v>85608390</v>
    <v>20.8</v>
    <v>2007</v>
    <v>20.36</v>
    <v>1.2290000000000001</v>
    <v>B3 - Brazil Stock Exchange</v>
    <v>1742987000</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20.7</v>
    <v>45863.958333333336</v>
    <v>79</v>
    <v>269110</v>
    <v>BRL</v>
    <v>BEMOBI MOBILE TECH S.A.</v>
    <v>BEMOBI MOBILE TECH S.A.</v>
    <v>20.61</v>
    <v>20.36</v>
    <v>Av. Barao de Tefe, n. 27 12 Andar, Saude, RIO DE JANEIRO, RIO DE JANEIRO, 20.220-460 BR</v>
    <v>Software &amp; IT Services</v>
    <v>BMOB3</v>
    <v>Ações</v>
    <v>BEMOBI MOBILE TECH S.A. (BVMF:BMOB3)</v>
    <v>-0.34</v>
    <v>-1.6425000000000002E-2</v>
    <v>111300</v>
  </rv>
  <rv s="2">
    <v>80</v>
  </rv>
  <rv s="0">
    <v>https://www.bing.com/financeapi/forcetrigger?t=apmzur&amp;q=BVMF%3aMTSA4&amp;form=skydnc</v>
    <v>Learn more on Bing</v>
  </rv>
  <rv s="8">
    <v>pt-BR</v>
    <v>apmzur</v>
    <v>268435456</v>
    <v>1</v>
    <v>Da plataforma Refinitiv</v>
    <v>14</v>
    <v>15</v>
    <v>METISA METALURGICA TIMBOENSE S.A. (BVMF:MTSA4)</v>
    <v>12</v>
    <v>16</v>
    <v>Finance</v>
    <v>5</v>
    <v>44</v>
    <v>29.96</v>
    <v>BVMF</v>
    <v>9137260</v>
    <v>42.49</v>
    <v>1942</v>
    <v>42.46</v>
    <v>0.43459999999999999</v>
    <v>B3 - Brazil Stock Exchange</v>
    <v>388242300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42.45</v>
    <v>1065</v>
    <v>45863.958333333336</v>
    <v>82</v>
    <v>1010</v>
    <v>BRL</v>
    <v>METISA METALURGICA TIMBOENSE S.A.</v>
    <v>METISA METALURGICA TIMBOENSE S.A.</v>
    <v>42.46</v>
    <v>42.49</v>
    <v>Rua Fritz Lorenz, 2442, Distrito Industrial, TIMBO, SANTA CATARINA, 89.120-000 BR</v>
    <v>Machinery, Equipment &amp; Components</v>
    <v>MTSA4</v>
    <v>Ações</v>
    <v>METISA METALURGICA TIMBOENSE S.A. (BVMF:MTSA4)</v>
    <v>0.04</v>
    <v>9.4229999999999997E-4</v>
    <v>900</v>
  </rv>
  <rv s="2">
    <v>83</v>
  </rv>
  <rv s="0">
    <v>https://www.bing.com/financeapi/forcetrigger?t=bgnmm7&amp;q=BVMF%3aCAMB3&amp;form=skydnc</v>
    <v>Learn more on Bing</v>
  </rv>
  <rv s="8">
    <v>pt-BR</v>
    <v>bgnmm7</v>
    <v>268435456</v>
    <v>1</v>
    <v>Da plataforma Refinitiv</v>
    <v>14</v>
    <v>15</v>
    <v>CAMBUCI S.A. (BVMF:CAMB3)</v>
    <v>12</v>
    <v>16</v>
    <v>Finance</v>
    <v>5</v>
    <v>12.33</v>
    <v>9.17</v>
    <v>BVMF</v>
    <v>42275080</v>
    <v>9.49</v>
    <v>1945</v>
    <v>9.36</v>
    <v>0.14099999999999999</v>
    <v>B3 - Brazil Stock Exchange</v>
    <v>398231300</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9.35</v>
    <v>2078</v>
    <v>45863.958333333336</v>
    <v>85</v>
    <v>87500</v>
    <v>BRL</v>
    <v>CAMBUCI S.A.</v>
    <v>CAMBUCI S.A.</v>
    <v>9.4600000000000009</v>
    <v>9.42</v>
    <v>Avenida Getulio Vargas, 930,Escritorio, Marmeleiro, SAO PAULO, SAO PAULO, 18.130-430 BR</v>
    <v>Leisure Products</v>
    <v>CAMB3</v>
    <v>Ações</v>
    <v>CAMBUCI S.A. (BVMF:CAMB3)</v>
    <v>7.0000000000000007E-2</v>
    <v>7.4870000000000006E-3</v>
    <v>1800</v>
  </rv>
  <rv s="2">
    <v>86</v>
  </rv>
  <rv s="0">
    <v>https://www.bing.com/financeapi/forcetrigger?t=apm3m7&amp;q=BVMF%3aBRAP3&amp;form=skydnc</v>
    <v>Learn more on Bing</v>
  </rv>
  <rv s="9">
    <v>pt-BR</v>
    <v>apm3m7</v>
    <v>268435456</v>
    <v>1</v>
    <v>Da plataforma Refinitiv</v>
    <v>17</v>
    <v>18</v>
    <v>Bradespar S.A (BVMF:BRAP3)</v>
    <v>12</v>
    <v>19</v>
    <v>Finance</v>
    <v>5</v>
    <v>17.239999999999998</v>
    <v>14</v>
    <v>BVMF</v>
    <v>393096600</v>
    <v>15.3</v>
    <v>2000</v>
    <v>14.93</v>
    <v>0.90049999999999997</v>
    <v>B3 - Brazil Stock Exchange</v>
    <v>6291111000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15.24</v>
    <v>45863.958333333336</v>
    <v>88</v>
    <v>3303960</v>
    <v>BRL</v>
    <v>Bradespar S.A</v>
    <v>Bradespar S.A</v>
    <v>15.3</v>
    <v>15.05</v>
    <v>Avenida Paulista, 1.450,9 andar, Cerqueira Cesar, SAO PAULO, SAO PAULO, 01.310-917 BR</v>
    <v>Metals &amp; Mining</v>
    <v>BRAP3</v>
    <v>Ações</v>
    <v>Bradespar S.A (BVMF:BRAP3)</v>
    <v>-0.19</v>
    <v>-1.2466999999999999E-2</v>
    <v>23500</v>
  </rv>
  <rv s="2">
    <v>89</v>
  </rv>
  <rv s="0">
    <v>https://www.bing.com/financeapi/forcetrigger?t=apmpkr&amp;q=BVMF%3aHAGA4&amp;form=skydnc</v>
    <v>Learn more on Bing</v>
  </rv>
  <rv s="9">
    <v>pt-BR</v>
    <v>apmpkr</v>
    <v>268435456</v>
    <v>1</v>
    <v>Da plataforma Refinitiv</v>
    <v>17</v>
    <v>18</v>
    <v>HAGA S.A. INDUSTRIA E COMERCIO (BVMF:HAGA4)</v>
    <v>12</v>
    <v>19</v>
    <v>Finance</v>
    <v>5</v>
    <v>1.39</v>
    <v>1.1299999999999999</v>
    <v>BVMF</v>
    <v>11900000</v>
    <v>1.18</v>
    <v>1937</v>
    <v>1.1499999999999999</v>
    <v>1.0044</v>
    <v>B3 - Brazil Stock Exchange</v>
    <v>17017000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1.1599999999999999</v>
    <v>45863.958333333336</v>
    <v>91</v>
    <v>11400</v>
    <v>BRL</v>
    <v>HAGA S.A. INDUSTRIA E COMERCIO</v>
    <v>HAGA S.A. INDUSTRIA E COMERCIO</v>
    <v>1.1499999999999999</v>
    <v>1.17</v>
    <v>Avenida Engenheiro Hans Gaiser, 26,Predio, Centro, NOVA FRIBURGO, RIO DE JANEIRO, 28.605-220 BR</v>
    <v>Specialty Retailers</v>
    <v>HAGA4</v>
    <v>Ações</v>
    <v>HAGA S.A. INDUSTRIA E COMERCIO (BVMF:HAGA4)</v>
    <v>0.01</v>
    <v>8.6210000000000002E-3</v>
    <v>500</v>
  </rv>
  <rv s="2">
    <v>92</v>
  </rv>
  <rv s="0">
    <v>https://www.bing.com/financeapi/forcetrigger?t=apnaw7&amp;q=BVMF%3aSANB3&amp;form=skydnc</v>
    <v>Learn more on Bing</v>
  </rv>
  <rv s="12">
    <v>pt-BR</v>
    <v>apnaw7</v>
    <v>268435456</v>
    <v>1</v>
    <v>Da plataforma Refinitiv</v>
    <v>20</v>
    <v>21</v>
    <v>Banco Santander (Brasil) S.A. (BVMF:SANB3)</v>
    <v>23</v>
    <v>24</v>
    <v>Finance</v>
    <v>5</v>
    <v>14.42</v>
    <v>10.31</v>
    <v>BVMF</v>
    <v>3749266000</v>
    <v>12.59</v>
    <v>1985</v>
    <v>12.42</v>
    <v>1.1056999999999999</v>
    <v>B3 - Brazil Stock Exchange</v>
    <v>99180570000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12.47</v>
    <v>55646</v>
    <v>45863.958333333336</v>
    <v>39</v>
    <v>94</v>
    <v>71530</v>
    <v>BRL</v>
    <v>Banco Santander (Brasil) S.A.</v>
    <v>Banco Santander (Brasil) S.A.</v>
    <v>12.57</v>
    <v>12.52</v>
    <v>Avenida Presidente Juscelino Kubitschek, n 2041 CJ 281, Bloco A, Vila Nova Conceicao, SAO PAULO, SAO PAULO, 04.543-011 BR</v>
    <v>Banking Services</v>
    <v>SANB3</v>
    <v>Ações</v>
    <v>Banco Santander (Brasil) S.A. (BVMF:SANB3)</v>
    <v>0.05</v>
    <v>4.0100000000000005E-3</v>
    <v>25300</v>
  </rv>
  <rv s="2">
    <v>95</v>
  </rv>
  <rv s="0">
    <v>https://www.bing.com/financeapi/forcetrigger?t=apm6pr&amp;q=BVMF%3aCARD3&amp;form=skydnc</v>
    <v>Learn more on Bing</v>
  </rv>
  <rv s="8">
    <v>pt-BR</v>
    <v>apm6pr</v>
    <v>268435456</v>
    <v>1</v>
    <v>Da plataforma Refinitiv</v>
    <v>14</v>
    <v>15</v>
    <v>CSU DIGITAL S.A. (BVMF:CSUD3)</v>
    <v>12</v>
    <v>16</v>
    <v>Finance</v>
    <v>5</v>
    <v>19.100000000000001</v>
    <v>13.46</v>
    <v>BVMF</v>
    <v>41800000</v>
    <v>17.399999999999999</v>
    <v>1997</v>
    <v>17.190000000000001</v>
    <v>0.92549999999999999</v>
    <v>B3 - Brazil Stock Exchange</v>
    <v>727320000</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17.399999999999999</v>
    <v>6600</v>
    <v>45863.836805821091</v>
    <v>97</v>
    <v>24460</v>
    <v>BRL</v>
    <v>CSU DIGITAL S.A.</v>
    <v>CSU DIGITAL S.A.</v>
    <v>17.399999999999999</v>
    <v>17.399999999999999</v>
    <v>Rua Piaui 136, Nova Aldeinha, BARUERI, SAO PAULO, 06.440-182 BR</v>
    <v>Banking Services</v>
    <v>CSUD3</v>
    <v>Ações</v>
    <v>CSU DIGITAL S.A. (BVMF:CSUD3)</v>
    <v>0</v>
    <v>0</v>
    <v>20800</v>
  </rv>
  <rv s="2">
    <v>98</v>
  </rv>
  <rv s="0">
    <v>https://www.bing.com/financeapi/forcetrigger?t=c13h5r&amp;q=BVMF%3aBLAU3&amp;form=skydnc</v>
    <v>Learn more on Bing</v>
  </rv>
  <rv s="8">
    <v>pt-BR</v>
    <v>c13h5r</v>
    <v>268435456</v>
    <v>1</v>
    <v>Da plataforma Refinitiv</v>
    <v>14</v>
    <v>15</v>
    <v>Blau Farmacêutica S/A (BVMF:BLAU3)</v>
    <v>12</v>
    <v>16</v>
    <v>Finance</v>
    <v>5</v>
    <v>17.27</v>
    <v>9.76</v>
    <v>BVMF</v>
    <v>179393900</v>
    <v>12.46</v>
    <v>1987</v>
    <v>12.24</v>
    <v>1.0232000000000001</v>
    <v>B3 - Brazil Stock Exchange</v>
    <v>2195782000</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12.38</v>
    <v>1900</v>
    <v>45863.958333333336</v>
    <v>100</v>
    <v>288170</v>
    <v>BRL</v>
    <v>Blau Farmacêutica S/A</v>
    <v>Blau Farmacêutica S/A</v>
    <v>12.46</v>
    <v>12.24</v>
    <v>Rodovia Raposo Tavares, 2833, km 30,5, Barro Branco, COTIA, SAO PAULO, 06.705-030 BR</v>
    <v>Pharmaceuticals</v>
    <v>BLAU3</v>
    <v>Ações</v>
    <v>Blau Farmacêutica S/A (BVMF:BLAU3)</v>
    <v>-0.14000000000000001</v>
    <v>-1.1309E-2</v>
    <v>226500</v>
  </rv>
  <rv s="2">
    <v>101</v>
  </rv>
  <rv s="0">
    <v>https://www.bing.com/financeapi/forcetrigger?t=apmnjc&amp;q=BVMF%3aGGBR3&amp;form=skydnc</v>
    <v>Learn more on Bing</v>
  </rv>
  <rv s="8">
    <v>pt-BR</v>
    <v>apmnjc</v>
    <v>268435456</v>
    <v>1</v>
    <v>Da plataforma Refinitiv</v>
    <v>14</v>
    <v>15</v>
    <v>GERDAU S.A. (BVMF:GGBR3)</v>
    <v>12</v>
    <v>16</v>
    <v>Finance</v>
    <v>5</v>
    <v>19.93</v>
    <v>13.4</v>
    <v>BVMF</v>
    <v>2028195000</v>
    <v>15.3</v>
    <v>1961</v>
    <v>15.04</v>
    <v>0.61729999999999996</v>
    <v>B3 - Brazil Stock Exchange</v>
    <v>33307130000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15.21</v>
    <v>25557</v>
    <v>45863.958333333336</v>
    <v>103</v>
    <v>10163760</v>
    <v>BRL</v>
    <v>GERDAU S.A.</v>
    <v>GERDAU S.A.</v>
    <v>15.2</v>
    <v>15.04</v>
    <v>Avenida Doutora Ruth Cardoso, 8.501, 8 andar, Pinheiros, SAO PAULO, SAO PAULO, 05.425-070 BR</v>
    <v>Metals &amp; Mining</v>
    <v>GGBR3</v>
    <v>Ações</v>
    <v>GERDAU S.A. (BVMF:GGBR3)</v>
    <v>-0.17</v>
    <v>-1.1176999999999999E-2</v>
    <v>6200</v>
  </rv>
  <rv s="2">
    <v>104</v>
  </rv>
  <rv s="0">
    <v>https://www.bing.com/financeapi/forcetrigger?t=apmbm7&amp;q=BVMF%3aCRFB3&amp;form=skydnc</v>
    <v>Learn more on Bing</v>
  </rv>
  <rv s="8">
    <v>pt-BR</v>
    <v>apmbm7</v>
    <v>268435456</v>
    <v>1</v>
    <v>Da plataforma Refinitiv</v>
    <v>14</v>
    <v>15</v>
    <v>ATACADÃO S.A. (BVMF:CRFB3)</v>
    <v>12</v>
    <v>16</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8.0500000000000007</v>
    <v>4.6500000000000004</v>
    <v>BVMF</v>
    <v>1511206000</v>
    <v>7.65</v>
    <v>1963</v>
    <v>7.5</v>
    <v>0.63619999999999999</v>
    <v>B3 - Brazil Stock Exchange</v>
    <v>10578440000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7.63</v>
    <v>6047</v>
    <v>45863.958333333336</v>
    <v>109</v>
    <v>950110</v>
    <v>BRL</v>
    <v>Companhia de Saneamento do Paraná - Sanepar</v>
    <v>Companhia de Saneamento do Paraná - Sanepar</v>
    <v>7.55</v>
    <v>7.62</v>
    <v>Rua Engenheiros Reboucas, 1376, Reboucas, CURITIBA, PARANA, 80.215-900 BR</v>
    <v>Water Utilities</v>
    <v>SAPR3</v>
    <v>Ações</v>
    <v>Companhia de Saneamento do Paraná - Sanepar (BVMF:SAPR3)</v>
    <v>-0.01</v>
    <v>-1.3109999999999999E-3</v>
    <v>100900</v>
  </rv>
  <rv s="2">
    <v>110</v>
  </rv>
  <rv s="0">
    <v>https://www.bing.com/financeapi/forcetrigger?t=apltsm&amp;q=BVMF%3aABCB4&amp;form=skydnc</v>
    <v>Learn more on Bing</v>
  </rv>
  <rv s="8">
    <v>pt-BR</v>
    <v>apltsm</v>
    <v>268435456</v>
    <v>1</v>
    <v>Da plataforma Refinitiv</v>
    <v>14</v>
    <v>15</v>
    <v>Banco ABC Brasil S.A (BVMF:ABCB4)</v>
    <v>12</v>
    <v>16</v>
    <v>Finance</v>
    <v>5</v>
    <v>22.12</v>
    <v>17.850000000000001</v>
    <v>BVMF</v>
    <v>121695200</v>
    <v>20.68</v>
    <v>1983</v>
    <v>20.46</v>
    <v>0.92200000000000004</v>
    <v>B3 - Brazil Stock Exchange</v>
    <v>2506920000</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20.57</v>
    <v>441</v>
    <v>45863.958333333336</v>
    <v>112</v>
    <v>705950</v>
    <v>BRL</v>
    <v>Banco ABC Brasil S.A</v>
    <v>Banco ABC Brasil S.A</v>
    <v>20.63</v>
    <v>20.6</v>
    <v>Av. Cidade Jardim, 803 2 andar, Itaim Bibi, SAO PAULO, SAO PAULO, 01.453-000 BR</v>
    <v>Banking Services</v>
    <v>ABCB4</v>
    <v>Ações</v>
    <v>Banco ABC Brasil S.A (BVMF:ABCB4)</v>
    <v>0.03</v>
    <v>1.4580000000000001E-3</v>
    <v>316200</v>
  </rv>
  <rv s="2">
    <v>113</v>
  </rv>
  <rv s="0">
    <v>https://www.bing.com/financeapi/forcetrigger?t=apm5c7&amp;q=BVMF%3aBRSR6&amp;form=skydnc</v>
    <v>Learn more on Bing</v>
  </rv>
  <rv s="8">
    <v>pt-BR</v>
    <v>apm5c7</v>
    <v>268435456</v>
    <v>1</v>
    <v>Da plataforma Refinitiv</v>
    <v>14</v>
    <v>15</v>
    <v>BANCO DO ESTADO DO RIO GRANDE DO SUL S.A. (BVMF:BRSR6)</v>
    <v>12</v>
    <v>16</v>
    <v>Finance</v>
    <v>5</v>
    <v>12.8</v>
    <v>9.1199999999999992</v>
    <v>BVMF</v>
    <v>408974500</v>
    <v>10.97</v>
    <v>1928</v>
    <v>10.7</v>
    <v>1.0906</v>
    <v>B3 - Brazil Stock Exchange</v>
    <v>4612267000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10.76</v>
    <v>9364</v>
    <v>45863.958333333336</v>
    <v>115</v>
    <v>1512340</v>
    <v>BRL</v>
    <v>BANCO DO ESTADO DO RIO GRANDE DO SUL S.A.</v>
    <v>BANCO DO ESTADO DO RIO GRANDE DO SUL S.A.</v>
    <v>10.76</v>
    <v>10.97</v>
    <v>Rua Capitao Montanha, 177, Centro, PORTO ALEGRE, RIO GRANDE DO SUL, 90.018-900 BR</v>
    <v>Banking Services</v>
    <v>BRSR6</v>
    <v>Ações</v>
    <v>BANCO DO ESTADO DO RIO GRANDE DO SUL S.A. (BVMF:BRSR6)</v>
    <v>0.21</v>
    <v>1.9517E-2</v>
    <v>1063300</v>
  </rv>
  <rv s="2">
    <v>116</v>
  </rv>
  <rv s="0">
    <v>https://www.bing.com/financeapi/forcetrigger?t=c3uxhw&amp;q=BVMF%3aPORT3&amp;form=skydnc</v>
    <v>Learn more on Bing</v>
  </rv>
  <rv s="9">
    <v>pt-BR</v>
    <v>c3uxhw</v>
    <v>268435456</v>
    <v>1</v>
    <v>Da plataforma Refinitiv</v>
    <v>17</v>
    <v>18</v>
    <v>Wilson Sons S.A. (BVMF:PORT3)</v>
    <v>12</v>
    <v>19</v>
    <v>Finance</v>
    <v>5</v>
    <v>17.89</v>
    <v>14.48</v>
    <v>BVMF</v>
    <v>440977900</v>
    <v>17.66</v>
    <v>1971</v>
    <v>17.559999999999999</v>
    <v>1.0643</v>
    <v>B3 - Brazil Stock Exchange</v>
    <v>7743572000</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17.61</v>
    <v>45863.838194501564</v>
    <v>118</v>
    <v>1100000</v>
    <v>BRL</v>
    <v>Wilson Sons S.A.</v>
    <v>Wilson Sons S.A.</v>
    <v>17.61</v>
    <v>17.559999999999999</v>
    <v>Praia de Botafogo 186, 4 andar, Botafogo, RIO DE JANEIRO, RIO DE JANEIRO, 22.250-145 BR</v>
    <v>Transport Infrastructure</v>
    <v>PORT3</v>
    <v>Ações</v>
    <v>Wilson Sons S.A. (BVMF:PORT3)</v>
    <v>-0.05</v>
    <v>-2.8389999999999999E-3</v>
    <v>1058700</v>
  </rv>
  <rv s="2">
    <v>119</v>
  </rv>
  <rv s="0">
    <v>https://www.bing.com/financeapi/forcetrigger?t=apn4rw&amp;q=BVMF%3aPINE4&amp;form=skydnc</v>
    <v>Learn more on Bing</v>
  </rv>
  <rv s="8">
    <v>pt-BR</v>
    <v>apn4rw</v>
    <v>268435456</v>
    <v>1</v>
    <v>Da plataforma Refinitiv</v>
    <v>14</v>
    <v>15</v>
    <v>Banco Pine S.A. (BVMF:PINE4)</v>
    <v>12</v>
    <v>16</v>
    <v>Finance</v>
    <v>5</v>
    <v>5.98</v>
    <v>3.57</v>
    <v>BVMF</v>
    <v>226739600</v>
    <v>5.97</v>
    <v>1997</v>
    <v>5.73</v>
    <v>1.2528999999999999</v>
    <v>B3 - Brazil Stock Exchange</v>
    <v>1325838000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5.73</v>
    <v>393</v>
    <v>45863.958333333336</v>
    <v>121</v>
    <v>279720</v>
    <v>BRL</v>
    <v>Banco Pine S.A.</v>
    <v>Banco Pine S.A.</v>
    <v>5.77</v>
    <v>5.96</v>
    <v>Av. Presidente Juscelino Kubitschek, 1830- Salas 44, 54 e 64 4, 5 e 6 andares, Vila Nova Conceicao, SAO PAULO, SAO PAULO, 04.543-000 BR</v>
    <v>Banking Services</v>
    <v>PINE4</v>
    <v>Ações</v>
    <v>Banco Pine S.A. (BVMF:PINE4)</v>
    <v>0.23</v>
    <v>4.0140000000000002E-2</v>
    <v>249600</v>
  </rv>
  <rv s="2">
    <v>122</v>
  </rv>
  <rv s="0">
    <v>https://www.bing.com/financeapi/forcetrigger?t=apms4c&amp;q=BVMF%3aITSA3&amp;form=skydnc</v>
    <v>Learn more on Bing</v>
  </rv>
  <rv s="8">
    <v>pt-BR</v>
    <v>apms4c</v>
    <v>268435456</v>
    <v>1</v>
    <v>Da plataforma Refinitiv</v>
    <v>14</v>
    <v>15</v>
    <v>ITAÚSA S.A. (BVMF:ITSA3)</v>
    <v>12</v>
    <v>16</v>
    <v>Finance</v>
    <v>5</v>
    <v>11.34</v>
    <v>8.06</v>
    <v>BVMF</v>
    <v>10993810000</v>
    <v>10.51</v>
    <v>1966</v>
    <v>10.37</v>
    <v>1.1893</v>
    <v>B3 - Brazil Stock Exchange</v>
    <v>114662000000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10.43</v>
    <v>127000</v>
    <v>45863.958333333336</v>
    <v>124</v>
    <v>20833220</v>
    <v>BRL</v>
    <v>ITAÚSA S.A.</v>
    <v>ITAÚSA S.A.</v>
    <v>10.37</v>
    <v>10.41</v>
    <v>Avenida Paulista, 1938, 5 andar, Bela Vista, SAO PAULO, SAO PAULO, 01.310-200 BR</v>
    <v>Banking Services</v>
    <v>ITSA3</v>
    <v>Ações</v>
    <v>ITAÚSA S.A. (BVMF:ITSA3)</v>
    <v>-0.02</v>
    <v>-1.918E-3</v>
    <v>33800</v>
  </rv>
  <rv s="2">
    <v>125</v>
  </rv>
  <rv s="0">
    <v>https://www.bing.com/financeapi/forcetrigger?t=apmx3m&amp;q=BVMF%3aMEAL3&amp;form=skydnc</v>
    <v>Learn more on Bing</v>
  </rv>
  <rv s="13">
    <v>pt-BR</v>
    <v>apmx3m</v>
    <v>268435456</v>
    <v>1</v>
    <v>Da plataforma Refinitiv</v>
    <v>26</v>
    <v>27</v>
    <v>International Meal Company Alimentação S.A. (BVMF:MEAL3)</v>
    <v>12</v>
    <v>28</v>
    <v>Finance</v>
    <v>5</v>
    <v>1.75</v>
    <v>0.91</v>
    <v>BVMF</v>
    <v>286676500</v>
    <v>1.34</v>
    <v>1.31</v>
    <v>2.0710999999999999</v>
    <v>B3 - Brazil Stock Exchange</v>
    <v>384146500</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1.33</v>
    <v>8427</v>
    <v>45863.958333333336</v>
    <v>127</v>
    <v>372450</v>
    <v>BRL</v>
    <v>International Meal Company Alimentação S.A.</v>
    <v>International Meal Company Alimentação S.A.</v>
    <v>1.31</v>
    <v>1.34</v>
    <v>Avenida Doutora Ruth Cardoso, 4777, 12 andar,conjunto A, Jd Univ. Pinheiros, SAO PAULO, SAO PAULO, 05.477-902 BR</v>
    <v>Hotels &amp; Entertainment Services</v>
    <v>MEAL3</v>
    <v>Ações</v>
    <v>International Meal Company Alimentação S.A. (BVMF:MEAL3)</v>
    <v>0.01</v>
    <v>7.5190000000000005E-3</v>
    <v>93400</v>
  </rv>
  <rv s="2">
    <v>128</v>
  </rv>
  <rv s="0">
    <v>https://www.bing.com/financeapi/forcetrigger?t=aplz4c&amp;q=BVMF%3aBBSE3&amp;form=skydnc</v>
    <v>Learn more on Bing</v>
  </rv>
  <rv s="8">
    <v>pt-BR</v>
    <v>aplz4c</v>
    <v>268435456</v>
    <v>1</v>
    <v>Da plataforma Refinitiv</v>
    <v>14</v>
    <v>15</v>
    <v>BB Seguridade Participações S.A. (BVMF:BBSE3)</v>
    <v>12</v>
    <v>16</v>
    <v>Finance</v>
    <v>5</v>
    <v>42.77</v>
    <v>30.38</v>
    <v>BVMF</v>
    <v>2000000000</v>
    <v>33.700000000000003</v>
    <v>2012</v>
    <v>33.43</v>
    <v>0.55889999999999995</v>
    <v>B3 - Brazil Stock Exchange</v>
    <v>67060000000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33.590000000000003</v>
    <v>268</v>
    <v>45863.958333333336</v>
    <v>130</v>
    <v>4470460</v>
    <v>BRL</v>
    <v>BB Seguridade Participações S.A.</v>
    <v>BB Seguridade Participações S.A.</v>
    <v>33.700000000000003</v>
    <v>33.53</v>
    <v>SAUN, Quadra 05, Bloco B, 3 andar Edificio Banco do Br, Asa Norte, BRASILIA, DISTRITO FEDERAL, 70.040-912 BR</v>
    <v>Insurance</v>
    <v>BBSE3</v>
    <v>Ações</v>
    <v>BB Seguridade Participações S.A. (BVMF:BBSE3)</v>
    <v>-0.06</v>
    <v>-1.786E-3</v>
    <v>3599500</v>
  </rv>
  <rv s="2">
    <v>131</v>
  </rv>
  <rv s="0">
    <v>https://www.bing.com/financeapi/forcetrigger?t=apmnxm&amp;q=BVMF%3aGOAU3&amp;form=skydnc</v>
    <v>Learn more on Bing</v>
  </rv>
  <rv s="8">
    <v>pt-BR</v>
    <v>apmnxm</v>
    <v>268435456</v>
    <v>1</v>
    <v>Da plataforma Refinitiv</v>
    <v>14</v>
    <v>15</v>
    <v>METALURGICA GERDAU S.A. (BVMF:GOAU3)</v>
    <v>12</v>
    <v>16</v>
    <v>Finance</v>
    <v>5</v>
    <v>11.82</v>
    <v>7.97</v>
    <v>BVMF</v>
    <v>993705800</v>
    <v>9.6</v>
    <v>1901</v>
    <v>9.48</v>
    <v>0.66120000000000001</v>
    <v>B3 - Brazil Stock Exchange</v>
    <v>9472651000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9.66</v>
    <v>30000</v>
    <v>45863.958333333336</v>
    <v>133</v>
    <v>5615120</v>
    <v>BRL</v>
    <v>METALURGICA GERDAU S.A.</v>
    <v>METALURGICA GERDAU S.A.</v>
    <v>9.5500000000000007</v>
    <v>9.52</v>
    <v>Avenida Doutora Ruth Cardoso, 8.501,8 andar, Pinheiros, SAO PAULO, SAO PAULO, 05.425-070 BR</v>
    <v>Metals &amp; Mining</v>
    <v>GOAU3</v>
    <v>Ações</v>
    <v>METALURGICA GERDAU S.A. (BVMF:GOAU3)</v>
    <v>-0.14000000000000001</v>
    <v>-1.4493000000000001E-2</v>
    <v>5600</v>
  </rv>
  <rv s="2">
    <v>134</v>
  </rv>
  <rv s="0">
    <v>https://www.bing.com/financeapi/forcetrigger?t=apmscw&amp;q=BVMF%3aITUB4&amp;form=skydnc</v>
    <v>Learn more on Bing</v>
  </rv>
  <rv s="8">
    <v>pt-BR</v>
    <v>apmscw</v>
    <v>268435456</v>
    <v>1</v>
    <v>Da plataforma Refinitiv</v>
    <v>14</v>
    <v>15</v>
    <v>Itaú Unibanco Holding S.A. (BVMF:ITUB4)</v>
    <v>12</v>
    <v>16</v>
    <v>Finance</v>
    <v>5</v>
    <v>38.229999999999997</v>
    <v>25.56</v>
    <v>BVMF</v>
    <v>10784550000</v>
    <v>35.49</v>
    <v>1943</v>
    <v>35.03</v>
    <v>1.2694000000000001</v>
    <v>B3 - Brazil Stock Exchange</v>
    <v>359271000000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35.06</v>
    <v>100600</v>
    <v>45863.958333333336</v>
    <v>136</v>
    <v>21185290</v>
    <v>BRL</v>
    <v>Itaú Unibanco Holding S.A.</v>
    <v>Itaú Unibanco Holding S.A.</v>
    <v>35.03</v>
    <v>35.21</v>
    <v>Praca Alfredo Egydio de Souza Aranha, 100, T. Olavo Setubal, Piso Itau Unibanco, Parque Jabaquara, SAO PAULO, SAO PAULO, 04.344-902 BR</v>
    <v>Banking Services</v>
    <v>ITUB4</v>
    <v>Ações</v>
    <v>Itaú Unibanco Holding S.A. (BVMF:ITUB4)</v>
    <v>0.15</v>
    <v>4.2780000000000006E-3</v>
    <v>17968700</v>
  </rv>
  <rv s="2">
    <v>137</v>
  </rv>
  <rv s="0">
    <v>https://www.bing.com/financeapi/forcetrigger?t=apluur&amp;q=BVMF%3aAGRO3&amp;form=skydnc</v>
    <v>Learn more on Bing</v>
  </rv>
  <rv s="9">
    <v>pt-BR</v>
    <v>apluur</v>
    <v>268435456</v>
    <v>1</v>
    <v>Da plataforma Refinitiv</v>
    <v>17</v>
    <v>18</v>
    <v>Brasilagro - Companhia Brasileira de Propriedades Agrícolas (BVMF:AGRO3)</v>
    <v>12</v>
    <v>19</v>
    <v>Finance</v>
    <v>5</v>
    <v>25.44</v>
    <v>19.61</v>
    <v>BVMF</v>
    <v>102683400</v>
    <v>20.51</v>
    <v>2005</v>
    <v>20.12</v>
    <v>0.6845</v>
    <v>B3 - Brazil Stock Exchange</v>
    <v>2086528000</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20.3</v>
    <v>45863.958333333336</v>
    <v>139</v>
    <v>152820</v>
    <v>BRL</v>
    <v>Brasilagro - Companhia Brasileira de Propriedades Agrícolas</v>
    <v>Brasilagro - Companhia Brasileira de Propriedades Agrícolas</v>
    <v>20.3</v>
    <v>20.32</v>
    <v>Avenida Reboucas, n. 2.984, Conj, 61 e 62 6 andar, Pinheiros, SAO PAULO, SAO PAULO, 05.402-500 BR</v>
    <v>Food &amp; Tobacco</v>
    <v>AGRO3</v>
    <v>Ações</v>
    <v>Brasilagro - Companhia Brasileira de Propriedades Agrícolas (BVMF:AGRO3)</v>
    <v>0.02</v>
    <v>9.8519999999999988E-4</v>
    <v>87100</v>
  </rv>
  <rv s="2">
    <v>140</v>
  </rv>
  <rv s="0">
    <v>https://www.bing.com/financeapi/forcetrigger?t=bskymw&amp;q=BVMF%3aBMGB4&amp;form=skydnc</v>
    <v>Learn more on Bing</v>
  </rv>
  <rv s="14">
    <v>pt-BR</v>
    <v>bskymw</v>
    <v>268435456</v>
    <v>1</v>
    <v>Da plataforma Refinitiv</v>
    <v>29</v>
    <v>30</v>
    <v>BANCO BMG S.A. (BVMF:BMGB4)</v>
    <v>12</v>
    <v>31</v>
    <v>Finance</v>
    <v>5</v>
    <v>4.18</v>
    <v>2.97</v>
    <v>BVMF</v>
    <v>210536200</v>
    <v>3.57</v>
    <v>3.47</v>
    <v>1.2435</v>
    <v>B3 - Brazil Stock Exchange</v>
    <v>736876800</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3.58</v>
    <v>45863.958333333336</v>
    <v>142</v>
    <v>697370</v>
    <v>BRL</v>
    <v>BANCO BMG S.A.</v>
    <v>BANCO BMG S.A.</v>
    <v>3.56</v>
    <v>3.5</v>
    <v>Avenida Presidente Juscelino Kubitschek, N 1830, 10, 11, 13 E 14 Andares - Parte Cond Ed S Luiz, Vila Nova Conceicao, SAO PAULO, SAO PAULO, 04.543-000 BR</v>
    <v>Banking Services</v>
    <v>BMGB4</v>
    <v>Ações</v>
    <v>BANCO BMG S.A. (BVMF:BMGB4)</v>
    <v>-0.08</v>
    <v>-2.2345999999999998E-2</v>
    <v>1302100</v>
  </rv>
  <rv s="2">
    <v>143</v>
  </rv>
  <rv s="0">
    <v>https://www.bing.com/financeapi/forcetrigger?t=c2yyw7&amp;q=BVMF%3aLAND3&amp;form=skydnc</v>
    <v>Learn more on Bing</v>
  </rv>
  <rv s="9">
    <v>pt-BR</v>
    <v>c2yyw7</v>
    <v>268435456</v>
    <v>1</v>
    <v>Da plataforma Refinitiv</v>
    <v>17</v>
    <v>18</v>
    <v>Terra Santa Propriedades Agrícolas S.A. (BVMF:LAND3)</v>
    <v>12</v>
    <v>19</v>
    <v>Finance</v>
    <v>5</v>
    <v>15.91</v>
    <v>9.57</v>
    <v>BVMF</v>
    <v>96226960</v>
    <v>10.5</v>
    <v>2021</v>
    <v>10.35</v>
    <v>-0.38919999999999999</v>
    <v>B3 - Brazil Stock Exchange</v>
    <v>1009421000</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10.41</v>
    <v>45863.958333333336</v>
    <v>145</v>
    <v>16840</v>
    <v>BRL</v>
    <v>Terra Santa Propriedades Agrícolas S.A.</v>
    <v>Terra Santa Propriedades Agrícolas S.A.</v>
    <v>10.41</v>
    <v>10.49</v>
    <v>Praca General Gentil Falcao, 108, 8o andar Cj. 81, Sala 4, Cidade Moncoes, SAO PAULO, SAO PAULO, 04.571-150 BR</v>
    <v>Real Estate Operations</v>
    <v>LAND3</v>
    <v>Ações</v>
    <v>Terra Santa Propriedades Agrícolas S.A. (BVMF:LAND3)</v>
    <v>0.08</v>
    <v>7.685E-3</v>
    <v>31400</v>
  </rv>
  <rv s="2">
    <v>146</v>
  </rv>
  <rv s="0">
    <v>https://www.bing.com/financeapi/forcetrigger?t=apmnm7&amp;q=BVMF%3aGGBR4&amp;form=skydnc</v>
    <v>Learn more on Bing</v>
  </rv>
  <rv s="8">
    <v>pt-BR</v>
    <v>apmnm7</v>
    <v>268435456</v>
    <v>1</v>
    <v>Da plataforma Refinitiv</v>
    <v>14</v>
    <v>15</v>
    <v>GERDAU S.A. (BVMF:GGBR4)</v>
    <v>12</v>
    <v>16</v>
    <v>Finance</v>
    <v>5</v>
    <v>21</v>
    <v>13.63</v>
    <v>BVMF</v>
    <v>2028195000</v>
    <v>17.329999999999998</v>
    <v>1961</v>
    <v>17.03</v>
    <v>0.61729999999999996</v>
    <v>B3 - Brazil Stock Exchange</v>
    <v>33307130000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17.28</v>
    <v>25557</v>
    <v>45863.958333333336</v>
    <v>148</v>
    <v>10163760</v>
    <v>BRL</v>
    <v>GERDAU S.A.</v>
    <v>GERDAU S.A.</v>
    <v>17.11</v>
    <v>17.18</v>
    <v>Avenida Doutora Ruth Cardoso, 8.501, 8 andar, Pinheiros, SAO PAULO, SAO PAULO, 05.425-070 BR</v>
    <v>Metals &amp; Mining</v>
    <v>GGBR4</v>
    <v>Ações</v>
    <v>GERDAU S.A. (BVMF:GGBR4)</v>
    <v>-0.1</v>
    <v>-5.7869999999999996E-3</v>
    <v>8882700</v>
  </rv>
  <rv s="2">
    <v>149</v>
  </rv>
  <rv s="0">
    <v>https://www.bing.com/financeapi/forcetrigger?t=apms77&amp;q=BVMF%3aITSA4&amp;form=skydnc</v>
    <v>Learn more on Bing</v>
  </rv>
  <rv s="8">
    <v>pt-BR</v>
    <v>apms77</v>
    <v>268435456</v>
    <v>1</v>
    <v>Da plataforma Refinitiv</v>
    <v>14</v>
    <v>15</v>
    <v>ITAÚSA S.A. (BVMF:ITSA4)</v>
    <v>12</v>
    <v>16</v>
    <v>Finance</v>
    <v>5</v>
    <v>11.34</v>
    <v>7.86</v>
    <v>BVMF</v>
    <v>10993810000</v>
    <v>10.5</v>
    <v>1966</v>
    <v>10.39</v>
    <v>1.1893</v>
    <v>B3 - Brazil Stock Exchange</v>
    <v>114662000000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10.4</v>
    <v>127000</v>
    <v>45863.958333333336</v>
    <v>151</v>
    <v>20833220</v>
    <v>BRL</v>
    <v>ITAÚSA S.A.</v>
    <v>ITAÚSA S.A.</v>
    <v>10.41</v>
    <v>10.44</v>
    <v>Avenida Paulista, 1938, 5 andar, Bela Vista, SAO PAULO, SAO PAULO, 01.310-200 BR</v>
    <v>Banking Services</v>
    <v>ITSA4</v>
    <v>Ações</v>
    <v>ITAÚSA S.A. (BVMF:ITSA4)</v>
    <v>0.04</v>
    <v>3.846E-3</v>
    <v>9229400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21.19</v>
    <v>2005</v>
    <v>20.91</v>
    <v>2.1229</v>
    <v>B3 - Brazil Stock Exchange</v>
    <v>12506420000</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21.08</v>
    <v>3838</v>
    <v>45863.958333333336</v>
    <v>154</v>
    <v>3936740</v>
    <v>BRL</v>
    <v>Smartfit Escola de Ginástica e Dança S.A.</v>
    <v>Smartfit Escola de Ginástica e Dança S.A.</v>
    <v>21.15</v>
    <v>20.94</v>
    <v>Avenida Paulista, n.1294, 2 andar, Bela Vista,, SAO PAULO, SAO PAULO, 01.310-100 BR</v>
    <v>Hotels &amp; Entertainment Services</v>
    <v>SMFT3</v>
    <v>Ações</v>
    <v>Smartfit Escola de Ginástica e Dança S.A. (BVMF:SMFT3)</v>
    <v>-0.14000000000000001</v>
    <v>-6.6410000000000002E-3</v>
    <v>2638300</v>
  </rv>
  <rv s="2">
    <v>155</v>
  </rv>
  <rv s="0">
    <v>https://www.bing.com/financeapi/forcetrigger?t=apmlc7&amp;q=BVMF%3aFLRY3&amp;form=skydnc</v>
    <v>Learn more on Bing</v>
  </rv>
  <rv s="8">
    <v>pt-BR</v>
    <v>apmlc7</v>
    <v>268435456</v>
    <v>1</v>
    <v>Da plataforma Refinitiv</v>
    <v>14</v>
    <v>15</v>
    <v>Fleury S.A. (BVMF:FLRY3)</v>
    <v>12</v>
    <v>16</v>
    <v>Finance</v>
    <v>5</v>
    <v>15.93</v>
    <v>10.62</v>
    <v>BVMF</v>
    <v>547191000</v>
    <v>14.56</v>
    <v>1964</v>
    <v>14.12</v>
    <v>0.59509999999999996</v>
    <v>B3 - Brazil Stock Exchange</v>
    <v>7923326000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14.15</v>
    <v>27500</v>
    <v>45863.958333333336</v>
    <v>157</v>
    <v>5011680</v>
    <v>BRL</v>
    <v>Fleury S.A.</v>
    <v>Fleury S.A.</v>
    <v>14.12</v>
    <v>14.48</v>
    <v>Av. General Valdomiro de Lima, 508, Jabaquara, SAO PAULO, SAO PAULO, 04.344-070 BR</v>
    <v>Healthcare Providers &amp; Services</v>
    <v>FLRY3</v>
    <v>Ações</v>
    <v>Fleury S.A. (BVMF:FLRY3)</v>
    <v>0.33</v>
    <v>2.3321999999999999E-2</v>
    <v>2888300</v>
  </rv>
  <rv s="2">
    <v>158</v>
  </rv>
  <rv s="0">
    <v>https://www.bing.com/financeapi/forcetrigger?t=apna3m&amp;q=BVMF%3aROMI3&amp;form=skydnc</v>
    <v>Learn more on Bing</v>
  </rv>
  <rv s="8">
    <v>pt-BR</v>
    <v>apna3m</v>
    <v>268435456</v>
    <v>1</v>
    <v>Da plataforma Refinitiv</v>
    <v>14</v>
    <v>15</v>
    <v>ROMI S.A. (BVMF:ROMI3)</v>
    <v>12</v>
    <v>16</v>
    <v>Finance</v>
    <v>5</v>
    <v>10.82</v>
    <v>7.67</v>
    <v>BVMF</v>
    <v>93170750</v>
    <v>8.4499999999999993</v>
    <v>1938</v>
    <v>8.36</v>
    <v>0.62509999999999999</v>
    <v>B3 - Brazil Stock Exchange</v>
    <v>782634300</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8.42</v>
    <v>2806</v>
    <v>45863.958333333336</v>
    <v>160</v>
    <v>96860</v>
    <v>BRL</v>
    <v>ROMI S.A.</v>
    <v>ROMI S.A.</v>
    <v>8.4499999999999993</v>
    <v>8.4</v>
    <v>Rodovia Luis de Queiroz (SP 304), s/n, KM 141,5, Dist. Industrial Sul, SANTA BARBARA D'OESTE, SAO PAULO, 13.459-057 BR</v>
    <v>Machinery, Equipment &amp; Components</v>
    <v>ROMI3</v>
    <v>Ações</v>
    <v>ROMI S.A. (BVMF:ROMI3)</v>
    <v>-0.02</v>
    <v>-2.3749999999999999E-3</v>
    <v>69600</v>
  </rv>
  <rv s="2">
    <v>161</v>
  </rv>
  <rv s="0">
    <v>https://www.bing.com/financeapi/forcetrigger?t=apnew7&amp;q=BVMF%3aTAEE4&amp;form=skydnc</v>
    <v>Learn more on Bing</v>
  </rv>
  <rv s="8">
    <v>pt-BR</v>
    <v>apnew7</v>
    <v>268435456</v>
    <v>1</v>
    <v>Da plataforma Refinitiv</v>
    <v>14</v>
    <v>15</v>
    <v>Transmissora Aliança de Energia Elétrica S/A (BVMF:TAEE4)</v>
    <v>12</v>
    <v>16</v>
    <v>Finance</v>
    <v>5</v>
    <v>12.24</v>
    <v>10.24</v>
    <v>BVMF</v>
    <v>344498900</v>
    <v>11.25</v>
    <v>2006</v>
    <v>11.14</v>
    <v>0.70899999999999996</v>
    <v>B3 - Brazil Stock Exchange</v>
    <v>11537270000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11.23</v>
    <v>854</v>
    <v>45863.958333333336</v>
    <v>163</v>
    <v>1235190</v>
    <v>BRL</v>
    <v>Transmissora Aliança de Energia Elétrica S/A</v>
    <v>Transmissora Aliança de Energia Elétrica S/A</v>
    <v>11.2</v>
    <v>11.16</v>
    <v>Av. das Americas, 2480 Bloco 6, Barra da Tijuca, RIO DE JANEIRO, RIO DE JANEIRO, 22.640-101 BR</v>
    <v>Electrical Utilities &amp; IPPs</v>
    <v>TAEE4</v>
    <v>Ações</v>
    <v>Transmissora Aliança de Energia Elétrica S/A (BVMF:TAEE4)</v>
    <v>-7.0000000000000007E-2</v>
    <v>-6.2329999999999998E-3</v>
    <v>174000</v>
  </rv>
  <rv s="2">
    <v>164</v>
  </rv>
  <rv s="0">
    <v>https://www.bing.com/financeapi/forcetrigger?t=apn827&amp;q=BVMF%3aRAIL3&amp;form=skydnc</v>
    <v>Learn more on Bing</v>
  </rv>
  <rv s="8">
    <v>pt-BR</v>
    <v>apn827</v>
    <v>268435456</v>
    <v>1</v>
    <v>Da plataforma Refinitiv</v>
    <v>14</v>
    <v>15</v>
    <v>RUMO S.A. (BVMF:RAIL3)</v>
    <v>12</v>
    <v>16</v>
    <v>Finance</v>
    <v>5</v>
    <v>23.38</v>
    <v>15.29</v>
    <v>BVMF</v>
    <v>1854869000</v>
    <v>16.940000000000001</v>
    <v>1997</v>
    <v>16.55</v>
    <v>0.79190000000000005</v>
    <v>B3 - Brazil Stock Exchange</v>
    <v>30939210000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16.75</v>
    <v>8602</v>
    <v>45863.958333333336</v>
    <v>166</v>
    <v>9157930</v>
    <v>BRL</v>
    <v>RUMO S.A.</v>
    <v>RUMO S.A.</v>
    <v>16.760000000000002</v>
    <v>16.68</v>
    <v>Rua Emilio Bertolini, 100 - Cajuru, CURITIBA, PARANA, 82.920-030 BR</v>
    <v>Freight &amp; Logistics Services</v>
    <v>RAIL3</v>
    <v>Ações</v>
    <v>RUMO S.A. (BVMF:RAIL3)</v>
    <v>-7.0000000000000007E-2</v>
    <v>-4.1789999999999996E-3</v>
    <v>3700800</v>
  </rv>
  <rv s="2">
    <v>167</v>
  </rv>
  <rv s="0">
    <v>https://www.bing.com/financeapi/forcetrigger?t=apmeec&amp;q=BVMF%3aCYRE3&amp;form=skydnc</v>
    <v>Learn more on Bing</v>
  </rv>
  <rv s="9">
    <v>pt-BR</v>
    <v>apmeec</v>
    <v>268435456</v>
    <v>1</v>
    <v>Da plataforma Refinitiv</v>
    <v>17</v>
    <v>18</v>
    <v>Cyrela Brazil Realty S.A. Empreendimentos e Participações (BVMF:CYRE3)</v>
    <v>12</v>
    <v>19</v>
    <v>Finance</v>
    <v>5</v>
    <v>27.02</v>
    <v>15.44</v>
    <v>BVMF</v>
    <v>384000000</v>
    <v>25.48</v>
    <v>1993</v>
    <v>24.9</v>
    <v>1.6496999999999999</v>
    <v>B3 - Brazil Stock Exchange</v>
    <v>9703680000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24.94</v>
    <v>45863.958333333336</v>
    <v>169</v>
    <v>5444500</v>
    <v>BRL</v>
    <v>Cyrela Brazil Realty S.A. Empreendimentos e Participações</v>
    <v>Cyrela Brazil Realty S.A. Empreendimentos e Participações</v>
    <v>24.9</v>
    <v>25.27</v>
    <v>Rua do Rocio,109, 2 andar Sala01 Parte, Vila Olimpia, SAO PAULO, SAO PAULO, 04.552-000 BR</v>
    <v>Real Estate Operations</v>
    <v>CYRE3</v>
    <v>Ações</v>
    <v>Cyrela Brazil Realty S.A. Empreendimentos e Participações (BVMF:CYRE3)</v>
    <v>0.33</v>
    <v>1.3231999999999999E-2</v>
    <v>2939200</v>
  </rv>
  <rv s="2">
    <v>170</v>
  </rv>
  <rv s="0">
    <v>https://www.bing.com/financeapi/forcetrigger?t=c1s56h&amp;q=BVMF%3aCXSE3&amp;form=skydnc</v>
    <v>Learn more on Bing</v>
  </rv>
  <rv s="8">
    <v>pt-BR</v>
    <v>c1s56h</v>
    <v>268435456</v>
    <v>1</v>
    <v>Da plataforma Refinitiv</v>
    <v>14</v>
    <v>15</v>
    <v>Caixa Seguridade Participações S.A (BVMF:CXSE3)</v>
    <v>12</v>
    <v>16</v>
    <v>Finance</v>
    <v>5</v>
    <v>16.5</v>
    <v>12.67</v>
    <v>BVMF</v>
    <v>3000000000</v>
    <v>13.73</v>
    <v>2015</v>
    <v>13.59</v>
    <v>0.96299999999999997</v>
    <v>B3 - Brazil Stock Exchange</v>
    <v>40830000000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13.6</v>
    <v>135</v>
    <v>45863.958333333336</v>
    <v>172</v>
    <v>4056070</v>
    <v>BRL</v>
    <v>Caixa Seguridade Participações S.A</v>
    <v>Caixa Seguridade Participações S.A</v>
    <v>13.66</v>
    <v>13.61</v>
    <v>SAUS Quadra 3 Bloco E, 3 andar, Asa Sul, BRASILIA, DISTRITO FEDERAL, 70.070-030 BR</v>
    <v>Insurance</v>
    <v>CXSE3</v>
    <v>Ações</v>
    <v>Caixa Seguridade Participações S.A (BVMF:CXSE3)</v>
    <v>0.01</v>
    <v>7.3529999999999993E-4</v>
    <v>2353400</v>
  </rv>
  <rv s="2">
    <v>173</v>
  </rv>
  <rv s="0">
    <v>https://www.bing.com/financeapi/forcetrigger?t=c1rkkr&amp;q=BVMF%3aALLD3&amp;form=skydnc</v>
    <v>Learn more on Bing</v>
  </rv>
  <rv s="9">
    <v>pt-BR</v>
    <v>c1rkkr</v>
    <v>268435456</v>
    <v>1</v>
    <v>Da plataforma Refinitiv</v>
    <v>17</v>
    <v>18</v>
    <v>Allied Tecnologia S.A. (BVMF:ALLD3)</v>
    <v>12</v>
    <v>19</v>
    <v>Finance</v>
    <v>5</v>
    <v>7.9</v>
    <v>6.17</v>
    <v>BVMF</v>
    <v>94507240</v>
    <v>6.95</v>
    <v>2014</v>
    <v>6.9</v>
    <v>1.2093</v>
    <v>B3 - Brazil Stock Exchange</v>
    <v>656825300</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6.89</v>
    <v>45863.958333333336</v>
    <v>175</v>
    <v>25220</v>
    <v>BRL</v>
    <v>Allied Tecnologia S.A.</v>
    <v>Allied Tecnologia S.A.</v>
    <v>6.9</v>
    <v>6.95</v>
    <v>Rodovia Vice-Prefeito Hermenegildo Tonolli, 1.500 Lote GLA2/Galpao 04B, Distrito Industrial, JUNDIAI, SAO PAULO, 13.213-086 BR</v>
    <v>Computers, Phones &amp; Household Electronics</v>
    <v>ALLD3</v>
    <v>Ações</v>
    <v>Allied Tecnologia S.A. (BVMF:ALLD3)</v>
    <v>0.06</v>
    <v>8.7080000000000005E-3</v>
    <v>16500</v>
  </rv>
  <rv s="2">
    <v>176</v>
  </rv>
  <rv s="0">
    <v>https://www.bing.com/financeapi/forcetrigger?t=apmofr&amp;q=BVMF%3aDEXP3&amp;form=skydnc</v>
    <v>Learn more on Bing</v>
  </rv>
  <rv s="9">
    <v>pt-BR</v>
    <v>apmofr</v>
    <v>268435456</v>
    <v>1</v>
    <v>Da plataforma Refinitiv</v>
    <v>17</v>
    <v>18</v>
    <v>DEXXOS PARTICIPAÇÕES S.A. (BVMF:DEXP3)</v>
    <v>12</v>
    <v>19</v>
    <v>Finance</v>
    <v>5</v>
    <v>10.17</v>
    <v>6.93</v>
    <v>BVMF</v>
    <v>103538800</v>
    <v>8.8000000000000007</v>
    <v>1997</v>
    <v>8.74</v>
    <v>0.91290000000000004</v>
    <v>B3 - Brazil Stock Exchange</v>
    <v>911141440</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8.8000000000000007</v>
    <v>45863.958333333336</v>
    <v>178</v>
    <v>71600</v>
    <v>BRL</v>
    <v>DEXXOS PARTICIPAÇÕES S.A.</v>
    <v>DEXXOS PARTICIPAÇÕES S.A.</v>
    <v>8.8000000000000007</v>
    <v>8.8000000000000007</v>
    <v>Rua Do Passeio 70 5 Andar, Centro, RIO DE JANEIRO, RIO DE JANEIRO, 20.021-290 BR</v>
    <v>Chemicals</v>
    <v>DEXP3</v>
    <v>Ações</v>
    <v>DEXXOS PARTICIPAÇÕES S.A. (BVMF:DEXP3)</v>
    <v>0</v>
    <v>0</v>
    <v>43000</v>
  </rv>
  <rv s="2">
    <v>179</v>
  </rv>
  <rv s="0">
    <v>https://www.bing.com/financeapi/forcetrigger?t=apnkjc&amp;q=BVMF%3aVLID3&amp;form=skydnc</v>
    <v>Learn more on Bing</v>
  </rv>
  <rv s="8">
    <v>pt-BR</v>
    <v>apnkjc</v>
    <v>268435456</v>
    <v>1</v>
    <v>Da plataforma Refinitiv</v>
    <v>14</v>
    <v>15</v>
    <v>VALID SOLUÇÕES S.A. (BVMF:VLID3)</v>
    <v>12</v>
    <v>16</v>
    <v>Finance</v>
    <v>5</v>
    <v>28.1</v>
    <v>14.5</v>
    <v>BVMF</v>
    <v>81836380</v>
    <v>22.38</v>
    <v>1957</v>
    <v>22.09</v>
    <v>1.3709</v>
    <v>B3 - Brazil Stock Exchange</v>
    <v>1807766000</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22.3</v>
    <v>5000</v>
    <v>45863.958333333336</v>
    <v>181</v>
    <v>265450</v>
    <v>BRL</v>
    <v>VALID SOLUÇÕES S.A.</v>
    <v>VALID SOLUÇÕES S.A.</v>
    <v>22.3</v>
    <v>22.09</v>
    <v>R Laura Maiello Kook 511, Ipanema Das Pedras, SOROCABA, SAO PAULO, 18.052-445 BR</v>
    <v>Professional &amp; Commercial Services</v>
    <v>VLID3</v>
    <v>Ações</v>
    <v>VALID SOLUÇÕES S.A. (BVMF:VLID3)</v>
    <v>-0.21</v>
    <v>-9.417E-3</v>
    <v>83200</v>
  </rv>
  <rv s="2">
    <v>182</v>
  </rv>
  <rv s="0">
    <v>https://www.bing.com/financeapi/forcetrigger?t=apmphw&amp;q=BVMF%3aHAGA3&amp;form=skydnc</v>
    <v>Learn more on Bing</v>
  </rv>
  <rv s="9">
    <v>pt-BR</v>
    <v>apmphw</v>
    <v>268435456</v>
    <v>1</v>
    <v>Da plataforma Refinitiv</v>
    <v>17</v>
    <v>18</v>
    <v>HAGA S.A. INDUSTRIA E COMERCIO (BVMF:HAGA3)</v>
    <v>12</v>
    <v>19</v>
    <v>Finance</v>
    <v>5</v>
    <v>2.84</v>
    <v>1.75</v>
    <v>BVMF</v>
    <v>11900000</v>
    <v>1.95</v>
    <v>1937</v>
    <v>1.94</v>
    <v>1.0044</v>
    <v>B3 - Brazil Stock Exchange</v>
    <v>17017000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1.88</v>
    <v>45863.958333333336</v>
    <v>184</v>
    <v>11400</v>
    <v>BRL</v>
    <v>HAGA S.A. INDUSTRIA E COMERCIO</v>
    <v>HAGA S.A. INDUSTRIA E COMERCIO</v>
    <v>1.94</v>
    <v>1.95</v>
    <v>Avenida Engenheiro Hans Gaiser, 26,Predio, Centro, NOVA FRIBURGO, RIO DE JANEIRO, 28.605-220 BR</v>
    <v>Specialty Retailers</v>
    <v>HAGA3</v>
    <v>Ações</v>
    <v>HAGA S.A. INDUSTRIA E COMERCIO (BVMF:HAGA3)</v>
    <v>7.0000000000000007E-2</v>
    <v>3.7233999999999996E-2</v>
    <v>500</v>
  </rv>
  <rv s="2">
    <v>185</v>
  </rv>
  <rv s="0">
    <v>https://www.bing.com/financeapi/forcetrigger?t=bwn8hw&amp;q=BVMF%3aRRRP3&amp;form=skydnc</v>
    <v>Learn more on Bing</v>
  </rv>
  <rv s="8">
    <v>pt-BR</v>
    <v>bwn8hw</v>
    <v>268435456</v>
    <v>1</v>
    <v>Da plataforma Refinitiv</v>
    <v>14</v>
    <v>15</v>
    <v>Brava Energia S.A. (BVMF:BRAV3)</v>
    <v>12</v>
    <v>16</v>
    <v>Finance</v>
    <v>5</v>
    <v>30.28</v>
    <v>15.26</v>
    <v>BVMF</v>
    <v>464187500</v>
    <v>19.510000000000002</v>
    <v>2010</v>
    <v>19.100000000000001</v>
    <v>1.2243999999999999</v>
    <v>B3 - Brazil Stock Exchange</v>
    <v>9056298000</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19.09</v>
    <v>531</v>
    <v>45863.958333333336</v>
    <v>187</v>
    <v>6761850</v>
    <v>BRL</v>
    <v>Brava Energia S.A.</v>
    <v>Brava Energia S.A.</v>
    <v>19.18</v>
    <v>19.510000000000002</v>
    <v>Praia de Botafogo, 186, SL 1401, 1501, Botafogo, Rio De Janeiro, RIO DE JANEIRO, 22.250-145 BR</v>
    <v>Oil &amp; Gas</v>
    <v>BRAV3</v>
    <v>Ações</v>
    <v>Brava Energia S.A. (BVMF:BRAV3)</v>
    <v>0.42</v>
    <v>2.2001E-2</v>
    <v>5095700</v>
  </rv>
  <rv s="2">
    <v>188</v>
  </rv>
  <rv s="0">
    <v>https://www.bing.com/financeapi/forcetrigger?t=apmxqh&amp;q=BVMF%3aMILS3&amp;form=skydnc</v>
    <v>Learn more on Bing</v>
  </rv>
  <rv s="8">
    <v>pt-BR</v>
    <v>apmxqh</v>
    <v>268435456</v>
    <v>1</v>
    <v>Da plataforma Refinitiv</v>
    <v>14</v>
    <v>15</v>
    <v>Mills Locação, Serviços e Logística S.A (BVMF:MILS3)</v>
    <v>12</v>
    <v>16</v>
    <v>Finance</v>
    <v>5</v>
    <v>11.7</v>
    <v>8.06</v>
    <v>BVMF</v>
    <v>234178200</v>
    <v>11.1</v>
    <v>1980</v>
    <v>10.88</v>
    <v>1.5389999999999999</v>
    <v>B3 - Brazil Stock Exchange</v>
    <v>2597036000</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10.95</v>
    <v>1205</v>
    <v>45863.958333333336</v>
    <v>190</v>
    <v>474980</v>
    <v>BRL</v>
    <v>Mills Locação, Serviços e Logística S.A</v>
    <v>Mills Locação, Serviços e Logística S.A</v>
    <v>10.93</v>
    <v>11.09</v>
    <v>Avenida Dra. Ruth Cardoso, n 7815 - CJ 401-B, Pinheiros, SAO PAULO, SAO PAULO, 05.425-905 BR</v>
    <v>Professional &amp; Commercial Services</v>
    <v>MILS3</v>
    <v>Ações</v>
    <v>Mills Locação, Serviços e Logística S.A (BVMF:MILS3)</v>
    <v>0.14000000000000001</v>
    <v>1.2784999999999999E-2</v>
    <v>672900</v>
  </rv>
  <rv s="2">
    <v>191</v>
  </rv>
  <rv s="0">
    <v>https://www.bing.com/financeapi/forcetrigger?t=apne6h&amp;q=BVMF%3aSTBP3&amp;form=skydnc</v>
    <v>Learn more on Bing</v>
  </rv>
  <rv s="8">
    <v>pt-BR</v>
    <v>apne6h</v>
    <v>268435456</v>
    <v>1</v>
    <v>Da plataforma Refinitiv</v>
    <v>14</v>
    <v>15</v>
    <v>SANTOS BRASIL PARTICIPAÇÕES S.A. (BVMF:STBP3)</v>
    <v>12</v>
    <v>16</v>
    <v>Finance</v>
    <v>5</v>
    <v>13.93</v>
    <v>10.52</v>
    <v>BVMF</v>
    <v>864170300</v>
    <v>13.93</v>
    <v>1998</v>
    <v>13.87</v>
    <v>1.2882</v>
    <v>B3 - Brazil Stock Exchange</v>
    <v>12037890000</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13.89</v>
    <v>3703</v>
    <v>45863.958333333336</v>
    <v>193</v>
    <v>3126280</v>
    <v>BRL</v>
    <v>SANTOS BRASIL PARTICIPAÇÕES S.A.</v>
    <v>SANTOS BRASIL PARTICIPAÇÕES S.A.</v>
    <v>13.9</v>
    <v>13.93</v>
    <v>Rua Joaquim Floriano, 413 - 10 andar cj 101 e 102, Itaim Bibi, SAO PAULO, SAO PAULO, 04.534-011 BR</v>
    <v>Transport Infrastructure</v>
    <v>STBP3</v>
    <v>Ações</v>
    <v>SANTOS BRASIL PARTICIPAÇÕES S.A. (BVMF:STBP3)</v>
    <v>0.04</v>
    <v>2.8799999999999997E-3</v>
    <v>809300</v>
  </rv>
  <rv s="2">
    <v>194</v>
  </rv>
  <rv s="0">
    <v>https://www.bing.com/financeapi/forcetrigger?t=ayd527&amp;q=BVMF%3aVBBR3&amp;form=skydnc</v>
    <v>Learn more on Bing</v>
  </rv>
  <rv s="8">
    <v>pt-BR</v>
    <v>ayd527</v>
    <v>268435456</v>
    <v>1</v>
    <v>Da plataforma Refinitiv</v>
    <v>14</v>
    <v>15</v>
    <v>Vibra Energia S.A. (BVMF:VBBR3)</v>
    <v>12</v>
    <v>16</v>
    <v>Finance</v>
    <v>5</v>
    <v>25.31</v>
    <v>15.33</v>
    <v>BVMF</v>
    <v>1119000000</v>
    <v>21.15</v>
    <v>1971</v>
    <v>20.309999999999999</v>
    <v>1.0331999999999999</v>
    <v>B3 - Brazil Stock Exchange</v>
    <v>23554950000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20.36</v>
    <v>3814</v>
    <v>45863.958333333336</v>
    <v>196</v>
    <v>11138900</v>
    <v>BRL</v>
    <v>Vibra Energia S.A.</v>
    <v>Vibra Energia S.A.</v>
    <v>20.43</v>
    <v>21.05</v>
    <v>Rua Correia Vasques n 250 4 andar, Cidade Nova, RIO DE JANEIRO, RIO DE JANEIRO, 20.211-140 BR</v>
    <v>Oil &amp; Gas</v>
    <v>VBBR3</v>
    <v>Ações</v>
    <v>Vibra Energia S.A. (BVMF:VBBR3)</v>
    <v>0.69</v>
    <v>3.3889999999999997E-2</v>
    <v>13708300</v>
  </rv>
  <rv s="2">
    <v>197</v>
  </rv>
  <rv s="0">
    <v>https://www.bing.com/financeapi/forcetrigger?t=apmm2w&amp;q=BVMF%3aFRAS3&amp;form=skydnc</v>
    <v>Learn more on Bing</v>
  </rv>
  <rv s="9">
    <v>pt-BR</v>
    <v>apmm2w</v>
    <v>268435456</v>
    <v>1</v>
    <v>Da plataforma Refinitiv</v>
    <v>17</v>
    <v>18</v>
    <v>FRAS-LE S.A. (BVMF:FRAS3)</v>
    <v>12</v>
    <v>19</v>
    <v>Finance</v>
    <v>5</v>
    <v>29.38</v>
    <v>17.440000000000001</v>
    <v>BVMF</v>
    <v>280335100</v>
    <v>23.36</v>
    <v>1954</v>
    <v>22.8</v>
    <v>1.0073000000000001</v>
    <v>B3 - Brazil Stock Exchange</v>
    <v>6405657000</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23.1</v>
    <v>45863.958333333336</v>
    <v>199</v>
    <v>844950</v>
    <v>BRL</v>
    <v>FRAS-LE S.A.</v>
    <v>FRAS-LE S.A.</v>
    <v>23</v>
    <v>22.85</v>
    <v>Rodovia RS 122, Km 66, n 10.945 Predio adm, Forqueta, CAXIAS DO SUL, RIO GRANDE DO SUL, 95.010-550 BR</v>
    <v>Automobiles &amp; Auto Parts</v>
    <v>FRAS3</v>
    <v>Ações</v>
    <v>FRAS-LE S.A. (BVMF:FRAS3)</v>
    <v>-0.25</v>
    <v>-1.0823000000000001E-2</v>
    <v>552900</v>
  </rv>
  <rv s="2">
    <v>200</v>
  </rv>
  <rv s="0">
    <v>https://www.bing.com/financeapi/forcetrigger?t=aplvu2&amp;q=BVMF%3aALUP4&amp;form=skydnc</v>
    <v>Learn more on Bing</v>
  </rv>
  <rv s="8">
    <v>pt-BR</v>
    <v>aplvu2</v>
    <v>268435456</v>
    <v>1</v>
    <v>Da plataforma Refinitiv</v>
    <v>14</v>
    <v>15</v>
    <v>Alupar Investimento S.A. (BVMF:ALUP4)</v>
    <v>12</v>
    <v>16</v>
    <v>Finance</v>
    <v>5</v>
    <v>10.3</v>
    <v>8.19</v>
    <v>BVMF</v>
    <v>329626900</v>
    <v>9.49</v>
    <v>2006</v>
    <v>9.35</v>
    <v>0.62960000000000005</v>
    <v>B3 - Brazil Stock Exchange</v>
    <v>9710808000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9.3800000000000008</v>
    <v>906</v>
    <v>45863.958333333336</v>
    <v>202</v>
    <v>646550</v>
    <v>BRL</v>
    <v>Alupar Investimento S.A.</v>
    <v>Alupar Investimento S.A.</v>
    <v>9.49</v>
    <v>9.49</v>
    <v>Rua Gomes de Carvalho, n 1996 16 andar, Vila Olimpia, SAO PAULO, SAO PAULO, 04.547-006 BR</v>
    <v>Electrical Utilities &amp; IPPs</v>
    <v>ALUP4</v>
    <v>Ações</v>
    <v>Alupar Investimento S.A. (BVMF:ALUP4)</v>
    <v>0.11</v>
    <v>1.1727000000000001E-2</v>
    <v>11900</v>
  </rv>
  <rv s="2">
    <v>203</v>
  </rv>
  <rv s="0">
    <v>https://www.bing.com/financeapi/forcetrigger?t=apnhim&amp;q=BVMF%3aTRIS3&amp;form=skydnc</v>
    <v>Learn more on Bing</v>
  </rv>
  <rv s="8">
    <v>pt-BR</v>
    <v>apnhim</v>
    <v>268435456</v>
    <v>1</v>
    <v>Da plataforma Refinitiv</v>
    <v>14</v>
    <v>15</v>
    <v>TRISUL S.A. (BVMF:TRIS3)</v>
    <v>12</v>
    <v>16</v>
    <v>Finance</v>
    <v>5</v>
    <v>8.1</v>
    <v>3.97</v>
    <v>BVMF</v>
    <v>186617500</v>
    <v>6.28</v>
    <v>2007</v>
    <v>6.17</v>
    <v>1.5432999999999999</v>
    <v>B3 - Brazil Stock Exchange</v>
    <v>1157029000</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6.21</v>
    <v>379</v>
    <v>45863.958333333336</v>
    <v>205</v>
    <v>403580</v>
    <v>BRL</v>
    <v>TRISUL S.A.</v>
    <v>TRISUL S.A.</v>
    <v>6.21</v>
    <v>6.2</v>
    <v>Alameda dos Jaunas, 70, Indianopolis, SAO PAULO, SAO PAULO, 01.311-902 BR</v>
    <v>Homebuilding &amp; Construction Supplies</v>
    <v>TRIS3</v>
    <v>Ações</v>
    <v>TRISUL S.A. (BVMF:TRIS3)</v>
    <v>-0.01</v>
    <v>-1.6100000000000001E-3</v>
    <v>159200</v>
  </rv>
  <rv s="2">
    <v>206</v>
  </rv>
  <rv s="0">
    <v>https://www.bing.com/financeapi/forcetrigger?t=apngdm&amp;q=BVMF%3aTGMA3&amp;form=skydnc</v>
    <v>Learn more on Bing</v>
  </rv>
  <rv s="8">
    <v>pt-BR</v>
    <v>apngdm</v>
    <v>268435456</v>
    <v>1</v>
    <v>Da plataforma Refinitiv</v>
    <v>14</v>
    <v>15</v>
    <v>Tegma Gestão Logística S.A (BVMF:TGMA3)</v>
    <v>12</v>
    <v>16</v>
    <v>Finance</v>
    <v>5</v>
    <v>37.83</v>
    <v>21.53</v>
    <v>BVMF</v>
    <v>66002920</v>
    <v>34.54</v>
    <v>1998</v>
    <v>34.01</v>
    <v>1.1567000000000001</v>
    <v>B3 - Brazil Stock Exchange</v>
    <v>2273801000</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34.159999999999997</v>
    <v>5086</v>
    <v>45863.958333333336</v>
    <v>208</v>
    <v>312240</v>
    <v>BRL</v>
    <v>Tegma Gestão Logística S.A</v>
    <v>Tegma Gestão Logística S.A</v>
    <v>34.01</v>
    <v>34.450000000000003</v>
    <v>Av. Nicola Demarchi, 2000, Demarchi, SAO BERNARDO DO CAMPO, SAO PAULO, 09.820-655 BR</v>
    <v>Freight &amp; Logistics Services</v>
    <v>TGMA3</v>
    <v>Ações</v>
    <v>Tegma Gestão Logística S.A (BVMF:TGMA3)</v>
    <v>0.28999999999999998</v>
    <v>8.489E-3</v>
    <v>55700</v>
  </rv>
  <rv s="2">
    <v>209</v>
  </rv>
  <rv s="0">
    <v>https://www.bing.com/financeapi/forcetrigger?t=apn9cw&amp;q=BVMF%3aREDE3&amp;form=skydnc</v>
    <v>Learn more on Bing</v>
  </rv>
  <rv s="8">
    <v>pt-BR</v>
    <v>apn9cw</v>
    <v>268435456</v>
    <v>1</v>
    <v>Da plataforma Refinitiv</v>
    <v>14</v>
    <v>15</v>
    <v>Rede Energia Participações S.A (BVMF:REDE3)</v>
    <v>12</v>
    <v>16</v>
    <v>Finance</v>
    <v>5</v>
    <v>6.97</v>
    <v>5.84</v>
    <v>BVMF</v>
    <v>2110323000</v>
    <v>6.54</v>
    <v>1929</v>
    <v>6.47</v>
    <v>0.21859999999999999</v>
    <v>B3 - Brazil Stock Exchange</v>
    <v>13801510000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6.56</v>
    <v>7703</v>
    <v>45863.958333333336</v>
    <v>211</v>
    <v>900</v>
    <v>BRL</v>
    <v>Rede Energia Participações S.A</v>
    <v>Rede Energia Participações S.A</v>
    <v>6.47</v>
    <v>6.54</v>
    <v>Praca Rui Barbosa,n 80, Centro, CATAGUASES, MINAS GERAIS, 36.770-901 BR</v>
    <v>Electrical Utilities &amp; IPPs</v>
    <v>REDE3</v>
    <v>Ações</v>
    <v>Rede Energia Participações S.A (BVMF:REDE3)</v>
    <v>-0.02</v>
    <v>-3.0490000000000001E-3</v>
    <v>500</v>
  </rv>
  <rv s="2">
    <v>212</v>
  </rv>
  <rv s="0">
    <v>https://www.bing.com/financeapi/forcetrigger?t=apn9u2&amp;q=BVMF%3aRNEW3&amp;form=skydnc</v>
    <v>Learn more on Bing</v>
  </rv>
  <rv s="8">
    <v>pt-BR</v>
    <v>apn9u2</v>
    <v>268435456</v>
    <v>1</v>
    <v>Da plataforma Refinitiv</v>
    <v>14</v>
    <v>15</v>
    <v>RENOVA ENERGIA S.A. - EM RECUPERAÇÃO JUDICIAL (BVMF:RNEW3)</v>
    <v>12</v>
    <v>16</v>
    <v>Finance</v>
    <v>5</v>
    <v>2.6</v>
    <v>0.84</v>
    <v>BVMF</v>
    <v>124061300</v>
    <v>1.27</v>
    <v>2006</v>
    <v>1.17</v>
    <v>1.2201</v>
    <v>B3 - Brazil Stock Exchange</v>
    <v>446600300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1.24</v>
    <v>141</v>
    <v>45863.958333333336</v>
    <v>214</v>
    <v>132810</v>
    <v>BRL</v>
    <v>RENOVA ENERGIA S.A. - EM RECUPERAÇÃO JUDICIAL</v>
    <v>RENOVA ENERGIA S.A. - EM RECUPERAÇÃO JUDICIAL</v>
    <v>1.27</v>
    <v>1.21</v>
    <v>Avenida das Nacoes Unidas, n 10.989, conjunto 82, Vila Olimpia, SAO PAULO, SAO PAULO, 04.578-000 BR</v>
    <v>Electrical Utilities &amp; IPPs</v>
    <v>RNEW3</v>
    <v>Ações</v>
    <v>RENOVA ENERGIA S.A. - EM RECUPERAÇÃO JUDICIAL (BVMF:RNEW3)</v>
    <v>-0.03</v>
    <v>-2.4194E-2</v>
    <v>33400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2.4500000000000002</v>
    <v>2009</v>
    <v>2.38</v>
    <v>2.4611000000000001</v>
    <v>B3 - Brazil Stock Exchange</v>
    <v>1271930000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2.4</v>
    <v>2000</v>
    <v>45863.958333333336</v>
    <v>217</v>
    <v>9684720</v>
    <v>BRL</v>
    <v>CVC Brasil Operadora e Agência de Viagens S.A.</v>
    <v>CVC Brasil Operadora e Agência de Viagens S.A.</v>
    <v>2.4</v>
    <v>2.42</v>
    <v>Rua da Catequese, 227, 11 andar, sala 111, Jardim, SANTO ANDRE, SAO PAULO, 09.090-401 BR</v>
    <v>Hotels &amp; Entertainment Services</v>
    <v>CVCB3</v>
    <v>Ações</v>
    <v>CVC Brasil Operadora e Agência de Viagens S.A. (BVMF:CVCB3)</v>
    <v>0.02</v>
    <v>8.3330000000000001E-3</v>
    <v>6245900</v>
  </rv>
  <rv s="2">
    <v>218</v>
  </rv>
  <rv s="0">
    <v>https://www.bing.com/financeapi/forcetrigger?t=bxo6p2&amp;q=BVMF%3aORVR3&amp;form=skydnc</v>
    <v>Learn more on Bing</v>
  </rv>
  <rv s="9">
    <v>pt-BR</v>
    <v>bxo6p2</v>
    <v>268435456</v>
    <v>1</v>
    <v>Da plataforma Refinitiv</v>
    <v>17</v>
    <v>18</v>
    <v>Orizon Valorização de Resíduos S.A. (BVMF:ORVR3)</v>
    <v>12</v>
    <v>19</v>
    <v>Finance</v>
    <v>5</v>
    <v>54.47</v>
    <v>36.04</v>
    <v>BVMF</v>
    <v>88656280</v>
    <v>48.65</v>
    <v>2009</v>
    <v>47.53</v>
    <v>0.91520000000000001</v>
    <v>B3 - Brazil Stock Exchange</v>
    <v>4279439000</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47.74</v>
    <v>45863.958333333336</v>
    <v>220</v>
    <v>454120</v>
    <v>BRL</v>
    <v>Orizon Valorização de Resíduos S.A.</v>
    <v>Orizon Valorização de Resíduos S.A.</v>
    <v>48.05</v>
    <v>48.27</v>
    <v>Avenida das Nacoes Unidas, 12.901 8 andar, Torre Oest, Brooklin Paulista, SAO PAULO, SAO PAULO, 04.578-910 BR</v>
    <v>Professional &amp; Commercial Services</v>
    <v>ORVR3</v>
    <v>Ações</v>
    <v>Orizon Valorização de Resíduos S.A. (BVMF:ORVR3)</v>
    <v>0.53</v>
    <v>1.1102000000000001E-2</v>
    <v>448200</v>
  </rv>
  <rv s="2">
    <v>221</v>
  </rv>
  <rv s="0">
    <v>https://www.bing.com/financeapi/forcetrigger?t=apmrxm&amp;q=BVMF%3aIRBR3&amp;form=skydnc</v>
    <v>Learn more on Bing</v>
  </rv>
  <rv s="8">
    <v>pt-BR</v>
    <v>apmrxm</v>
    <v>268435456</v>
    <v>1</v>
    <v>Da plataforma Refinitiv</v>
    <v>14</v>
    <v>15</v>
    <v>IRB-Brasil Resseguros S.A. (BVMF:IRBR3)</v>
    <v>12</v>
    <v>16</v>
    <v>Finance</v>
    <v>5</v>
    <v>57.99</v>
    <v>27.51</v>
    <v>BVMF</v>
    <v>81842890</v>
    <v>44.98</v>
    <v>1939</v>
    <v>44.28</v>
    <v>1.4265000000000001</v>
    <v>B3 - Brazil Stock Exchange</v>
    <v>3650193000</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44.7</v>
    <v>399</v>
    <v>45863.958333333336</v>
    <v>223</v>
    <v>694250</v>
    <v>BRL</v>
    <v>IRB-Brasil Resseguros S.A.</v>
    <v>IRB-Brasil Resseguros S.A.</v>
    <v>44.74</v>
    <v>44.6</v>
    <v>Av. Republica do Chile, n 330, Torre Leste, e 4 andares, Centro, RIO DE JANEIRO, RIO DE JANEIRO, 20.031-170 BR</v>
    <v>Insurance</v>
    <v>IRBR3</v>
    <v>Ações</v>
    <v>IRB-Brasil Resseguros S.A. (BVMF:IRBR3)</v>
    <v>-0.1</v>
    <v>-2.2370000000000003E-3</v>
    <v>421200</v>
  </rv>
  <rv s="2">
    <v>224</v>
  </rv>
  <rv s="0">
    <v>https://www.bing.com/financeapi/forcetrigger?t=apmg1h&amp;q=BVMF%3aEALT4&amp;form=skydnc</v>
    <v>Learn more on Bing</v>
  </rv>
  <rv s="8">
    <v>pt-BR</v>
    <v>apmg1h</v>
    <v>268435456</v>
    <v>1</v>
    <v>Da plataforma Refinitiv</v>
    <v>14</v>
    <v>15</v>
    <v>ELECTRO ACO ALTONA S.A. (BVMF:EALT4)</v>
    <v>12</v>
    <v>16</v>
    <v>Finance</v>
    <v>5</v>
    <v>16.899999999999999</v>
    <v>10.73</v>
    <v>BVMF</v>
    <v>22500000</v>
    <v>14.33</v>
    <v>1924</v>
    <v>13.91</v>
    <v>0.51749999999999996</v>
    <v>B3 - Brazil Stock Exchange</v>
    <v>322725000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14.1</v>
    <v>1405</v>
    <v>45863.958333333336</v>
    <v>226</v>
    <v>10810</v>
    <v>BRL</v>
    <v>ELECTRO ACO ALTONA S.A.</v>
    <v>ELECTRO ACO ALTONA S.A.</v>
    <v>14.28</v>
    <v>13.91</v>
    <v>Rua Eng. Paul Werner 925,CONTABILIDADE, itoupava Seca, BLUMENAU, SANTA CATARINA, 89.030-900 BR</v>
    <v>Metals &amp; Mining</v>
    <v>EALT4</v>
    <v>Ações</v>
    <v>ELECTRO ACO ALTONA S.A. (BVMF:EALT4)</v>
    <v>-0.19</v>
    <v>-1.3474999999999999E-2</v>
    <v>24300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5.07</v>
    <v>1971</v>
    <v>5.01</v>
    <v>0.8831</v>
    <v>B3 - Brazil Stock Exchange</v>
    <v>4528843000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5.04</v>
    <v>17370</v>
    <v>45863.958333333336</v>
    <v>229</v>
    <v>2447180</v>
    <v>BRL</v>
    <v>Grendene S.A.</v>
    <v>Grendene S.A.</v>
    <v>5.0599999999999996</v>
    <v>5.0199999999999996</v>
    <v>Avenida Pimentel Gomes 214, Expectativa, SOBRAL, CEARA, 62.040-125 BR</v>
    <v>Textiles &amp; Apparel</v>
    <v>GRND3</v>
    <v>Ações</v>
    <v>Grendene S.A. (BVMF:GRND3)</v>
    <v>-0.02</v>
    <v>-3.9680000000000002E-3</v>
    <v>1082000</v>
  </rv>
  <rv s="2">
    <v>230</v>
  </rv>
  <rv s="0">
    <v>https://www.bing.com/financeapi/forcetrigger?t=apm3ar&amp;q=BVMF%3aBPAN4&amp;form=skydnc</v>
    <v>Learn more on Bing</v>
  </rv>
  <rv s="8">
    <v>pt-BR</v>
    <v>apm3ar</v>
    <v>268435456</v>
    <v>1</v>
    <v>Da plataforma Refinitiv</v>
    <v>14</v>
    <v>15</v>
    <v>BANCO PAN S.A. (BVMF:BPAN4)</v>
    <v>12</v>
    <v>16</v>
    <v>Finance</v>
    <v>5</v>
    <v>10.55</v>
    <v>6.14</v>
    <v>BVMF</v>
    <v>611509500</v>
    <v>7.93</v>
    <v>1966</v>
    <v>7.7</v>
    <v>1.5217000000000001</v>
    <v>B3 - Brazil Stock Exchange</v>
    <v>4849270000</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7.73</v>
    <v>2433</v>
    <v>45863.958333333336</v>
    <v>232</v>
    <v>1805780</v>
    <v>BRL</v>
    <v>BANCO PAN S.A.</v>
    <v>BANCO PAN S.A.</v>
    <v>7.74</v>
    <v>7.93</v>
    <v>Avenida Paulista, 1374 16 andar, Bela Vista, SAO PAULO, SAO PAULO, 01.310-100 BR</v>
    <v>Banking Services</v>
    <v>BPAN4</v>
    <v>Ações</v>
    <v>BANCO PAN S.A. (BVMF:BPAN4)</v>
    <v>0.2</v>
    <v>2.5873E-2</v>
    <v>1080700</v>
  </rv>
  <rv s="2">
    <v>233</v>
  </rv>
  <rv s="0">
    <v>https://www.bing.com/financeapi/forcetrigger?t=apnlim&amp;q=BVMF%3aWEGE3&amp;form=skydnc</v>
    <v>Learn more on Bing</v>
  </rv>
  <rv s="8">
    <v>pt-BR</v>
    <v>apnlim</v>
    <v>268435456</v>
    <v>1</v>
    <v>Da plataforma Refinitiv</v>
    <v>14</v>
    <v>15</v>
    <v>WEG S.A. (BVMF:WEGE3)</v>
    <v>12</v>
    <v>16</v>
    <v>Finance</v>
    <v>5</v>
    <v>59.14</v>
    <v>35.94</v>
    <v>BVMF</v>
    <v>4197318000</v>
    <v>36.6</v>
    <v>1961</v>
    <v>35.94</v>
    <v>0.36130000000000001</v>
    <v>B3 - Brazil Stock Exchange</v>
    <v>151817000000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36.229999999999997</v>
    <v>47529</v>
    <v>45863.958333333336</v>
    <v>235</v>
    <v>15194050</v>
    <v>BRL</v>
    <v>WEG S.A.</v>
    <v>WEG S.A.</v>
    <v>36.49</v>
    <v>36.17</v>
    <v>Av. Prefeito Waldemar Grubba,3300, Vila Lalau, JARAGUA DO SUL, SANTA CATARINA, 89.256-900 BR</v>
    <v>Machinery, Equipment &amp; Components</v>
    <v>WEGE3</v>
    <v>Ações</v>
    <v>WEG S.A. (BVMF:WEGE3)</v>
    <v>-0.06</v>
    <v>-1.6559999999999999E-3</v>
    <v>19052300</v>
  </rv>
  <rv s="2">
    <v>236</v>
  </rv>
  <rv s="0">
    <v>https://www.bing.com/financeapi/forcetrigger?t=apmgoc&amp;q=BVMF%3aEGIE3&amp;form=skydnc</v>
    <v>Learn more on Bing</v>
  </rv>
  <rv s="8">
    <v>pt-BR</v>
    <v>apmgoc</v>
    <v>268435456</v>
    <v>1</v>
    <v>Da plataforma Refinitiv</v>
    <v>14</v>
    <v>15</v>
    <v>ENGIE BRASIL ENERGIA S.A. (BVMF:EGIE3)</v>
    <v>12</v>
    <v>16</v>
    <v>Finance</v>
    <v>5</v>
    <v>49.19</v>
    <v>33.65</v>
    <v>BVMF</v>
    <v>815927700</v>
    <v>42.99</v>
    <v>1998</v>
    <v>42.08</v>
    <v>0.57940000000000003</v>
    <v>B3 - Brazil Stock Exchange</v>
    <v>34391360000</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42.57</v>
    <v>1173</v>
    <v>45863.958333333336</v>
    <v>238</v>
    <v>1140320</v>
    <v>BRL</v>
    <v>ENGIE BRASIL ENERGIA S.A.</v>
    <v>ENGIE BRASIL ENERGIA S.A.</v>
    <v>42.42</v>
    <v>42.15</v>
    <v>Rua Paschoal Apostolo Pitsica, 5064, Agronomica, FLORIANOPOLIS, SANTA CATARINA, 88.025-255 BR</v>
    <v>Electrical Utilities &amp; IPPs</v>
    <v>EGIE3</v>
    <v>Ações</v>
    <v>ENGIE BRASIL ENERGIA S.A. (BVMF:EGIE3)</v>
    <v>-0.42</v>
    <v>-9.8659999999999998E-3</v>
    <v>403200</v>
  </rv>
  <rv s="2">
    <v>239</v>
  </rv>
  <rv s="0">
    <v>https://www.bing.com/financeapi/forcetrigger?t=apmsoc&amp;q=BVMF%3aJBSS3&amp;form=skydnc</v>
    <v>Learn more on Bing</v>
  </rv>
  <rv s="8">
    <v>pt-BR</v>
    <v>apmsoc</v>
    <v>268435456</v>
    <v>1</v>
    <v>Da plataforma Refinitiv</v>
    <v>14</v>
    <v>15</v>
    <v>JBS S.A. (BVMF:JBSS3)</v>
    <v>12</v>
    <v>16</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4.96</v>
    <v>BVMF</v>
    <v>123812800</v>
    <v>7.87</v>
    <v>1961</v>
    <v>7.75</v>
    <v>1.3047</v>
    <v>B3 - Brazil Stock Exchange</v>
    <v>964501712</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7.79</v>
    <v>7077</v>
    <v>45863.958333333336</v>
    <v>244</v>
    <v>142100</v>
    <v>BRL</v>
    <v>Profarma Distribuidora de Produtos Farmacêuticos S.A.</v>
    <v>Profarma Distribuidora de Produtos Farmacêuticos S.A.</v>
    <v>7.86</v>
    <v>7.79</v>
    <v>Avenida Ayrton Senna, 2150, Bloco P - 3 andar, Barra da Tijuca, RIO DE JANEIRO, RIO DE JANEIRO, 22.775-900 BR</v>
    <v>Pharmaceuticals</v>
    <v>PFRM3</v>
    <v>Ações</v>
    <v>Profarma Distribuidora de Produtos Farmacêuticos S.A. (BVMF:PFRM3)</v>
    <v>0</v>
    <v>0</v>
    <v>80300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34.39</v>
    <v>1999</v>
    <v>33.729999999999997</v>
    <v>0.91190000000000004</v>
    <v>B3 - Brazil Stock Exchange</v>
    <v>42504090000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34.15</v>
    <v>1178</v>
    <v>45863.958333333336</v>
    <v>247</v>
    <v>5310320</v>
    <v>BRL</v>
    <v>EQUATORIAL S.A.</v>
    <v>EQUATORIAL S.A.</v>
    <v>34.39</v>
    <v>33.880000000000003</v>
    <v>Alameda A, Quadra SQS, n 100, Loteamento Quitandinha Anexo A, sala 31, Altos do Calhau, SAO LUIS, MARANHAO, 65.070-900 BR</v>
    <v>Electrical Utilities &amp; IPPs</v>
    <v>EQTL3</v>
    <v>Ações</v>
    <v>EQUATORIAL S.A. (BVMF:EQTL3)</v>
    <v>-0.27</v>
    <v>-7.9059999999999998E-3</v>
    <v>4159100</v>
  </rv>
  <rv s="2">
    <v>248</v>
  </rv>
  <rv s="0">
    <v>https://www.bing.com/financeapi/forcetrigger?t=bqyxtc&amp;q=BVMF%3aNEOE3&amp;form=skydnc</v>
    <v>Learn more on Bing</v>
  </rv>
  <rv s="8">
    <v>pt-BR</v>
    <v>bqyxtc</v>
    <v>268435456</v>
    <v>1</v>
    <v>Da plataforma Refinitiv</v>
    <v>14</v>
    <v>15</v>
    <v>NEOENERGIA S.A. (BVMF:NEOE3)</v>
    <v>12</v>
    <v>16</v>
    <v>Finance</v>
    <v>5</v>
    <v>26.19</v>
    <v>17.14</v>
    <v>BVMF</v>
    <v>1213797000</v>
    <v>24.28</v>
    <v>1996</v>
    <v>23.75</v>
    <v>0.76629999999999998</v>
    <v>B3 - Brazil Stock Exchange</v>
    <v>28888380000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24.13</v>
    <v>11746</v>
    <v>45863.958333333336</v>
    <v>250</v>
    <v>1131260</v>
    <v>BRL</v>
    <v>NEOENERGIA S.A.</v>
    <v>NEOENERGIA S.A.</v>
    <v>24.21</v>
    <v>23.8</v>
    <v>Praia do Flamengo, 78, 3 andar, Flamengo, RIO DE JANEIRO, RIO DE JANEIRO, 22.210-030 BR</v>
    <v>Electrical Utilities &amp; IPPs</v>
    <v>NEOE3</v>
    <v>Ações</v>
    <v>NEOENERGIA S.A. (BVMF:NEOE3)</v>
    <v>-0.33</v>
    <v>-1.3675999999999999E-2</v>
    <v>541100</v>
  </rv>
  <rv s="2">
    <v>251</v>
  </rv>
  <rv s="0">
    <v>https://www.bing.com/financeapi/forcetrigger?t=apn5im&amp;q=BVMF%3aPOSI3&amp;form=skydnc</v>
    <v>Learn more on Bing</v>
  </rv>
  <rv s="8">
    <v>pt-BR</v>
    <v>apn5im</v>
    <v>268435456</v>
    <v>1</v>
    <v>Da plataforma Refinitiv</v>
    <v>14</v>
    <v>15</v>
    <v>POSITIVO TECNOLOGIA S.A. (BVMF:POSI3)</v>
    <v>12</v>
    <v>16</v>
    <v>Finance</v>
    <v>5</v>
    <v>7.25</v>
    <v>4.18</v>
    <v>BVMF</v>
    <v>141800000</v>
    <v>4.32</v>
    <v>1989</v>
    <v>4.2</v>
    <v>1.88</v>
    <v>B3 - Brazil Stock Exchange</v>
    <v>595560000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4.26</v>
    <v>7000</v>
    <v>45863.958333333336</v>
    <v>253</v>
    <v>601260</v>
    <v>BRL</v>
    <v>POSITIVO TECNOLOGIA S.A.</v>
    <v>POSITIVO TECNOLOGIA S.A.</v>
    <v>4.28</v>
    <v>4.2</v>
    <v>Rua Joao Bettega, 5200, Nao aplicavel, Cidade Industrial, CURITIBA, PARANA, 81.350-000 BR</v>
    <v>Computers, Phones &amp; Household Electronics</v>
    <v>POSI3</v>
    <v>Ações</v>
    <v>POSITIVO TECNOLOGIA S.A. (BVMF:POSI3)</v>
    <v>-0.06</v>
    <v>-1.4085E-2</v>
    <v>642400</v>
  </rv>
  <rv s="2">
    <v>254</v>
  </rv>
  <rv s="0">
    <v>https://www.bing.com/financeapi/forcetrigger?t=bxk8w7&amp;q=BVMF%3aWEST3&amp;form=skydnc</v>
    <v>Learn more on Bing</v>
  </rv>
  <rv s="9">
    <v>pt-BR</v>
    <v>bxk8w7</v>
    <v>268435456</v>
    <v>1</v>
    <v>Da plataforma Refinitiv</v>
    <v>17</v>
    <v>18</v>
    <v>WESTWING COMÉRCIO VAREJISTA S.A. (BVMF:WEST3)</v>
    <v>12</v>
    <v>19</v>
    <v>Finance</v>
    <v>5</v>
    <v>9.6999999999999993</v>
    <v>3.55</v>
    <v>BVMF</v>
    <v>11109350</v>
    <v>3.58</v>
    <v>2012</v>
    <v>3.56</v>
    <v>1.1336999999999999</v>
    <v>B3 - Brazil Stock Exchange</v>
    <v>39771470</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3.6</v>
    <v>45863.836805705469</v>
    <v>256</v>
    <v>1260</v>
    <v>BRL</v>
    <v>WESTWING COMÉRCIO VAREJISTA S.A.</v>
    <v>WESTWING COMÉRCIO VAREJISTA S.A.</v>
    <v>3.58</v>
    <v>3.58</v>
    <v>Av. Queiroz Filho, 1700 Torre A e B (partes), Vila Hamburguesa, Sao Paulo, SAO PAULO, 05.319-000 BR</v>
    <v>Specialty Retailers</v>
    <v>WEST3</v>
    <v>Ações</v>
    <v>WESTWING COMÉRCIO VAREJISTA S.A. (BVMF:WEST3)</v>
    <v>-0.02</v>
    <v>-5.5560000000000002E-3</v>
    <v>1000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29.02</v>
    <v>18.579999999999998</v>
    <v>BVMF</v>
    <v>339000000</v>
    <v>25.85</v>
    <v>1951</v>
    <v>24.99</v>
    <v>0.8962</v>
    <v>B3 - Brazil Stock Exchange</v>
    <v>8647890000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25.28</v>
    <v>16277</v>
    <v>45863.958333333336</v>
    <v>259</v>
    <v>475470</v>
    <v>BRL</v>
    <v>M. Dias Branco S.A. Indústria e Comércio de Alimentos</v>
    <v>M. Dias Branco S.A. Indústria e Comércio de Alimentos</v>
    <v>25</v>
    <v>25.51</v>
    <v>Rod Br 116 KM 18 S/N, Jabuti, EUSEBIO, CEARA, 61.760-000 BR</v>
    <v>Food &amp; Tobacco</v>
    <v>MDIA3</v>
    <v>Ações</v>
    <v>M. Dias Branco S.A. Indústria e Comércio de Alimentos (BVMF:MDIA3)</v>
    <v>0.23</v>
    <v>9.0980000000000002E-3</v>
    <v>391900</v>
  </rv>
  <rv s="2">
    <v>260</v>
  </rv>
  <rv s="0">
    <v>https://www.bing.com/financeapi/forcetrigger?t=aplym7&amp;q=BVMF%3aBBDC4&amp;form=skydnc</v>
    <v>Learn more on Bing</v>
  </rv>
  <rv s="8">
    <v>pt-BR</v>
    <v>aplym7</v>
    <v>268435456</v>
    <v>1</v>
    <v>Da plataforma Refinitiv</v>
    <v>14</v>
    <v>15</v>
    <v>Banco Bradesco S.A. (BVMF:BBDC4)</v>
    <v>12</v>
    <v>16</v>
    <v>Finance</v>
    <v>5</v>
    <v>16.88</v>
    <v>10.57</v>
    <v>BVMF</v>
    <v>10592010000</v>
    <v>15.76</v>
    <v>1943</v>
    <v>15.49</v>
    <v>1.5051000000000001</v>
    <v>B3 - Brazil Stock Exchange</v>
    <v>153249300000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15.68</v>
    <v>83365</v>
    <v>45863.958333333336</v>
    <v>262</v>
    <v>25478410</v>
    <v>BRL</v>
    <v>Banco Bradesco S.A.</v>
    <v>Banco Bradesco S.A.</v>
    <v>15.72</v>
    <v>15.56</v>
    <v>Nucleo Cidade de Deus s/n, Vila Yara, OSASCO, SAO PAULO, 06.029-900 BR</v>
    <v>Banking Services</v>
    <v>BBDC4</v>
    <v>Ações</v>
    <v>Banco Bradesco S.A. (BVMF:BBDC4)</v>
    <v>-0.12</v>
    <v>-7.6530000000000001E-3</v>
    <v>21796200</v>
  </rv>
  <rv s="2">
    <v>263</v>
  </rv>
  <rv s="0">
    <v>https://www.bing.com/financeapi/forcetrigger?t=apn75r&amp;q=BVMF%3aPSSA3&amp;form=skydnc</v>
    <v>Learn more on Bing</v>
  </rv>
  <rv s="8">
    <v>pt-BR</v>
    <v>apn75r</v>
    <v>268435456</v>
    <v>1</v>
    <v>Da plataforma Refinitiv</v>
    <v>14</v>
    <v>15</v>
    <v>Porto Seguro S.A. (BVMF:PSSA3)</v>
    <v>12</v>
    <v>16</v>
    <v>Finance</v>
    <v>5</v>
    <v>57.09</v>
    <v>28.29</v>
    <v>BVMF</v>
    <v>646586100</v>
    <v>52.1</v>
    <v>1997</v>
    <v>51.14</v>
    <v>0.84640000000000004</v>
    <v>B3 - Brazil Stock Exchange</v>
    <v>33169860000</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51.63</v>
    <v>13700</v>
    <v>45863.958333333336</v>
    <v>265</v>
    <v>2159590</v>
    <v>BRL</v>
    <v>Porto Seguro S.A.</v>
    <v>Porto Seguro S.A.</v>
    <v>51.81</v>
    <v>51.3</v>
    <v>Alameda Barao de Piracicaba, 618/634 - Torre B, 11 andar, Campos Eliseos, SAO PAULO, SAO PAULO, 01.216-012 BR</v>
    <v>Insurance</v>
    <v>PSSA3</v>
    <v>Ações</v>
    <v>Porto Seguro S.A. (BVMF:PSSA3)</v>
    <v>-0.33</v>
    <v>-6.3920000000000001E-3</v>
    <v>650000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124061300</v>
    <v>1.23</v>
    <v>2006</v>
    <v>1.1299999999999999</v>
    <v>1.2201</v>
    <v>B3 - Brazil Stock Exchange</v>
    <v>446600300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1.19</v>
    <v>141</v>
    <v>45863.958333333336</v>
    <v>268</v>
    <v>132810</v>
    <v>BRL</v>
    <v>RENOVA ENERGIA S.A. - EM RECUPERAÇÃO JUDICIAL</v>
    <v>RENOVA ENERGIA S.A. - EM RECUPERAÇÃO JUDICIAL</v>
    <v>1.23</v>
    <v>1.1499999999999999</v>
    <v>Avenida das Nacoes Unidas, n 10.989, conjunto 82, Vila Olimpia, SAO PAULO, SAO PAULO, 04.578-000 BR</v>
    <v>Electrical Utilities &amp; IPPs</v>
    <v>RNEW4</v>
    <v>Ações</v>
    <v>RENOVA ENERGIA S.A. - EM RECUPERAÇÃO JUDICIAL (BVMF:RNEW4)</v>
    <v>-0.04</v>
    <v>-3.3612999999999997E-2</v>
    <v>142000</v>
  </rv>
  <rv s="2">
    <v>269</v>
  </rv>
  <rv s="0">
    <v>https://www.bing.com/financeapi/forcetrigger?t=apniz2&amp;q=BVMF%3aUNIP6&amp;form=skydnc</v>
    <v>Learn more on Bing</v>
  </rv>
  <rv s="8">
    <v>pt-BR</v>
    <v>apniz2</v>
    <v>268435456</v>
    <v>1</v>
    <v>Da plataforma Refinitiv</v>
    <v>14</v>
    <v>15</v>
    <v>UNIPAR CARBOCLORO S.A. (BVMF:UNIP6)</v>
    <v>12</v>
    <v>16</v>
    <v>Finance</v>
    <v>5</v>
    <v>61.95</v>
    <v>39.700000000000003</v>
    <v>BVMF</v>
    <v>113173300</v>
    <v>55.49</v>
    <v>1969</v>
    <v>54.51</v>
    <v>1.2523</v>
    <v>B3 - Brazil Stock Exchange</v>
    <v>6001117000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55.3</v>
    <v>1400</v>
    <v>45863.958333333336</v>
    <v>271</v>
    <v>110440</v>
    <v>BRL</v>
    <v>UNIPAR CARBOCLORO S.A.</v>
    <v>UNIPAR CARBOCLORO S.A.</v>
    <v>55.3</v>
    <v>55.17</v>
    <v>Avenida Presidente Juscelino Kubitschek, n 1327, 22 andar, Itaim Bibi, SAO PAULO, SAO PAULO, 04.543-011 BR</v>
    <v>Chemicals</v>
    <v>UNIP6</v>
    <v>Ações</v>
    <v>UNIPAR CARBOCLORO S.A. (BVMF:UNIP6)</v>
    <v>-0.13</v>
    <v>-2.3510000000000002E-3</v>
    <v>70100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13.44</v>
    <v>2006</v>
    <v>13.06</v>
    <v>1.6411</v>
    <v>B3 - Brazil Stock Exchange</v>
    <v>2952414000</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13.1</v>
    <v>338</v>
    <v>45863.958333333336</v>
    <v>274</v>
    <v>914970</v>
    <v>BRL</v>
    <v>EZ TEC Empreendimentos e Participações S.A.</v>
    <v>EZ TEC Empreendimentos e Participações S.A.</v>
    <v>13.06</v>
    <v>13.36</v>
    <v>Av. Republica do Libano,1.921, Ibirapuera, SAO PAULO, SAO PAULO, 04.501-002 BR</v>
    <v>Real Estate Operations</v>
    <v>EZTC3</v>
    <v>Ações</v>
    <v>EZ TEC Empreendimentos e Participações S.A. (BVMF:EZTC3)</v>
    <v>0.26</v>
    <v>1.9847E-2</v>
    <v>744100</v>
  </rv>
  <rv s="2">
    <v>275</v>
  </rv>
  <rv s="0">
    <v>https://www.bing.com/financeapi/forcetrigger?t=awjq77&amp;q=BVMF%3aSUZB3&amp;form=skydnc</v>
    <v>Learn more on Bing</v>
  </rv>
  <rv s="8">
    <v>pt-BR</v>
    <v>awjq77</v>
    <v>268435456</v>
    <v>1</v>
    <v>Da plataforma Refinitiv</v>
    <v>14</v>
    <v>15</v>
    <v>SUZANO S.A. (BVMF:SUZB3)</v>
    <v>12</v>
    <v>16</v>
    <v>Finance</v>
    <v>5</v>
    <v>64.709999999999994</v>
    <v>49.15</v>
    <v>BVMF</v>
    <v>1264118000</v>
    <v>52.76</v>
    <v>1987</v>
    <v>51.37</v>
    <v>0.33879999999999999</v>
    <v>B3 - Brazil Stock Exchange</v>
    <v>66454660000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51.5</v>
    <v>56000</v>
    <v>45863.958333333336</v>
    <v>277</v>
    <v>4092280</v>
    <v>BRL</v>
    <v>SUZANO S.A.</v>
    <v>SUZANO S.A.</v>
    <v>51.37</v>
    <v>52.57</v>
    <v>Av. Professor Magalhaes Neto,1752 - 10 andar, Salas 1009/1010/1011, Pituba, SALVADOR, BAHIA, 41.810-012 BR</v>
    <v>Paper &amp; Forest Products</v>
    <v>SUZB3</v>
    <v>Ações</v>
    <v>SUZANO S.A. (BVMF:SUZB3)</v>
    <v>1.07</v>
    <v>2.0777E-2</v>
    <v>4313000</v>
  </rv>
  <rv s="2">
    <v>278</v>
  </rv>
  <rv s="0">
    <v>https://www.bing.com/financeapi/forcetrigger?t=apm1nm&amp;q=BVMF%3aBMEB4&amp;form=skydnc</v>
    <v>Learn more on Bing</v>
  </rv>
  <rv s="8">
    <v>pt-BR</v>
    <v>apm1nm</v>
    <v>268435456</v>
    <v>1</v>
    <v>Da plataforma Refinitiv</v>
    <v>14</v>
    <v>15</v>
    <v>Banco Mercantil do Brasil S.A. (BVMF:BMEB4)</v>
    <v>12</v>
    <v>16</v>
    <v>Finance</v>
    <v>5</v>
    <v>43.25</v>
    <v>29.69</v>
    <v>BVMF</v>
    <v>104831600</v>
    <v>39.340000000000003</v>
    <v>1940</v>
    <v>38.369999999999997</v>
    <v>0.1268</v>
    <v>B3 - Brazil Stock Exchange</v>
    <v>3640757000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38.54</v>
    <v>2958</v>
    <v>45863.958333333336</v>
    <v>280</v>
    <v>9280</v>
    <v>BRL</v>
    <v>Banco Mercantil do Brasil S.A.</v>
    <v>Banco Mercantil do Brasil S.A.</v>
    <v>38.39</v>
    <v>39.130000000000003</v>
    <v>Rua Rio De Janeiro, 680, Centro, BELO HORIZONTE, MINAS GERAIS, 30.160-912 BR</v>
    <v>Banking Services</v>
    <v>BMEB4</v>
    <v>Ações</v>
    <v>Banco Mercantil do Brasil S.A. (BVMF:BMEB4)</v>
    <v>0.59</v>
    <v>1.5309E-2</v>
    <v>7700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10.93</v>
    <v>1954</v>
    <v>10.78</v>
    <v>0.86270000000000002</v>
    <v>B3 - Brazil Stock Exchange</v>
    <v>33794600000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10.94</v>
    <v>4396</v>
    <v>45863.958333333336</v>
    <v>283</v>
    <v>10023440</v>
    <v>BRL</v>
    <v>Companhia Paranaense de Energia - Copel</v>
    <v>Companhia Paranaense de Energia - Copel</v>
    <v>10.92</v>
    <v>10.89</v>
    <v>Rua Jose Izidoro Biazetto, 158, Orleans, CURITIBA, PARANA, 81.200-240 BR</v>
    <v>Electrical Utilities &amp; IPPs</v>
    <v>CPLE3</v>
    <v>Ações</v>
    <v>Companhia Paranaense de Energia - Copel (BVMF:CPLE3)</v>
    <v>-0.05</v>
    <v>-4.5700000000000003E-3</v>
    <v>1931500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35.200000000000003</v>
    <v>1953</v>
    <v>34.869999999999997</v>
    <v>1.0266</v>
    <v>B3 - Brazil Stock Exchange</v>
    <v>434954900000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34.880000000000003</v>
    <v>49185</v>
    <v>45863.958333333336</v>
    <v>286</v>
    <v>25405980</v>
    <v>BRL</v>
    <v>Petróleo Brasileiro S.A. (Petrobras)</v>
    <v>Petróleo Brasileiro S.A. (Petrobras)</v>
    <v>34.950000000000003</v>
    <v>35.04</v>
    <v>Av. Republica do Chile, n 65, 24 andar, Centro, RIO DE JANEIRO, RIO DE JANEIRO, 20.031-912 BR</v>
    <v>Oil &amp; Gas</v>
    <v>PETR3</v>
    <v>Ações</v>
    <v>Petróleo Brasileiro S.A. (Petrobras) (BVMF:PETR3)</v>
    <v>0.16</v>
    <v>4.5869999999999999E-3</v>
    <v>4858900</v>
  </rv>
  <rv s="2">
    <v>287</v>
  </rv>
  <rv s="0">
    <v>https://www.bing.com/financeapi/forcetrigger?t=aplyjc&amp;q=BVMF%3aBBDC3&amp;form=skydnc</v>
    <v>Learn more on Bing</v>
  </rv>
  <rv s="8">
    <v>pt-BR</v>
    <v>aplyjc</v>
    <v>268435456</v>
    <v>1</v>
    <v>Da plataforma Refinitiv</v>
    <v>14</v>
    <v>15</v>
    <v>Banco Bradesco S.A. (BVMF:BBDC3)</v>
    <v>12</v>
    <v>16</v>
    <v>Finance</v>
    <v>5</v>
    <v>14.48</v>
    <v>9.69</v>
    <v>BVMF</v>
    <v>10592010000</v>
    <v>13.56</v>
    <v>1943</v>
    <v>13.37</v>
    <v>1.5051000000000001</v>
    <v>B3 - Brazil Stock Exchange</v>
    <v>153249300000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13.49</v>
    <v>83365</v>
    <v>45863.958333333336</v>
    <v>289</v>
    <v>25478410</v>
    <v>BRL</v>
    <v>Banco Bradesco S.A.</v>
    <v>Banco Bradesco S.A.</v>
    <v>13.52</v>
    <v>13.38</v>
    <v>Nucleo Cidade de Deus s/n, Vila Yara, OSASCO, SAO PAULO, 06.029-900 BR</v>
    <v>Banking Services</v>
    <v>BBDC3</v>
    <v>Ações</v>
    <v>Banco Bradesco S.A. (BVMF:BBDC3)</v>
    <v>-0.11</v>
    <v>-8.1539999999999998E-3</v>
    <v>4172200</v>
  </rv>
  <rv s="2">
    <v>290</v>
  </rv>
  <rv s="0">
    <v>https://www.bing.com/financeapi/forcetrigger?t=apn5cw&amp;q=BVMF%3aPOMO4&amp;form=skydnc</v>
    <v>Learn more on Bing</v>
  </rv>
  <rv s="8">
    <v>pt-BR</v>
    <v>apn5cw</v>
    <v>268435456</v>
    <v>1</v>
    <v>Da plataforma Refinitiv</v>
    <v>14</v>
    <v>15</v>
    <v>MARCOPOLO S.A. (BVMF:POMO4)</v>
    <v>12</v>
    <v>16</v>
    <v>Finance</v>
    <v>5</v>
    <v>9.15</v>
    <v>5.52</v>
    <v>BVMF</v>
    <v>1136271000</v>
    <v>8.49</v>
    <v>1949</v>
    <v>8.2799999999999994</v>
    <v>0.80769999999999997</v>
    <v>B3 - Brazil Stock Exchange</v>
    <v>8859126000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8.2899999999999991</v>
    <v>16027</v>
    <v>45863.958333333336</v>
    <v>292</v>
    <v>7143500</v>
    <v>BRL</v>
    <v>MARCOPOLO S.A.</v>
    <v>MARCOPOLO S.A.</v>
    <v>8.32</v>
    <v>8.41</v>
    <v>Avenida Marcopolo,280, Planalto, CAXIAS DO SUL, RIO GRANDE DO SUL, 95.086-200 BR</v>
    <v>Automobiles &amp; Auto Parts</v>
    <v>POMO4</v>
    <v>Ações</v>
    <v>MARCOPOLO S.A. (BVMF:POMO4)</v>
    <v>0.12</v>
    <v>1.4475E-2</v>
    <v>8149300</v>
  </rv>
  <rv s="2">
    <v>293</v>
  </rv>
  <rv s="0">
    <v>https://www.bing.com/financeapi/forcetrigger?t=apnjsm&amp;q=BVMF%3aVALE3&amp;form=skydnc</v>
    <v>Learn more on Bing</v>
  </rv>
  <rv s="8">
    <v>pt-BR</v>
    <v>apnjsm</v>
    <v>268435456</v>
    <v>1</v>
    <v>Da plataforma Refinitiv</v>
    <v>14</v>
    <v>15</v>
    <v>VALE S.A. (BVMF:VALE3)</v>
    <v>12</v>
    <v>16</v>
    <v>Finance</v>
    <v>5</v>
    <v>62.34</v>
    <v>48.77</v>
    <v>BVMF</v>
    <v>4539008000</v>
    <v>56.28</v>
    <v>1943</v>
    <v>55.27</v>
    <v>0.76680000000000004</v>
    <v>B3 - Brazil Stock Exchange</v>
    <v>252822700000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56.53</v>
    <v>64616</v>
    <v>45863.958333333336</v>
    <v>295</v>
    <v>25289060</v>
    <v>BRL</v>
    <v>VALE S.A.</v>
    <v>VALE S.A.</v>
    <v>56.18</v>
    <v>55.7</v>
    <v>Torre Oscar Niemeyer, Praia de Botafogo n 186 salas 1901 e outras, Botafogo, RIO DE JANEIRO, RIO DE JANEIRO, 34.855-000 BR</v>
    <v>Metals &amp; Mining</v>
    <v>VALE3</v>
    <v>Ações</v>
    <v>VALE S.A. (BVMF:VALE3)</v>
    <v>-0.83</v>
    <v>-1.4681999999999999E-2</v>
    <v>21904100</v>
  </rv>
  <rv s="2">
    <v>296</v>
  </rv>
  <rv s="0">
    <v>https://www.bing.com/financeapi/forcetrigger?t=apn7yc&amp;q=BVMF%3aRADL3&amp;form=skydnc</v>
    <v>Learn more on Bing</v>
  </rv>
  <rv s="8">
    <v>pt-BR</v>
    <v>apn7yc</v>
    <v>268435456</v>
    <v>1</v>
    <v>Da plataforma Refinitiv</v>
    <v>14</v>
    <v>15</v>
    <v>Raia Drogasil S/A (BVMF:RADL3)</v>
    <v>12</v>
    <v>16</v>
    <v>Finance</v>
    <v>5</v>
    <v>29.81</v>
    <v>13.23</v>
    <v>BVMF</v>
    <v>1718007000</v>
    <v>14.38</v>
    <v>1935</v>
    <v>13.95</v>
    <v>0.78459999999999996</v>
    <v>B3 - Brazil Stock Exchange</v>
    <v>24120820000</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14.23</v>
    <v>66275</v>
    <v>45863.958333333336</v>
    <v>298</v>
    <v>7818670</v>
    <v>BRL</v>
    <v>Raia Drogasil S/A</v>
    <v>Raia Drogasil S/A</v>
    <v>14.33</v>
    <v>14.04</v>
    <v>Av. Corifeu de Azevedo Marques, 3.097, Butanta, SAO PAULO, SAO PAULO, 05.339-900 BR</v>
    <v>Food &amp; Drug Retailing</v>
    <v>RADL3</v>
    <v>Ações</v>
    <v>Raia Drogasil S/A (BVMF:RADL3)</v>
    <v>-0.19</v>
    <v>-1.3351999999999999E-2</v>
    <v>4604200</v>
  </rv>
  <rv s="2">
    <v>299</v>
  </rv>
  <rv s="0">
    <v>https://www.bing.com/financeapi/forcetrigger?t=c1s4lh&amp;q=BVMF%3aGGPS3&amp;form=skydnc</v>
    <v>Learn more on Bing</v>
  </rv>
  <rv s="8">
    <v>pt-BR</v>
    <v>c1s4lh</v>
    <v>268435456</v>
    <v>1</v>
    <v>Da plataforma Refinitiv</v>
    <v>14</v>
    <v>15</v>
    <v>GPS PARTICIPAÇÕES E EMPREENDIMENTOS S.A. (BVMF:GGPS3)</v>
    <v>12</v>
    <v>16</v>
    <v>Finance</v>
    <v>5</v>
    <v>19.11</v>
    <v>12.12</v>
    <v>BVMF</v>
    <v>677280700</v>
    <v>14.62</v>
    <v>2007</v>
    <v>14.33</v>
    <v>1.2970999999999999</v>
    <v>B3 - Brazil Stock Exchange</v>
    <v>9834116000</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14.36</v>
    <v>183000</v>
    <v>45863.958333333336</v>
    <v>301</v>
    <v>2920730</v>
    <v>BRL</v>
    <v>GPS PARTICIPAÇÕES E EMPREENDIMENTOS S.A.</v>
    <v>GPS PARTICIPAÇÕES E EMPREENDIMENTOS S.A.</v>
    <v>14.45</v>
    <v>14.52</v>
    <v>Av. Miguel Frias e Vasconcelos, n 1215 2 andar, Jaguare, SAO PAULO, SAO PAULO, 05.345-000 BR</v>
    <v>Professional &amp; Commercial Services</v>
    <v>GGPS3</v>
    <v>Ações</v>
    <v>GPS PARTICIPAÇÕES E EMPREENDIMENTOS S.A. (BVMF:GGPS3)</v>
    <v>0.16</v>
    <v>1.1142000000000001E-2</v>
    <v>1489100</v>
  </rv>
  <rv s="2">
    <v>302</v>
  </rv>
  <rv s="0">
    <v>https://www.bing.com/financeapi/forcetrigger?t=bvoyz2&amp;q=BVMF%3aHBSA3&amp;form=skydnc</v>
    <v>Learn more on Bing</v>
  </rv>
  <rv s="9">
    <v>pt-BR</v>
    <v>bvoyz2</v>
    <v>268435456</v>
    <v>1</v>
    <v>Da plataforma Refinitiv</v>
    <v>17</v>
    <v>18</v>
    <v>Hidrovias do Brasil S.A (BVMF:HBSA3)</v>
    <v>12</v>
    <v>19</v>
    <v>Finance</v>
    <v>5</v>
    <v>3.89</v>
    <v>1.47</v>
    <v>BVMF</v>
    <v>1360383000</v>
    <v>3.78</v>
    <v>2010</v>
    <v>3.68</v>
    <v>1.2108000000000001</v>
    <v>B3 - Brazil Stock Exchange</v>
    <v>5101435000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3.78</v>
    <v>45863.958333333336</v>
    <v>304</v>
    <v>2970130</v>
    <v>BRL</v>
    <v>Hidrovias do Brasil S.A</v>
    <v>Hidrovias do Brasil S.A</v>
    <v>3.76</v>
    <v>3.75</v>
    <v>Rua Gilberto Sabino, 215 - 7 andar, SAO PAULO, SAO PAULO, 05.425-020 BR</v>
    <v>Freight &amp; Logistics Services</v>
    <v>HBSA3</v>
    <v>Ações</v>
    <v>Hidrovias do Brasil S.A (BVMF:HBSA3)</v>
    <v>-0.03</v>
    <v>-7.9369999999999996E-3</v>
    <v>1297200</v>
  </rv>
  <rv s="2">
    <v>305</v>
  </rv>
  <rv s="0">
    <v>https://www.bing.com/financeapi/forcetrigger?t=apm7gh&amp;q=BVMF%3aCCRO3&amp;form=skydnc</v>
    <v>Learn more on Bing</v>
  </rv>
  <rv s="8">
    <v>pt-BR</v>
    <v>apm7gh</v>
    <v>268435456</v>
    <v>1</v>
    <v>Da plataforma Refinitiv</v>
    <v>14</v>
    <v>15</v>
    <v>MOTIVA INFRAESTRUTURA DE MOBILIDADE S.A. (BVMF:MOTV3)</v>
    <v>12</v>
    <v>16</v>
    <v>Finance</v>
    <v>5</v>
    <v>14.1</v>
    <v>9.86</v>
    <v>BVMF</v>
    <v>2020000000</v>
    <v>12.5</v>
    <v>1998</v>
    <v>12.3</v>
    <v>1.0582</v>
    <v>B3 - Brazil Stock Exchange</v>
    <v>25048000000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12.46</v>
    <v>17124</v>
    <v>45863.958333333336</v>
    <v>307</v>
    <v>8180160</v>
    <v>BRL</v>
    <v>MOTIVA INFRAESTRUTURA DE MOBILIDADE S.A.</v>
    <v>MOTIVA INFRAESTRUTURA DE MOBILIDADE S.A.</v>
    <v>12.46</v>
    <v>12.4</v>
    <v>Av. Dra. Ruth Cardoso, 8.501, 5 andar, Pinheiros, SAO PAULO, SAO PAULO, 05.425-070 BR</v>
    <v>Transport Infrastructure</v>
    <v>MOTV3</v>
    <v>Ações</v>
    <v>MOTIVA INFRAESTRUTURA DE MOBILIDADE S.A. (BVMF:MOTV3)</v>
    <v>-0.06</v>
    <v>-4.8149999999999998E-3</v>
    <v>7083800</v>
  </rv>
  <rv s="2">
    <v>308</v>
  </rv>
  <rv s="0">
    <v>https://www.bing.com/financeapi/forcetrigger?t=bvu6jc&amp;q=BVMF%3aMELK3&amp;form=skydnc</v>
    <v>Learn more on Bing</v>
  </rv>
  <rv s="8">
    <v>pt-BR</v>
    <v>bvu6jc</v>
    <v>268435456</v>
    <v>1</v>
    <v>Da plataforma Refinitiv</v>
    <v>14</v>
    <v>15</v>
    <v>Melnick Desenvolvimento Imobiliário S.A. (BVMF:MELK3)</v>
    <v>12</v>
    <v>16</v>
    <v>Finance</v>
    <v>5</v>
    <v>3.56</v>
    <v>2.38</v>
    <v>BVMF</v>
    <v>206269300</v>
    <v>3.42</v>
    <v>2010</v>
    <v>3.32</v>
    <v>0.94140000000000001</v>
    <v>B3 - Brazil Stock Exchange</v>
    <v>699253100</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3.35</v>
    <v>458</v>
    <v>45863.958333333336</v>
    <v>310</v>
    <v>284390</v>
    <v>BRL</v>
    <v>Melnick Desenvolvimento Imobiliário S.A.</v>
    <v>Melnick Desenvolvimento Imobiliário S.A.</v>
    <v>3.35</v>
    <v>3.39</v>
    <v>Rua Carlos Trein Filho, n 551, N/A, Auxiliadora, Porto Alegre, RIO GRANDE DO SUL, 90.450-120 BR</v>
    <v>Homebuilding &amp; Construction Supplies</v>
    <v>MELK3</v>
    <v>Ações</v>
    <v>Melnick Desenvolvimento Imobiliário S.A. (BVMF:MELK3)</v>
    <v>0.04</v>
    <v>1.1939999999999999E-2</v>
    <v>292900</v>
  </rv>
  <rv s="2">
    <v>311</v>
  </rv>
  <rv s="0">
    <v>https://www.bing.com/financeapi/forcetrigger?t=apmb27&amp;q=BVMF%3aCPFE3&amp;form=skydnc</v>
    <v>Learn more on Bing</v>
  </rv>
  <rv s="8">
    <v>pt-BR</v>
    <v>apmb27</v>
    <v>268435456</v>
    <v>1</v>
    <v>Da plataforma Refinitiv</v>
    <v>14</v>
    <v>15</v>
    <v>CPFL ENERGIA S.A. (BVMF:CPFE3)</v>
    <v>12</v>
    <v>16</v>
    <v>Finance</v>
    <v>5</v>
    <v>41.48</v>
    <v>29.96</v>
    <v>BVMF</v>
    <v>1152254000</v>
    <v>38.479999999999997</v>
    <v>1998</v>
    <v>38.090000000000003</v>
    <v>0.66269999999999996</v>
    <v>B3 - Brazil Stock Exchange</v>
    <v>44016120000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38.15</v>
    <v>6432</v>
    <v>45863.958333333336</v>
    <v>313</v>
    <v>1092560</v>
    <v>BRL</v>
    <v>CPFL ENERGIA S.A.</v>
    <v>CPFL ENERGIA S.A.</v>
    <v>38.26</v>
    <v>38.200000000000003</v>
    <v>Rua Jorge de Figueiredo Correa,1632, parte, Jd Prof. Tarcilia, CAMPINAS, SAO PAULO, 13.087-397 BR</v>
    <v>Electrical Utilities &amp; IPPs</v>
    <v>CPFE3</v>
    <v>Ações</v>
    <v>CPFL ENERGIA S.A. (BVMF:CPFE3)</v>
    <v>0.05</v>
    <v>1.3109999999999999E-3</v>
    <v>626800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16</v>
    <v>Finance</v>
    <v>5</v>
    <v>121.3</v>
    <v>82.53</v>
    <v>BVMF</v>
    <v>683509900</v>
    <v>110.18</v>
    <v>1973</v>
    <v>107.18</v>
    <v>0.88690000000000002</v>
    <v>B3 - Brazil Stock Exchange</v>
    <v>73443130000</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108.97</v>
    <v>9700</v>
    <v>45863.958333333336</v>
    <v>316</v>
    <v>2441950</v>
    <v>BRL</v>
    <v>Companhia de Saneamento Básico do Estado de São Paulo - SABESP</v>
    <v>Companhia de Saneamento Básico do Estado de São Paulo - SABESP</v>
    <v>110.06</v>
    <v>107.45</v>
    <v>Rua Costa Carvalho, n 300 Diretoria F, Pinheiros, SAO PAULO, SAO PAULO, 05.429-900 BR</v>
    <v>Water Utilities</v>
    <v>SBSP3</v>
    <v>Ações</v>
    <v>Companhia de Saneamento Básico do Estado de São Paulo - SABESP (BVMF:SBSP3)</v>
    <v>-1.52</v>
    <v>-1.3949E-2</v>
    <v>1882600</v>
  </rv>
  <rv s="2">
    <v>317</v>
  </rv>
  <rv s="0">
    <v>https://www.bing.com/financeapi/forcetrigger?t=c1s4zr&amp;q=BVMF%3aSOJA3&amp;form=skydnc</v>
    <v>Learn more on Bing</v>
  </rv>
  <rv s="9">
    <v>pt-BR</v>
    <v>c1s4zr</v>
    <v>268435456</v>
    <v>1</v>
    <v>Da plataforma Refinitiv</v>
    <v>17</v>
    <v>18</v>
    <v>Boa Safra Sementes S.A. (BVMF:SOJA3)</v>
    <v>12</v>
    <v>19</v>
    <v>Finance</v>
    <v>5</v>
    <v>15.03</v>
    <v>9.5500000000000007</v>
    <v>BVMF</v>
    <v>135322100</v>
    <v>10.68</v>
    <v>2009</v>
    <v>10.45</v>
    <v>0.64800000000000002</v>
    <v>B3 - Brazil Stock Exchange</v>
    <v>1420883000</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10.6</v>
    <v>45863.958333333336</v>
    <v>319</v>
    <v>425000</v>
    <v>BRL</v>
    <v>Boa Safra Sementes S.A.</v>
    <v>Boa Safra Sementes S.A.</v>
    <v>10.61</v>
    <v>10.5</v>
    <v>Avenida Circular 209, Setor Industrial, Formosa, GOIAS, 73.813-014 BR</v>
    <v>Food &amp; Tobacco</v>
    <v>SOJA3</v>
    <v>Ações</v>
    <v>Boa Safra Sementes S.A. (BVMF:SOJA3)</v>
    <v>-0.1</v>
    <v>-9.4339999999999997E-3</v>
    <v>322000</v>
  </rv>
  <rv s="2">
    <v>320</v>
  </rv>
  <rv s="0">
    <v>https://www.bing.com/financeapi/forcetrigger?t=apn7h7&amp;q=BVMF%3aPTNT4&amp;form=skydnc</v>
    <v>Learn more on Bing</v>
  </rv>
  <rv s="8">
    <v>pt-BR</v>
    <v>apn7h7</v>
    <v>268435456</v>
    <v>1</v>
    <v>Da plataforma Refinitiv</v>
    <v>14</v>
    <v>15</v>
    <v>Pettenati S.A. Indústria Têxtil (BVMF:PTNT4)</v>
    <v>12</v>
    <v>16</v>
    <v>Finance</v>
    <v>5</v>
    <v>8.27</v>
    <v>4.45</v>
    <v>BVMF</v>
    <v>48046490</v>
    <v>4.72</v>
    <v>1964</v>
    <v>4.5999999999999996</v>
    <v>0.36770000000000003</v>
    <v>B3 - Brazil Stock Exchange</v>
    <v>304141400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4.5999999999999996</v>
    <v>1745</v>
    <v>45863.958333333336</v>
    <v>322</v>
    <v>7440</v>
    <v>BRL</v>
    <v>Pettenati S.A. Indústria Têxtil</v>
    <v>Pettenati S.A. Indústria Têxtil</v>
    <v>4.6900000000000004</v>
    <v>4.67</v>
    <v>Rod Rsc 453, S/N,Km 2,4, Distrito Industrial, CAXIAS DO SUL, RIO GRANDE DO SUL, 95.010-550 BR</v>
    <v>Textiles &amp; Apparel</v>
    <v>PTNT4</v>
    <v>Ações</v>
    <v>Pettenati S.A. Indústria Têxtil (BVMF:PTNT4)</v>
    <v>7.0000000000000007E-2</v>
    <v>1.5217000000000001E-2</v>
    <v>16000</v>
  </rv>
  <rv s="2">
    <v>323</v>
  </rv>
  <rv s="0">
    <v>https://www.bing.com/financeapi/forcetrigger?t=c2ttqh&amp;q=BVMF%3aDESK3&amp;form=skydnc</v>
    <v>Learn more on Bing</v>
  </rv>
  <rv s="9">
    <v>pt-BR</v>
    <v>c2ttqh</v>
    <v>268435456</v>
    <v>1</v>
    <v>Da plataforma Refinitiv</v>
    <v>17</v>
    <v>18</v>
    <v>DESKTOP S.A. (BVMF:DESK3)</v>
    <v>12</v>
    <v>19</v>
    <v>Finance</v>
    <v>5</v>
    <v>17.440000000000001</v>
    <v>7.8</v>
    <v>BVMF</v>
    <v>115907200</v>
    <v>8.27</v>
    <v>2006</v>
    <v>8.14</v>
    <v>1.2639</v>
    <v>B3 - Brazil Stock Exchange</v>
    <v>948120800</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8.15</v>
    <v>45863.958333333336</v>
    <v>325</v>
    <v>93700</v>
    <v>BRL</v>
    <v>DESKTOP S.A.</v>
    <v>DESKTOP S.A.</v>
    <v>8.16</v>
    <v>8.18</v>
    <v>Estrada Municipal Teodor Condiev, 970 13o andar, Jardim Marchissolo, Sumare, SAO PAULO, 13.171-105 BR</v>
    <v>Telecommunications Services</v>
    <v>DESK3</v>
    <v>Ações</v>
    <v>DESKTOP S.A. (BVMF:DESK3)</v>
    <v>0.03</v>
    <v>3.6809999999999998E-3</v>
    <v>91300</v>
  </rv>
  <rv s="2">
    <v>326</v>
  </rv>
  <rv s="0">
    <v>https://www.bing.com/financeapi/forcetrigger?t=ayuegh&amp;q=BVMF%3aIGTI3&amp;form=skydnc</v>
    <v>Learn more on Bing</v>
  </rv>
  <rv s="8">
    <v>pt-BR</v>
    <v>ayuegh</v>
    <v>268435456</v>
    <v>1</v>
    <v>Da plataforma Refinitiv</v>
    <v>14</v>
    <v>15</v>
    <v>Iguatemi S.A. (BVMF:IGTI3)</v>
    <v>12</v>
    <v>16</v>
    <v>Finance</v>
    <v>5</v>
    <v>2.89</v>
    <v>1.93</v>
    <v>BVMF</v>
    <v>1206361000</v>
    <v>2.52</v>
    <v>1946</v>
    <v>2.4300000000000002</v>
    <v>1.0386</v>
    <v>B3 - Brazil Stock Exchange</v>
    <v>6281168000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2.46</v>
    <v>636</v>
    <v>45863.958333333336</v>
    <v>328</v>
    <v>76360</v>
    <v>BRL</v>
    <v>Iguatemi S.A.</v>
    <v>Iguatemi S.A.</v>
    <v>2.4300000000000002</v>
    <v>2.5</v>
    <v>Rua Angelina Maffei Vita 200 9 andar, Jardim Paulistano, SAO PAULO, SAO PAULO, 01.455-070 BR</v>
    <v>Real Estate Operations</v>
    <v>IGTI3</v>
    <v>Ações</v>
    <v>Iguatemi S.A. (BVMF:IGTI3)</v>
    <v>0.04</v>
    <v>1.626E-2</v>
    <v>63300</v>
  </rv>
  <rv s="2">
    <v>329</v>
  </rv>
  <rv s="0">
    <v>https://www.bing.com/financeapi/forcetrigger?t=apmtnm&amp;q=BVMF%3aKEPL3&amp;form=skydnc</v>
    <v>Learn more on Bing</v>
  </rv>
  <rv s="8">
    <v>pt-BR</v>
    <v>apmtnm</v>
    <v>268435456</v>
    <v>1</v>
    <v>Da plataforma Refinitiv</v>
    <v>14</v>
    <v>15</v>
    <v>Kepler Weber S.A. (BVMF:KEPL3)</v>
    <v>12</v>
    <v>16</v>
    <v>Finance</v>
    <v>5</v>
    <v>10.92</v>
    <v>6.87</v>
    <v>BVMF</v>
    <v>179720100</v>
    <v>7.3</v>
    <v>1936</v>
    <v>7.16</v>
    <v>0.93169999999999997</v>
    <v>B3 - Brazil Stock Exchange</v>
    <v>1290391000</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7.23</v>
    <v>1925</v>
    <v>45863.958333333336</v>
    <v>331</v>
    <v>1126340</v>
    <v>BRL</v>
    <v>Kepler Weber S.A.</v>
    <v>Kepler Weber S.A.</v>
    <v>7.3</v>
    <v>7.18</v>
    <v>Rua do Rocio n 84, 3 andar, Vila Olimpia, SAO PAULO, SAO PAULO, 04.552-000 BR</v>
    <v>Machinery, Equipment &amp; Components</v>
    <v>KEPL3</v>
    <v>Ações</v>
    <v>Kepler Weber S.A. (BVMF:KEPL3)</v>
    <v>-0.05</v>
    <v>-6.9160000000000003E-3</v>
    <v>724200</v>
  </rv>
  <rv s="2">
    <v>332</v>
  </rv>
  <rv s="0">
    <v>https://www.bing.com/financeapi/forcetrigger?t=apmvxm&amp;q=BVMF%3aLREN3&amp;form=skydnc</v>
    <v>Learn more on Bing</v>
  </rv>
  <rv s="8">
    <v>pt-BR</v>
    <v>apmvxm</v>
    <v>268435456</v>
    <v>1</v>
    <v>Da plataforma Refinitiv</v>
    <v>14</v>
    <v>15</v>
    <v>Lojas Renner S.A. (BVMF:LREN3)</v>
    <v>12</v>
    <v>16</v>
    <v>Finance</v>
    <v>5</v>
    <v>19.66</v>
    <v>10.53</v>
    <v>BVMF</v>
    <v>1059715000</v>
    <v>17.13</v>
    <v>1965</v>
    <v>16.54</v>
    <v>1.7544999999999999</v>
    <v>B3 - Brazil Stock Exchange</v>
    <v>17718440000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17.079999999999998</v>
    <v>25102</v>
    <v>45863.958333333336</v>
    <v>334</v>
    <v>16216640</v>
    <v>BRL</v>
    <v>Lojas Renner S.A.</v>
    <v>Lojas Renner S.A.</v>
    <v>17.100000000000001</v>
    <v>16.72</v>
    <v>Av. Joaquim Porto Villanova, 401,7 andar, Jardim do Salso, PORTO ALEGRE, RIO GRANDE DO SUL, 91.410-400 BR</v>
    <v>Specialty Retailers</v>
    <v>LREN3</v>
    <v>Ações</v>
    <v>Lojas Renner S.A. (BVMF:LREN3)</v>
    <v>-0.36</v>
    <v>-2.1076999999999999E-2</v>
    <v>13198400</v>
  </rv>
  <rv s="2">
    <v>335</v>
  </rv>
  <rv s="0">
    <v>https://www.bing.com/financeapi/forcetrigger?t=apmyyc&amp;q=BVMF%3aMRFG3&amp;form=skydnc</v>
    <v>Learn more on Bing</v>
  </rv>
  <rv s="8">
    <v>pt-BR</v>
    <v>apmyyc</v>
    <v>268435456</v>
    <v>1</v>
    <v>Da plataforma Refinitiv</v>
    <v>14</v>
    <v>15</v>
    <v>Marfrig Global Foods S.A. (BVMF:MRFG3)</v>
    <v>12</v>
    <v>16</v>
    <v>Finance</v>
    <v>5</v>
    <v>26.03</v>
    <v>9.41</v>
    <v>BVMF</v>
    <v>857928100</v>
    <v>23.37</v>
    <v>2000</v>
    <v>22.98</v>
    <v>0.90490000000000004</v>
    <v>B3 - Brazil Stock Exchange</v>
    <v>19955410000</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22.98</v>
    <v>126832</v>
    <v>45863.958333333336</v>
    <v>337</v>
    <v>6735960</v>
    <v>BRL</v>
    <v>Marfrig Global Foods S.A.</v>
    <v>Marfrig Global Foods S.A.</v>
    <v>23</v>
    <v>23.26</v>
    <v>Avenida Chedid Jafet, No 222, Block A, 1St Floor, SAO PAULO, SAO PAULO, 04.551-065 BR</v>
    <v>Food &amp; Tobacco</v>
    <v>MRFG3</v>
    <v>Ações</v>
    <v>Marfrig Global Foods S.A. (BVMF:MRFG3)</v>
    <v>0.28000000000000003</v>
    <v>1.2185E-2</v>
    <v>3419100</v>
  </rv>
  <rv s="2">
    <v>338</v>
  </rv>
  <rv s="0">
    <v>https://www.bing.com/financeapi/forcetrigger?t=apmsu2&amp;q=BVMF%3aJFEN3&amp;form=skydnc</v>
    <v>Learn more on Bing</v>
  </rv>
  <rv s="8">
    <v>pt-BR</v>
    <v>apmsu2</v>
    <v>268435456</v>
    <v>1</v>
    <v>Da plataforma Refinitiv</v>
    <v>14</v>
    <v>15</v>
    <v>JOAO FORTES ENGENHARIA S.A. (BVMF:JFEN3)</v>
    <v>12</v>
    <v>16</v>
    <v>Finance</v>
    <v>5</v>
    <v>9.4</v>
    <v>1.49</v>
    <v>BVMF</v>
    <v>12802740</v>
    <v>1.56</v>
    <v>1940</v>
    <v>1.53</v>
    <v>1.4437</v>
    <v>B3 - Brazil Stock Exchange</v>
    <v>19588200</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1.53</v>
    <v>579</v>
    <v>45863.958333333336</v>
    <v>340</v>
    <v>7360</v>
    <v>BRL</v>
    <v>JOAO FORTES ENGENHARIA S.A.</v>
    <v>JOAO FORTES ENGENHARIA S.A.</v>
    <v>1.56</v>
    <v>1.53</v>
    <v>Av. das Americas, 3443, Sala 108, Bloco 3, Ala B, Barra da Tijuca, RIO DE JANEIRO, RIO DE JANEIRO, 22.631-003 BR</v>
    <v>Real Estate Operations</v>
    <v>JFEN3</v>
    <v>Ações</v>
    <v>JOAO FORTES ENGENHARIA S.A. (BVMF:JFEN3)</v>
    <v>0</v>
    <v>0</v>
    <v>300</v>
  </rv>
  <rv s="2">
    <v>341</v>
  </rv>
  <rv s="0">
    <v>https://www.bing.com/financeapi/forcetrigger?t=apnjec&amp;q=BVMF%3aUSIM3&amp;form=skydnc</v>
    <v>Learn more on Bing</v>
  </rv>
  <rv s="8">
    <v>pt-BR</v>
    <v>apnjec</v>
    <v>268435456</v>
    <v>1</v>
    <v>Da plataforma Refinitiv</v>
    <v>14</v>
    <v>15</v>
    <v>Usinas Siderúrgicas de Minas Gerais S/A - USIMINAS (BVMF:USIM3)</v>
    <v>12</v>
    <v>16</v>
    <v>Finance</v>
    <v>5</v>
    <v>7.06</v>
    <v>4</v>
    <v>BVMF</v>
    <v>1253079000</v>
    <v>4.41</v>
    <v>1954</v>
    <v>4.1900000000000004</v>
    <v>0.87009999999999998</v>
    <v>B3 - Brazil Stock Exchange</v>
    <v>5312552000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4.3499999999999996</v>
    <v>51182</v>
    <v>45863.958333333336</v>
    <v>343</v>
    <v>15912790</v>
    <v>BRL</v>
    <v>Usinas Siderúrgicas de Minas Gerais S/A - USIMINAS</v>
    <v>Usinas Siderúrgicas de Minas Gerais S/A - USIMINAS</v>
    <v>4.34</v>
    <v>4.2699999999999996</v>
    <v>Avenida do Contorno, 6.594, Savassi, BELO HORIZONTE, MINAS GERAIS, 30.110-044 BR</v>
    <v>Metals &amp; Mining</v>
    <v>USIM3</v>
    <v>Ações</v>
    <v>Usinas Siderúrgicas de Minas Gerais S/A - USIMINAS (BVMF:USIM3)</v>
    <v>-0.08</v>
    <v>-1.8391000000000001E-2</v>
    <v>350200</v>
  </rv>
  <rv s="2">
    <v>344</v>
  </rv>
  <rv s="0">
    <v>https://www.bing.com/financeapi/forcetrigger?t=bvm1h7&amp;q=BVMF%3aCURY3&amp;form=skydnc</v>
    <v>Learn more on Bing</v>
  </rv>
  <rv s="9">
    <v>pt-BR</v>
    <v>bvm1h7</v>
    <v>268435456</v>
    <v>1</v>
    <v>Da plataforma Refinitiv</v>
    <v>17</v>
    <v>18</v>
    <v>CURY CONSTRUTORA E INCORPORADORA S.A. (BVMF:CURY3)</v>
    <v>12</v>
    <v>19</v>
    <v>Finance</v>
    <v>5</v>
    <v>31.31</v>
    <v>16.3</v>
    <v>BVMF</v>
    <v>291875100</v>
    <v>29.36</v>
    <v>2007</v>
    <v>28.78</v>
    <v>1.0403</v>
    <v>B3 - Brazil Stock Exchange</v>
    <v>8490646000</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28.92</v>
    <v>45863.958333333336</v>
    <v>346</v>
    <v>1437320</v>
    <v>BRL</v>
    <v>CURY CONSTRUTORA E INCORPORADORA S.A.</v>
    <v>CURY CONSTRUTORA E INCORPORADORA S.A.</v>
    <v>28.81</v>
    <v>29.09</v>
    <v>Rua Funchal, n 411, 13 andar Conjunto 132-D, Vila Olimpia, Sao Paulo, SAO PAULO, 04.551-060 BR</v>
    <v>Homebuilding &amp; Construction Supplies</v>
    <v>CURY3</v>
    <v>Ações</v>
    <v>CURY CONSTRUTORA E INCORPORADORA S.A. (BVMF:CURY3)</v>
    <v>0.17</v>
    <v>5.8779999999999995E-3</v>
    <v>1576000</v>
  </rv>
  <rv s="2">
    <v>347</v>
  </rv>
  <rv s="0">
    <v>https://www.bing.com/financeapi/forcetrigger?t=apniqh&amp;q=BVMF%3aUGPA3&amp;form=skydnc</v>
    <v>Learn more on Bing</v>
  </rv>
  <rv s="8">
    <v>pt-BR</v>
    <v>apniqh</v>
    <v>268435456</v>
    <v>1</v>
    <v>Da plataforma Refinitiv</v>
    <v>14</v>
    <v>15</v>
    <v>ULTRAPAR PARTICIPAÇÕES S.A. (BVMF:UGPA3)</v>
    <v>12</v>
    <v>16</v>
    <v>Finance</v>
    <v>5</v>
    <v>23.74</v>
    <v>14.76</v>
    <v>BVMF</v>
    <v>1115507000</v>
    <v>16.77</v>
    <v>1953</v>
    <v>16.07</v>
    <v>1.1535</v>
    <v>B3 - Brazil Stock Exchange</v>
    <v>18450490000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16.13</v>
    <v>9558</v>
    <v>45863.958333333336</v>
    <v>349</v>
    <v>6113080</v>
    <v>BRL</v>
    <v>ULTRAPAR PARTICIPAÇÕES S.A.</v>
    <v>ULTRAPAR PARTICIPAÇÕES S.A.</v>
    <v>16.23</v>
    <v>16.54</v>
    <v>Avenida Brigadeiro Luis Antonio, 1.343, 8 andar, Bela Vista, SAO PAULO, SAO PAULO, 01.317-910 BR</v>
    <v>Oil &amp; Gas</v>
    <v>UGPA3</v>
    <v>Ações</v>
    <v>ULTRAPAR PARTICIPAÇÕES S.A. (BVMF:UGPA3)</v>
    <v>0.41</v>
    <v>2.5418E-2</v>
    <v>9387800</v>
  </rv>
  <rv s="2">
    <v>350</v>
  </rv>
  <rv s="0">
    <v>https://www.bing.com/financeapi/forcetrigger?t=apmfur&amp;q=BVMF%3aDXCO3&amp;form=skydnc</v>
    <v>Learn more on Bing</v>
  </rv>
  <rv s="8">
    <v>pt-BR</v>
    <v>apmfur</v>
    <v>268435456</v>
    <v>1</v>
    <v>Da plataforma Refinitiv</v>
    <v>14</v>
    <v>15</v>
    <v>DEXCO S.A. (BVMF:DXCO3)</v>
    <v>12</v>
    <v>16</v>
    <v>Finance</v>
    <v>5</v>
    <v>8.8800000000000008</v>
    <v>5</v>
    <v>BVMF</v>
    <v>820566200</v>
    <v>5.83</v>
    <v>1962</v>
    <v>5.63</v>
    <v>0.72809999999999997</v>
    <v>B3 - Brazil Stock Exchange</v>
    <v>4759284000</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5.56</v>
    <v>13344</v>
    <v>45863.958333333336</v>
    <v>352</v>
    <v>4788440</v>
    <v>BRL</v>
    <v>DEXCO S.A.</v>
    <v>DEXCO S.A.</v>
    <v>5.69</v>
    <v>5.8</v>
    <v>Avenida Paulista 1938 - 5 andar, Bela Vista, SAO PAULO, SAO PAULO, 01.310-942 BR</v>
    <v>Paper &amp; Forest Products</v>
    <v>DXCO3</v>
    <v>Ações</v>
    <v>DEXCO S.A. (BVMF:DXCO3)</v>
    <v>0.24</v>
    <v>4.3164999999999995E-2</v>
    <v>4813900</v>
  </rv>
  <rv s="2">
    <v>353</v>
  </rv>
  <rv s="0">
    <v>https://www.bing.com/financeapi/forcetrigger?t=apnfpr&amp;q=BVMF%3aTEND3&amp;form=skydnc</v>
    <v>Learn more on Bing</v>
  </rv>
  <rv s="8">
    <v>pt-BR</v>
    <v>apnfpr</v>
    <v>268435456</v>
    <v>1</v>
    <v>Da plataforma Refinitiv</v>
    <v>14</v>
    <v>15</v>
    <v>CONSTRUTORA TENDA S/A (BVMF:TEND3)</v>
    <v>12</v>
    <v>16</v>
    <v>Finance</v>
    <v>5</v>
    <v>25.26</v>
    <v>11.77</v>
    <v>BVMF</v>
    <v>122578100</v>
    <v>21.3</v>
    <v>1993</v>
    <v>20.77</v>
    <v>1.5033000000000001</v>
    <v>B3 - Brazil Stock Exchange</v>
    <v>2603560000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21</v>
    <v>6287</v>
    <v>45863.958333333336</v>
    <v>355</v>
    <v>1809220</v>
    <v>BRL</v>
    <v>CONSTRUTORA TENDA S/A</v>
    <v>CONSTRUTORA TENDA S/A</v>
    <v>21.21</v>
    <v>21.24</v>
    <v>Rua Boa Vista, n 280 pavimentos 8 e 9, Centro, SAO PAULO, SAO PAULO, 01.014-908 BR</v>
    <v>Real Estate Operations</v>
    <v>TEND3</v>
    <v>Ações</v>
    <v>CONSTRUTORA TENDA S/A (BVMF:TEND3)</v>
    <v>0.24</v>
    <v>1.1429E-2</v>
    <v>1538200</v>
  </rv>
  <rv s="2">
    <v>356</v>
  </rv>
  <rv s="0">
    <v>https://creativecommons.org/licenses/by-sa/3.0</v>
    <v>CC BY-SA 3.0</v>
  </rv>
  <rv s="0">
    <v>http://en.wikipedia.org/wiki/Eletrobras</v>
    <v>Wikipedia</v>
  </rv>
  <rv s="10">
    <v>358</v>
    <v>359</v>
  </rv>
  <rv s="11">
    <v>25</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20</v>
    <v>21</v>
    <v>CENTRAIS ELETRICAS BRASILEIRAS SA ELETROBRAS (BVMF:ELET3)</v>
    <v>23</v>
    <v>24</v>
    <v>Finance</v>
    <v>5</v>
    <v>44.49</v>
    <v>31.93</v>
    <v>BVMF</v>
    <v>2307100000</v>
    <v>38.61</v>
    <v>1962</v>
    <v>37.909999999999997</v>
    <v>0.81359999999999999</v>
    <v>B3 - Brazil Stock Exchange</v>
    <v>88930590000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38.450000000000003</v>
    <v>7710</v>
    <v>45863.958333333336</v>
    <v>361</v>
    <v>362</v>
    <v>929080</v>
    <v>BRL</v>
    <v>CENTRAIS ELETRICAS BRASILEIRAS SA ELETROBRAS</v>
    <v>CENTRAIS ELETRICAS BRASILEIRAS SA ELETROBRAS</v>
    <v>38.5</v>
    <v>38.14</v>
    <v>Rua da Quitanda, 196, Lj A, Centro, RIO DE JANEIRO, RIO DE JANEIRO, 20.091-005 BR</v>
    <v>Electrical Utilities &amp; IPPs</v>
    <v>ELET3</v>
    <v>Ações</v>
    <v>CENTRAIS ELETRICAS BRASILEIRAS SA ELETROBRAS (BVMF:ELET3)</v>
    <v>-0.31</v>
    <v>-8.0619999999999997E-3</v>
    <v>4595900</v>
  </rv>
  <rv s="2">
    <v>363</v>
  </rv>
  <rv s="0">
    <v>https://www.bing.com/financeapi/forcetrigger?t=apnlu2&amp;q=BVMF%3aWIZS3&amp;form=skydnc</v>
    <v>Learn more on Bing</v>
  </rv>
  <rv s="8">
    <v>pt-BR</v>
    <v>apnlu2</v>
    <v>268435456</v>
    <v>1</v>
    <v>Da plataforma Refinitiv</v>
    <v>14</v>
    <v>15</v>
    <v>Wiz Co Participações e Corretagem de Seguros S.A. (BVMF:WIZC3)</v>
    <v>12</v>
    <v>16</v>
    <v>Finance</v>
    <v>5</v>
    <v>8.23</v>
    <v>4.9000000000000004</v>
    <v>BVMF</v>
    <v>159907300</v>
    <v>7.28</v>
    <v>1973</v>
    <v>7.15</v>
    <v>1.1220000000000001</v>
    <v>B3 - Brazil Stock Exchange</v>
    <v>1162526000</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7.18</v>
    <v>1635</v>
    <v>45863.958333333336</v>
    <v>365</v>
    <v>322160</v>
    <v>BRL</v>
    <v>Wiz Co Participações e Corretagem de Seguros S.A.</v>
    <v>Wiz Co Participações e Corretagem de Seguros S.A.</v>
    <v>7.19</v>
    <v>7.27</v>
    <v>Setor Comercial Norte, Quadra 02, Bloco D, Ed. Liberty Mall, Entrada B, Sala 1301, Asa Norte, BRASILIA, DISTRITO FEDERAL, 70.712-903 BR</v>
    <v>Insurance</v>
    <v>WIZC3</v>
    <v>Ações</v>
    <v>Wiz Co Participações e Corretagem de Seguros S.A. (BVMF:WIZC3)</v>
    <v>0.09</v>
    <v>1.2535000000000001E-2</v>
    <v>185500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7.45</v>
    <v>4.82</v>
    <v>BVMF</v>
    <v>1511206000</v>
    <v>6.81</v>
    <v>1963</v>
    <v>6.63</v>
    <v>0.63619999999999999</v>
    <v>B3 - Brazil Stock Exchange</v>
    <v>10578440000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6.79</v>
    <v>6047</v>
    <v>45863.958333333336</v>
    <v>368</v>
    <v>950110</v>
    <v>BRL</v>
    <v>Companhia de Saneamento do Paraná - Sanepar</v>
    <v>Companhia de Saneamento do Paraná - Sanepar</v>
    <v>6.8</v>
    <v>6.69</v>
    <v>Rua Engenheiros Reboucas, 1376, Reboucas, CURITIBA, PARANA, 80.215-900 BR</v>
    <v>Water Utilities</v>
    <v>SAPR4</v>
    <v>Ações</v>
    <v>Companhia de Saneamento do Paraná - Sanepar (BVMF:SAPR4)</v>
    <v>-0.1</v>
    <v>-1.4728000000000002E-2</v>
    <v>732900</v>
  </rv>
  <rv s="2">
    <v>369</v>
  </rv>
  <rv s="0">
    <v>https://www.bing.com/financeapi/forcetrigger?t=apn1fr&amp;q=BVMF%3aNTCO3&amp;form=skydnc</v>
    <v>Learn more on Bing</v>
  </rv>
  <rv s="8">
    <v>pt-BR</v>
    <v>apn1fr</v>
    <v>268435456</v>
    <v>1</v>
    <v>Da plataforma Refinitiv</v>
    <v>14</v>
    <v>15</v>
    <v>NATURA &amp;CO HOLDING S.A. (BVMF:NATU3)</v>
    <v>12</v>
    <v>16</v>
    <v>Finance</v>
    <v>5</v>
    <v>16.940000000000001</v>
    <v>8.93</v>
    <v>BVMF</v>
    <v>1374118000</v>
    <v>9.4700000000000006</v>
    <v>2019</v>
    <v>9.01</v>
    <v>1.1716</v>
    <v>B3 - Brazil Stock Exchange</v>
    <v>12586920000</v>
    <v>ナチュラ・アンド・コー・ホールディング（Natura &amp;Co Holding SA）は、ブラジルを拠点とする美容会社で、ナチュラとエイボンのブランドを統合する。【事業内容】2つのセグメントを通じて事業を展開する。ナチュラコラタムはブラジルに3工場、メキシコに1工場、アルゼンチンに1工場の計5工場で化粧品を製造しており、エイボンインターナショナルはポーランドとロシアに2工場がある。ナチュラブランドのポートフォリオには、フレグランス、メーキャップ、ボディケア、フェイスケア製品、日焼け止め、デオドラント、ボディオイル、ヘアケア、ホームケア製品が含まれる。エイボンブランドのポートフォリオには、メーキャップ、フェイスケア、デイリーケア製品、フレグランス、ヘアケア、ホーム及びスタイル製品が含まれる。子会社は、Natura &amp;Co International Sarl や Natura Cosmeticos SA などがある。</v>
    <v>BVMF</v>
    <v>9.4</v>
    <v>1709</v>
    <v>45863.958333333336</v>
    <v>371</v>
    <v>5466690</v>
    <v>BRL</v>
    <v>NATURA &amp;CO HOLDING S.A.</v>
    <v>NATURA &amp;CO HOLDING S.A.</v>
    <v>9.4700000000000006</v>
    <v>9.16</v>
    <v>Av Alexandre Colares 1188 Sala A17 Bloco A, Parque Anhanguera, SAO PAULO, SAO PAULO, 05.106-000 BR</v>
    <v>Personal &amp; Household Products &amp; Services</v>
    <v>NATU3</v>
    <v>Ações</v>
    <v>NATURA &amp;CO HOLDING S.A. (BVMF:NATU3)</v>
    <v>-0.24</v>
    <v>-2.5531999999999999E-2</v>
    <v>6369700</v>
  </rv>
  <rv s="2">
    <v>372</v>
  </rv>
  <rv s="0">
    <v>https://www.bing.com/financeapi/forcetrigger?t=apmjar&amp;q=BVMF%3aEVEN3&amp;form=skydnc</v>
    <v>Learn more on Bing</v>
  </rv>
  <rv s="9">
    <v>pt-BR</v>
    <v>apmjar</v>
    <v>268435456</v>
    <v>1</v>
    <v>Da plataforma Refinitiv</v>
    <v>17</v>
    <v>18</v>
    <v>EVEN CONSTRUTORA E INCORPORADORA S.A. (BVMF:EVEN3)</v>
    <v>12</v>
    <v>19</v>
    <v>Finance</v>
    <v>5</v>
    <v>7.68</v>
    <v>5.26</v>
    <v>BVMF</v>
    <v>200000000</v>
    <v>6.97</v>
    <v>1980</v>
    <v>6.85</v>
    <v>1.4637</v>
    <v>B3 - Brazil Stock Exchange</v>
    <v>1392000000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6.94</v>
    <v>45863.958333333336</v>
    <v>374</v>
    <v>412680</v>
    <v>BRL</v>
    <v>EVEN CONSTRUTORA E INCORPORADORA S.A.</v>
    <v>EVEN CONSTRUTORA E INCORPORADORA S.A.</v>
    <v>6.94</v>
    <v>6.96</v>
    <v>Rua Hungria,1400, 2 andar, Jardim America, SAO PAULO, SAO PAULO, 01.455-000 BR</v>
    <v>Real Estate Operations</v>
    <v>EVEN3</v>
    <v>Ações</v>
    <v>EVEN CONSTRUTORA E INCORPORADORA S.A. (BVMF:EVEN3)</v>
    <v>0.02</v>
    <v>2.882E-3</v>
    <v>342200</v>
  </rv>
  <rv s="2">
    <v>375</v>
  </rv>
  <rv s="0">
    <v>https://www.bing.com/financeapi/forcetrigger?t=apmsa2&amp;q=BVMF%3aITUB3&amp;form=skydnc</v>
    <v>Learn more on Bing</v>
  </rv>
  <rv s="8">
    <v>pt-BR</v>
    <v>apmsa2</v>
    <v>268435456</v>
    <v>1</v>
    <v>Da plataforma Refinitiv</v>
    <v>14</v>
    <v>15</v>
    <v>Itaú Unibanco Holding S.A. (BVMF:ITUB3)</v>
    <v>12</v>
    <v>16</v>
    <v>Finance</v>
    <v>5</v>
    <v>33.950000000000003</v>
    <v>22.42</v>
    <v>BVMF</v>
    <v>10784550000</v>
    <v>31.69</v>
    <v>1943</v>
    <v>31.27</v>
    <v>1.2694000000000001</v>
    <v>B3 - Brazil Stock Exchange</v>
    <v>359271000000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31.27</v>
    <v>100600</v>
    <v>45863.958333333336</v>
    <v>377</v>
    <v>21185290</v>
    <v>BRL</v>
    <v>Itaú Unibanco Holding S.A.</v>
    <v>Itaú Unibanco Holding S.A.</v>
    <v>31.27</v>
    <v>31.46</v>
    <v>Praca Alfredo Egydio de Souza Aranha, 100, T. Olavo Setubal, Piso Itau Unibanco, Parque Jabaquara, SAO PAULO, SAO PAULO, 04.344-902 BR</v>
    <v>Banking Services</v>
    <v>ITUB3</v>
    <v>Ações</v>
    <v>Itaú Unibanco Holding S.A. (BVMF:ITUB3)</v>
    <v>0.19</v>
    <v>6.0760000000000007E-3</v>
    <v>352700</v>
  </rv>
  <rv s="2">
    <v>378</v>
  </rv>
  <rv s="0">
    <v>https://www.bing.com/financeapi/forcetrigger?t=apninm&amp;q=BVMF%3aUCAS3&amp;form=skydnc</v>
    <v>Learn more on Bing</v>
  </rv>
  <rv s="8">
    <v>pt-BR</v>
    <v>apninm</v>
    <v>268435456</v>
    <v>1</v>
    <v>Da plataforma Refinitiv</v>
    <v>14</v>
    <v>15</v>
    <v>Unicasa Indústria de Móveis S/A (BVMF:UCAS3)</v>
    <v>12</v>
    <v>16</v>
    <v>Finance</v>
    <v>5</v>
    <v>2.2000000000000002</v>
    <v>1.36</v>
    <v>BVMF</v>
    <v>66086360</v>
    <v>1.41</v>
    <v>1985</v>
    <v>1.36</v>
    <v>0.45939999999999998</v>
    <v>B3 - Brazil Stock Exchange</v>
    <v>90538320</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1.41</v>
    <v>516</v>
    <v>45863.958333333336</v>
    <v>380</v>
    <v>27180</v>
    <v>BRL</v>
    <v>Unicasa Indústria de Móveis S/A</v>
    <v>Unicasa Indústria de Móveis S/A</v>
    <v>1.38</v>
    <v>1.37</v>
    <v>Rodovia Federal BR-470 Km 212,930, Sao Vendelino, BENTO GONCALVES, RIO GRANDE DO SUL, 95.707-540 BR</v>
    <v>Household Goods</v>
    <v>UCAS3</v>
    <v>Ações</v>
    <v>Unicasa Indústria de Móveis S/A (BVMF:UCAS3)</v>
    <v>-0.04</v>
    <v>-2.8368999999999998E-2</v>
    <v>79800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7.35</v>
    <v>3.9</v>
    <v>BVMF</v>
    <v>1253079000</v>
    <v>4.28</v>
    <v>1954</v>
    <v>4.1399999999999997</v>
    <v>0.87009999999999998</v>
    <v>B3 - Brazil Stock Exchange</v>
    <v>5312552000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4.28</v>
    <v>51182</v>
    <v>45863.958333333336</v>
    <v>383</v>
    <v>15912790</v>
    <v>BRL</v>
    <v>Usinas Siderúrgicas de Minas Gerais S/A - USIMINAS</v>
    <v>Usinas Siderúrgicas de Minas Gerais S/A - USIMINAS</v>
    <v>4.28</v>
    <v>4.2</v>
    <v>Avenida do Contorno, 6.594, Savassi, BELO HORIZONTE, MINAS GERAIS, 30.110-044 BR</v>
    <v>Metals &amp; Mining</v>
    <v>USIM5</v>
    <v>Ações</v>
    <v>Usinas Siderúrgicas de Minas Gerais S/A - USIMINAS (BVMF:USIM5)</v>
    <v>-0.08</v>
    <v>-1.8692E-2</v>
    <v>22512100</v>
  </rv>
  <rv s="2">
    <v>384</v>
  </rv>
  <rv s="0">
    <v>https://www.bing.com/financeapi/forcetrigger?t=bxf8h7&amp;q=BVMF%3aJALL3&amp;form=skydnc</v>
    <v>Learn more on Bing</v>
  </rv>
  <rv s="8">
    <v>pt-BR</v>
    <v>bxf8h7</v>
    <v>268435456</v>
    <v>1</v>
    <v>Da plataforma Refinitiv</v>
    <v>14</v>
    <v>15</v>
    <v>JALLES MACHADO S.A. (BVMF:JALL3)</v>
    <v>12</v>
    <v>16</v>
    <v>Finance</v>
    <v>5</v>
    <v>7.11</v>
    <v>3.42</v>
    <v>BVMF</v>
    <v>303541900</v>
    <v>3.49</v>
    <v>1980</v>
    <v>3.42</v>
    <v>0.40610000000000002</v>
    <v>B3 - Brazil Stock Exchange</v>
    <v>1050255000</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3.44</v>
    <v>5384</v>
    <v>45863.958333333336</v>
    <v>386</v>
    <v>606340</v>
    <v>BRL</v>
    <v>JALLES MACHADO S.A.</v>
    <v>JALLES MACHADO S.A.</v>
    <v>3.47</v>
    <v>3.46</v>
    <v>Fazenda Sao Pedro - Rodovia GO-080 - Km 185, Zona Rural - Caixa Postal 04, GOIANESIA, GOIAS, 76.388-899 BR</v>
    <v>Food &amp; Tobacco</v>
    <v>JALL3</v>
    <v>Ações</v>
    <v>JALLES MACHADO S.A. (BVMF:JALL3)</v>
    <v>0.02</v>
    <v>5.8140000000000006E-3</v>
    <v>513900</v>
  </rv>
  <rv s="2">
    <v>387</v>
  </rv>
  <rv s="0">
    <v>https://www.bing.com/financeapi/forcetrigger?t=apm3p2&amp;q=BVMF%3aBRAP4&amp;form=skydnc</v>
    <v>Learn more on Bing</v>
  </rv>
  <rv s="9">
    <v>pt-BR</v>
    <v>apm3p2</v>
    <v>268435456</v>
    <v>1</v>
    <v>Da plataforma Refinitiv</v>
    <v>17</v>
    <v>18</v>
    <v>Bradespar S.A (BVMF:BRAP4)</v>
    <v>12</v>
    <v>19</v>
    <v>Finance</v>
    <v>5</v>
    <v>18.52</v>
    <v>14.67</v>
    <v>BVMF</v>
    <v>393096600</v>
    <v>16.78</v>
    <v>2000</v>
    <v>16.37</v>
    <v>0.90049999999999997</v>
    <v>B3 - Brazil Stock Exchange</v>
    <v>6291111000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16.77</v>
    <v>45863.958333333336</v>
    <v>389</v>
    <v>3303960</v>
    <v>BRL</v>
    <v>Bradespar S.A</v>
    <v>Bradespar S.A</v>
    <v>16.77</v>
    <v>16.52</v>
    <v>Avenida Paulista, 1.450,9 andar, Cerqueira Cesar, SAO PAULO, SAO PAULO, 01.310-917 BR</v>
    <v>Metals &amp; Mining</v>
    <v>BRAP4</v>
    <v>Ações</v>
    <v>Bradespar S.A (BVMF:BRAP4)</v>
    <v>-0.25</v>
    <v>-1.4907999999999999E-2</v>
    <v>2648500</v>
  </rv>
  <rv s="2">
    <v>390</v>
  </rv>
  <rv s="0">
    <v>https://www.bing.com/financeapi/forcetrigger?t=apmclh&amp;q=BVMF%3aCSMG3&amp;form=skydnc</v>
    <v>Learn more on Bing</v>
  </rv>
  <rv s="8">
    <v>pt-BR</v>
    <v>apmclh</v>
    <v>268435456</v>
    <v>1</v>
    <v>Da plataforma Refinitiv</v>
    <v>14</v>
    <v>15</v>
    <v>Companhia de Saneamento de Minas Gerais - COPASA MG (BVMF:CSMG3)</v>
    <v>12</v>
    <v>16</v>
    <v>Finance</v>
    <v>5</v>
    <v>29</v>
    <v>18.760000000000002</v>
    <v>BVMF</v>
    <v>380253100</v>
    <v>26.02</v>
    <v>1963</v>
    <v>25.46</v>
    <v>0.92069999999999996</v>
    <v>B3 - Brazil Stock Exchange</v>
    <v>9681243000</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25.95</v>
    <v>10038</v>
    <v>45863.958333333336</v>
    <v>392</v>
    <v>2918080</v>
    <v>BRL</v>
    <v>Companhia de Saneamento de Minas Gerais - COPASA MG</v>
    <v>Companhia de Saneamento de Minas Gerais - COPASA MG</v>
    <v>25.75</v>
    <v>25.46</v>
    <v>Rua Mar de Espanha, 525, Santo Antonio, BELO HORIZONTE, MINAS GERAIS, 30.270-130 BR</v>
    <v>Water Utilities</v>
    <v>CSMG3</v>
    <v>Ações</v>
    <v>Companhia de Saneamento de Minas Gerais - COPASA MG (BVMF:CSMG3)</v>
    <v>-0.49</v>
    <v>-1.8881999999999999E-2</v>
    <v>3748600</v>
  </rv>
  <rv s="2">
    <v>393</v>
  </rv>
  <rv s="0">
    <v>https://www.bing.com/financeapi/forcetrigger?t=apn9fr&amp;q=BVMF%3aRENT3&amp;form=skydnc</v>
    <v>Learn more on Bing</v>
  </rv>
  <rv s="8">
    <v>pt-BR</v>
    <v>apn9fr</v>
    <v>268435456</v>
    <v>1</v>
    <v>Da plataforma Refinitiv</v>
    <v>14</v>
    <v>15</v>
    <v>LOCALIZA RENT A CAR S.A. (BVMF:RENT3)</v>
    <v>12</v>
    <v>16</v>
    <v>Finance</v>
    <v>5</v>
    <v>47.86</v>
    <v>26.04</v>
    <v>BVMF</v>
    <v>1082621000</v>
    <v>36.21</v>
    <v>1973</v>
    <v>35.79</v>
    <v>1.1960999999999999</v>
    <v>B3 - Brazil Stock Exchange</v>
    <v>39169220000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35.97</v>
    <v>22134</v>
    <v>45863.958333333336</v>
    <v>395</v>
    <v>4757530</v>
    <v>BRL</v>
    <v>LOCALIZA RENT A CAR S.A.</v>
    <v>LOCALIZA RENT A CAR S.A.</v>
    <v>35.799999999999997</v>
    <v>36.18</v>
    <v>Avenida Bernardo de Vasconcelos,377, Cachoeirinha, BELO HORIZONTE, MINAS GERAIS, 31.150-000 BR</v>
    <v>Passenger Transportation Services</v>
    <v>RENT3</v>
    <v>Ações</v>
    <v>LOCALIZA RENT A CAR S.A. (BVMF:RENT3)</v>
    <v>0.21</v>
    <v>5.8379999999999994E-3</v>
    <v>2045600</v>
  </rv>
  <rv s="2">
    <v>396</v>
  </rv>
  <rv s="0">
    <v>https://www.bing.com/financeapi/forcetrigger?t=apn8dm&amp;q=BVMF%3aRAPT4&amp;form=skydnc</v>
    <v>Learn more on Bing</v>
  </rv>
  <rv s="8">
    <v>pt-BR</v>
    <v>apn8dm</v>
    <v>268435456</v>
    <v>1</v>
    <v>Da plataforma Refinitiv</v>
    <v>14</v>
    <v>15</v>
    <v>RANDONCORP S.A. (BVMF:RAPT4)</v>
    <v>12</v>
    <v>16</v>
    <v>Finance</v>
    <v>5</v>
    <v>11.51</v>
    <v>7.11</v>
    <v>BVMF</v>
    <v>355608600</v>
    <v>7.22</v>
    <v>1992</v>
    <v>7.11</v>
    <v>0.83360000000000001</v>
    <v>B3 - Brazil Stock Exchange</v>
    <v>2538388000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7.16</v>
    <v>6413</v>
    <v>45863.958333333336</v>
    <v>398</v>
    <v>3630890</v>
    <v>BRL</v>
    <v>RANDONCORP S.A.</v>
    <v>RANDONCORP S.A.</v>
    <v>7.16</v>
    <v>7.17</v>
    <v>Av. Abramo Randon, 770, Interlagos, CAXIAS DO SUL, RIO GRANDE DO SUL, 95.055-010 BR</v>
    <v>Automobiles &amp; Auto Parts</v>
    <v>RAPT4</v>
    <v>Ações</v>
    <v>RANDONCORP S.A. (BVMF:RAPT4)</v>
    <v>0.01</v>
    <v>1.3969999999999998E-3</v>
    <v>2409800</v>
  </rv>
  <rv s="2">
    <v>399</v>
  </rv>
  <rv s="0">
    <v>https://www.bing.com/financeapi/forcetrigger?t=apn8ar&amp;q=BVMF%3aRAPT3&amp;form=skydnc</v>
    <v>Learn more on Bing</v>
  </rv>
  <rv s="8">
    <v>pt-BR</v>
    <v>apn8ar</v>
    <v>268435456</v>
    <v>1</v>
    <v>Da plataforma Refinitiv</v>
    <v>14</v>
    <v>15</v>
    <v>RANDONCORP S.A. (BVMF:RAPT3)</v>
    <v>12</v>
    <v>16</v>
    <v>Finance</v>
    <v>5</v>
    <v>9.8800000000000008</v>
    <v>6.95</v>
    <v>BVMF</v>
    <v>355608600</v>
    <v>7.1</v>
    <v>1992</v>
    <v>7.06</v>
    <v>0.83360000000000001</v>
    <v>B3 - Brazil Stock Exchange</v>
    <v>2538388000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7.05</v>
    <v>6413</v>
    <v>45863.958333333336</v>
    <v>401</v>
    <v>3630890</v>
    <v>BRL</v>
    <v>RANDONCORP S.A.</v>
    <v>RANDONCORP S.A.</v>
    <v>7.1</v>
    <v>7.08</v>
    <v>Av. Abramo Randon, 770, Interlagos, CAXIAS DO SUL, RIO GRANDE DO SUL, 95.055-010 BR</v>
    <v>Automobiles &amp; Auto Parts</v>
    <v>RAPT3</v>
    <v>Ações</v>
    <v>RANDONCORP S.A. (BVMF:RAPT3)</v>
    <v>0.03</v>
    <v>4.2550000000000001E-3</v>
    <v>17500</v>
  </rv>
  <rv s="2">
    <v>402</v>
  </rv>
  <rv s="0">
    <v>https://www.bing.com/financeapi/forcetrigger?t=bxiaqh&amp;q=BVMF%3aMBLY3&amp;form=skydnc</v>
    <v>Learn more on Bing</v>
  </rv>
  <rv s="9">
    <v>pt-BR</v>
    <v>bxiaqh</v>
    <v>268435456</v>
    <v>1</v>
    <v>Da plataforma Refinitiv</v>
    <v>17</v>
    <v>18</v>
    <v>GRUPO TOKY S.A. (BVMF:TOKY3)</v>
    <v>12</v>
    <v>19</v>
    <v>Finance</v>
    <v>5</v>
    <v>3.3</v>
    <v>0.84</v>
    <v>BVMF</v>
    <v>122763400</v>
    <v>1</v>
    <v>2018</v>
    <v>0.97</v>
    <v>1.4765999999999999</v>
    <v>B3 - Brazil Stock Exchange</v>
    <v>122763400</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0.99</v>
    <v>45863.958333333336</v>
    <v>404</v>
    <v>247130</v>
    <v>BRL</v>
    <v>GRUPO TOKY S.A.</v>
    <v>GRUPO TOKY S.A.</v>
    <v>0.99</v>
    <v>1</v>
    <v>Avenida das Nacoes Unidas, n 16.737, Mezanino sala 2, Varzea de Baixo, Sao Paulo, SAO PAULO, 04.730-090 BR</v>
    <v>Specialty Retailers</v>
    <v>TOKY3</v>
    <v>Ações</v>
    <v>GRUPO TOKY S.A. (BVMF:TOKY3)</v>
    <v>0.01</v>
    <v>1.0101000000000001E-2</v>
    <v>251700</v>
  </rv>
  <rv s="2">
    <v>405</v>
  </rv>
  <rv s="0">
    <v>https://www.bing.com/financeapi/forcetrigger?t=apmo1h&amp;q=BVMF%3aGOAU4&amp;form=skydnc</v>
    <v>Learn more on Bing</v>
  </rv>
  <rv s="8">
    <v>pt-BR</v>
    <v>apmo1h</v>
    <v>268435456</v>
    <v>1</v>
    <v>Da plataforma Refinitiv</v>
    <v>14</v>
    <v>15</v>
    <v>METALURGICA GERDAU S.A. (BVMF:GOAU4)</v>
    <v>12</v>
    <v>16</v>
    <v>Finance</v>
    <v>5</v>
    <v>11.8</v>
    <v>7.6</v>
    <v>BVMF</v>
    <v>993705800</v>
    <v>9.69</v>
    <v>1901</v>
    <v>9.48</v>
    <v>0.66120000000000001</v>
    <v>B3 - Brazil Stock Exchange</v>
    <v>9472651000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9.6300000000000008</v>
    <v>30000</v>
    <v>45863.958333333336</v>
    <v>407</v>
    <v>5615120</v>
    <v>BRL</v>
    <v>METALURGICA GERDAU S.A.</v>
    <v>METALURGICA GERDAU S.A.</v>
    <v>9.6</v>
    <v>9.5399999999999991</v>
    <v>Avenida Doutora Ruth Cardoso, 8.501,8 andar, Pinheiros, SAO PAULO, SAO PAULO, 05.425-070 BR</v>
    <v>Metals &amp; Mining</v>
    <v>GOAU4</v>
    <v>Ações</v>
    <v>METALURGICA GERDAU S.A. (BVMF:GOAU4)</v>
    <v>-0.09</v>
    <v>-9.3460000000000001E-3</v>
    <v>2503500</v>
  </rv>
  <rv s="2">
    <v>408</v>
  </rv>
  <rv s="4">
    <v>12</v>
    <v>Beta</v>
    <v>0</v>
  </rv>
  <rv s="0">
    <v>https://www.bing.com/financeapi/forcetrigger?t=apmfar&amp;q=BVMF%3aDOHL4&amp;form=skydnc</v>
    <v>Learn more on Bing</v>
  </rv>
  <rv s="15">
    <v>pt-BR</v>
    <v>apmfar</v>
    <v>268435456</v>
    <v>1</v>
    <v>Da plataforma Refinitiv</v>
    <v>32</v>
    <v>33</v>
    <v>DOHLER S.A. (BVMF:DOHL4)</v>
    <v>12</v>
    <v>34</v>
    <v>Finance</v>
    <v>5</v>
    <v>4.3899999999999997</v>
    <v>3.49</v>
    <v>BVMF</v>
    <v>75645290</v>
    <v>4.3</v>
    <v>1944</v>
    <v>4.3</v>
    <v>B3 - Brazil Stock Exchange</v>
    <v>445104000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4.29</v>
    <v>3000</v>
    <v>45863.958333333336</v>
    <v>411</v>
    <v>BRL</v>
    <v>DOHLER S.A.</v>
    <v>DOHLER S.A.</v>
    <v>4.3</v>
    <v>4.3</v>
    <v>Rua Arno Waldemar Dohler, 145, Zona Indl. Norte, JOINVILLE, SANTA CATARINA, 89.219-902 BR</v>
    <v>Textiles &amp; Apparel</v>
    <v>DOHL4</v>
    <v>Ações</v>
    <v>DOHLER S.A. (BVMF:DOHL4)</v>
    <v>0.01</v>
    <v>2.3310000000000002E-3</v>
    <v>100</v>
  </rv>
  <rv s="2">
    <v>412</v>
  </rv>
  <rv s="0">
    <v>https://www.bing.com/financeapi/forcetrigger?t=apm3ur&amp;q=BVMF%3aBRFS3&amp;form=skydnc</v>
    <v>Learn more on Bing</v>
  </rv>
  <rv s="8">
    <v>pt-BR</v>
    <v>apm3ur</v>
    <v>268435456</v>
    <v>1</v>
    <v>Da plataforma Refinitiv</v>
    <v>14</v>
    <v>15</v>
    <v>BRF S.A. (BVMF:BRFS3)</v>
    <v>12</v>
    <v>16</v>
    <v>Finance</v>
    <v>5</v>
    <v>28.87</v>
    <v>17.309999999999999</v>
    <v>BVMF</v>
    <v>1682473000</v>
    <v>21.21</v>
    <v>1934</v>
    <v>20.88</v>
    <v>1.5505</v>
    <v>B3 - Brazil Stock Exchange</v>
    <v>35146870000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21.09</v>
    <v>100000</v>
    <v>45863.958333333336</v>
    <v>414</v>
    <v>4895230</v>
    <v>BRL</v>
    <v>BRF S.A.</v>
    <v>BRF S.A.</v>
    <v>21.18</v>
    <v>20.89</v>
    <v>Av. Jorge Tzachel, 475, Fazenda, ITAJAI, SANTA CATARINA, 88.301-600 BR</v>
    <v>Food &amp; Tobacco</v>
    <v>BRFS3</v>
    <v>Ações</v>
    <v>BRF S.A. (BVMF:BRFS3)</v>
    <v>-0.2</v>
    <v>-9.4830000000000001E-3</v>
    <v>1977000</v>
  </rv>
  <rv s="2">
    <v>415</v>
  </rv>
  <rv s="0">
    <v>https://www.bing.com/financeapi/forcetrigger?t=bxmpim&amp;q=BVMF%3aINTB3&amp;form=skydnc</v>
    <v>Learn more on Bing</v>
  </rv>
  <rv s="9">
    <v>pt-BR</v>
    <v>bxmpim</v>
    <v>268435456</v>
    <v>1</v>
    <v>Da plataforma Refinitiv</v>
    <v>17</v>
    <v>18</v>
    <v>Intelbras S.A. Indústria de Telecomunicação Eletrônica Brasileira (BVMF:INTB3)</v>
    <v>12</v>
    <v>19</v>
    <v>Finance</v>
    <v>5</v>
    <v>22.84</v>
    <v>11.26</v>
    <v>BVMF</v>
    <v>327611100</v>
    <v>15.15</v>
    <v>1974</v>
    <v>14.8</v>
    <v>1.2448999999999999</v>
    <v>B3 - Brazil Stock Exchange</v>
    <v>4963308000</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14.88</v>
    <v>45863.958333333336</v>
    <v>417</v>
    <v>1480470</v>
    <v>BRL</v>
    <v>Intelbras S.A. Indústria de Telecomunicação Eletrônica Brasileira</v>
    <v>Intelbras S.A. Indústria de Telecomunicação Eletrônica Brasileira</v>
    <v>14.84</v>
    <v>15.15</v>
    <v>Rodovia BR 101 Km 210, Area Industrial, SAO JOSE, SANTA CATARINA, 88.104-800 BR</v>
    <v>Communications &amp; Networking</v>
    <v>INTB3</v>
    <v>Ações</v>
    <v>Intelbras S.A. Indústria de Telecomunicação Eletrônica Brasileira (BVMF:INTB3)</v>
    <v>0.27</v>
    <v>1.8145000000000001E-2</v>
    <v>855700</v>
  </rv>
  <rv s="2">
    <v>418</v>
  </rv>
  <rv s="0">
    <v>https://www.bing.com/financeapi/forcetrigger?t=c2ry1h&amp;q=BVMF%3aCBAV3&amp;form=skydnc</v>
    <v>Learn more on Bing</v>
  </rv>
  <rv s="8">
    <v>pt-BR</v>
    <v>c2ry1h</v>
    <v>268435456</v>
    <v>1</v>
    <v>Da plataforma Refinitiv</v>
    <v>14</v>
    <v>15</v>
    <v>Companhia Brasileira de Alumínio (BVMF:CBAV3)</v>
    <v>12</v>
    <v>16</v>
    <v>Finance</v>
    <v>5</v>
    <v>6.69</v>
    <v>3.6</v>
    <v>BVMF</v>
    <v>651072700</v>
    <v>4.74</v>
    <v>1941</v>
    <v>4.6100000000000003</v>
    <v>0.97240000000000004</v>
    <v>B3 - Brazil Stock Exchange</v>
    <v>3086084000</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4.71</v>
    <v>5811</v>
    <v>45863.958333333336</v>
    <v>420</v>
    <v>2746440</v>
    <v>BRL</v>
    <v>Companhia Brasileira de Alumínio</v>
    <v>Companhia Brasileira de Alumínio</v>
    <v>4.71</v>
    <v>4.74</v>
    <v>Av. Luis Carlos Berrini, 105, 14 andar, Cidade Moncoes, SAO PAULO, SAO PAULO, 04.571-900 BR</v>
    <v>Metals &amp; Mining</v>
    <v>CBAV3</v>
    <v>Ações</v>
    <v>Companhia Brasileira de Alumínio (BVMF:CBAV3)</v>
    <v>0.03</v>
    <v>6.3690000000000005E-3</v>
    <v>2279600</v>
  </rv>
  <rv s="2">
    <v>421</v>
  </rv>
  <rv s="0">
    <v>https://www.bing.com/financeapi/forcetrigger?t=apmtz2&amp;q=BVMF%3aKLBN3&amp;form=skydnc</v>
    <v>Learn more on Bing</v>
  </rv>
  <rv s="8">
    <v>pt-BR</v>
    <v>apmtz2</v>
    <v>268435456</v>
    <v>1</v>
    <v>Da plataforma Refinitiv</v>
    <v>14</v>
    <v>15</v>
    <v>KLABIN S.A. (BVMF:KLBN3)</v>
    <v>12</v>
    <v>16</v>
    <v>Finance</v>
    <v>5</v>
    <v>4.92</v>
    <v>3.56</v>
    <v>BVMF</v>
    <v>1235936000</v>
    <v>3.84</v>
    <v>1978</v>
    <v>3.79</v>
    <v>0.35289999999999999</v>
    <v>B3 - Brazil Stock Exchange</v>
    <v>23272300000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3.81</v>
    <v>14207</v>
    <v>45863.958333333336</v>
    <v>423</v>
    <v>1366220</v>
    <v>BRL</v>
    <v>KLABIN S.A.</v>
    <v>KLABIN S.A.</v>
    <v>3.79</v>
    <v>3.81</v>
    <v>Avenida Brigadeiro Faria Lima, 3600, 3, 4 E 5 Andares, Itaim Bibi, SAO PAULO, SAO PAULO, 04.538-132 BR</v>
    <v>Containers &amp; Packaging</v>
    <v>KLBN3</v>
    <v>Ações</v>
    <v>KLABIN S.A. (BVMF:KLBN3)</v>
    <v>0</v>
    <v>0</v>
    <v>131900</v>
  </rv>
  <rv s="2">
    <v>424</v>
  </rv>
  <rv s="0">
    <v>https://www.bing.com/financeapi/forcetrigger?t=bwaq4c&amp;q=BVMF%3aGMAT3&amp;form=skydnc</v>
    <v>Learn more on Bing</v>
  </rv>
  <rv s="8">
    <v>pt-BR</v>
    <v>bwaq4c</v>
    <v>268435456</v>
    <v>1</v>
    <v>Da plataforma Refinitiv</v>
    <v>14</v>
    <v>15</v>
    <v>GRUPO MATEUS S.A. (BVMF:GMAT3)</v>
    <v>12</v>
    <v>16</v>
    <v>Finance</v>
    <v>5</v>
    <v>8.3800000000000008</v>
    <v>5.75</v>
    <v>BVMF</v>
    <v>2248470000</v>
    <v>7.58</v>
    <v>2016</v>
    <v>7.35</v>
    <v>1.3026</v>
    <v>B3 - Brazil Stock Exchange</v>
    <v>17043400000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7.43</v>
    <v>29668</v>
    <v>45863.958333333336</v>
    <v>426</v>
    <v>3514580</v>
    <v>BRL</v>
    <v>GRUPO MATEUS S.A.</v>
    <v>GRUPO MATEUS S.A.</v>
    <v>7.44</v>
    <v>7.58</v>
    <v>Av. Daniel de la Touche, 73A, Cohama, SAO LUIS, MARANHAO, 65.074-115 BR</v>
    <v>Food &amp; Drug Retailing</v>
    <v>GMAT3</v>
    <v>Ações</v>
    <v>GRUPO MATEUS S.A. (BVMF:GMAT3)</v>
    <v>0.15</v>
    <v>2.0188000000000001E-2</v>
    <v>4418900</v>
  </rv>
  <rv s="2">
    <v>427</v>
  </rv>
  <rv s="0">
    <v>https://www.bing.com/financeapi/forcetrigger?t=apngxm&amp;q=BVMF%3aTIMS3&amp;form=skydnc</v>
    <v>Learn more on Bing</v>
  </rv>
  <rv s="8">
    <v>pt-BR</v>
    <v>apngxm</v>
    <v>268435456</v>
    <v>1</v>
    <v>Da plataforma Refinitiv</v>
    <v>14</v>
    <v>15</v>
    <v>TIM S.A. (BVMF:TIMS3)</v>
    <v>12</v>
    <v>16</v>
    <v>Finance</v>
    <v>5</v>
    <v>22.79</v>
    <v>12.82</v>
    <v>BVMF</v>
    <v>2420804000</v>
    <v>20.11</v>
    <v>1998</v>
    <v>19.91</v>
    <v>0.69579999999999997</v>
    <v>B3 - Brazil Stock Exchange</v>
    <v>48391880000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19.940000000000001</v>
    <v>9127</v>
    <v>45863.958333333336</v>
    <v>429</v>
    <v>7150410</v>
    <v>BRL</v>
    <v>TIM S.A.</v>
    <v>TIM S.A.</v>
    <v>19.96</v>
    <v>19.989999999999998</v>
    <v>Av Joao Cabral De Mello Neto 00850 Blc 001 Salas 0501 A 1208, Barra Da Tijuca, RIO DE JANEIRO, RIO DE JANEIRO, 22.775-057 BR</v>
    <v>Telecommunications Services</v>
    <v>TIMS3</v>
    <v>Ações</v>
    <v>TIM S.A. (BVMF:TIMS3)</v>
    <v>0.05</v>
    <v>2.5080000000000002E-3</v>
    <v>2490800</v>
  </rv>
  <rv s="2">
    <v>430</v>
  </rv>
  <rv s="0">
    <v>https://www.bing.com/financeapi/forcetrigger?t=apm352&amp;q=BVMF%3aBPAC3&amp;form=skydnc</v>
    <v>Learn more on Bing</v>
  </rv>
  <rv s="8">
    <v>pt-BR</v>
    <v>apm352</v>
    <v>268435456</v>
    <v>1</v>
    <v>Da plataforma Refinitiv</v>
    <v>14</v>
    <v>15</v>
    <v>Banco BTG Pactual S.A. (BVMF:BPAC3)</v>
    <v>12</v>
    <v>16</v>
    <v>Finance</v>
    <v>5</v>
    <v>24.07</v>
    <v>13.16</v>
    <v>BVMF</v>
    <v>10108690000</v>
    <v>21.86</v>
    <v>1979</v>
    <v>21.76</v>
    <v>1.3812</v>
    <v>B3 - Brazil Stock Exchange</v>
    <v>182584800000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21.8</v>
    <v>4900</v>
    <v>45863.958333333336</v>
    <v>432</v>
    <v>7893080</v>
    <v>BRL</v>
    <v>Banco BTG Pactual S.A.</v>
    <v>Banco BTG Pactual S.A.</v>
    <v>21.76</v>
    <v>21.78</v>
    <v>Praia de Botafogo, 501, 5 e 6 andares, Botafogo, RIO DE JANEIRO, RIO DE JANEIRO, 22.250-040 BR</v>
    <v>Investment Banking &amp; Investment Services</v>
    <v>BPAC3</v>
    <v>Ações</v>
    <v>Banco BTG Pactual S.A. (BVMF:BPAC3)</v>
    <v>-0.02</v>
    <v>-9.1740000000000007E-4</v>
    <v>500</v>
  </rv>
  <rv s="2">
    <v>433</v>
  </rv>
  <rv s="0">
    <v>https://www.bing.com/financeapi/forcetrigger?t=bsfxec&amp;q=BVMF%3aVIVA3&amp;form=skydnc</v>
    <v>Learn more on Bing</v>
  </rv>
  <rv s="8">
    <v>pt-BR</v>
    <v>bsfxec</v>
    <v>268435456</v>
    <v>1</v>
    <v>Da plataforma Refinitiv</v>
    <v>14</v>
    <v>15</v>
    <v>Vivara Participações S.A. (BVMF:VIVA3)</v>
    <v>12</v>
    <v>16</v>
    <v>Finance</v>
    <v>5</v>
    <v>28.31</v>
    <v>15.76</v>
    <v>BVMF</v>
    <v>236197800</v>
    <v>25.32</v>
    <v>2019</v>
    <v>24.93</v>
    <v>1.4246000000000001</v>
    <v>B3 - Brazil Stock Exchange</v>
    <v>5963994000</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25.05</v>
    <v>6216</v>
    <v>45863.958333333336</v>
    <v>435</v>
    <v>3006910</v>
    <v>BRL</v>
    <v>Vivara Participações S.A.</v>
    <v>Vivara Participações S.A.</v>
    <v>24.93</v>
    <v>25.25</v>
    <v>Rua Arquiteto Olavo Redig de Campos, 105 -15 andar, Chacara Santo Antonio, Sao Paulo, SAO PAULO, 04.709-000 BR</v>
    <v>Specialty Retailers</v>
    <v>VIVA3</v>
    <v>Ações</v>
    <v>Vivara Participações S.A. (BVMF:VIVA3)</v>
    <v>0.2</v>
    <v>7.9839999999999998E-3</v>
    <v>1828800</v>
  </rv>
  <rv s="2">
    <v>436</v>
  </rv>
  <rv s="0">
    <v>https://www.bing.com/financeapi/forcetrigger?t=boezz2&amp;q=BVMF%3aLOGG3&amp;form=skydnc</v>
    <v>Learn more on Bing</v>
  </rv>
  <rv s="14">
    <v>pt-BR</v>
    <v>boezz2</v>
    <v>268435456</v>
    <v>1</v>
    <v>Da plataforma Refinitiv</v>
    <v>29</v>
    <v>30</v>
    <v>Log Commercial Properties e Participações S/A (BVMF:LOGG3)</v>
    <v>12</v>
    <v>31</v>
    <v>Finance</v>
    <v>5</v>
    <v>22.66</v>
    <v>15.82</v>
    <v>BVMF</v>
    <v>87859150</v>
    <v>20.57</v>
    <v>19.8</v>
    <v>1.1469</v>
    <v>B3 - Brazil Stock Exchange</v>
    <v>1801113000</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19.82</v>
    <v>45863.958333333336</v>
    <v>438</v>
    <v>227630</v>
    <v>BRL</v>
    <v>Log Commercial Properties e Participações S/A</v>
    <v>Log Commercial Properties e Participações S/A</v>
    <v>19.8</v>
    <v>20.5</v>
    <v>Av. Professor Mario Werneck, n 621, 10 andar, BH/MG, Conjunto 02, Estoril, BELO HORIZONTE, MINAS GERAIS, 30.455-610 BR</v>
    <v>Real Estate Operations</v>
    <v>LOGG3</v>
    <v>Ações</v>
    <v>Log Commercial Properties e Participações S/A (BVMF:LOGG3)</v>
    <v>0.68</v>
    <v>3.4308999999999999E-2</v>
    <v>190300</v>
  </rv>
  <rv s="2">
    <v>439</v>
  </rv>
  <rv s="0">
    <v>https://www.bing.com/financeapi/forcetrigger?t=apn7pr&amp;q=BVMF%3aQUAL3&amp;form=skydnc</v>
    <v>Learn more on Bing</v>
  </rv>
  <rv s="8">
    <v>pt-BR</v>
    <v>apn7pr</v>
    <v>268435456</v>
    <v>1</v>
    <v>Da plataforma Refinitiv</v>
    <v>14</v>
    <v>15</v>
    <v>QUALICORP CONSULTORIA E CORRETORA DE SEGUROS S.A. (BVMF:QUAL3)</v>
    <v>12</v>
    <v>16</v>
    <v>Finance</v>
    <v>5</v>
    <v>2.74</v>
    <v>1.37</v>
    <v>BVMF</v>
    <v>284014300</v>
    <v>1.7</v>
    <v>2010</v>
    <v>1.66</v>
    <v>1.4211</v>
    <v>B3 - Brazil Stock Exchange</v>
    <v>471463800</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1.7</v>
    <v>1558</v>
    <v>45863.958333333336</v>
    <v>441</v>
    <v>1396160</v>
    <v>BRL</v>
    <v>QUALICORP CONSULTORIA E CORRETORA DE SEGUROS S.A.</v>
    <v>QUALICORP CONSULTORIA E CORRETORA DE SEGUROS S.A.</v>
    <v>1.7</v>
    <v>1.66</v>
    <v>Avenida Paulista, 4753 andar - parte, Bela Vista, SAO PAULO, SAO PAULO, 01.311-000 BR</v>
    <v>Insurance</v>
    <v>QUAL3</v>
    <v>Ações</v>
    <v>QUALICORP CONSULTORIA E CORRETORA DE SEGUROS S.A. (BVMF:QUAL3)</v>
    <v>-0.04</v>
    <v>-2.3529000000000001E-2</v>
    <v>1072900</v>
  </rv>
  <rv s="2">
    <v>442</v>
  </rv>
  <rv s="0">
    <v>https://www.bing.com/financeapi/forcetrigger?t=apn54c&amp;q=BVMF%3aPNVL3&amp;form=skydnc</v>
    <v>Learn more on Bing</v>
  </rv>
  <rv s="8">
    <v>pt-BR</v>
    <v>apn54c</v>
    <v>268435456</v>
    <v>1</v>
    <v>Da plataforma Refinitiv</v>
    <v>14</v>
    <v>15</v>
    <v>DIMED S.A. DISTRIBUIDORA DE MEDICAMENTOS (BVMF:PNVL3)</v>
    <v>12</v>
    <v>16</v>
    <v>Finance</v>
    <v>5</v>
    <v>10.76</v>
    <v>7.68</v>
    <v>BVMF</v>
    <v>150377500</v>
    <v>9.33</v>
    <v>1920</v>
    <v>9.16</v>
    <v>1.1771</v>
    <v>B3 - Brazil Stock Exchange</v>
    <v>1395503000</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9.26</v>
    <v>10698</v>
    <v>45863.958333333336</v>
    <v>444</v>
    <v>290940</v>
    <v>BRL</v>
    <v>DIMED S.A. DISTRIBUIDORA DE MEDICAMENTOS</v>
    <v>DIMED S.A. DISTRIBUIDORA DE MEDICAMENTOS</v>
    <v>9.3000000000000007</v>
    <v>9.2799999999999994</v>
    <v>Avenida Industrial Belgraff, 865, Predio 100, Industrial, ELDORADO DO SUL, RIO GRANDE DO SUL, 92.990-000 BR</v>
    <v>Food &amp; Drug Retailing</v>
    <v>PNVL3</v>
    <v>Ações</v>
    <v>DIMED S.A. DISTRIBUIDORA DE MEDICAMENTOS (BVMF:PNVL3)</v>
    <v>0.02</v>
    <v>2.16E-3</v>
    <v>167800</v>
  </rv>
  <rv s="2">
    <v>445</v>
  </rv>
  <rv s="16">
    <v>pt-BR</v>
    <v>cg99rw</v>
    <v>268435456</v>
    <v>1</v>
    <v>Da plataforma Refinitiv</v>
    <v>35</v>
    <v>36</v>
    <v>Brompton Split Corp. Cl A ETF (NEOE:CLSA)</v>
    <v>37</v>
    <v>38</v>
    <v>Finance</v>
    <v>39</v>
    <v>11.44</v>
    <v>8.83</v>
    <v>NEOE</v>
    <v>11.44</v>
    <v>11.44</v>
    <v>NEO Exchange</v>
    <v>6405862</v>
    <v>11.41</v>
    <v>45863.830314803126</v>
    <v>CAD</v>
    <v>Brompton Split Corp. Cl A ETF</v>
    <v>11.44</v>
    <v>11.44</v>
    <v>CLSA</v>
    <v>Fundos mais negociados</v>
    <v>Brompton Split Corp. Cl A ETF (NEOE:CLSA)</v>
    <v>0.03</v>
    <v>2.6290000000000003E-3</v>
    <v>1900</v>
  </rv>
  <rv s="2">
    <v>447</v>
  </rv>
  <rv s="4">
    <v>12</v>
    <v>Ações em circulação</v>
    <v>0</v>
  </rv>
  <rv s="6">
    <v>12</v>
    <v>1</v>
  </rv>
  <rv s="0">
    <v>https://www.bing.com/financeapi/forcetrigger?t=apmu2w&amp;q=BVMF%3aKLBN4&amp;form=skydnc</v>
    <v>Learn more on Bing</v>
  </rv>
  <rv s="8">
    <v>pt-BR</v>
    <v>apmu2w</v>
    <v>268435456</v>
    <v>1</v>
    <v>Da plataforma Refinitiv</v>
    <v>14</v>
    <v>15</v>
    <v>KLABIN S.A. (BVMF:KLBN4)</v>
    <v>12</v>
    <v>16</v>
    <v>Finance</v>
    <v>5</v>
    <v>4.6900000000000004</v>
    <v>3.48</v>
    <v>BVMF</v>
    <v>1235936000</v>
    <v>3.75</v>
    <v>1978</v>
    <v>3.69</v>
    <v>0.35289999999999999</v>
    <v>B3 - Brazil Stock Exchange</v>
    <v>23272300000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3.7</v>
    <v>14207</v>
    <v>45863.958333333336</v>
    <v>451</v>
    <v>1366220</v>
    <v>BRL</v>
    <v>KLABIN S.A.</v>
    <v>KLABIN S.A.</v>
    <v>3.69</v>
    <v>3.74</v>
    <v>Avenida Brigadeiro Faria Lima, 3600, 3, 4 E 5 Andares, Itaim Bibi, SAO PAULO, SAO PAULO, 04.538-132 BR</v>
    <v>Containers &amp; Packaging</v>
    <v>KLBN4</v>
    <v>Ações</v>
    <v>KLABIN S.A. (BVMF:KLBN4)</v>
    <v>0.04</v>
    <v>1.0810999999999999E-2</v>
    <v>1147900</v>
  </rv>
  <rv s="2">
    <v>452</v>
  </rv>
  <rv s="0">
    <v>https://www.bing.com/financeapi/forcetrigger?t=apm37w&amp;q=BVMF%3aBPAC5&amp;form=skydnc</v>
    <v>Learn more on Bing</v>
  </rv>
  <rv s="8">
    <v>pt-BR</v>
    <v>apm37w</v>
    <v>268435456</v>
    <v>1</v>
    <v>Da plataforma Refinitiv</v>
    <v>14</v>
    <v>15</v>
    <v>Banco BTG Pactual S.A. (BVMF:BPAC5)</v>
    <v>12</v>
    <v>16</v>
    <v>Finance</v>
    <v>5</v>
    <v>9.68</v>
    <v>6.72</v>
    <v>BVMF</v>
    <v>10108690000</v>
    <v>8.74</v>
    <v>1979</v>
    <v>8.66</v>
    <v>1.3812</v>
    <v>B3 - Brazil Stock Exchange</v>
    <v>182584800000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8.8000000000000007</v>
    <v>4900</v>
    <v>45863.958333333336</v>
    <v>454</v>
    <v>7893080</v>
    <v>BRL</v>
    <v>Banco BTG Pactual S.A.</v>
    <v>Banco BTG Pactual S.A.</v>
    <v>8.74</v>
    <v>8.66</v>
    <v>Praia de Botafogo, 501, 5 e 6 andares, Botafogo, RIO DE JANEIRO, RIO DE JANEIRO, 22.250-040 BR</v>
    <v>Investment Banking &amp; Investment Services</v>
    <v>BPAC5</v>
    <v>Ações</v>
    <v>Banco BTG Pactual S.A. (BVMF:BPAC5)</v>
    <v>-0.14000000000000001</v>
    <v>-1.5909E-2</v>
    <v>800</v>
  </rv>
  <rv s="2">
    <v>455</v>
  </rv>
  <rv s="0">
    <v>https://www.bing.com/financeapi/forcetrigger?t=apmeyc&amp;q=BVMF%3aDIRR3&amp;form=skydnc</v>
    <v>Learn more on Bing</v>
  </rv>
  <rv s="8">
    <v>pt-BR</v>
    <v>apmeyc</v>
    <v>268435456</v>
    <v>1</v>
    <v>Da plataforma Refinitiv</v>
    <v>14</v>
    <v>15</v>
    <v>DIRECIONAL ENGENHARIA S.A. (BVMF:DIRR3)</v>
    <v>12</v>
    <v>16</v>
    <v>Finance</v>
    <v>5</v>
    <v>41.5</v>
    <v>22.75</v>
    <v>BVMF</v>
    <v>173500000</v>
    <v>38.659999999999997</v>
    <v>1981</v>
    <v>38.19</v>
    <v>1.0516000000000001</v>
    <v>B3 - Brazil Stock Exchange</v>
    <v>6645050000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38.19</v>
    <v>745</v>
    <v>45863.958333333336</v>
    <v>457</v>
    <v>1391310</v>
    <v>BRL</v>
    <v>DIRECIONAL ENGENHARIA S.A.</v>
    <v>DIRECIONAL ENGENHARIA S.A.</v>
    <v>38.19</v>
    <v>38.299999999999997</v>
    <v>Rua dos Otoni, 177, Santa Efigenia, BELO HORIZONTE, MINAS GERAIS, 30.150-270 BR</v>
    <v>Real Estate Operations</v>
    <v>DIRR3</v>
    <v>Ações</v>
    <v>DIRECIONAL ENGENHARIA S.A. (BVMF:DIRR3)</v>
    <v>0.11</v>
    <v>2.8799999999999997E-3</v>
    <v>739400</v>
  </rv>
  <rv s="2">
    <v>458</v>
  </rv>
  <rv s="0">
    <v>https://www.bing.com/financeapi/forcetrigger?t=apn177&amp;q=BVMF%3aMYPK3&amp;form=skydnc</v>
    <v>Learn more on Bing</v>
  </rv>
  <rv s="8">
    <v>pt-BR</v>
    <v>apn177</v>
    <v>268435456</v>
    <v>1</v>
    <v>Da plataforma Refinitiv</v>
    <v>14</v>
    <v>15</v>
    <v>IOCHPE-MAXION S.A. (BVMF:MYPK3)</v>
    <v>12</v>
    <v>16</v>
    <v>Finance</v>
    <v>5</v>
    <v>14.23</v>
    <v>9.7200000000000006</v>
    <v>BVMF</v>
    <v>153719600</v>
    <v>14.23</v>
    <v>1940</v>
    <v>13.65</v>
    <v>0.41930000000000001</v>
    <v>B3 - Brazil Stock Exchange</v>
    <v>2182818000</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13.71</v>
    <v>17000</v>
    <v>45863.958333333336</v>
    <v>460</v>
    <v>792150</v>
    <v>BRL</v>
    <v>IOCHPE-MAXION S.A.</v>
    <v>IOCHPE-MAXION S.A.</v>
    <v>13.79</v>
    <v>14.2</v>
    <v>Rua Othon Barcellos, n 83, Itagacaba, CRUZEIRO, SAO PAULO, 12.730-900 BR</v>
    <v>Automobiles &amp; Auto Parts</v>
    <v>MYPK3</v>
    <v>Ações</v>
    <v>IOCHPE-MAXION S.A. (BVMF:MYPK3)</v>
    <v>0.49</v>
    <v>3.5740000000000001E-2</v>
    <v>1646100</v>
  </rv>
  <rv s="2">
    <v>461</v>
  </rv>
  <rv s="0">
    <v>https://www.bing.com/financeapi/forcetrigger?t=bwukvh&amp;q=BVMF%3aRDOR3&amp;form=skydnc</v>
    <v>Learn more on Bing</v>
  </rv>
  <rv s="8">
    <v>pt-BR</v>
    <v>bwukvh</v>
    <v>268435456</v>
    <v>1</v>
    <v>Da plataforma Refinitiv</v>
    <v>14</v>
    <v>15</v>
    <v>Rede D'Or São Luiz S.A. (BVMF:RDOR3)</v>
    <v>12</v>
    <v>16</v>
    <v>Finance</v>
    <v>5</v>
    <v>38.049999999999997</v>
    <v>24.47</v>
    <v>BVMF</v>
    <v>2289292000</v>
    <v>32.82</v>
    <v>2003</v>
    <v>32.33</v>
    <v>1.5222</v>
    <v>B3 - Brazil Stock Exchange</v>
    <v>74447800000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32.6</v>
    <v>71000</v>
    <v>45863.958333333336</v>
    <v>463</v>
    <v>3035430</v>
    <v>BRL</v>
    <v>Rede D'Or São Luiz S.A.</v>
    <v>Rede D'Or São Luiz S.A.</v>
    <v>32.82</v>
    <v>32.520000000000003</v>
    <v>Rua Francisco Marengo, n 1.312, Tatuape, SAO PAULO, SAO PAULO, 03.313-000 BR</v>
    <v>Healthcare Providers &amp; Services</v>
    <v>RDOR3</v>
    <v>Ações</v>
    <v>Rede D'Or São Luiz S.A. (BVMF:RDOR3)</v>
    <v>-0.08</v>
    <v>-2.454E-3</v>
    <v>1389500</v>
  </rv>
  <rv s="2">
    <v>464</v>
  </rv>
  <rv s="0">
    <v>https://www.bing.com/financeapi/forcetrigger?t=apnkdm&amp;q=BVMF%3aVIVT3&amp;form=skydnc</v>
    <v>Learn more on Bing</v>
  </rv>
  <rv s="8">
    <v>pt-BR</v>
    <v>apnkdm</v>
    <v>268435456</v>
    <v>1</v>
    <v>Da plataforma Refinitiv</v>
    <v>14</v>
    <v>15</v>
    <v>TELEFÔNICA BRASIL S.A (BVMF:VIVT3)</v>
    <v>12</v>
    <v>16</v>
    <v>Finance</v>
    <v>5</v>
    <v>32.770000000000003</v>
    <v>21.99</v>
    <v>BVMF</v>
    <v>3226547000</v>
    <v>30.98</v>
    <v>1998</v>
    <v>30.66</v>
    <v>0.56640000000000001</v>
    <v>B3 - Brazil Stock Exchange</v>
    <v>99054980000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30.75</v>
    <v>33000</v>
    <v>45863.958333333336</v>
    <v>466</v>
    <v>5234140</v>
    <v>BRL</v>
    <v>TELEFÔNICA BRASIL S.A</v>
    <v>TELEFÔNICA BRASIL S.A</v>
    <v>30.75</v>
    <v>30.7</v>
    <v>Av Engenheiro Luis Carlos Berrini, 1376 32 andar, Cidade Moncoes, SAO PAULO, SAO PAULO, 04.571-936 BR</v>
    <v>Telecommunications Services</v>
    <v>VIVT3</v>
    <v>Ações</v>
    <v>TELEFÔNICA BRASIL S.A (BVMF:VIVT3)</v>
    <v>-0.05</v>
    <v>-1.6259999999999998E-3</v>
    <v>3654400</v>
  </rv>
  <rv s="2">
    <v>467</v>
  </rv>
  <rv s="0">
    <v>https://www.bing.com/financeapi/forcetrigger?t=bvgm3m&amp;q=BVMF%3aPGMN3&amp;form=skydnc</v>
    <v>Learn more on Bing</v>
  </rv>
  <rv s="8">
    <v>pt-BR</v>
    <v>bvgm3m</v>
    <v>268435456</v>
    <v>1</v>
    <v>Da plataforma Refinitiv</v>
    <v>14</v>
    <v>15</v>
    <v>Empreendimentos Pague Menos S.A. (BVMF:PGMN3)</v>
    <v>12</v>
    <v>16</v>
    <v>Finance</v>
    <v>5</v>
    <v>3.64</v>
    <v>2.2200000000000002</v>
    <v>BVMF</v>
    <v>622672700</v>
    <v>3.54</v>
    <v>1981</v>
    <v>3.45</v>
    <v>1.3038000000000001</v>
    <v>B3 - Brazil Stock Exchange</v>
    <v>2166901000</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3.46</v>
    <v>25799</v>
    <v>45863.958333333336</v>
    <v>469</v>
    <v>768740</v>
    <v>BRL</v>
    <v>Empreendimentos Pague Menos S.A.</v>
    <v>Empreendimentos Pague Menos S.A.</v>
    <v>3.46</v>
    <v>3.48</v>
    <v>Rua Senador Pompeu, n 1520, Centro, FORTALEZA, CEARA, 60.025-002 BR</v>
    <v>Food &amp; Drug Retailing</v>
    <v>PGMN3</v>
    <v>Ações</v>
    <v>Empreendimentos Pague Menos S.A. (BVMF:PGMN3)</v>
    <v>0.02</v>
    <v>5.7799999999999995E-3</v>
    <v>276200</v>
  </rv>
  <rv s="2">
    <v>470</v>
  </rv>
  <rv s="0">
    <v>https://www.bing.com/financeapi/forcetrigger?t=bwfbr7&amp;q=BVMF%3aTFCO4&amp;form=skydnc</v>
    <v>Learn more on Bing</v>
  </rv>
  <rv s="8">
    <v>pt-BR</v>
    <v>bwfbr7</v>
    <v>268435456</v>
    <v>1</v>
    <v>Da plataforma Refinitiv</v>
    <v>14</v>
    <v>15</v>
    <v>Track &amp; Field Co S.A (BVMF:TFCO4)</v>
    <v>12</v>
    <v>16</v>
    <v>Finance</v>
    <v>5</v>
    <v>15.5</v>
    <v>8.24</v>
    <v>BVMF</v>
    <v>65492860</v>
    <v>14.51</v>
    <v>1988</v>
    <v>14.14</v>
    <v>1.091</v>
    <v>B3 - Brazil Stock Exchange</v>
    <v>935893000</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14.26</v>
    <v>1145</v>
    <v>45863.958333333336</v>
    <v>472</v>
    <v>619300</v>
    <v>BRL</v>
    <v>Track &amp; Field Co S.A</v>
    <v>Track &amp; Field Co S.A</v>
    <v>14.28</v>
    <v>14.29</v>
    <v>Rua Cipriano Barata 456 3 andar, Ipiranga, OSASCO, SAO PAULO, 04.205-000 BR</v>
    <v>Specialty Retailers</v>
    <v>TFCO4</v>
    <v>Ações</v>
    <v>Track &amp; Field Co S.A (BVMF:TFCO4)</v>
    <v>0.03</v>
    <v>2.104E-3</v>
    <v>270500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13.96</v>
    <v>2001</v>
    <v>13.67</v>
    <v>0.85560000000000003</v>
    <v>B3 - Brazil Stock Exchange</v>
    <v>26418530000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13.86</v>
    <v>1846</v>
    <v>45863.958333333336</v>
    <v>475</v>
    <v>5527440</v>
    <v>BRL</v>
    <v>Eneva S.A.</v>
    <v>Eneva S.A.</v>
    <v>13.96</v>
    <v>13.67</v>
    <v>Praia de Botafogo n 501, Bloco I, 2 e 4 andares, Botafogo, BOTAFOGO, RIO DE JANEIRO, 22.250-040 BR</v>
    <v>Electrical Utilities &amp; IPPs</v>
    <v>ENEV3</v>
    <v>Ações</v>
    <v>Eneva S.A. (BVMF:ENEV3)</v>
    <v>-0.19</v>
    <v>-1.3709000000000001E-2</v>
    <v>2729100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6.13</v>
    <v>1999</v>
    <v>6</v>
    <v>2.2069000000000001</v>
    <v>B3 - Brazil Stock Exchange</v>
    <v>2253960000</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6.09</v>
    <v>5140</v>
    <v>45863.958333333336</v>
    <v>478</v>
    <v>813290</v>
    <v>BRL</v>
    <v>LIGHT S.A.</v>
    <v>LIGHT S.A.</v>
    <v>6.04</v>
    <v>6.05</v>
    <v>Av.Marechal Floriano,168, Centro, RIO DE JANEIRO, RIO DE JANEIRO, 20.080-002 BR</v>
    <v>Electrical Utilities &amp; IPPs</v>
    <v>LIGT3</v>
    <v>Ações</v>
    <v>LIGHT S.A. (BVMF:LIGT3)</v>
    <v>-0.04</v>
    <v>-6.5680000000000009E-3</v>
    <v>294300</v>
  </rv>
  <rv s="2">
    <v>479</v>
  </rv>
  <rv s="0">
    <v>https://www.bing.com/financeapi/forcetrigger?t=bxgv1h&amp;q=BVMF%3aCSED3&amp;form=skydnc</v>
    <v>Learn more on Bing</v>
  </rv>
  <rv s="8">
    <v>pt-BR</v>
    <v>bxgv1h</v>
    <v>268435456</v>
    <v>1</v>
    <v>Da plataforma Refinitiv</v>
    <v>14</v>
    <v>15</v>
    <v>CRUZEIRO DO SUL EDUCACIONAL S.A. (BVMF:CSED3)</v>
    <v>12</v>
    <v>16</v>
    <v>Finance</v>
    <v>5</v>
    <v>5.44</v>
    <v>2.56</v>
    <v>BVMF</v>
    <v>364542500</v>
    <v>4.95</v>
    <v>1970</v>
    <v>4.8499999999999996</v>
    <v>2.3328000000000002</v>
    <v>B3 - Brazil Stock Exchange</v>
    <v>1778968000</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4.9000000000000004</v>
    <v>7668</v>
    <v>45863.958333333336</v>
    <v>481</v>
    <v>275290</v>
    <v>BRL</v>
    <v>CRUZEIRO DO SUL EDUCACIONAL S.A.</v>
    <v>CRUZEIRO DO SUL EDUCACIONAL S.A.</v>
    <v>4.95</v>
    <v>4.88</v>
    <v>Rua Cubatao, 320 3, 8 e 9 Andar, Vila Mariana, SAO PAULO, SAO PAULO, 04.013-001 BR</v>
    <v>School, College &amp; University</v>
    <v>CSED3</v>
    <v>Ações</v>
    <v>CRUZEIRO DO SUL EDUCACIONAL S.A. (BVMF:CSED3)</v>
    <v>-0.02</v>
    <v>-4.0819999999999997E-3</v>
    <v>110300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27.62</v>
    <v>19.559999999999999</v>
    <v>BVMF</v>
    <v>513163700</v>
    <v>25.63</v>
    <v>2005</v>
    <v>25.07</v>
    <v>1.0368999999999999</v>
    <v>B3 - Brazil Stock Exchange</v>
    <v>12957380000</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25.35</v>
    <v>8500</v>
    <v>45863.958333333336</v>
    <v>484</v>
    <v>3901430</v>
    <v>BRL</v>
    <v>Multiplan Empreendimentos Imobiliários S.A.</v>
    <v>Multiplan Empreendimentos Imobiliários S.A.</v>
    <v>25.49</v>
    <v>25.25</v>
    <v>Av Das Americas 04200 Bloco 2 Salas 101 A 104 112 A 116 401 A 416 E 501 E Bloco 9 Ala B Salas 212 A 216, Barra Da Tijuca, RIO DE JANEIRO, RIO DE JANEIRO, 22.640-102 BR</v>
    <v>Real Estate Operations</v>
    <v>MULT3</v>
    <v>Ações</v>
    <v>Multiplan Empreendimentos Imobiliários S.A. (BVMF:MULT3)</v>
    <v>-0.1</v>
    <v>-3.9450000000000006E-3</v>
    <v>4538000</v>
  </rv>
  <rv s="2">
    <v>485</v>
  </rv>
  <rv s="0">
    <v>https://www.bing.com/financeapi/forcetrigger?t=c5nr77&amp;q=BVMF%3aAURE3&amp;form=skydnc</v>
    <v>Learn more on Bing</v>
  </rv>
  <rv s="9">
    <v>pt-BR</v>
    <v>c5nr77</v>
    <v>268435456</v>
    <v>1</v>
    <v>Da plataforma Refinitiv</v>
    <v>17</v>
    <v>18</v>
    <v>Auren Energia S.A. (BVMF:AURE3)</v>
    <v>12</v>
    <v>19</v>
    <v>Finance</v>
    <v>5</v>
    <v>12.28</v>
    <v>7.29</v>
    <v>BVMF</v>
    <v>1050378000</v>
    <v>9.8000000000000007</v>
    <v>2017</v>
    <v>9.56</v>
    <v>0.57479999999999998</v>
    <v>B3 - Brazil Stock Exchange</v>
    <v>10083630000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9.76</v>
    <v>45863.958333333336</v>
    <v>487</v>
    <v>4059930</v>
    <v>BRL</v>
    <v>Auren Energia S.A.</v>
    <v>Auren Energia S.A.</v>
    <v>9.8000000000000007</v>
    <v>9.6</v>
    <v>Av. dra Ruth Cardoso, 8.501 2 andar, sala 11, Pinheiros, SAO PAULO, SAO PAULO, 05.425-070 BR</v>
    <v>Electrical Utilities &amp; IPPs</v>
    <v>AURE3</v>
    <v>Ações</v>
    <v>Auren Energia S.A. (BVMF:AURE3)</v>
    <v>-0.16</v>
    <v>-1.6393000000000001E-2</v>
    <v>2532800</v>
  </rv>
  <rv s="2">
    <v>488</v>
  </rv>
  <rv s="0">
    <v>https://www.bing.com/financeapi/forcetrigger?t=apni6h&amp;q=BVMF%3aTUPY3&amp;form=skydnc</v>
    <v>Learn more on Bing</v>
  </rv>
  <rv s="8">
    <v>pt-BR</v>
    <v>apni6h</v>
    <v>268435456</v>
    <v>1</v>
    <v>Da plataforma Refinitiv</v>
    <v>14</v>
    <v>15</v>
    <v>TUPY S.A. (BVMF:TUPY3)</v>
    <v>12</v>
    <v>16</v>
    <v>Finance</v>
    <v>5</v>
    <v>26.74</v>
    <v>16.510000000000002</v>
    <v>BVMF</v>
    <v>144177500</v>
    <v>16.89</v>
    <v>1938</v>
    <v>16.510000000000002</v>
    <v>0.56189999999999996</v>
    <v>B3 - Brazil Stock Exchange</v>
    <v>2416415000</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16.920000000000002</v>
    <v>6451</v>
    <v>45863.958333333336</v>
    <v>490</v>
    <v>454620</v>
    <v>BRL</v>
    <v>TUPY S.A.</v>
    <v>TUPY S.A.</v>
    <v>16.89</v>
    <v>16.760000000000002</v>
    <v>Rua Albano Schmidt, 3400, Boa Vista, JOINVILLE, SANTA CATARINA, 89.227-901 BR</v>
    <v>Automobiles &amp; Auto Parts</v>
    <v>TUPY3</v>
    <v>Ações</v>
    <v>TUPY S.A. (BVMF:TUPY3)</v>
    <v>-0.16</v>
    <v>-9.4559999999999991E-3</v>
    <v>573800</v>
  </rv>
  <rv s="2">
    <v>491</v>
  </rv>
  <rv s="0">
    <v>https://www.bing.com/financeapi/forcetrigger?t=apnbh7&amp;q=BVMF%3aSCAR3&amp;form=skydnc</v>
    <v>Learn more on Bing</v>
  </rv>
  <rv s="9">
    <v>pt-BR</v>
    <v>apnbh7</v>
    <v>268435456</v>
    <v>1</v>
    <v>Da plataforma Refinitiv</v>
    <v>17</v>
    <v>18</v>
    <v>São Carlos Empreendimentos e Participações S.A. (BVMF:SCAR3)</v>
    <v>12</v>
    <v>19</v>
    <v>Finance</v>
    <v>5</v>
    <v>22.75</v>
    <v>15.32</v>
    <v>BVMF</v>
    <v>57737320</v>
    <v>16.68</v>
    <v>1985</v>
    <v>16.48</v>
    <v>0.96689999999999998</v>
    <v>B3 - Brazil Stock Exchange</v>
    <v>963058500</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16.43</v>
    <v>45863.958333333336</v>
    <v>493</v>
    <v>22650</v>
    <v>BRL</v>
    <v>São Carlos Empreendimentos e Participações S.A.</v>
    <v>São Carlos Empreendimentos e Participações S.A.</v>
    <v>16.48</v>
    <v>16.68</v>
    <v>Rua Dr. Eduardo de Souza Aranha, 153, 12 andar, Vila Nova Conceicao, SAO PAULO, SAO PAULO, 04.543-904 BR</v>
    <v>Real Estate Operations</v>
    <v>SCAR3</v>
    <v>Ações</v>
    <v>São Carlos Empreendimentos e Participações S.A. (BVMF:SCAR3)</v>
    <v>0.25</v>
    <v>1.5216E-2</v>
    <v>600</v>
  </rv>
  <rv s="2">
    <v>494</v>
  </rv>
  <rv s="0">
    <v>https://www.bing.com/financeapi/forcetrigger?t=btow3m&amp;q=BVMF%3aLWSA3&amp;form=skydnc</v>
    <v>Learn more on Bing</v>
  </rv>
  <rv s="8">
    <v>pt-BR</v>
    <v>btow3m</v>
    <v>268435456</v>
    <v>1</v>
    <v>Da plataforma Refinitiv</v>
    <v>14</v>
    <v>15</v>
    <v>LWSA S/A (BVMF:LWSA3)</v>
    <v>12</v>
    <v>16</v>
    <v>Finance</v>
    <v>5</v>
    <v>5.26</v>
    <v>2.4700000000000002</v>
    <v>BVMF</v>
    <v>565999200</v>
    <v>3.87</v>
    <v>1997</v>
    <v>3.76</v>
    <v>1.1574</v>
    <v>B3 - Brazil Stock Exchange</v>
    <v>2133817000</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3.82</v>
    <v>1229</v>
    <v>45863.958333333336</v>
    <v>496</v>
    <v>5148990</v>
    <v>BRL</v>
    <v>LWSA S/A</v>
    <v>LWSA S/A</v>
    <v>3.86</v>
    <v>3.77</v>
    <v>Rua Itapaiuna, 2.434, Vila Andrade, SAO PAULO, SAO PAULO, 05.707-001 BR</v>
    <v>Software &amp; IT Services</v>
    <v>LWSA3</v>
    <v>Ações</v>
    <v>LWSA S/A (BVMF:LWSA3)</v>
    <v>-0.05</v>
    <v>-1.3089E-2</v>
    <v>3122800</v>
  </rv>
  <rv s="2">
    <v>497</v>
  </rv>
  <rv s="0">
    <v>https://www.bing.com/financeapi/forcetrigger?t=apmvur&amp;q=BVMF%3aLPSB3&amp;form=skydnc</v>
    <v>Learn more on Bing</v>
  </rv>
  <rv s="8">
    <v>pt-BR</v>
    <v>apmvur</v>
    <v>268435456</v>
    <v>1</v>
    <v>Da plataforma Refinitiv</v>
    <v>14</v>
    <v>15</v>
    <v>LPS BRASIL - CONSULTORIA DE IMOVEIS S.A. (BVMF:LPSB3)</v>
    <v>12</v>
    <v>16</v>
    <v>Finance</v>
    <v>5</v>
    <v>2.2000000000000002</v>
    <v>1.04</v>
    <v>BVMF</v>
    <v>147554600</v>
    <v>1.49</v>
    <v>2006</v>
    <v>1.41</v>
    <v>1.3759999999999999</v>
    <v>B3 - Brazil Stock Exchange</v>
    <v>219856400</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1.47</v>
    <v>336</v>
    <v>45863.958333333336</v>
    <v>499</v>
    <v>78710</v>
    <v>BRL</v>
    <v>LPS BRASIL - CONSULTORIA DE IMOVEIS S.A.</v>
    <v>LPS BRASIL - CONSULTORIA DE IMOVEIS S.A.</v>
    <v>1.47</v>
    <v>1.49</v>
    <v>Rua Estados Unidos,2000, Jardim America, SAO PAULO, SAO PAULO, 01.427-002 BR</v>
    <v>Real Estate Operations</v>
    <v>LPSB3</v>
    <v>Ações</v>
    <v>LPS BRASIL - CONSULTORIA DE IMOVEIS S.A. (BVMF:LPSB3)</v>
    <v>0.02</v>
    <v>1.3605000000000001E-2</v>
    <v>86800</v>
  </rv>
  <rv s="2">
    <v>500</v>
  </rv>
  <rv s="0">
    <v>https://www.bing.com/financeapi/forcetrigger?t=btotsm&amp;q=BVMF%3aMTRE3&amp;form=skydnc</v>
    <v>Learn more on Bing</v>
  </rv>
  <rv s="8">
    <v>pt-BR</v>
    <v>btotsm</v>
    <v>268435456</v>
    <v>1</v>
    <v>Da plataforma Refinitiv</v>
    <v>14</v>
    <v>15</v>
    <v>MITRE REALTY EMPREENDIMENTOS E PARTICIPAÇÕES S.A. (BVMF:MTRE3)</v>
    <v>12</v>
    <v>16</v>
    <v>Finance</v>
    <v>5</v>
    <v>4.2699999999999996</v>
    <v>2.57</v>
    <v>BVMF</v>
    <v>105774800</v>
    <v>3.76</v>
    <v>2005</v>
    <v>3.68</v>
    <v>2.0785</v>
    <v>B3 - Brazil Stock Exchange</v>
    <v>397713300</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3.73</v>
    <v>159</v>
    <v>45863.958333333336</v>
    <v>502</v>
    <v>534750</v>
    <v>BRL</v>
    <v>MITRE REALTY EMPREENDIMENTOS E PARTICIPAÇÕES S.A.</v>
    <v>MITRE REALTY EMPREENDIMENTOS E PARTICIPAÇÕES S.A.</v>
    <v>3.71</v>
    <v>3.76</v>
    <v>Alameda Santos, 700, 5 Andar, Jardim Paulista, SAO PAULO, SAO PAULO, 01.418-002 BR</v>
    <v>Homebuilding &amp; Construction Supplies</v>
    <v>MTRE3</v>
    <v>Ações</v>
    <v>MITRE REALTY EMPREENDIMENTOS E PARTICIPAÇÕES S.A. (BVMF:MTRE3)</v>
    <v>0.03</v>
    <v>8.0429999999999998E-3</v>
    <v>400800</v>
  </rv>
  <rv s="2">
    <v>503</v>
  </rv>
  <rv s="0">
    <v>http://zh.wikipedia.org/wiki/巴西航空工业公司</v>
    <v>Wikipedia</v>
  </rv>
  <rv s="10">
    <v>36</v>
    <v>505</v>
  </rv>
  <rv s="11">
    <v>25</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20</v>
    <v>21</v>
    <v>EMBRAER S.A. (BVMF:EMBR3)</v>
    <v>23</v>
    <v>24</v>
    <v>Finance</v>
    <v>5</v>
    <v>83.95</v>
    <v>37.380000000000003</v>
    <v>BVMF</v>
    <v>740465000</v>
    <v>67.06</v>
    <v>2005</v>
    <v>65.56</v>
    <v>0.58860000000000001</v>
    <v>B3 - Brazil Stock Exchange</v>
    <v>49026190000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65.8</v>
    <v>20923</v>
    <v>45863.958333333336</v>
    <v>507</v>
    <v>508</v>
    <v>7018910</v>
    <v>BRL</v>
    <v>EMBRAER S.A.</v>
    <v>EMBRAER S.A.</v>
    <v>66.3</v>
    <v>66.209999999999994</v>
    <v>Av Brigadeiro Faria Lima 2170, Putim, SAO JOSE DOS CAMPOS, SAO PAULO, 12.227-901 BR</v>
    <v>Aerospace &amp; Defense</v>
    <v>EMBR3</v>
    <v>Ações</v>
    <v>EMBRAER S.A. (BVMF:EMBR3)</v>
    <v>0.41</v>
    <v>6.2309999999999996E-3</v>
    <v>5503200</v>
  </rv>
  <rv s="2">
    <v>509</v>
  </rv>
  <rv s="0">
    <v>https://www.bing.com/financeapi/forcetrigger?t=apmi2w&amp;q=BVMF%3aENGI4&amp;form=skydnc</v>
    <v>Learn more on Bing</v>
  </rv>
  <rv s="8">
    <v>pt-BR</v>
    <v>apmi2w</v>
    <v>268435456</v>
    <v>1</v>
    <v>Da plataforma Refinitiv</v>
    <v>14</v>
    <v>15</v>
    <v>ENERGISA S.A. (BVMF:ENGI4)</v>
    <v>12</v>
    <v>16</v>
    <v>Finance</v>
    <v>5</v>
    <v>9.19</v>
    <v>5.97</v>
    <v>BVMF</v>
    <v>2289425000</v>
    <v>8.6300000000000008</v>
    <v>1998</v>
    <v>8.57</v>
    <v>0.99029999999999996</v>
    <v>B3 - Brazil Stock Exchange</v>
    <v>21781490000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8.6300000000000008</v>
    <v>17000</v>
    <v>45863.958333333336</v>
    <v>511</v>
    <v>3650</v>
    <v>BRL</v>
    <v>ENERGISA S.A.</v>
    <v>ENERGISA S.A.</v>
    <v>8.6300000000000008</v>
    <v>8.58</v>
    <v>Praca Rui Barbosa,N 80(Parte), Centro, CATAGUASES, MINAS GERAIS, 36.770-901 BR</v>
    <v>Electrical Utilities &amp; IPPs</v>
    <v>ENGI4</v>
    <v>Ações</v>
    <v>ENERGISA S.A. (BVMF:ENGI4)</v>
    <v>-0.05</v>
    <v>-5.7940000000000005E-3</v>
    <v>1800</v>
  </rv>
  <rv s="2">
    <v>512</v>
  </rv>
  <rv s="0">
    <v>https://www.bing.com/financeapi/forcetrigger?t=aplwhw&amp;q=BVMF%3aANIM3&amp;form=skydnc</v>
    <v>Learn more on Bing</v>
  </rv>
  <rv s="8">
    <v>pt-BR</v>
    <v>aplwhw</v>
    <v>268435456</v>
    <v>1</v>
    <v>Da plataforma Refinitiv</v>
    <v>14</v>
    <v>15</v>
    <v>Ânima Holding S/A (BVMF:ANIM3)</v>
    <v>12</v>
    <v>16</v>
    <v>Finance</v>
    <v>5</v>
    <v>4.5199999999999996</v>
    <v>1.46</v>
    <v>BVMF</v>
    <v>403868800</v>
    <v>3.67</v>
    <v>2007</v>
    <v>3.57</v>
    <v>2.8546999999999998</v>
    <v>B3 - Brazil Stock Exchange</v>
    <v>1466044000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3.59</v>
    <v>4046</v>
    <v>45863.958333333336</v>
    <v>514</v>
    <v>6258160</v>
    <v>BRL</v>
    <v>Ânima Holding S/A</v>
    <v>Ânima Holding S/A</v>
    <v>3.62</v>
    <v>3.63</v>
    <v>Rua Harmonia, 1250 9 andar, Sumarezinho, SAO PAULO, SAO PAULO, 05.435-001 BR</v>
    <v>Miscellaneous Educational Service Providers</v>
    <v>ANIM3</v>
    <v>Ações</v>
    <v>Ânima Holding S/A (BVMF:ANIM3)</v>
    <v>0.04</v>
    <v>1.1142000000000001E-2</v>
    <v>2475100</v>
  </rv>
  <rv s="2">
    <v>515</v>
  </rv>
  <rv s="0">
    <v>https://www.bing.com/financeapi/forcetrigger?t=apn6hw&amp;q=BVMF%3aPRIO3&amp;form=skydnc</v>
    <v>Learn more on Bing</v>
  </rv>
  <rv s="8">
    <v>pt-BR</v>
    <v>apn6hw</v>
    <v>268435456</v>
    <v>1</v>
    <v>Da plataforma Refinitiv</v>
    <v>14</v>
    <v>15</v>
    <v>PRIO S.A. (BVMF:PRIO3)</v>
    <v>12</v>
    <v>16</v>
    <v>Finance</v>
    <v>5</v>
    <v>50.12</v>
    <v>32.68</v>
    <v>BVMF</v>
    <v>896346200</v>
    <v>42.6</v>
    <v>2008</v>
    <v>41.75</v>
    <v>1.2892999999999999</v>
    <v>B3 - Brazil Stock Exchange</v>
    <v>37556910000</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42.3</v>
    <v>90</v>
    <v>45863.958333333336</v>
    <v>517</v>
    <v>7433130</v>
    <v>BRL</v>
    <v>PRIO S.A.</v>
    <v>PRIO S.A.</v>
    <v>42.39</v>
    <v>41.9</v>
    <v>Pr De Botafogo 370 : 1 Andar Parte;, Botafogo, RIO DE JANEIRO, RIO DE JANEIRO, 22.250-040 BR</v>
    <v>Oil &amp; Gas</v>
    <v>PRIO3</v>
    <v>Ações</v>
    <v>PRIO S.A. (BVMF:PRIO3)</v>
    <v>-0.4</v>
    <v>-9.4559999999999991E-3</v>
    <v>4854200</v>
  </rv>
  <rv s="2">
    <v>518</v>
  </rv>
  <rv s="0">
    <v>https://www.bing.com/financeapi/forcetrigger?t=apn2c7&amp;q=BVMF%3aODPV3&amp;form=skydnc</v>
    <v>Learn more on Bing</v>
  </rv>
  <rv s="8">
    <v>pt-BR</v>
    <v>apn2c7</v>
    <v>268435456</v>
    <v>1</v>
    <v>Da plataforma Refinitiv</v>
    <v>14</v>
    <v>15</v>
    <v>ODONTOPREV S.A. (BVMF:ODPV3)</v>
    <v>12</v>
    <v>16</v>
    <v>Finance</v>
    <v>5</v>
    <v>12</v>
    <v>9.5</v>
    <v>BVMF</v>
    <v>552495700</v>
    <v>11.91</v>
    <v>1987</v>
    <v>11.44</v>
    <v>0.5252</v>
    <v>B3 - Brazil Stock Exchange</v>
    <v>6580223000</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11.5</v>
    <v>2026</v>
    <v>45863.958333333336</v>
    <v>520</v>
    <v>1747080</v>
    <v>BRL</v>
    <v>ODONTOPREV S.A.</v>
    <v>ODONTOPREV S.A.</v>
    <v>11.54</v>
    <v>11.91</v>
    <v>Alameda Araguaia, 2104 - 21 Andar, Alphaville, BARUERI, SAO PAULO, 06.460-040 BR</v>
    <v>Healthcare Providers &amp; Services</v>
    <v>ODPV3</v>
    <v>Ações</v>
    <v>ODONTOPREV S.A. (BVMF:ODPV3)</v>
    <v>0.41</v>
    <v>3.5651999999999996E-2</v>
    <v>3090800</v>
  </rv>
  <rv s="2">
    <v>521</v>
  </rv>
  <rv s="0">
    <v>https://www.bing.com/financeapi/forcetrigger?t=c1w2k2&amp;q=BVMF%3aRECV3&amp;form=skydnc</v>
    <v>Learn more on Bing</v>
  </rv>
  <rv s="8">
    <v>pt-BR</v>
    <v>c1w2k2</v>
    <v>268435456</v>
    <v>1</v>
    <v>Da plataforma Refinitiv</v>
    <v>14</v>
    <v>15</v>
    <v>PetroRecôncavo S.A. (BVMF:RECV3)</v>
    <v>12</v>
    <v>16</v>
    <v>Finance</v>
    <v>5</v>
    <v>19.47</v>
    <v>11.88</v>
    <v>BVMF</v>
    <v>293472100</v>
    <v>13.67</v>
    <v>2000</v>
    <v>13.35</v>
    <v>0.85</v>
    <v>B3 - Brazil Stock Exchange</v>
    <v>3917853000</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13.41</v>
    <v>532</v>
    <v>45863.958333333336</v>
    <v>523</v>
    <v>2059860</v>
    <v>BRL</v>
    <v>PetroRecôncavo S.A.</v>
    <v>PetroRecôncavo S.A.</v>
    <v>13.41</v>
    <v>13.35</v>
    <v>Est Do Vinte Mil Km 3,5 Estacao De Sao Roque, Mata De Sao Joao, MATA DE SAO JOAO, BAHIA, 48.280-000 BR</v>
    <v>Oil &amp; Gas</v>
    <v>RECV3</v>
    <v>Ações</v>
    <v>PetroRecôncavo S.A. (BVMF:RECV3)</v>
    <v>-0.06</v>
    <v>-4.4740000000000005E-3</v>
    <v>1715000</v>
  </rv>
  <rv s="2">
    <v>524</v>
  </rv>
  <rv s="0">
    <v>https://www.bing.com/financeapi/forcetrigger?t=btrmim&amp;q=BVMF%3aMDNE3&amp;form=skydnc</v>
    <v>Learn more on Bing</v>
  </rv>
  <rv s="8">
    <v>pt-BR</v>
    <v>btrmim</v>
    <v>268435456</v>
    <v>1</v>
    <v>Da plataforma Refinitiv</v>
    <v>14</v>
    <v>15</v>
    <v>Moura Dubeux Engenharia S/A (BVMF:MDNE3)</v>
    <v>12</v>
    <v>16</v>
    <v>Finance</v>
    <v>5</v>
    <v>24.77</v>
    <v>9.74</v>
    <v>BVMF</v>
    <v>84909370</v>
    <v>21.85</v>
    <v>1987</v>
    <v>21.35</v>
    <v>1.6978</v>
    <v>B3 - Brazil Stock Exchange</v>
    <v>1851024000</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21.68</v>
    <v>1388</v>
    <v>45863.958333333336</v>
    <v>526</v>
    <v>648090</v>
    <v>BRL</v>
    <v>Moura Dubeux Engenharia S/A</v>
    <v>Moura Dubeux Engenharia S/A</v>
    <v>21.55</v>
    <v>21.8</v>
    <v>Av Engenheiro Domingos Ferreira 467 13 Andar Parte, Pina, RECIFE, PERNAMBUCO, 51.011-050 BR</v>
    <v>Real Estate Operations</v>
    <v>MDNE3</v>
    <v>Ações</v>
    <v>Moura Dubeux Engenharia S/A (BVMF:MDNE3)</v>
    <v>0.12</v>
    <v>5.535E-3</v>
    <v>288100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1.2</v>
    <v>1954</v>
    <v>1.08</v>
    <v>1.4360999999999999</v>
    <v>B3 - Brazil Stock Exchange</v>
    <v>44495370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1.17</v>
    <v>106</v>
    <v>45863.958333333336</v>
    <v>529</v>
    <v>5658680</v>
    <v>BRL</v>
    <v>RECRUSUL S.A.</v>
    <v>RECRUSUL S.A.</v>
    <v>1.18</v>
    <v>1.1000000000000001</v>
    <v>Av. Luiz Pasteur, 1020, Tres Portos, SAPUCAIA DO SUL, RIO GRANDE DO SUL, 93.212-360 BR</v>
    <v>Automobiles &amp; Auto Parts</v>
    <v>RCSL4</v>
    <v>Ações</v>
    <v>RECRUSUL S.A. (BVMF:RCSL4)</v>
    <v>-7.0000000000000007E-2</v>
    <v>-5.9829E-2</v>
    <v>4044600</v>
  </rv>
  <rv s="2">
    <v>530</v>
  </rv>
  <rv s="0">
    <v>https://www.bing.com/financeapi/forcetrigger?t=apnhfr&amp;q=BVMF%3aTPIS3&amp;form=skydnc</v>
    <v>Learn more on Bing</v>
  </rv>
  <rv s="8">
    <v>pt-BR</v>
    <v>apnhfr</v>
    <v>268435456</v>
    <v>1</v>
    <v>Da plataforma Refinitiv</v>
    <v>14</v>
    <v>15</v>
    <v>TPI - Triunfo Participações e Investimentos S.A. (BVMF:TPIS3)</v>
    <v>12</v>
    <v>16</v>
    <v>Finance</v>
    <v>5</v>
    <v>7.1</v>
    <v>3.45</v>
    <v>BVMF</v>
    <v>44000000</v>
    <v>4.04</v>
    <v>1999</v>
    <v>4</v>
    <v>1.8142</v>
    <v>B3 - Brazil Stock Exchange</v>
    <v>177760000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4.03</v>
    <v>3380</v>
    <v>45863.958333333336</v>
    <v>532</v>
    <v>9370</v>
    <v>BRL</v>
    <v>TPI - Triunfo Participações e Investimentos S.A.</v>
    <v>TPI - Triunfo Participações e Investimentos S.A.</v>
    <v>4</v>
    <v>4.04</v>
    <v>Rua Olimpiadas, 205,14 andar, Vila Olimpia, SAO PAULO, SAO PAULO, 04.551-000 BR</v>
    <v>Transport Infrastructure</v>
    <v>TPIS3</v>
    <v>Ações</v>
    <v>TPI - Triunfo Participações e Investimentos S.A. (BVMF:TPIS3)</v>
    <v>0.01</v>
    <v>2.4809999999999997E-3</v>
    <v>1700</v>
  </rv>
  <rv s="2">
    <v>533</v>
  </rv>
  <rv s="0">
    <v>https://www.bing.com/financeapi/forcetrigger?t=apml6h&amp;q=BVMF%3aTASA4&amp;form=skydnc</v>
    <v>Learn more on Bing</v>
  </rv>
  <rv s="8">
    <v>pt-BR</v>
    <v>apml6h</v>
    <v>268435456</v>
    <v>1</v>
    <v>Da plataforma Refinitiv</v>
    <v>14</v>
    <v>15</v>
    <v>Taurus Armas S.A (BVMF:TASA4)</v>
    <v>12</v>
    <v>16</v>
    <v>Finance</v>
    <v>5</v>
    <v>10.6</v>
    <v>5.0599999999999996</v>
    <v>BVMF</v>
    <v>139297900</v>
    <v>5.21</v>
    <v>1939</v>
    <v>5.0599999999999996</v>
    <v>1.2166999999999999</v>
    <v>B3 - Brazil Stock Exchange</v>
    <v>777342700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5.19</v>
    <v>3286</v>
    <v>45863.958333333336</v>
    <v>535</v>
    <v>455580</v>
    <v>BRL</v>
    <v>Taurus Armas S.A</v>
    <v>Taurus Armas S.A</v>
    <v>5.21</v>
    <v>5.21</v>
    <v>Avenida Sao Borja 2181/Predio A, Fazenda Sao Borja, SAO LEOPOLDO, RIO GRANDE DO SUL, 93.035-411 BR</v>
    <v>Aerospace &amp; Defense</v>
    <v>TASA4</v>
    <v>Ações</v>
    <v>Taurus Armas S.A (BVMF:TASA4)</v>
    <v>0.02</v>
    <v>3.8540000000000002E-3</v>
    <v>406800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16</v>
    <v>Finance</v>
    <v>5</v>
    <v>6.29</v>
    <v>3.29</v>
    <v>BVMF</v>
    <v>7716400</v>
    <v>3.53</v>
    <v>1979</v>
    <v>3.53</v>
    <v>0.36480000000000001</v>
    <v>B3 - Brazil Stock Exchange</v>
    <v>48666420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3.52</v>
    <v>1460</v>
    <v>45863.958333333336</v>
    <v>538</v>
    <v>970</v>
    <v>BRL</v>
    <v>Sansuy S/A Indústria de Plásticos em Recuperação Judicial</v>
    <v>Sansuy S/A Indústria de Plásticos em Recuperação Judicial</v>
    <v>3.53</v>
    <v>3.53</v>
    <v>Rua dos Plasticos, 761, Area Indl. Leste, CAMACARI, BAHIA, 42.810-240 BR</v>
    <v>Chemicals</v>
    <v>SNSY5</v>
    <v>Ações</v>
    <v>Sansuy S/A Indústria de Plásticos em Recuperação Judicial (BVMF:SNSY5)</v>
    <v>0.01</v>
    <v>2.8410000000000002E-3</v>
    <v>100</v>
  </rv>
  <rv s="2">
    <v>539</v>
  </rv>
  <rv s="0">
    <v>https://www.bing.com/financeapi/forcetrigger?t=bvjsa2&amp;q=BVMF%3aLAVV3&amp;form=skydnc</v>
    <v>Learn more on Bing</v>
  </rv>
  <rv s="8">
    <v>pt-BR</v>
    <v>bvjsa2</v>
    <v>268435456</v>
    <v>1</v>
    <v>Da plataforma Refinitiv</v>
    <v>14</v>
    <v>15</v>
    <v>Lavvi Empreendimentos Imobiliários S/A (BVMF:LAVV3)</v>
    <v>12</v>
    <v>16</v>
    <v>Finance</v>
    <v>5</v>
    <v>13.03</v>
    <v>6.62</v>
    <v>BVMF</v>
    <v>195434400</v>
    <v>11.96</v>
    <v>2016</v>
    <v>11.77</v>
    <v>1.1695</v>
    <v>B3 - Brazil Stock Exchange</v>
    <v>2319806000</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11.86</v>
    <v>16</v>
    <v>45863.958333333336</v>
    <v>541</v>
    <v>418520</v>
    <v>BRL</v>
    <v>Lavvi Empreendimentos Imobiliários S/A</v>
    <v>Lavvi Empreendimentos Imobiliários S/A</v>
    <v>11.8</v>
    <v>11.87</v>
    <v>Avenida Angelica, 2346 8 andar CJ 84, Bairro Consolacao, Sao Paulo, SAO PAULO, 01.228-200 BR</v>
    <v>Real Estate Operations</v>
    <v>LAVV3</v>
    <v>Ações</v>
    <v>Lavvi Empreendimentos Imobiliários S/A (BVMF:LAVV3)</v>
    <v>0.01</v>
    <v>8.4320000000000011E-4</v>
    <v>157200</v>
  </rv>
  <rv s="2">
    <v>542</v>
  </rv>
  <rv s="0">
    <v>https://www.bing.com/financeapi/forcetrigger?t=aplvcw&amp;q=BVMF%3aALPA3&amp;form=skydnc</v>
    <v>Learn more on Bing</v>
  </rv>
  <rv s="8">
    <v>pt-BR</v>
    <v>aplvcw</v>
    <v>268435456</v>
    <v>1</v>
    <v>Da plataforma Refinitiv</v>
    <v>14</v>
    <v>15</v>
    <v>ALPARGATAS S.A. (BVMF:ALPA3)</v>
    <v>12</v>
    <v>16</v>
    <v>Finance</v>
    <v>5</v>
    <v>9.5</v>
    <v>5.61</v>
    <v>BVMF</v>
    <v>683062200</v>
    <v>7.64</v>
    <v>1907</v>
    <v>7.64</v>
    <v>0.95650000000000002</v>
    <v>B3 - Brazil Stock Exchange</v>
    <v>5510614000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7.36</v>
    <v>17000</v>
    <v>45863.958333333336</v>
    <v>544</v>
    <v>1066940</v>
    <v>BRL</v>
    <v>ALPARGATAS S.A.</v>
    <v>ALPARGATAS S.A.</v>
    <v>7.64</v>
    <v>7.64</v>
    <v>Av. das Nacoes Unidas, 14.261, Vila Gertrudes, SAO PAULO, SAO PAULO, 04.794-000 BR</v>
    <v>Textiles &amp; Apparel</v>
    <v>ALPA3</v>
    <v>Ações</v>
    <v>ALPARGATAS S.A. (BVMF:ALPA3)</v>
    <v>0.28000000000000003</v>
    <v>3.8043E-2</v>
    <v>400</v>
  </rv>
  <rv s="2">
    <v>545</v>
  </rv>
  <rv s="0">
    <v>https://www.bing.com/financeapi/forcetrigger?t=c2vjhw&amp;q=BVMF%3aLVTC3&amp;form=skydnc</v>
    <v>Learn more on Bing</v>
  </rv>
  <rv s="9">
    <v>pt-BR</v>
    <v>c2vjhw</v>
    <v>268435456</v>
    <v>1</v>
    <v>Da plataforma Refinitiv</v>
    <v>17</v>
    <v>18</v>
    <v>Livetech da Bahia Indústria e Comércio S.A. (BVMF:LVTC3)</v>
    <v>12</v>
    <v>19</v>
    <v>Finance</v>
    <v>5</v>
    <v>4.0199999999999996</v>
    <v>2.0099999999999998</v>
    <v>BVMF</v>
    <v>63461460</v>
    <v>3.6</v>
    <v>2003</v>
    <v>3.45</v>
    <v>1.5087999999999999</v>
    <v>B3 - Brazil Stock Exchange</v>
    <v>226557400</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3.5</v>
    <v>45863.958333333336</v>
    <v>547</v>
    <v>15320</v>
    <v>BRL</v>
    <v>Livetech da Bahia Indústria e Comércio S.A.</v>
    <v>Livetech da Bahia Indústria e Comércio S.A.</v>
    <v>3.5</v>
    <v>3.57</v>
    <v>Rodovia BA-262, Ilheus x Urucuca, s/n, Km 2,8 Quadra A, Polo de Informatica, Iguape, ILHEUS, BAHIA, 45.658-335 BR</v>
    <v>Telecommunications Services</v>
    <v>LVTC3</v>
    <v>Ações</v>
    <v>Livetech da Bahia Indústria e Comércio S.A. (BVMF:LVTC3)</v>
    <v>7.0000000000000007E-2</v>
    <v>0.02</v>
    <v>15000</v>
  </rv>
  <rv s="2">
    <v>548</v>
  </rv>
  <rv s="0">
    <v>https://www.bing.com/financeapi/forcetrigger?t=aplzoc&amp;q=BVMF%3aBEEF3&amp;form=skydnc</v>
    <v>Learn more on Bing</v>
  </rv>
  <rv s="8">
    <v>pt-BR</v>
    <v>aplzoc</v>
    <v>268435456</v>
    <v>1</v>
    <v>Da plataforma Refinitiv</v>
    <v>14</v>
    <v>15</v>
    <v>Minerva S.A (BVMF:BEEF3)</v>
    <v>12</v>
    <v>16</v>
    <v>Finance</v>
    <v>5</v>
    <v>7.3</v>
    <v>3.75</v>
    <v>BVMF</v>
    <v>994489400</v>
    <v>5.14</v>
    <v>1992</v>
    <v>5.05</v>
    <v>0.77359999999999995</v>
    <v>B3 - Brazil Stock Exchange</v>
    <v>5061951000</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5.07</v>
    <v>22000</v>
    <v>45863.958333333336</v>
    <v>550</v>
    <v>11762570</v>
    <v>BRL</v>
    <v>Minerva S.A</v>
    <v>Minerva S.A</v>
    <v>5.07</v>
    <v>5.09</v>
    <v>Avenida Antonio Manco Bernardes s/n, BARRETOS, SAO PAULO, 14.781-545 BR</v>
    <v>Food &amp; Tobacco</v>
    <v>BEEF3</v>
    <v>Ações</v>
    <v>Minerva S.A (BVMF:BEEF3)</v>
    <v>0.02</v>
    <v>3.9450000000000006E-3</v>
    <v>6817000</v>
  </rv>
  <rv s="2">
    <v>551</v>
  </rv>
  <rv s="0">
    <v>https://www.bing.com/financeapi/forcetrigger?t=aplvfr&amp;q=BVMF%3aALPA4&amp;form=skydnc</v>
    <v>Learn more on Bing</v>
  </rv>
  <rv s="8">
    <v>pt-BR</v>
    <v>aplvfr</v>
    <v>268435456</v>
    <v>1</v>
    <v>Da plataforma Refinitiv</v>
    <v>14</v>
    <v>15</v>
    <v>ALPARGATAS S.A. (BVMF:ALPA4)</v>
    <v>12</v>
    <v>16</v>
    <v>Finance</v>
    <v>5</v>
    <v>9.5500000000000007</v>
    <v>5.86</v>
    <v>BVMF</v>
    <v>683062200</v>
    <v>8.57</v>
    <v>1907</v>
    <v>8.44</v>
    <v>0.95650000000000002</v>
    <v>B3 - Brazil Stock Exchange</v>
    <v>5510614000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8.49</v>
    <v>17000</v>
    <v>45863.958333333336</v>
    <v>553</v>
    <v>1066940</v>
    <v>BRL</v>
    <v>ALPARGATAS S.A.</v>
    <v>ALPARGATAS S.A.</v>
    <v>8.44</v>
    <v>8.49</v>
    <v>Av. das Nacoes Unidas, 14.261, Vila Gertrudes, SAO PAULO, SAO PAULO, 04.794-000 BR</v>
    <v>Textiles &amp; Apparel</v>
    <v>ALPA4</v>
    <v>Ações</v>
    <v>ALPARGATAS S.A. (BVMF:ALPA4)</v>
    <v>0</v>
    <v>0</v>
    <v>894600</v>
  </rv>
  <rv s="2">
    <v>554</v>
  </rv>
  <rv s="0">
    <v>https://www.bing.com/financeapi/forcetrigger?t=c2tzrw&amp;q=BVMF%3aMLAS3&amp;form=skydnc</v>
    <v>Learn more on Bing</v>
  </rv>
  <rv s="8">
    <v>pt-BR</v>
    <v>c2tzrw</v>
    <v>268435456</v>
    <v>1</v>
    <v>Da plataforma Refinitiv</v>
    <v>14</v>
    <v>15</v>
    <v>GRUPO MULTI S.A. (BVMF:MLAS3)</v>
    <v>12</v>
    <v>16</v>
    <v>Finance</v>
    <v>5</v>
    <v>2.23</v>
    <v>0.99</v>
    <v>BVMF</v>
    <v>820539200</v>
    <v>1.05</v>
    <v>1988</v>
    <v>1.02</v>
    <v>1.8240000000000001</v>
    <v>B3 - Brazil Stock Exchange</v>
    <v>845155400</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1.04</v>
    <v>5000</v>
    <v>45863.958333333336</v>
    <v>556</v>
    <v>934680</v>
    <v>BRL</v>
    <v>GRUPO MULTI S.A.</v>
    <v>GRUPO MULTI S.A.</v>
    <v>1.04</v>
    <v>1.03</v>
    <v>Avenida Brigadeiro Faria Lima, n 1811 15 andar, Jardim America, SAO PAULO, SAO PAULO, 01.452-000 BR</v>
    <v>Computers, Phones &amp; Household Electronics</v>
    <v>MLAS3</v>
    <v>Ações</v>
    <v>GRUPO MULTI S.A. (BVMF:MLAS3)</v>
    <v>-0.01</v>
    <v>-9.6150000000000003E-3</v>
    <v>1196800</v>
  </rv>
  <rv s="2">
    <v>557</v>
  </rv>
  <rv s="0">
    <v>https://www.bing.com/financeapi/forcetrigger?t=apmj52&amp;q=BVMF%3aEUCA4&amp;form=skydnc</v>
    <v>Learn more on Bing</v>
  </rv>
  <rv s="8">
    <v>pt-BR</v>
    <v>apmj52</v>
    <v>268435456</v>
    <v>1</v>
    <v>Da plataforma Refinitiv</v>
    <v>14</v>
    <v>15</v>
    <v>Eucatex S.A. Industria e Comercio (BVMF:EUCA4)</v>
    <v>12</v>
    <v>16</v>
    <v>Finance</v>
    <v>5</v>
    <v>19.3</v>
    <v>11.85</v>
    <v>BVMF</v>
    <v>92619260</v>
    <v>17.27</v>
    <v>1951</v>
    <v>16.8</v>
    <v>1.0273000000000001</v>
    <v>B3 - Brazil Stock Exchange</v>
    <v>1652441000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16.77</v>
    <v>2378</v>
    <v>45863.958333333336</v>
    <v>559</v>
    <v>27230</v>
    <v>BRL</v>
    <v>Eucatex S.A. Industria e Comercio</v>
    <v>Eucatex S.A. Industria e Comercio</v>
    <v>17.03</v>
    <v>17.2</v>
    <v>Av. Juscelino Kubitschek, 1830 11 andar,Torre I, Vila Olimpia, SAO PAULO, SAO PAULO, 04.543-900 BR</v>
    <v>Paper &amp; Forest Products</v>
    <v>EUCA4</v>
    <v>Ações</v>
    <v>Eucatex S.A. Industria e Comercio (BVMF:EUCA4)</v>
    <v>0.43</v>
    <v>2.5640999999999997E-2</v>
    <v>22200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13.22</v>
    <v>2007</v>
    <v>13.06</v>
    <v>1.5002</v>
    <v>B3 - Brazil Stock Exchange</v>
    <v>70924350000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13.12</v>
    <v>2135</v>
    <v>45863.958333333336</v>
    <v>562</v>
    <v>30237190</v>
    <v>BRL</v>
    <v>B3 S.A - Brasil, Bolsa, Balcão</v>
    <v>B3 S.A - Brasil, Bolsa, Balcão</v>
    <v>13.06</v>
    <v>13.07</v>
    <v>Praca Antonio Prado, 48 7 andar, Centro, SAO PAULO, SAO PAULO, 01.010-901 BR</v>
    <v>Investment Banking &amp; Investment Services</v>
    <v>B3SA3</v>
    <v>Ações</v>
    <v>B3 S.A - Brasil, Bolsa, Balcão (BVMF:B3SA3)</v>
    <v>-0.05</v>
    <v>-3.8110000000000002E-3</v>
    <v>20299700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16</v>
    <v>Finance</v>
    <v>5</v>
    <v>3.06</v>
    <v>1.35</v>
    <v>BVMF</v>
    <v>260509800</v>
    <v>1.41</v>
    <v>1948</v>
    <v>1.39</v>
    <v>0.89970000000000006</v>
    <v>B3 - Brazil Stock Exchange</v>
    <v>364713700</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1.39</v>
    <v>2911</v>
    <v>45863.958333333336</v>
    <v>568</v>
    <v>6280</v>
    <v>BRL</v>
    <v>BOMBRIL S.A.</v>
    <v>BOMBRIL S.A.</v>
    <v>1.41</v>
    <v>1.4</v>
    <v>Via Anchieta, KM 14,S/N, Rudge Ramos, SAO BERNARDO DO CAMPO, SAO PAULO, 09.696-000 BR</v>
    <v>Personal &amp; Household Products &amp; Services</v>
    <v>BOBR4</v>
    <v>Ações</v>
    <v>BOMBRIL S.A. (BVMF:BOBR4)</v>
    <v>0.01</v>
    <v>7.1940000000000007E-3</v>
    <v>3300</v>
  </rv>
  <rv s="2">
    <v>569</v>
  </rv>
  <rv s="0">
    <v>https://www.bing.com/financeapi/forcetrigger?t=apmivh&amp;q=BVMF%3aETER3&amp;form=skydnc</v>
    <v>Learn more on Bing</v>
  </rv>
  <rv s="8">
    <v>pt-BR</v>
    <v>apmivh</v>
    <v>268435456</v>
    <v>1</v>
    <v>Da plataforma Refinitiv</v>
    <v>14</v>
    <v>15</v>
    <v>Eternit S.A. - Em Recuperação Judicial (BVMF:ETER3)</v>
    <v>12</v>
    <v>16</v>
    <v>Finance</v>
    <v>5</v>
    <v>7.03</v>
    <v>3.58</v>
    <v>BVMF</v>
    <v>61776580</v>
    <v>3.7</v>
    <v>1940</v>
    <v>3.58</v>
    <v>1.8565</v>
    <v>B3 - Brazil Stock Exchange</v>
    <v>228573300</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3.62</v>
    <v>631</v>
    <v>45863.958333333336</v>
    <v>571</v>
    <v>72350</v>
    <v>BRL</v>
    <v>Eternit S.A. - Em Recuperação Judicial</v>
    <v>Eternit S.A. - Em Recuperação Judicial</v>
    <v>3.61</v>
    <v>3.7</v>
    <v>Rua Dr. Fernandes Coelho, 85, 8 andar, Pinheiros, SAO PAULO, SAO PAULO, 05.423-040 BR</v>
    <v>Construction Materials</v>
    <v>ETER3</v>
    <v>Ações</v>
    <v>Eternit S.A. - Em Recuperação Judicial (BVMF:ETER3)</v>
    <v>0.08</v>
    <v>2.2099000000000001E-2</v>
    <v>104900</v>
  </rv>
  <rv s="2">
    <v>572</v>
  </rv>
  <rv s="0">
    <v>https://www.bing.com/financeapi/forcetrigger?t=bxgbu2&amp;q=BVMF%3aESPA3&amp;form=skydnc</v>
    <v>Learn more on Bing</v>
  </rv>
  <rv s="8">
    <v>pt-BR</v>
    <v>bxgbu2</v>
    <v>268435456</v>
    <v>1</v>
    <v>Da plataforma Refinitiv</v>
    <v>14</v>
    <v>15</v>
    <v>MPM Corpóreos S.A. (BVMF:ESPA3)</v>
    <v>12</v>
    <v>16</v>
    <v>Finance</v>
    <v>5</v>
    <v>1.23</v>
    <v>0.66</v>
    <v>BVMF</v>
    <v>361423100</v>
    <v>1.08</v>
    <v>2016</v>
    <v>1.04</v>
    <v>1.587</v>
    <v>B3 - Brazil Stock Exchange</v>
    <v>383108500</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1.08</v>
    <v>3038</v>
    <v>45863.958333333336</v>
    <v>574</v>
    <v>293410</v>
    <v>BRL</v>
    <v>MPM Corpóreos S.A.</v>
    <v>MPM Corpóreos S.A.</v>
    <v>1.08</v>
    <v>1.06</v>
    <v>Avenida dos Eucaliptos, no 763 sala 2, Indianopolis, Sao Paulo, SAO PAULO, 04.517-050 BR</v>
    <v>Personal &amp; Household Products &amp; Services</v>
    <v>ESPA3</v>
    <v>Ações</v>
    <v>MPM Corpóreos S.A. (BVMF:ESPA3)</v>
    <v>-0.02</v>
    <v>-1.8519000000000001E-2</v>
    <v>207600</v>
  </rv>
  <rv s="2">
    <v>575</v>
  </rv>
  <rv s="0">
    <v>https://www.bing.com/financeapi/forcetrigger?t=c1o4r7&amp;q=BVMF%3aMATD3&amp;form=skydnc</v>
    <v>Learn more on Bing</v>
  </rv>
  <rv s="8">
    <v>pt-BR</v>
    <v>c1o4r7</v>
    <v>268435456</v>
    <v>1</v>
    <v>Da plataforma Refinitiv</v>
    <v>14</v>
    <v>15</v>
    <v>Hospital Mater Dei S.A. (BVMF:MATD3)</v>
    <v>12</v>
    <v>16</v>
    <v>Finance</v>
    <v>5</v>
    <v>5.1100000000000003</v>
    <v>3.3</v>
    <v>BVMF</v>
    <v>339428000</v>
    <v>4.4400000000000004</v>
    <v>1973</v>
    <v>4.3099999999999996</v>
    <v>1.5616000000000001</v>
    <v>B3 - Brazil Stock Exchange</v>
    <v>1503666000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4.37</v>
    <v>3677</v>
    <v>45863.958333333336</v>
    <v>577</v>
    <v>332570</v>
    <v>BRL</v>
    <v>Hospital Mater Dei S.A.</v>
    <v>Hospital Mater Dei S.A.</v>
    <v>4.3499999999999996</v>
    <v>4.43</v>
    <v>R Mato Grosso 1100, Santo Agostinho, BELO HORIZONTE, MINAS GERAIS, 30.190-081 BR</v>
    <v>Healthcare Providers &amp; Services</v>
    <v>MATD3</v>
    <v>Ações</v>
    <v>Hospital Mater Dei S.A. (BVMF:MATD3)</v>
    <v>0.06</v>
    <v>1.3729999999999999E-2</v>
    <v>231300</v>
  </rv>
  <rv s="2">
    <v>578</v>
  </rv>
  <rv s="0">
    <v>https://www.bing.com/financeapi/forcetrigger?t=c2vma2&amp;q=BVMF%3aTRAD3&amp;form=skydnc</v>
    <v>Learn more on Bing</v>
  </rv>
  <rv s="8">
    <v>pt-BR</v>
    <v>c2vma2</v>
    <v>268435456</v>
    <v>1</v>
    <v>Da plataforma Refinitiv</v>
    <v>14</v>
    <v>15</v>
    <v>TC S.A. (BVMF:TRAD3)</v>
    <v>12</v>
    <v>16</v>
    <v>Finance</v>
    <v>5</v>
    <v>9.4499999999999993</v>
    <v>2.42</v>
    <v>BVMF</v>
    <v>40021020</v>
    <v>7.59</v>
    <v>2016</v>
    <v>7.2</v>
    <v>0.52090000000000003</v>
    <v>B3 - Brazil Stock Exchange</v>
    <v>292953900</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7.34</v>
    <v>179</v>
    <v>45863.958333333336</v>
    <v>580</v>
    <v>15880</v>
    <v>BRL</v>
    <v>TC S.A.</v>
    <v>TC S.A.</v>
    <v>7.36</v>
    <v>7.32</v>
    <v>Avenida Presidente Juscelino Kubitschek, n 1830 Torre2, 5 andar,cj52, Vila Nova Conceicao, SAO PAULO, SAO PAULO, 04.543-900 BR</v>
    <v>Professional &amp; Business Education</v>
    <v>TRAD3</v>
    <v>Ações</v>
    <v>TC S.A. (BVMF:TRAD3)</v>
    <v>-0.02</v>
    <v>-2.725E-3</v>
    <v>13500</v>
  </rv>
  <rv s="2">
    <v>581</v>
  </rv>
  <rv s="0">
    <v>https://www.bing.com/financeapi/forcetrigger?t=apnl4c&amp;q=BVMF%3aVULC3&amp;form=skydnc</v>
    <v>Learn more on Bing</v>
  </rv>
  <rv s="8">
    <v>pt-BR</v>
    <v>apnl4c</v>
    <v>268435456</v>
    <v>1</v>
    <v>Da plataforma Refinitiv</v>
    <v>14</v>
    <v>15</v>
    <v>Vulcabras S/A (BVMF:VULC3)</v>
    <v>12</v>
    <v>16</v>
    <v>Finance</v>
    <v>5</v>
    <v>21.84</v>
    <v>13.75</v>
    <v>BVMF</v>
    <v>275536300</v>
    <v>18.809999999999999</v>
    <v>1952</v>
    <v>18.5</v>
    <v>0.91059999999999997</v>
    <v>B3 - Brazil Stock Exchange</v>
    <v>5135996000</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18.600000000000001</v>
    <v>23878</v>
    <v>45863.958333333336</v>
    <v>583</v>
    <v>677870</v>
    <v>BRL</v>
    <v>Vulcabras S/A</v>
    <v>Vulcabras S/A</v>
    <v>18.809999999999999</v>
    <v>18.64</v>
    <v>Av. Antonio Frederico Ozanan, 1440, Da Grama, JUNDIAI, SAO PAULO, 13.219-001 BR</v>
    <v>Textiles &amp; Apparel</v>
    <v>VULC3</v>
    <v>Ações</v>
    <v>Vulcabras S/A (BVMF:VULC3)</v>
    <v>0.04</v>
    <v>2.1510000000000001E-3</v>
    <v>377300</v>
  </rv>
  <rv s="2">
    <v>584</v>
  </rv>
  <rv s="0">
    <v>https://www.bing.com/financeapi/forcetrigger?t=apmw4c&amp;q=BVMF%3aLUPA3&amp;form=skydnc</v>
    <v>Learn more on Bing</v>
  </rv>
  <rv s="8">
    <v>pt-BR</v>
    <v>apmw4c</v>
    <v>268435456</v>
    <v>1</v>
    <v>Da plataforma Refinitiv</v>
    <v>14</v>
    <v>15</v>
    <v>LUPATECH S.A (BVMF:LUPA3)</v>
    <v>12</v>
    <v>16</v>
    <v>Finance</v>
    <v>5</v>
    <v>1.82</v>
    <v>1.1299999999999999</v>
    <v>BVMF</v>
    <v>43716190</v>
    <v>1.19</v>
    <v>1980</v>
    <v>1.1599999999999999</v>
    <v>1.8006</v>
    <v>B3 - Brazil Stock Exchange</v>
    <v>50710780</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1.18</v>
    <v>448</v>
    <v>45863.958333333336</v>
    <v>586</v>
    <v>34830</v>
    <v>BRL</v>
    <v>LUPATECH S.A</v>
    <v>LUPATECH S.A</v>
    <v>1.19</v>
    <v>1.1599999999999999</v>
    <v>Rodovia Anhanguera, sentido interior/capital,KM 119, predio C, Distrito Industrial, NOVA ODESSA, SAO PAULO, 13.388-220 BR</v>
    <v>Machinery, Equipment &amp; Components</v>
    <v>LUPA3</v>
    <v>Ações</v>
    <v>LUPATECH S.A (BVMF:LUPA3)</v>
    <v>-0.02</v>
    <v>-1.6949000000000002E-2</v>
    <v>17100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8.2200000000000006</v>
    <v>3.97</v>
    <v>BVMF</v>
    <v>696334200</v>
    <v>6.8</v>
    <v>2000</v>
    <v>6.64</v>
    <v>1.623</v>
    <v>B3 - Brazil Stock Exchange</v>
    <v>4700256000</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6.66</v>
    <v>5821</v>
    <v>45863.958333333336</v>
    <v>589</v>
    <v>2216310</v>
    <v>BRL</v>
    <v>ECORODOVIAS INFRAESTRUTURA E LOGÍSTICA S.A.</v>
    <v>ECORODOVIAS INFRAESTRUTURA E LOGÍSTICA S.A.</v>
    <v>6.67</v>
    <v>6.75</v>
    <v>Rua Gomes de Carvalho, n 1.510, Conjuntos 31/32, Vila Olimpia, SAO PAULO, SAO PAULO, 04.547-005 BR</v>
    <v>Transport Infrastructure</v>
    <v>ECOR3</v>
    <v>Ações</v>
    <v>ECORODOVIAS INFRAESTRUTURA E LOGÍSTICA S.A. (BVMF:ECOR3)</v>
    <v>0.09</v>
    <v>1.3514E-2</v>
    <v>1467400</v>
  </rv>
  <rv s="2">
    <v>590</v>
  </rv>
  <rv s="0">
    <v>https://www.bing.com/financeapi/forcetrigger?t=apn452&amp;q=BVMF%3aPDGR3&amp;form=skydnc</v>
    <v>Learn more on Bing</v>
  </rv>
  <rv s="9">
    <v>pt-BR</v>
    <v>apn452</v>
    <v>268435456</v>
    <v>1</v>
    <v>Da plataforma Refinitiv</v>
    <v>17</v>
    <v>18</v>
    <v>PDG Realty S.A. Empreendimentos e Participações (BVMF:PDGR3)</v>
    <v>12</v>
    <v>19</v>
    <v>Finance</v>
    <v>5</v>
    <v>28.75</v>
    <v>0.2</v>
    <v>BVMF</v>
    <v>29691030</v>
    <v>0.22</v>
    <v>1998</v>
    <v>0.21</v>
    <v>1.7492000000000001</v>
    <v>B3 - Brazil Stock Exchange</v>
    <v>6532030</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0.21</v>
    <v>45863.958333333336</v>
    <v>592</v>
    <v>652290</v>
    <v>BRL</v>
    <v>PDG Realty S.A. Empreendimentos e Participações</v>
    <v>PDG Realty S.A. Empreendimentos e Participações</v>
    <v>0.21</v>
    <v>0.22</v>
    <v>Av. Dr. Cardoso de Melo 1855, 6 andar, Vila Olimpia, SAO PAULO, SAO PAULO, 04.548-005 BR</v>
    <v>Holding Companies</v>
    <v>PDGR3</v>
    <v>Ações</v>
    <v>PDG Realty S.A. Empreendimentos e Participações (BVMF:PDGR3)</v>
    <v>0.01</v>
    <v>4.7618999999999995E-2</v>
    <v>142700</v>
  </rv>
  <rv s="2">
    <v>593</v>
  </rv>
  <rv s="0">
    <v>https://www.bing.com/financeapi/forcetrigger?t=apmamw&amp;q=BVMF%3aCOCE5&amp;form=skydnc</v>
    <v>Learn more on Bing</v>
  </rv>
  <rv s="8">
    <v>pt-BR</v>
    <v>apmamw</v>
    <v>268435456</v>
    <v>1</v>
    <v>Da plataforma Refinitiv</v>
    <v>14</v>
    <v>15</v>
    <v>Companhia Energética do Ceará (BVMF:COCE5)</v>
    <v>12</v>
    <v>16</v>
    <v>Finance</v>
    <v>5</v>
    <v>30.9</v>
    <v>22.25</v>
    <v>BVMF</v>
    <v>86302020</v>
    <v>27.7</v>
    <v>1971</v>
    <v>27.6</v>
    <v>0.3306</v>
    <v>B3 - Brazil Stock Exchange</v>
    <v>2252984000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27.54</v>
    <v>1928</v>
    <v>45863.958333333336</v>
    <v>595</v>
    <v>11020</v>
    <v>BRL</v>
    <v>Companhia Energética do Ceará</v>
    <v>Companhia Energética do Ceará</v>
    <v>27.6</v>
    <v>27.7</v>
    <v>R Padre Valdevino 150, Centro, FORTALEZA, CEARA, 60.135-040 BR</v>
    <v>Electrical Utilities &amp; IPPs</v>
    <v>COCE5</v>
    <v>Ações</v>
    <v>Companhia Energética do Ceará (BVMF:COCE5)</v>
    <v>0.16</v>
    <v>5.8099999999999992E-3</v>
    <v>200</v>
  </rv>
  <rv s="2">
    <v>596</v>
  </rv>
  <rv s="0">
    <v>https://www.bing.com/financeapi/forcetrigger?t=bskpw7&amp;q=BVMF%3aCEAB3&amp;form=skydnc</v>
    <v>Learn more on Bing</v>
  </rv>
  <rv s="8">
    <v>pt-BR</v>
    <v>bskpw7</v>
    <v>268435456</v>
    <v>1</v>
    <v>Da plataforma Refinitiv</v>
    <v>14</v>
    <v>15</v>
    <v>C&amp;A MODAS S.A. (BVMF:CEAB3)</v>
    <v>12</v>
    <v>16</v>
    <v>Finance</v>
    <v>5</v>
    <v>21.3</v>
    <v>7.3</v>
    <v>BVMF</v>
    <v>308245100</v>
    <v>16.96</v>
    <v>1981</v>
    <v>15.81</v>
    <v>2.0444</v>
    <v>B3 - Brazil Stock Exchange</v>
    <v>4919591000</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16.760000000000002</v>
    <v>15000</v>
    <v>45863.958333333336</v>
    <v>598</v>
    <v>2913970</v>
    <v>BRL</v>
    <v>C&amp;A MODAS S.A.</v>
    <v>C&amp;A MODAS S.A.</v>
    <v>16.760000000000002</v>
    <v>15.96</v>
    <v>Alameda Araguaia, 1.222/1.022, Alphaville, BARUERI, SAO PAULO, 06.455-000 BR</v>
    <v>Specialty Retailers</v>
    <v>CEAB3</v>
    <v>Ações</v>
    <v>C&amp;A MODAS S.A. (BVMF:CEAB3)</v>
    <v>-0.8</v>
    <v>-4.7732999999999998E-2</v>
    <v>2191200</v>
  </rv>
  <rv s="2">
    <v>599</v>
  </rv>
  <rv s="0">
    <v>https://www.bing.com/financeapi/forcetrigger?t=bv5ur7&amp;q=BVMF%3aAMBP3&amp;form=skydnc</v>
    <v>Learn more on Bing</v>
  </rv>
  <rv s="9">
    <v>pt-BR</v>
    <v>bv5ur7</v>
    <v>268435456</v>
    <v>1</v>
    <v>Da plataforma Refinitiv</v>
    <v>17</v>
    <v>18</v>
    <v>Ambipar Participações e Empreendimentos S.A. (BVMF:AMBP3)</v>
    <v>12</v>
    <v>19</v>
    <v>Finance</v>
    <v>5</v>
    <v>268.51</v>
    <v>35.94</v>
    <v>BVMF</v>
    <v>167041900</v>
    <v>140.21</v>
    <v>2010</v>
    <v>129.97</v>
    <v>1.5846</v>
    <v>B3 - Brazil Stock Exchange</v>
    <v>22139730000</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138</v>
    <v>45863.958333333336</v>
    <v>601</v>
    <v>53840</v>
    <v>BRL</v>
    <v>Ambipar Participações e Empreendimentos S.A.</v>
    <v>Ambipar Participações e Empreendimentos S.A.</v>
    <v>138.01</v>
    <v>132.54</v>
    <v>Av Pacaembu 1088 Sala 09, Pacaembu, SAO PAULO, SAO PAULO, 01.234-000 BR</v>
    <v>Professional &amp; Commercial Services</v>
    <v>AMBP3</v>
    <v>Ações</v>
    <v>Ambipar Participações e Empreendimentos S.A. (BVMF:AMBP3)</v>
    <v>-5.46</v>
    <v>-3.9565000000000003E-2</v>
    <v>41800</v>
  </rv>
  <rv s="2">
    <v>602</v>
  </rv>
  <rv s="0">
    <v>https://www.bing.com/financeapi/forcetrigger?t=bwzurw&amp;q=BVMF%3aNGRD3&amp;form=skydnc</v>
    <v>Learn more on Bing</v>
  </rv>
  <rv s="8">
    <v>pt-BR</v>
    <v>bwzurw</v>
    <v>268435456</v>
    <v>1</v>
    <v>Da plataforma Refinitiv</v>
    <v>14</v>
    <v>15</v>
    <v>Neogrid Participações S.A (BVMF:NGRD3)</v>
    <v>12</v>
    <v>16</v>
    <v>Finance</v>
    <v>5</v>
    <v>35</v>
    <v>18.23</v>
    <v>BVMF</v>
    <v>9140940</v>
    <v>26.17</v>
    <v>2008</v>
    <v>25.59</v>
    <v>1.0592999999999999</v>
    <v>B3 - Brazil Stock Exchange</v>
    <v>234008200</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26.12</v>
    <v>719</v>
    <v>45863.958333333336</v>
    <v>604</v>
    <v>10020</v>
    <v>BRL</v>
    <v>Neogrid Participações S.A</v>
    <v>Neogrid Participações S.A</v>
    <v>26.17</v>
    <v>25.6</v>
    <v>Avenida Santos Dumont, 935 1 andar, Santo Antonio, Joinville, SANTA CATARINA, 89.218-105 BR</v>
    <v>Software &amp; IT Services</v>
    <v>NGRD3</v>
    <v>Ações</v>
    <v>Neogrid Participações S.A (BVMF:NGRD3)</v>
    <v>-0.52</v>
    <v>-1.9907999999999999E-2</v>
    <v>10700</v>
  </rv>
  <rv s="2">
    <v>605</v>
  </rv>
  <rv s="0">
    <v>https://www.bing.com/financeapi/forcetrigger?t=apm6k2&amp;q=BVMF%3aCAML3&amp;form=skydnc</v>
    <v>Learn more on Bing</v>
  </rv>
  <rv s="8">
    <v>pt-BR</v>
    <v>apm6k2</v>
    <v>268435456</v>
    <v>1</v>
    <v>Da plataforma Refinitiv</v>
    <v>14</v>
    <v>15</v>
    <v>CAMIL ALIMENTOS S.A. (BVMF:CAML3)</v>
    <v>12</v>
    <v>16</v>
    <v>Finance</v>
    <v>5</v>
    <v>9.6300000000000008</v>
    <v>3.38</v>
    <v>BVMF</v>
    <v>350000000</v>
    <v>4.8899999999999997</v>
    <v>1990</v>
    <v>4.8</v>
    <v>0.3674</v>
    <v>B3 - Brazil Stock Exchange</v>
    <v>1694000000</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4.8499999999999996</v>
    <v>7000</v>
    <v>45863.958333333336</v>
    <v>607</v>
    <v>1687590</v>
    <v>BRL</v>
    <v>CAMIL ALIMENTOS S.A.</v>
    <v>CAMIL ALIMENTOS S.A.</v>
    <v>4.87</v>
    <v>4.84</v>
    <v>Av. Doutora Ruth Cardoso 8501, 12 andar, Pinheiros, Eldorado Business Tower, SAO PAULO, SAO PAULO, 05.425-070 BR</v>
    <v>Food &amp; Tobacco</v>
    <v>CAML3</v>
    <v>Ações</v>
    <v>CAMIL ALIMENTOS S.A. (BVMF:CAML3)</v>
    <v>-0.01</v>
    <v>-2.062E-3</v>
    <v>1758900</v>
  </rv>
  <rv s="2">
    <v>608</v>
  </rv>
  <rv s="0">
    <v>https://www.bing.com/financeapi/forcetrigger?t=apml3m&amp;q=BVMF%3aTASA3&amp;form=skydnc</v>
    <v>Learn more on Bing</v>
  </rv>
  <rv s="8">
    <v>pt-BR</v>
    <v>apml3m</v>
    <v>268435456</v>
    <v>1</v>
    <v>Da plataforma Refinitiv</v>
    <v>14</v>
    <v>15</v>
    <v>Taurus Armas S.A (BVMF:TASA3)</v>
    <v>12</v>
    <v>16</v>
    <v>Finance</v>
    <v>5</v>
    <v>10.65</v>
    <v>6.19</v>
    <v>BVMF</v>
    <v>139297900</v>
    <v>6.41</v>
    <v>1939</v>
    <v>6.19</v>
    <v>1.2166999999999999</v>
    <v>B3 - Brazil Stock Exchange</v>
    <v>777342700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6.3</v>
    <v>3286</v>
    <v>45863.958333333336</v>
    <v>610</v>
    <v>455580</v>
    <v>BRL</v>
    <v>Taurus Armas S.A</v>
    <v>Taurus Armas S.A</v>
    <v>6.41</v>
    <v>6.22</v>
    <v>Avenida Sao Borja 2181/Predio A, Fazenda Sao Borja, SAO LEOPOLDO, RIO GRANDE DO SUL, 93.035-411 BR</v>
    <v>Aerospace &amp; Defense</v>
    <v>TASA3</v>
    <v>Ações</v>
    <v>Taurus Armas S.A (BVMF:TASA3)</v>
    <v>-0.08</v>
    <v>-1.2698000000000001E-2</v>
    <v>9000</v>
  </rv>
  <rv s="2">
    <v>611</v>
  </rv>
  <rv s="0">
    <v>https://www.bing.com/financeapi/forcetrigger?t=bpryr7&amp;q=BVMF%3aSBFG3&amp;form=skydnc</v>
    <v>Learn more on Bing</v>
  </rv>
  <rv s="8">
    <v>pt-BR</v>
    <v>bpryr7</v>
    <v>268435456</v>
    <v>1</v>
    <v>Da plataforma Refinitiv</v>
    <v>14</v>
    <v>15</v>
    <v>GRUPO SBF S.A. (BVMF:SBFG3)</v>
    <v>12</v>
    <v>16</v>
    <v>Finance</v>
    <v>5</v>
    <v>17.91</v>
    <v>8.92</v>
    <v>BVMF</v>
    <v>244013000</v>
    <v>12.29</v>
    <v>2011</v>
    <v>12.1</v>
    <v>2.1787999999999998</v>
    <v>B3 - Brazil Stock Exchange</v>
    <v>2976958000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12.15</v>
    <v>8196</v>
    <v>45863.958333333336</v>
    <v>613</v>
    <v>1342050</v>
    <v>BRL</v>
    <v>GRUPO SBF S.A.</v>
    <v>GRUPO SBF S.A.</v>
    <v>12.15</v>
    <v>12.2</v>
    <v>Av Dra Ruth Cardoso 7221 Andar Ed Birman 3, Pinheiros, PINHEIROS, SAO PAULO, 05.425-902 BR</v>
    <v>Specialty Retailers</v>
    <v>SBFG3</v>
    <v>Ações</v>
    <v>GRUPO SBF S.A. (BVMF:SBFG3)</v>
    <v>0.05</v>
    <v>4.1149999999999997E-3</v>
    <v>626100</v>
  </rv>
  <rv s="2">
    <v>614</v>
  </rv>
  <rv s="0">
    <v>https://www.bing.com/financeapi/forcetrigger?t=apnfbh&amp;q=BVMF%3aTECN3&amp;form=skydnc</v>
    <v>Learn more on Bing</v>
  </rv>
  <rv s="8">
    <v>pt-BR</v>
    <v>apnfbh</v>
    <v>268435456</v>
    <v>1</v>
    <v>Da plataforma Refinitiv</v>
    <v>14</v>
    <v>15</v>
    <v>TECHNOS S.A. (BVMF:TECN3)</v>
    <v>12</v>
    <v>16</v>
    <v>Finance</v>
    <v>5</v>
    <v>7.26</v>
    <v>4.46</v>
    <v>BVMF</v>
    <v>61856210</v>
    <v>6.39</v>
    <v>2007</v>
    <v>6.21</v>
    <v>0.8921</v>
    <v>B3 - Brazil Stock Exchange</v>
    <v>384127100</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6.34</v>
    <v>900</v>
    <v>45863.958333333336</v>
    <v>616</v>
    <v>63700</v>
    <v>BRL</v>
    <v>TECHNOS S.A.</v>
    <v>TECHNOS S.A.</v>
    <v>6.39</v>
    <v>6.21</v>
    <v>Avenida Das Americas, 4200 - Bloco 5 - 6 Andar, Barra Da Tijuca, RIO DE JANEIRO, RIO DE JANEIRO, 22.640-907 BR</v>
    <v>Specialty Retailers</v>
    <v>TECN3</v>
    <v>Ações</v>
    <v>TECHNOS S.A. (BVMF:TECN3)</v>
    <v>-0.13</v>
    <v>-2.0504999999999999E-2</v>
    <v>41500</v>
  </rv>
  <rv s="2">
    <v>617</v>
  </rv>
  <rv s="0">
    <v>https://www.bing.com/financeapi/forcetrigger?t=apncxm&amp;q=BVMF%3aSMTO3&amp;form=skydnc</v>
    <v>Learn more on Bing</v>
  </rv>
  <rv s="8">
    <v>pt-BR</v>
    <v>apncxm</v>
    <v>268435456</v>
    <v>1</v>
    <v>Da plataforma Refinitiv</v>
    <v>14</v>
    <v>15</v>
    <v>São Martinho S.A. (BVMF:SMTO3)</v>
    <v>12</v>
    <v>16</v>
    <v>Finance</v>
    <v>5</v>
    <v>30.51</v>
    <v>16.940000000000001</v>
    <v>BVMF</v>
    <v>332435400</v>
    <v>17.78</v>
    <v>1943</v>
    <v>17.5</v>
    <v>0.34310000000000002</v>
    <v>B3 - Brazil Stock Exchange</v>
    <v>5890755000</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17.600000000000001</v>
    <v>7869</v>
    <v>45863.958333333336</v>
    <v>619</v>
    <v>1547490</v>
    <v>BRL</v>
    <v>São Martinho S.A.</v>
    <v>São Martinho S.A.</v>
    <v>17.52</v>
    <v>17.72</v>
    <v>Fazenda Sao Martinho, S/Nr., Zona Rural, PRADOPOLIS, SAO PAULO, 14.850-000 BR</v>
    <v>Food &amp; Tobacco</v>
    <v>SMTO3</v>
    <v>Ações</v>
    <v>São Martinho S.A. (BVMF:SMTO3)</v>
    <v>0.12</v>
    <v>6.8179999999999994E-3</v>
    <v>1637400</v>
  </rv>
  <rv s="2">
    <v>620</v>
  </rv>
  <rv s="0">
    <v>https://www.bing.com/financeapi/forcetrigger?t=apn852&amp;q=BVMF%3aRANI3&amp;form=skydnc</v>
    <v>Learn more on Bing</v>
  </rv>
  <rv s="8">
    <v>pt-BR</v>
    <v>apn852</v>
    <v>268435456</v>
    <v>1</v>
    <v>Da plataforma Refinitiv</v>
    <v>14</v>
    <v>15</v>
    <v>IRANI PAPEL E EMBALAGEM S.A. (BVMF:RANI3)</v>
    <v>12</v>
    <v>16</v>
    <v>Finance</v>
    <v>5</v>
    <v>8.1999999999999993</v>
    <v>5.97</v>
    <v>BVMF</v>
    <v>239829900</v>
    <v>7.27</v>
    <v>1941</v>
    <v>7.19</v>
    <v>0.59130000000000005</v>
    <v>B3 - Brazil Stock Exchange</v>
    <v>1743563000</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7.22</v>
    <v>2348</v>
    <v>45863.958333333336</v>
    <v>622</v>
    <v>475690</v>
    <v>BRL</v>
    <v>IRANI PAPEL E EMBALAGEM S.A.</v>
    <v>IRANI PAPEL E EMBALAGEM S.A.</v>
    <v>7.23</v>
    <v>7.27</v>
    <v>Avenida Carlos Gomes,n400, Edificio Joao Benjamin Zaffari, salas 502/503, Boa Vista, PORTO ALEGRE, RIO GRANDE DO SUL, 90.480-900 BR</v>
    <v>Containers &amp; Packaging</v>
    <v>RANI3</v>
    <v>Ações</v>
    <v>IRANI PAPEL E EMBALAGEM S.A. (BVMF:RANI3)</v>
    <v>0.05</v>
    <v>6.9249999999999997E-3</v>
    <v>225700</v>
  </rv>
  <rv s="2">
    <v>623</v>
  </rv>
  <rv s="0">
    <v>https://www.bing.com/financeapi/forcetrigger?t=bvlnz2&amp;q=BVMF%3aPETZ3&amp;form=skydnc</v>
    <v>Learn more on Bing</v>
  </rv>
  <rv s="9">
    <v>pt-BR</v>
    <v>bvlnz2</v>
    <v>268435456</v>
    <v>1</v>
    <v>Da plataforma Refinitiv</v>
    <v>17</v>
    <v>18</v>
    <v>Pet Center Comércio e Participações S.A. (BVMF:PETZ3)</v>
    <v>12</v>
    <v>19</v>
    <v>Finance</v>
    <v>5</v>
    <v>5.57</v>
    <v>3.16</v>
    <v>BVMF</v>
    <v>462739900</v>
    <v>4.07</v>
    <v>2013</v>
    <v>3.96</v>
    <v>1.1665000000000001</v>
    <v>B3 - Brazil Stock Exchange</v>
    <v>1846332000</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4.03</v>
    <v>45863.958333333336</v>
    <v>625</v>
    <v>8068930</v>
    <v>BRL</v>
    <v>Pet Center Comércio e Participações S.A.</v>
    <v>Pet Center Comércio e Participações S.A.</v>
    <v>4.04</v>
    <v>3.99</v>
    <v>Rua Guaranta, 555/587 Sala 1, Pari, SAO PAULO, SAO PAULO, 03.035-050 BR</v>
    <v>Specialty Retailers</v>
    <v>PETZ3</v>
    <v>Ações</v>
    <v>Pet Center Comércio e Participações S.A. (BVMF:PETZ3)</v>
    <v>-0.04</v>
    <v>-9.9260000000000008E-3</v>
    <v>3395800</v>
  </rv>
  <rv s="2">
    <v>626</v>
  </rv>
  <rv s="0">
    <v>https://www.bing.com/financeapi/forcetrigger?t=apnh77&amp;q=BVMF%3aTOTS3&amp;form=skydnc</v>
    <v>Learn more on Bing</v>
  </rv>
  <rv s="9">
    <v>pt-BR</v>
    <v>apnh77</v>
    <v>268435456</v>
    <v>1</v>
    <v>Da plataforma Refinitiv</v>
    <v>17</v>
    <v>18</v>
    <v>TOTVS S.A. (BVMF:TOTS3)</v>
    <v>12</v>
    <v>19</v>
    <v>Finance</v>
    <v>5</v>
    <v>43.97</v>
    <v>25.69</v>
    <v>BVMF</v>
    <v>599401600</v>
    <v>43.63</v>
    <v>1983</v>
    <v>43</v>
    <v>0.94579999999999997</v>
    <v>B3 - Brazil Stock Exchange</v>
    <v>25774270000</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43.02</v>
    <v>45863.958333333336</v>
    <v>628</v>
    <v>3674530</v>
    <v>BRL</v>
    <v>TOTVS S.A.</v>
    <v>TOTVS S.A.</v>
    <v>43.04</v>
    <v>43</v>
    <v>Avenida Braz Leme 1000, Casa Verde, SAO PAULO, SAO PAULO, 02.511-000 BR</v>
    <v>Software &amp; IT Services</v>
    <v>TOTS3</v>
    <v>Ações</v>
    <v>TOTVS S.A. (BVMF:TOTS3)</v>
    <v>-0.02</v>
    <v>-4.6489999999999997E-4</v>
    <v>2517700</v>
  </rv>
  <rv s="2">
    <v>629</v>
  </rv>
  <rv s="0">
    <v>https://www.bing.com/financeapi/forcetrigger?t=apmipr&amp;q=BVMF%3aYDUQ3&amp;form=skydnc</v>
    <v>Learn more on Bing</v>
  </rv>
  <rv s="8">
    <v>pt-BR</v>
    <v>apmipr</v>
    <v>268435456</v>
    <v>1</v>
    <v>Da plataforma Refinitiv</v>
    <v>14</v>
    <v>15</v>
    <v>YDUQS Participações S.A. (BVMF:YDUQ3)</v>
    <v>12</v>
    <v>16</v>
    <v>Finance</v>
    <v>5</v>
    <v>17.8</v>
    <v>7.54</v>
    <v>BVMF</v>
    <v>274088800</v>
    <v>12.99</v>
    <v>2007</v>
    <v>12.35</v>
    <v>2.0891000000000002</v>
    <v>B3 - Brazil Stock Exchange</v>
    <v>3395961000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13</v>
    <v>16000</v>
    <v>45863.958333333336</v>
    <v>631</v>
    <v>4633250</v>
    <v>BRL</v>
    <v>YDUQS Participações S.A.</v>
    <v>YDUQS Participações S.A.</v>
    <v>12.96</v>
    <v>12.39</v>
    <v>Avenida Venezuela 43, 6 andar, Saude, RIO DE JANEIRO, RIO DE JANEIRO, 20.081-311 BR</v>
    <v>School, College &amp; University</v>
    <v>YDUQ3</v>
    <v>Ações</v>
    <v>YDUQS Participações S.A. (BVMF:YDUQ3)</v>
    <v>-0.61</v>
    <v>-4.6923000000000006E-2</v>
    <v>4617500</v>
  </rv>
  <rv s="2">
    <v>632</v>
  </rv>
  <rv s="0">
    <v>https://www.bing.com/financeapi/forcetrigger?t=bvs1lh&amp;q=BVMF%3aJSLG3&amp;form=skydnc</v>
    <v>Learn more on Bing</v>
  </rv>
  <rv s="8">
    <v>pt-BR</v>
    <v>bvs1lh</v>
    <v>268435456</v>
    <v>1</v>
    <v>Da plataforma Refinitiv</v>
    <v>14</v>
    <v>15</v>
    <v>JSL S.A. (BVMF:JSLG3)</v>
    <v>12</v>
    <v>16</v>
    <v>Finance</v>
    <v>5</v>
    <v>9.6199999999999992</v>
    <v>5</v>
    <v>BVMF</v>
    <v>286431100</v>
    <v>5.46</v>
    <v>1969</v>
    <v>5.33</v>
    <v>1.4704999999999999</v>
    <v>B3 - Brazil Stock Exchange</v>
    <v>1543863629</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5.39</v>
    <v>28000</v>
    <v>45863.958333333336</v>
    <v>634</v>
    <v>389770</v>
    <v>BRL</v>
    <v>JSL S.A.</v>
    <v>JSL S.A.</v>
    <v>5.41</v>
    <v>5.39</v>
    <v>Rua Doutor Renato Paes de Barros, 1017, Conjunto 91,ED. Corporate Park, Itaim Bibi, SAO PAULO, SAO PAULO, 04.530-001 BR</v>
    <v>Freight &amp; Logistics Services</v>
    <v>JSLG3</v>
    <v>Ações</v>
    <v>JSL S.A. (BVMF:JSLG3)</v>
    <v>0</v>
    <v>0</v>
    <v>263100</v>
  </rv>
  <rv s="2">
    <v>635</v>
  </rv>
  <rv s="0">
    <v>https://www.bing.com/financeapi/forcetrigger?t=c337yc&amp;q=BVMF%3aONCO3&amp;form=skydnc</v>
    <v>Learn more on Bing</v>
  </rv>
  <rv s="9">
    <v>pt-BR</v>
    <v>c337yc</v>
    <v>268435456</v>
    <v>1</v>
    <v>Da plataforma Refinitiv</v>
    <v>17</v>
    <v>18</v>
    <v>Oncoclínicas do Brasil Serviços Médicos S.A. (BVMF:ONCO3)</v>
    <v>12</v>
    <v>19</v>
    <v>Finance</v>
    <v>5</v>
    <v>7.29</v>
    <v>1.74</v>
    <v>BVMF</v>
    <v>651756300</v>
    <v>5.51</v>
    <v>2010</v>
    <v>5.36</v>
    <v>1.3581000000000001</v>
    <v>B3 - Brazil Stock Exchange</v>
    <v>3545554000</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5.47</v>
    <v>45863.958333333336</v>
    <v>637</v>
    <v>1147500</v>
    <v>BRL</v>
    <v>Oncoclínicas do Brasil Serviços Médicos S.A.</v>
    <v>Oncoclínicas do Brasil Serviços Médicos S.A.</v>
    <v>5.47</v>
    <v>5.44</v>
    <v>Avenida Presidente Juscelino Kubitschek, n 510 2 andar, Vila Nova Conceicao, SAO PAULO, SAO PAULO, 04.543-906 BR</v>
    <v>Healthcare Providers &amp; Services</v>
    <v>ONCO3</v>
    <v>Ações</v>
    <v>Oncoclínicas do Brasil Serviços Médicos S.A. (BVMF:ONCO3)</v>
    <v>-0.03</v>
    <v>-5.4840000000000002E-3</v>
    <v>643200</v>
  </rv>
  <rv s="2">
    <v>638</v>
  </rv>
  <rv s="0">
    <v>https://www.bing.com/financeapi/forcetrigger?t=apltk2&amp;q=BVMF%3aAALR3&amp;form=skydnc</v>
    <v>Learn more on Bing</v>
  </rv>
  <rv s="9">
    <v>pt-BR</v>
    <v>apltk2</v>
    <v>268435456</v>
    <v>1</v>
    <v>Da plataforma Refinitiv</v>
    <v>17</v>
    <v>18</v>
    <v>ALLIANÇA SAÚDE E PARTICIPAÇÕES S.A. (BVMF:AALR3)</v>
    <v>12</v>
    <v>19</v>
    <v>Finance</v>
    <v>5</v>
    <v>16.489999999999998</v>
    <v>3.88</v>
    <v>BVMF</v>
    <v>152359500</v>
    <v>4.88</v>
    <v>1992</v>
    <v>4.74</v>
    <v>0.87409999999999999</v>
    <v>B3 - Brazil Stock Exchange</v>
    <v>737419900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4.8</v>
    <v>45863.958333333336</v>
    <v>640</v>
    <v>68610</v>
    <v>BRL</v>
    <v>ALLIANÇA SAÚDE E PARTICIPAÇÕES S.A.</v>
    <v>ALLIANÇA SAÚDE E PARTICIPAÇÕES S.A.</v>
    <v>4.79</v>
    <v>4.84</v>
    <v>Avenida Presidente Juscelino Kubitschek, 1830, Sala 111 - Bloco 1, Vila Nova Conceicao, SAO PAULO, SAO PAULO, 04.543-900 BR</v>
    <v>Healthcare Providers &amp; Services</v>
    <v>AALR3</v>
    <v>Ações</v>
    <v>ALLIANÇA SAÚDE E PARTICIPAÇÕES S.A. (BVMF:AALR3)</v>
    <v>0.04</v>
    <v>8.3330000000000001E-3</v>
    <v>11600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2.83</v>
    <v>1977</v>
    <v>2.5</v>
    <v>2.0476999999999999</v>
    <v>B3 - Brazil Stock Exchange</v>
    <v>378798500</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2.5</v>
    <v>183</v>
    <v>45863.958333333336</v>
    <v>643</v>
    <v>2063500</v>
    <v>BRL</v>
    <v>HELBOR EMPREENDIMENTOS S.A.</v>
    <v>HELBOR EMPREENDIMENTOS S.A.</v>
    <v>2.5</v>
    <v>2.83</v>
    <v>Av. Vereador Narciso Yague Guimaraes, N 1145,15 Andar, Jardim Armenia, MOGI DAS CRUZES, SAO PAULO, 08.780-500 BR</v>
    <v>Real Estate Operations</v>
    <v>HBOR3</v>
    <v>Ações</v>
    <v>HELBOR EMPREENDIMENTOS S.A. (BVMF:HBOR3)</v>
    <v>0.33</v>
    <v>0.13200000000000001</v>
    <v>3062400</v>
  </rv>
  <rv s="2">
    <v>644</v>
  </rv>
  <rv s="0">
    <v>https://www.bing.com/financeapi/forcetrigger?t=apmbxm&amp;q=BVMF%3aCRPG5&amp;form=skydnc</v>
    <v>Learn more on Bing</v>
  </rv>
  <rv s="9">
    <v>pt-BR</v>
    <v>apmbxm</v>
    <v>268435456</v>
    <v>1</v>
    <v>Da plataforma Refinitiv</v>
    <v>17</v>
    <v>18</v>
    <v>Tronox Pigmentos do Brasil SA (BVMF:CRPG5)</v>
    <v>12</v>
    <v>19</v>
    <v>Finance</v>
    <v>5</v>
    <v>29.5</v>
    <v>15.77</v>
    <v>BVMF</v>
    <v>29018750</v>
    <v>16.170000000000002</v>
    <v>1966</v>
    <v>15.95</v>
    <v>0.8246</v>
    <v>B3 - Brazil Stock Exchange</v>
    <v>480814700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15.97</v>
    <v>45863.958333333336</v>
    <v>646</v>
    <v>1060</v>
    <v>BRL</v>
    <v>Tronox Pigmentos do Brasil SA</v>
    <v>Tronox Pigmentos do Brasil SA</v>
    <v>16.170000000000002</v>
    <v>16.079999999999998</v>
    <v>Rodovia Ba 099 Km 20 Centro, Abrantes, CAMACARI, BAHIA, 42.840-000 BR</v>
    <v>Chemicals</v>
    <v>CRPG5</v>
    <v>Ações</v>
    <v>Tronox Pigmentos do Brasil SA (BVMF:CRPG5)</v>
    <v>0.11</v>
    <v>6.888E-3</v>
    <v>600</v>
  </rv>
  <rv s="2">
    <v>647</v>
  </rv>
  <rv s="0">
    <v>https://www.bing.com/financeapi/forcetrigger?t=apmvrw&amp;q=BVMF%3aLOGN3&amp;form=skydnc</v>
    <v>Learn more on Bing</v>
  </rv>
  <rv s="8">
    <v>pt-BR</v>
    <v>apmvrw</v>
    <v>268435456</v>
    <v>1</v>
    <v>Da plataforma Refinitiv</v>
    <v>14</v>
    <v>15</v>
    <v>LOG-IN LOGISTICA INTERMODAL S.A. (BVMF:LOGN3)</v>
    <v>12</v>
    <v>16</v>
    <v>Finance</v>
    <v>5</v>
    <v>38.94</v>
    <v>19.25</v>
    <v>BVMF</v>
    <v>107306500</v>
    <v>24.77</v>
    <v>1973</v>
    <v>24.56</v>
    <v>0.92979999999999996</v>
    <v>B3 - Brazil Stock Exchange</v>
    <v>2655835875</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24.75</v>
    <v>750</v>
    <v>45863.958333333336</v>
    <v>649</v>
    <v>17670</v>
    <v>BRL</v>
    <v>LOG-IN LOGISTICA INTERMODAL S.A.</v>
    <v>LOG-IN LOGISTICA INTERMODAL S.A.</v>
    <v>24.56</v>
    <v>24.75</v>
    <v>Rua do Passeio, 78 12 andar - 1201, Centro, RIO DE JANEIRO, RIO DE JANEIRO, 20.021-290 BR</v>
    <v>Freight &amp; Logistics Services</v>
    <v>LOGN3</v>
    <v>Ações</v>
    <v>LOG-IN LOGISTICA INTERMODAL S.A. (BVMF:LOGN3)</v>
    <v>0</v>
    <v>0</v>
    <v>6000</v>
  </rv>
  <rv s="2">
    <v>650</v>
  </rv>
  <rv s="0">
    <v>https://www.bing.com/financeapi/forcetrigger?t=bxgk6h&amp;q=BVMF%3aVAMO3&amp;form=skydnc</v>
    <v>Learn more on Bing</v>
  </rv>
  <rv s="8">
    <v>pt-BR</v>
    <v>bxgk6h</v>
    <v>268435456</v>
    <v>1</v>
    <v>Da plataforma Refinitiv</v>
    <v>14</v>
    <v>15</v>
    <v>Vamos Locação de Caminhões, Máquinas e Equipamentos S.A. (BVMF:VAMO3)</v>
    <v>12</v>
    <v>16</v>
    <v>Finance</v>
    <v>5</v>
    <v>7.83</v>
    <v>3.54</v>
    <v>BVMF</v>
    <v>1081033000</v>
    <v>4.03</v>
    <v>2015</v>
    <v>3.93</v>
    <v>1.2655000000000001</v>
    <v>B3 - Brazil Stock Exchange</v>
    <v>4324130000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3.91</v>
    <v>2291</v>
    <v>45863.958333333336</v>
    <v>652</v>
    <v>11387430</v>
    <v>BRL</v>
    <v>Vamos Locação de Caminhões, Máquinas e Equipamentos S.A.</v>
    <v>Vamos Locação de Caminhões, Máquinas e Equipamentos S.A.</v>
    <v>3.93</v>
    <v>4</v>
    <v>Rua Doutor Renato Paes de Barros, 1017, 6 andar, Itaim Bibi, SAO PAULO, SAO PAULO, 04.530-001 BR</v>
    <v>Freight &amp; Logistics Services</v>
    <v>VAMO3</v>
    <v>Ações</v>
    <v>Vamos Locação de Caminhões, Máquinas e Equipamentos S.A. (BVMF:VAMO3)</v>
    <v>0.09</v>
    <v>2.3018E-2</v>
    <v>13358500</v>
  </rv>
  <rv s="2">
    <v>653</v>
  </rv>
  <rv s="0">
    <v>https://www.bing.com/financeapi/forcetrigger?t=apmsww&amp;q=BVMF%3aJHSF3&amp;form=skydnc</v>
    <v>Learn more on Bing</v>
  </rv>
  <rv s="9">
    <v>pt-BR</v>
    <v>apmsww</v>
    <v>268435456</v>
    <v>1</v>
    <v>Da plataforma Refinitiv</v>
    <v>17</v>
    <v>18</v>
    <v>JHS F Participações S.A (BVMF:JHSF3)</v>
    <v>12</v>
    <v>19</v>
    <v>Finance</v>
    <v>5</v>
    <v>5.44</v>
    <v>3.41</v>
    <v>BVMF</v>
    <v>681322800</v>
    <v>5.18</v>
    <v>2006</v>
    <v>5.09</v>
    <v>1.5496000000000001</v>
    <v>B3 - Brazil Stock Exchange</v>
    <v>3488373000</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5.08</v>
    <v>45863.958333333336</v>
    <v>655</v>
    <v>2358290</v>
    <v>BRL</v>
    <v>JHS F Participações S.A</v>
    <v>JHS F Participações S.A</v>
    <v>5.09</v>
    <v>5.12</v>
    <v>Avenida Alcides Sangirardi s/n - 301 Usina SP Espaco C.01.01, Cidade Jardim, SAO PAULO, SAO PAULO, 05.672-015 BR</v>
    <v>Real Estate Operations</v>
    <v>JHSF3</v>
    <v>Ações</v>
    <v>JHS F Participações S.A (BVMF:JHSF3)</v>
    <v>0.04</v>
    <v>7.8739999999999991E-3</v>
    <v>1866500</v>
  </rv>
  <rv s="2">
    <v>656</v>
  </rv>
  <rv s="0">
    <v>https://www.bing.com/financeapi/forcetrigger?t=apmtf2&amp;q=BVMF%3aSIMH3&amp;form=skydnc</v>
    <v>Learn more on Bing</v>
  </rv>
  <rv s="8">
    <v>pt-BR</v>
    <v>apmtf2</v>
    <v>268435456</v>
    <v>1</v>
    <v>Da plataforma Refinitiv</v>
    <v>14</v>
    <v>15</v>
    <v>SIMPAR S.A. (BVMF:SIMH3)</v>
    <v>12</v>
    <v>16</v>
    <v>Finance</v>
    <v>5</v>
    <v>7.05</v>
    <v>2.95</v>
    <v>BVMF</v>
    <v>873040500</v>
    <v>4.4400000000000004</v>
    <v>2005</v>
    <v>4.3099999999999996</v>
    <v>1.6075999999999999</v>
    <v>B3 - Brazil Stock Exchange</v>
    <v>3832648000</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4.37</v>
    <v>56000</v>
    <v>45863.958333333336</v>
    <v>658</v>
    <v>3399310</v>
    <v>BRL</v>
    <v>SIMPAR S.A.</v>
    <v>SIMPAR S.A.</v>
    <v>4.3899999999999997</v>
    <v>4.3899999999999997</v>
    <v>Rua Doutor Renato Paes de Barros, 1017, 10 andar, cj. 101, Itaim Bibi, SAO PAULO, SAO PAULO, 04.530-001 BR</v>
    <v>Freight &amp; Logistics Services</v>
    <v>SIMH3</v>
    <v>Ações</v>
    <v>SIMPAR S.A. (BVMF:SIMH3)</v>
    <v>0.02</v>
    <v>4.5770000000000003E-3</v>
    <v>2306600</v>
  </rv>
  <rv s="2">
    <v>659</v>
  </rv>
  <rv s="0">
    <v>https://www.bing.com/financeapi/forcetrigger?t=apmp9c&amp;q=BVMF%3aGUAR3&amp;form=skydnc</v>
    <v>Learn more on Bing</v>
  </rv>
  <rv s="8">
    <v>pt-BR</v>
    <v>apmp9c</v>
    <v>268435456</v>
    <v>1</v>
    <v>Da plataforma Refinitiv</v>
    <v>14</v>
    <v>15</v>
    <v>Guararapes Confecções S/A (BVMF:GUAR3)</v>
    <v>12</v>
    <v>16</v>
    <v>Finance</v>
    <v>5</v>
    <v>9.57</v>
    <v>5.48</v>
    <v>BVMF</v>
    <v>499200000</v>
    <v>7.82</v>
    <v>1956</v>
    <v>7.65</v>
    <v>2.1890999999999998</v>
    <v>B3 - Brazil Stock Exchange</v>
    <v>3878784000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7.81</v>
    <v>31919</v>
    <v>45863.958333333336</v>
    <v>661</v>
    <v>792930</v>
    <v>BRL</v>
    <v>Guararapes Confecções S/A</v>
    <v>Guararapes Confecções S/A</v>
    <v>7.77</v>
    <v>7.77</v>
    <v>Rodovia BR 101 Norte, n 9.000, Anexo Guararapes Confeccoes, N. Sra. Apresentacao, NATAL, RIO GRANDE DO NORTE, 59.115-900 BR</v>
    <v>Specialty Retailers</v>
    <v>GUAR3</v>
    <v>Ações</v>
    <v>Guararapes Confecções S/A (BVMF:GUAR3)</v>
    <v>-0.04</v>
    <v>-5.1219999999999998E-3</v>
    <v>565500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2.2999999999999998</v>
    <v>1.64</v>
    <v>BVMF</v>
    <v>10000000</v>
    <v>1.64</v>
    <v>2005</v>
    <v>1.64</v>
    <v>2.0726</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16</v>
    <v>Finance</v>
    <v>5</v>
    <v>3.19</v>
    <v>0.95</v>
    <v>BVMF</v>
    <v>1876606000</v>
    <v>2.7</v>
    <v>1998</v>
    <v>2.6</v>
    <v>1.9346000000000001</v>
    <v>B3 - Brazil Stock Exchange</v>
    <v>4991772000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2.63</v>
    <v>26933</v>
    <v>45863.958333333336</v>
    <v>667</v>
    <v>28433490</v>
    <v>BRL</v>
    <v>COGNA EDUCAÇÃO S.A.</v>
    <v>COGNA EDUCAÇÃO S.A.</v>
    <v>2.63</v>
    <v>2.66</v>
    <v>Rua dos Guajajaras, n 591 4 andar, sala 1, Lourdes, BELO HORIZONTE, MINAS GERAIS, 30.180-101 BR</v>
    <v>School, College &amp; University</v>
    <v>COGN3</v>
    <v>Ações</v>
    <v>COGNA EDUCAÇÃO S.A. (BVMF:COGN3)</v>
    <v>0.03</v>
    <v>1.1407E-2</v>
    <v>20676500</v>
  </rv>
  <rv s="2">
    <v>668</v>
  </rv>
  <rv s="0">
    <v>https://www.bing.com/financeapi/forcetrigger?t=apn2nm&amp;q=BVMF%3aOIBR4&amp;form=skydnc</v>
    <v>Learn more on Bing</v>
  </rv>
  <rv s="8">
    <v>pt-BR</v>
    <v>apn2nm</v>
    <v>268435456</v>
    <v>1</v>
    <v>Da plataforma Refinitiv</v>
    <v>14</v>
    <v>15</v>
    <v>Oi S.A. – Em Recuperação Judicial (BVMF:OIBR4)</v>
    <v>12</v>
    <v>16</v>
    <v>Finance</v>
    <v>5</v>
    <v>14.3</v>
    <v>5.65</v>
    <v>BVMF</v>
    <v>330121700</v>
    <v>8.16</v>
    <v>1963</v>
    <v>7.62</v>
    <v>1.3792</v>
    <v>B3 - Brazil Stock Exchange</v>
    <v>176922000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8.01</v>
    <v>2600</v>
    <v>45863.958333333336</v>
    <v>670</v>
    <v>22370</v>
    <v>BRL</v>
    <v>Oi S.A. – Em Recuperação Judicial</v>
    <v>Oi S.A. – Em Recuperação Judicial</v>
    <v>8.01</v>
    <v>8.02</v>
    <v>Rua do Lavradio, 71,2 andar, Centro, RIO DE JANEIRO, RIO DE JANEIRO, 20.230-070 BR</v>
    <v>Telecommunications Services</v>
    <v>OIBR4</v>
    <v>Ações</v>
    <v>Oi S.A. – Em Recuperação Judicial (BVMF:OIBR4)</v>
    <v>0.01</v>
    <v>1.248E-3</v>
    <v>37500</v>
  </rv>
  <rv s="2">
    <v>671</v>
  </rv>
  <rv s="0">
    <v>https://www.bing.com/financeapi/forcetrigger?t=c3an52&amp;q=BVMF%3aVITT3&amp;form=skydnc</v>
    <v>Learn more on Bing</v>
  </rv>
  <rv s="8">
    <v>pt-BR</v>
    <v>c3an52</v>
    <v>268435456</v>
    <v>1</v>
    <v>Da plataforma Refinitiv</v>
    <v>14</v>
    <v>15</v>
    <v>VITTIA S.A. (BVMF:VITT3)</v>
    <v>12</v>
    <v>16</v>
    <v>Finance</v>
    <v>5</v>
    <v>6.1</v>
    <v>4.2</v>
    <v>BVMF</v>
    <v>150314000</v>
    <v>5.01</v>
    <v>1971</v>
    <v>4.87</v>
    <v>1.0039</v>
    <v>B3 - Brazil Stock Exchange</v>
    <v>745557600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4.9800000000000004</v>
    <v>1169</v>
    <v>45863.958333333336</v>
    <v>673</v>
    <v>176580</v>
    <v>BRL</v>
    <v>VITTIA S.A.</v>
    <v>VITTIA S.A.</v>
    <v>5</v>
    <v>4.96</v>
    <v>Av. MarginAvenida Marginal Esquerda, 1.000al Esquerda, 1.000, Distrito Industrial, Sao Joaquim da Barra, SAO PAULO, 14.600-000 BR</v>
    <v>Chemicals</v>
    <v>VITT3</v>
    <v>Ações</v>
    <v>VITTIA S.A. (BVMF:VITT3)</v>
    <v>-0.02</v>
    <v>-4.0160000000000005E-3</v>
    <v>109900</v>
  </rv>
  <rv s="2">
    <v>674</v>
  </rv>
  <rv s="0">
    <v>https://www.bing.com/financeapi/forcetrigger?t=apn7bh&amp;q=BVMF%3aPTBL3&amp;form=skydnc</v>
    <v>Learn more on Bing</v>
  </rv>
  <rv s="8">
    <v>pt-BR</v>
    <v>apn7bh</v>
    <v>268435456</v>
    <v>1</v>
    <v>Da plataforma Refinitiv</v>
    <v>14</v>
    <v>15</v>
    <v>PBG S/A (BVMF:PTBL3)</v>
    <v>12</v>
    <v>16</v>
    <v>Finance</v>
    <v>5</v>
    <v>5.55</v>
    <v>3.25</v>
    <v>BVMF</v>
    <v>140986900</v>
    <v>3.96</v>
    <v>1977</v>
    <v>3.88</v>
    <v>1.7655000000000001</v>
    <v>B3 - Brazil Stock Exchange</v>
    <v>549848900</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3.85</v>
    <v>2448</v>
    <v>45863.958333333336</v>
    <v>676</v>
    <v>231670</v>
    <v>BRL</v>
    <v>PBG S/A</v>
    <v>PBG S/A</v>
    <v>3.91</v>
    <v>3.9</v>
    <v>Sc-401 4756, Saco Grande, FLORIANOPOLIS, SANTA CATARINA, 88.032-005 BR</v>
    <v>Homebuilding &amp; Construction Supplies</v>
    <v>PTBL3</v>
    <v>Ações</v>
    <v>PBG S/A (BVMF:PTBL3)</v>
    <v>0.05</v>
    <v>1.2987E-2</v>
    <v>147900</v>
  </rv>
  <rv s="2">
    <v>677</v>
  </rv>
  <rv s="0">
    <v>https://www.bing.com/financeapi/forcetrigger?t=c1c2vh&amp;q=BVMF%3aVVEO3&amp;form=skydnc</v>
    <v>Learn more on Bing</v>
  </rv>
  <rv s="8">
    <v>pt-BR</v>
    <v>c1c2vh</v>
    <v>268435456</v>
    <v>1</v>
    <v>Da plataforma Refinitiv</v>
    <v>14</v>
    <v>15</v>
    <v>CM Hospitalar S.A. (BVMF:VVEO3)</v>
    <v>12</v>
    <v>16</v>
    <v>Finance</v>
    <v>5</v>
    <v>2.94</v>
    <v>1.07</v>
    <v>BVMF</v>
    <v>322820600</v>
    <v>1.1100000000000001</v>
    <v>2010</v>
    <v>1.08</v>
    <v>0.95679999999999998</v>
    <v>B3 - Brazil Stock Exchange</v>
    <v>355102660</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1.1000000000000001</v>
    <v>6000</v>
    <v>45863.958333333336</v>
    <v>679</v>
    <v>486320</v>
    <v>BRL</v>
    <v>CM Hospitalar S.A.</v>
    <v>CM Hospitalar S.A.</v>
    <v>1.1000000000000001</v>
    <v>1.1000000000000001</v>
    <v>Avenida Luiz Maggioni, n 2.727, Distrito Empresarial, RIBEIRAO PRETO, SAO PAULO, 14.072-055 BR</v>
    <v>Pharmaceuticals</v>
    <v>VVEO3</v>
    <v>Ações</v>
    <v>CM Hospitalar S.A. (BVMF:VVEO3)</v>
    <v>0</v>
    <v>0</v>
    <v>422500</v>
  </rv>
  <rv s="2">
    <v>680</v>
  </rv>
  <rv s="0">
    <v>https://www.bing.com/financeapi/forcetrigger?t=bxi3ec&amp;q=BVMF%3aHBRE3&amp;form=skydnc</v>
    <v>Learn more on Bing</v>
  </rv>
  <rv s="9">
    <v>pt-BR</v>
    <v>bxi3ec</v>
    <v>268435456</v>
    <v>1</v>
    <v>Da plataforma Refinitiv</v>
    <v>17</v>
    <v>18</v>
    <v>HBR Realty Empreendimentos Imobiliários S.A. (BVMF:HBRE3)</v>
    <v>12</v>
    <v>19</v>
    <v>Finance</v>
    <v>5</v>
    <v>5.62</v>
    <v>2.5499999999999998</v>
    <v>BVMF</v>
    <v>103189000</v>
    <v>3.31</v>
    <v>2011</v>
    <v>3.04</v>
    <v>1.4356</v>
    <v>B3 - Brazil Stock Exchange</v>
    <v>341555500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3.05</v>
    <v>45863.958333333336</v>
    <v>682</v>
    <v>284410</v>
    <v>BRL</v>
    <v>HBR Realty Empreendimentos Imobiliários S.A.</v>
    <v>HBR Realty Empreendimentos Imobiliários S.A.</v>
    <v>3.07</v>
    <v>3.31</v>
    <v>Avenida Vereador Narciso Yague Guimaraes, 1.145, 2 andar, Jardim Armenia, Mogi Das Cruzes, SAO PAULO, 08.780-500 BR</v>
    <v>Real Estate Operations</v>
    <v>HBRE3</v>
    <v>Ações</v>
    <v>HBR Realty Empreendimentos Imobiliários S.A. (BVMF:HBRE3)</v>
    <v>0.26</v>
    <v>8.5245999999999988E-2</v>
    <v>508400</v>
  </rv>
  <rv s="2">
    <v>683</v>
  </rv>
  <rv s="0">
    <v>https://www.bing.com/financeapi/forcetrigger?t=apn9a2&amp;q=BVMF%3aRDNI3&amp;form=skydnc</v>
    <v>Learn more on Bing</v>
  </rv>
  <rv s="8">
    <v>pt-BR</v>
    <v>apn9a2</v>
    <v>268435456</v>
    <v>1</v>
    <v>Da plataforma Refinitiv</v>
    <v>14</v>
    <v>15</v>
    <v>RNI Negócios Imobiliários S.A. (BVMF:RDNI3)</v>
    <v>12</v>
    <v>16</v>
    <v>Finance</v>
    <v>5</v>
    <v>3.53</v>
    <v>2.02</v>
    <v>BVMF</v>
    <v>43769810</v>
    <v>2.29</v>
    <v>1991</v>
    <v>2.2599999999999998</v>
    <v>0.67</v>
    <v>B3 - Brazil Stock Exchange</v>
    <v>100232900</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2.2599999999999998</v>
    <v>296</v>
    <v>45863.958333333336</v>
    <v>685</v>
    <v>1300</v>
    <v>BRL</v>
    <v>RNI Negócios Imobiliários S.A.</v>
    <v>RNI Negócios Imobiliários S.A.</v>
    <v>2.2599999999999998</v>
    <v>2.29</v>
    <v>Av. Francisco das Chagas de Oliveira, 2.500, SAO JOSE DO RIO PRETO, SAO PAULO, 15.085-485 BR</v>
    <v>Real Estate Operations</v>
    <v>RDNI3</v>
    <v>Ações</v>
    <v>RNI Negócios Imobiliários S.A. (BVMF:RDNI3)</v>
    <v>0.03</v>
    <v>1.3273999999999999E-2</v>
    <v>700</v>
  </rv>
  <rv s="2">
    <v>686</v>
  </rv>
  <rv s="0">
    <v>https://www.bing.com/financeapi/forcetrigger?t=aywh77&amp;q=BVMF%3aPCAR3&amp;form=skydnc</v>
    <v>Learn more on Bing</v>
  </rv>
  <rv s="8">
    <v>pt-BR</v>
    <v>aywh77</v>
    <v>268435456</v>
    <v>1</v>
    <v>Da plataforma Refinitiv</v>
    <v>14</v>
    <v>15</v>
    <v>Companhia Brasileira de Distribuição S.A. (BVMF:PCAR3)</v>
    <v>12</v>
    <v>16</v>
    <v>Finance</v>
    <v>5</v>
    <v>4.95</v>
    <v>2.1800000000000002</v>
    <v>BVMF</v>
    <v>490392000</v>
    <v>3.55</v>
    <v>1981</v>
    <v>3.45</v>
    <v>2.0041000000000002</v>
    <v>B3 - Brazil Stock Exchange</v>
    <v>1716372000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3.49</v>
    <v>110000</v>
    <v>45863.958333333336</v>
    <v>688</v>
    <v>13462420</v>
    <v>BRL</v>
    <v>Companhia Brasileira de Distribuição S.A.</v>
    <v>Companhia Brasileira de Distribuição S.A.</v>
    <v>3.52</v>
    <v>3.5</v>
    <v>Avenida Brigadeiro Luis Antonio, 3142, Jardim Paulista, SAO PAULO, SAO PAULO, 01.402-901 BR</v>
    <v>Food &amp; Drug Retailing</v>
    <v>PCAR3</v>
    <v>Ações</v>
    <v>Companhia Brasileira de Distribuição S.A. (BVMF:PCAR3)</v>
    <v>0.01</v>
    <v>2.8649999999999999E-3</v>
    <v>5878100</v>
  </rv>
  <rv s="2">
    <v>689</v>
  </rv>
  <rv s="0">
    <v>https://www.bing.com/financeapi/forcetrigger?t=bwihur&amp;q=BVMF%3aCASH3&amp;form=skydnc</v>
    <v>Learn more on Bing</v>
  </rv>
  <rv s="8">
    <v>pt-BR</v>
    <v>bwihur</v>
    <v>268435456</v>
    <v>1</v>
    <v>Da plataforma Refinitiv</v>
    <v>14</v>
    <v>15</v>
    <v>MÉLIUZ S.A. (BVMF:CASH3)</v>
    <v>12</v>
    <v>16</v>
    <v>Finance</v>
    <v>5</v>
    <v>10.34</v>
    <v>2.4</v>
    <v>BVMF</v>
    <v>112751400</v>
    <v>5.94</v>
    <v>2011</v>
    <v>5.8</v>
    <v>1.9232</v>
    <v>B3 - Brazil Stock Exchange</v>
    <v>665233500</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5.9</v>
    <v>470</v>
    <v>45863.958333333336</v>
    <v>691</v>
    <v>4499210</v>
    <v>BRL</v>
    <v>MÉLIUZ S.A.</v>
    <v>MÉLIUZ S.A.</v>
    <v>5.86</v>
    <v>5.9</v>
    <v>Rua Jose Versolato, n 111-B Sala 3014, Bairro Carmo, Belo Horizonte, MINAS GERAIS, 30.310-030 BR</v>
    <v>Software &amp; IT Services</v>
    <v>CASH3</v>
    <v>Ações</v>
    <v>MÉLIUZ S.A. (BVMF:CASH3)</v>
    <v>0</v>
    <v>0</v>
    <v>1309600</v>
  </rv>
  <rv s="2">
    <v>692</v>
  </rv>
  <rv s="0">
    <v>https://www.bing.com/financeapi/forcetrigger?t=apmkcw&amp;q=BVMF%3aFHER3&amp;form=skydnc</v>
    <v>Learn more on Bing</v>
  </rv>
  <rv s="8">
    <v>pt-BR</v>
    <v>apmkcw</v>
    <v>268435456</v>
    <v>1</v>
    <v>Da plataforma Refinitiv</v>
    <v>14</v>
    <v>15</v>
    <v>FERTILIZANTES HERINGER S.A. (BVMF:FHER3)</v>
    <v>12</v>
    <v>16</v>
    <v>Finance</v>
    <v>5</v>
    <v>10.5</v>
    <v>3.03</v>
    <v>BVMF</v>
    <v>53857280</v>
    <v>4.1399999999999997</v>
    <v>1968</v>
    <v>4.0599999999999996</v>
    <v>0.50900000000000001</v>
    <v>B3 - Brazil Stock Exchange</v>
    <v>218660600</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4.03</v>
    <v>1466</v>
    <v>45863.958333333336</v>
    <v>694</v>
    <v>18610</v>
    <v>BRL</v>
    <v>FERTILIZANTES HERINGER S.A.</v>
    <v>FERTILIZANTES HERINGER S.A.</v>
    <v>4.0999999999999996</v>
    <v>4.0599999999999996</v>
    <v>Avenida Irene Karcher, 620, n/a, Betel, PAULINIA, SAO PAULO, 13.148-906 BR</v>
    <v>Chemicals</v>
    <v>FHER3</v>
    <v>Ações</v>
    <v>FERTILIZANTES HERINGER S.A. (BVMF:FHER3)</v>
    <v>0.03</v>
    <v>7.4439999999999992E-3</v>
    <v>10800</v>
  </rv>
  <rv s="2">
    <v>695</v>
  </rv>
  <rv s="0">
    <v>https://www.bing.com/financeapi/forcetrigger?t=apmngh&amp;q=BVMF%3aGFSA3&amp;form=skydnc</v>
    <v>Learn more on Bing</v>
  </rv>
  <rv s="8">
    <v>pt-BR</v>
    <v>apmngh</v>
    <v>268435456</v>
    <v>1</v>
    <v>Da plataforma Refinitiv</v>
    <v>14</v>
    <v>15</v>
    <v>Gafisa S.A. (BVMF:GFSA3)</v>
    <v>12</v>
    <v>16</v>
    <v>Finance</v>
    <v>5</v>
    <v>68.400000000000006</v>
    <v>16.170000000000002</v>
    <v>BVMF</v>
    <v>12110160</v>
    <v>16.57</v>
    <v>1996</v>
    <v>16.190000000000001</v>
    <v>1.9123000000000001</v>
    <v>B3 - Brazil Stock Exchange</v>
    <v>196790100</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16.29</v>
    <v>295</v>
    <v>45863.958333333336</v>
    <v>697</v>
    <v>261090</v>
    <v>BRL</v>
    <v>Gafisa S.A.</v>
    <v>Gafisa S.A.</v>
    <v>16.57</v>
    <v>16.25</v>
    <v>Av. Pres. Juscelino Kubitschek, 1830, conjunto comercial 32, 3 andar, Bloco 2, Itaim Bibi, SAO PAULO, SAO PAULO, 04.543-900 BR</v>
    <v>Real Estate Operations</v>
    <v>GFSA3</v>
    <v>Ações</v>
    <v>Gafisa S.A. (BVMF:GFSA3)</v>
    <v>-0.04</v>
    <v>-2.4550000000000002E-3</v>
    <v>106200</v>
  </rv>
  <rv s="2">
    <v>698</v>
  </rv>
  <rv s="0">
    <v>https://www.bing.com/financeapi/forcetrigger?t=apmr52&amp;q=BVMF%3aHYPE3&amp;form=skydnc</v>
    <v>Learn more on Bing</v>
  </rv>
  <rv s="8">
    <v>pt-BR</v>
    <v>apmr52</v>
    <v>268435456</v>
    <v>1</v>
    <v>Da plataforma Refinitiv</v>
    <v>14</v>
    <v>15</v>
    <v>Hypera S.A. (BVMF:HYPE3)</v>
    <v>12</v>
    <v>16</v>
    <v>Finance</v>
    <v>5</v>
    <v>30.81</v>
    <v>15.94</v>
    <v>BVMF</v>
    <v>633420800</v>
    <v>26.38</v>
    <v>2001</v>
    <v>26</v>
    <v>1.1206</v>
    <v>B3 - Brazil Stock Exchange</v>
    <v>16633630000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26.16</v>
    <v>9000</v>
    <v>45863.958333333336</v>
    <v>700</v>
    <v>2830750</v>
    <v>BRL</v>
    <v>Hypera S.A.</v>
    <v>Hypera S.A.</v>
    <v>26.18</v>
    <v>26.26</v>
    <v>Rua Nova Cidade, 404, Vila Olimpia, SAO PAULO, SAO PAULO, 04.547-070 BR</v>
    <v>Pharmaceuticals</v>
    <v>HYPE3</v>
    <v>Ações</v>
    <v>Hypera S.A. (BVMF:HYPE3)</v>
    <v>0.1</v>
    <v>3.8229999999999996E-3</v>
    <v>1360400</v>
  </rv>
  <rv s="2">
    <v>701</v>
  </rv>
  <rv s="0">
    <v>https://www.bing.com/financeapi/forcetrigger?t=bwh3vh&amp;q=BVMF%3aENJU3&amp;form=skydnc</v>
    <v>Learn more on Bing</v>
  </rv>
  <rv s="8">
    <v>pt-BR</v>
    <v>bwh3vh</v>
    <v>268435456</v>
    <v>1</v>
    <v>Da plataforma Refinitiv</v>
    <v>14</v>
    <v>15</v>
    <v>ENJOEI S.A. (BVMF:ENJU3)</v>
    <v>12</v>
    <v>16</v>
    <v>Finance</v>
    <v>5</v>
    <v>2.1</v>
    <v>0.91</v>
    <v>BVMF</v>
    <v>205018000</v>
    <v>1.04</v>
    <v>2012</v>
    <v>1.01</v>
    <v>1.7892999999999999</v>
    <v>B3 - Brazil Stock Exchange</v>
    <v>211168500</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1.02</v>
    <v>76</v>
    <v>45863.958333333336</v>
    <v>703</v>
    <v>928490</v>
    <v>BRL</v>
    <v>ENJOEI S.A.</v>
    <v>ENJOEI S.A.</v>
    <v>1.02</v>
    <v>1.03</v>
    <v>Av. Presidente Juscelino Kubitschek, 1830 12 Andar, Torre 4, Vila Nova Conceicao, Sao Paulo, SAO PAULO, 04.543-900 BR</v>
    <v>Software &amp; IT Services</v>
    <v>ENJU3</v>
    <v>Ações</v>
    <v>ENJOEI S.A. (BVMF:ENJU3)</v>
    <v>0.01</v>
    <v>9.8040000000000002E-3</v>
    <v>307300</v>
  </rv>
  <rv s="2">
    <v>704</v>
  </rv>
  <rv s="0">
    <v>https://www.bing.com/financeapi/forcetrigger?t=c2yvmw&amp;q=BVMF%3aRAIZ4&amp;form=skydnc</v>
    <v>Learn more on Bing</v>
  </rv>
  <rv s="8">
    <v>pt-BR</v>
    <v>c2yvmw</v>
    <v>268435456</v>
    <v>1</v>
    <v>Da plataforma Refinitiv</v>
    <v>14</v>
    <v>15</v>
    <v>Raízen S.A. (BVMF:RAIZ4)</v>
    <v>12</v>
    <v>16</v>
    <v>Finance</v>
    <v>5</v>
    <v>3.4</v>
    <v>1.46</v>
    <v>BVMF</v>
    <v>1358937000</v>
    <v>1.52</v>
    <v>1961</v>
    <v>1.46</v>
    <v>1.167</v>
    <v>B3 - Brazil Stock Exchange</v>
    <v>2011227000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1.51</v>
    <v>45417</v>
    <v>45863.958333333336</v>
    <v>706</v>
    <v>11324400</v>
    <v>BRL</v>
    <v>Raízen S.A.</v>
    <v>Raízen S.A.</v>
    <v>1.5</v>
    <v>1.48</v>
    <v>Avenida Afonso Arinos de Melo Franco, 222. Sala 321, Barra da Tijuca, RIO DE JANEIRO, RIO DE JANEIRO, 22.631-455 BR</v>
    <v>Oil &amp; Gas</v>
    <v>RAIZ4</v>
    <v>Ações</v>
    <v>Raízen S.A. (BVMF:RAIZ4)</v>
    <v>-0.03</v>
    <v>-1.9868E-2</v>
    <v>16714200</v>
  </rv>
  <rv s="2">
    <v>707</v>
  </rv>
  <rv s="0">
    <v>https://www.bing.com/financeapi/forcetrigger?t=aplygh&amp;q=BVMF%3aBBAS3&amp;form=skydnc</v>
    <v>Learn more on Bing</v>
  </rv>
  <rv s="8">
    <v>pt-BR</v>
    <v>aplygh</v>
    <v>268435456</v>
    <v>1</v>
    <v>Da plataforma Refinitiv</v>
    <v>14</v>
    <v>15</v>
    <v>Banco do Brasil S.A. (BVMF:BBAS3)</v>
    <v>12</v>
    <v>16</v>
    <v>Finance</v>
    <v>5</v>
    <v>29.49</v>
    <v>19.86</v>
    <v>BVMF</v>
    <v>5730834000</v>
    <v>20.47</v>
    <v>1808</v>
    <v>20.13</v>
    <v>0.98619999999999997</v>
    <v>B3 - Brazil Stock Exchange</v>
    <v>115992100000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20.07</v>
    <v>85953</v>
    <v>45863.958333333336</v>
    <v>709</v>
    <v>37105420</v>
    <v>BRL</v>
    <v>Banco do Brasil S.A.</v>
    <v>Banco do Brasil S.A.</v>
    <v>20.190000000000001</v>
    <v>20.239999999999998</v>
    <v>Saun Quadra 05, Lote B Ed. BB, Asa Norte, BRASILIA, DISTRITO FEDERAL, 70.040-912 BR</v>
    <v>Banking Services</v>
    <v>BBAS3</v>
    <v>Ações</v>
    <v>Banco do Brasil S.A. (BVMF:BBAS3)</v>
    <v>0.17</v>
    <v>8.4700000000000001E-3</v>
    <v>38885200</v>
  </rv>
  <rv s="2">
    <v>710</v>
  </rv>
  <rv s="0">
    <v>https://www.bing.com/financeapi/forcetrigger?t=apm5tc&amp;q=BVMF%3aEPAR3&amp;form=skydnc</v>
    <v>Learn more on Bing</v>
  </rv>
  <rv s="9">
    <v>pt-BR</v>
    <v>apm5tc</v>
    <v>268435456</v>
    <v>1</v>
    <v>Da plataforma Refinitiv</v>
    <v>17</v>
    <v>18</v>
    <v>EMBPAR PARTICIPAÇÕES S/A (BVMF:EPAR3)</v>
    <v>12</v>
    <v>19</v>
    <v>Finance</v>
    <v>5</v>
    <v>5.3</v>
    <v>3.51</v>
    <v>BVMF</v>
    <v>14860570</v>
    <v>4.5999999999999996</v>
    <v>1974</v>
    <v>4.5199999999999996</v>
    <v>0.40789999999999998</v>
    <v>B3 - Brazil Stock Exchange</v>
    <v>67466980</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4.57</v>
    <v>45863.958333333336</v>
    <v>712</v>
    <v>6730</v>
    <v>BRL</v>
    <v>EMBPAR PARTICIPAÇÕES S/A</v>
    <v>EMBPAR PARTICIPAÇÕES S/A</v>
    <v>4.5199999999999996</v>
    <v>4.54</v>
    <v>Alameda Bom Pastor, 3700,Lote A, Sala 06, Barro Preto, SAO JOSE DOS PINHAIS, PARANA, 83.015-140 BR</v>
    <v>Automobiles &amp; Auto Parts</v>
    <v>EPAR3</v>
    <v>Ações</v>
    <v>EMBPAR PARTICIPAÇÕES S/A (BVMF:EPAR3)</v>
    <v>-0.03</v>
    <v>-6.5649999999999997E-3</v>
    <v>6900</v>
  </rv>
  <rv s="2">
    <v>713</v>
  </rv>
  <rv s="0">
    <v>https://www.bing.com/financeapi/forcetrigger?t=apm7dm&amp;q=BVMF%3aSYNE3&amp;form=skydnc</v>
    <v>Learn more on Bing</v>
  </rv>
  <rv s="9">
    <v>pt-BR</v>
    <v>apm7dm</v>
    <v>268435456</v>
    <v>1</v>
    <v>Da plataforma Refinitiv</v>
    <v>17</v>
    <v>18</v>
    <v>SYN prop e tech S.A. (BVMF:SYNE3)</v>
    <v>12</v>
    <v>19</v>
    <v>Finance</v>
    <v>5</v>
    <v>6.95</v>
    <v>3.59</v>
    <v>BVMF</v>
    <v>152644400</v>
    <v>6.58</v>
    <v>2007</v>
    <v>6.46</v>
    <v>0.79159999999999997</v>
    <v>B3 - Brazil Stock Exchange</v>
    <v>1004400000</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6.46</v>
    <v>45863.958333333336</v>
    <v>715</v>
    <v>652200</v>
    <v>BRL</v>
    <v>SYN prop e tech S.A.</v>
    <v>SYN prop e tech S.A.</v>
    <v>6.52</v>
    <v>6.58</v>
    <v>Avenida Brigadeiro Faria Lima, 3.600 Conj. 141 e 142, Itaim Bibi, SAO PAULO, SAO PAULO, 04.538-132 BR</v>
    <v>Real Estate Operations</v>
    <v>SYNE3</v>
    <v>Ações</v>
    <v>SYN prop e tech S.A. (BVMF:SYNE3)</v>
    <v>0.12</v>
    <v>1.8575999999999999E-2</v>
    <v>223900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6.14</v>
    <v>2006</v>
    <v>6</v>
    <v>1.6511</v>
    <v>B3 - Brazil Stock Exchange</v>
    <v>3433243000</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6.08</v>
    <v>30000</v>
    <v>45863.958333333336</v>
    <v>718</v>
    <v>12700040</v>
    <v>BRL</v>
    <v>MRV ENGENHARIA E PARTICIPACOES S.A.</v>
    <v>MRV ENGENHARIA E PARTICIPACOES S.A.</v>
    <v>6.1</v>
    <v>6.1</v>
    <v>Avenida Professor Mario Werneck,621, Estoril, BELO HORIZONTE, MINAS GERAIS, 30.455-610 BR</v>
    <v>Real Estate Operations</v>
    <v>MRVE3</v>
    <v>Ações</v>
    <v>MRV ENGENHARIA E PARTICIPACOES S.A. (BVMF:MRVE3)</v>
    <v>0.02</v>
    <v>3.2890000000000003E-3</v>
    <v>5658500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6.45</v>
    <v>2014</v>
    <v>6.17</v>
    <v>1.4913000000000001</v>
    <v>B3 - Brazil Stock Exchange</v>
    <v>2216323000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6.23</v>
    <v>6831</v>
    <v>45863.958333333336</v>
    <v>721</v>
    <v>5186600</v>
    <v>BRL</v>
    <v>Movida Participações S.A.</v>
    <v>Movida Participações S.A.</v>
    <v>6.17</v>
    <v>6.37</v>
    <v>Rua Doutor Renato Paes de Barros, 1017, Conjunto 91, Itaim Bibi, SAO PAULO, SAO PAULO, 04.530-001 BR</v>
    <v>Passenger Transportation Services</v>
    <v>MOVI3</v>
    <v>Ações</v>
    <v>Movida Participações S.A. (BVMF:MOVI3)</v>
    <v>0.14000000000000001</v>
    <v>2.2471999999999999E-2</v>
    <v>3172200</v>
  </rv>
  <rv s="2">
    <v>722</v>
  </rv>
  <rv s="0">
    <v>https://www.bing.com/financeapi/forcetrigger?t=aplxmw&amp;q=BVMF%3aAZEV4&amp;form=skydnc</v>
    <v>Learn more on Bing</v>
  </rv>
  <rv s="9">
    <v>pt-BR</v>
    <v>aplxmw</v>
    <v>268435456</v>
    <v>1</v>
    <v>Da plataforma Refinitiv</v>
    <v>17</v>
    <v>18</v>
    <v>AZEVEDO &amp; TRAVASSOS S.A. (BVMF:AZEV4)</v>
    <v>12</v>
    <v>19</v>
    <v>Finance</v>
    <v>5</v>
    <v>1.82</v>
    <v>0.53</v>
    <v>BVMF</v>
    <v>592753700</v>
    <v>0.56999999999999995</v>
    <v>1922</v>
    <v>0.55000000000000004</v>
    <v>1.0755999999999999</v>
    <v>B3 - Brazil Stock Exchange</v>
    <v>319955200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0.56000000000000005</v>
    <v>45863.958333333336</v>
    <v>724</v>
    <v>2103020</v>
    <v>BRL</v>
    <v>AZEVEDO &amp; TRAVASSOS S.A.</v>
    <v>AZEVEDO &amp; TRAVASSOS S.A.</v>
    <v>0.56999999999999995</v>
    <v>0.55000000000000004</v>
    <v>Rua Vicente Antonio de Oliveira 1050, Pirituba, SAO PAULO, SAO PAULO, 02.955-080 BR</v>
    <v>Construction &amp; Engineering</v>
    <v>AZEV4</v>
    <v>Ações</v>
    <v>AZEVEDO &amp; TRAVASSOS S.A. (BVMF:AZEV4)</v>
    <v>-0.01</v>
    <v>-1.7857000000000001E-2</v>
    <v>989000</v>
  </rv>
  <rv s="2">
    <v>725</v>
  </rv>
  <rv s="0">
    <v>http://fr.wikipedia.org/wiki/Companhia_Siderúrgica_Nacional</v>
    <v>Wikipedia</v>
  </rv>
  <rv s="10">
    <v>358</v>
    <v>727</v>
  </rv>
  <rv s="11">
    <v>25</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20</v>
    <v>21</v>
    <v>Companhia Siderúrgica Nacional S. A. (BVMF:CSNA3)</v>
    <v>23</v>
    <v>24</v>
    <v>Finance</v>
    <v>5</v>
    <v>13.18</v>
    <v>7.24</v>
    <v>BVMF</v>
    <v>1326094000</v>
    <v>8.5500000000000007</v>
    <v>1941</v>
    <v>8.2799999999999994</v>
    <v>1.3823000000000001</v>
    <v>B3 - Brazil Stock Exchange</v>
    <v>11099410000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8.5500000000000007</v>
    <v>24924</v>
    <v>45863.958333333336</v>
    <v>729</v>
    <v>730</v>
    <v>9147700</v>
    <v>BRL</v>
    <v>Companhia Siderúrgica Nacional S. A.</v>
    <v>Companhia Siderúrgica Nacional S. A.</v>
    <v>8.5</v>
    <v>8.3699999999999992</v>
    <v>Av. Brigadeiro Faria Lima, 3400, 19 andar, Itaim Bibi, SAO PAULO, SAO PAULO, 04.538-132 BR</v>
    <v>Metals &amp; Mining</v>
    <v>CSNA3</v>
    <v>Ações</v>
    <v>Companhia Siderúrgica Nacional S. A. (BVMF:CSNA3)</v>
    <v>-0.18</v>
    <v>-2.1053000000000002E-2</v>
    <v>7494100</v>
  </rv>
  <rv s="2">
    <v>731</v>
  </rv>
  <rv s="0">
    <v>https://www.bing.com/financeapi/forcetrigger?t=apmdhw&amp;q=BVMF%3aCTNM4&amp;form=skydnc</v>
    <v>Learn more on Bing</v>
  </rv>
  <rv s="17">
    <v>pt-BR</v>
    <v>apmdhw</v>
    <v>268435456</v>
    <v>1</v>
    <v>Da plataforma Refinitiv</v>
    <v>40</v>
    <v>41</v>
    <v>Companhia de Tecidos Norte de Minas - COTEMINAS (BVMF:CTNM4)</v>
    <v>12</v>
    <v>42</v>
    <v>Finance</v>
    <v>5</v>
    <v>1.1000000000000001</v>
    <v>0.85</v>
    <v>BVMF</v>
    <v>30636460</v>
    <v>0.86</v>
    <v>1967</v>
    <v>0.86</v>
    <v>1.2020999999999999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16</v>
    <v>Finance</v>
    <v>5</v>
    <v>0.36</v>
    <v>0.04</v>
    <v>BVMF</v>
    <v>1802157000</v>
    <v>0.05</v>
    <v>2020</v>
    <v>0.04</v>
    <v>2.5486</v>
    <v>B3 - Brazil Stock Exchange</v>
    <v>72086280</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0.04</v>
    <v>2099</v>
    <v>45863.958333333336</v>
    <v>736</v>
    <v>8800580</v>
    <v>BRL</v>
    <v>Infracommerce CXAAS S.A</v>
    <v>Infracommerce CXAAS S.A</v>
    <v>0.04</v>
    <v>0.04</v>
    <v>Av das Nacoes Unidas, 12.901, 32 e 33 andares, Torre Norte CENU, Cidade Moncoes, Sao Paulo, SAO PAULO, 04.578-910 BR</v>
    <v>Software &amp; IT Services</v>
    <v>IFCM3</v>
    <v>Ações</v>
    <v>Infracommerce CXAAS S.A (BVMF:IFCM3)</v>
    <v>0</v>
    <v>0</v>
    <v>7942700</v>
  </rv>
  <rv s="2">
    <v>737</v>
  </rv>
  <rv s="0">
    <v>https://www.bing.com/financeapi/forcetrigger?t=azs2pr&amp;q=BVMF%3aHAPV3&amp;form=skydnc</v>
    <v>Learn more on Bing</v>
  </rv>
  <rv s="9">
    <v>pt-BR</v>
    <v>azs2pr</v>
    <v>268435456</v>
    <v>1</v>
    <v>Da plataforma Refinitiv</v>
    <v>17</v>
    <v>18</v>
    <v>Hapvida Participações e Investimentos S/A (BVMF:HAPV3)</v>
    <v>12</v>
    <v>19</v>
    <v>Finance</v>
    <v>5</v>
    <v>71.25</v>
    <v>29.7</v>
    <v>BVMF</v>
    <v>502630900</v>
    <v>32.81</v>
    <v>2001</v>
    <v>31.78</v>
    <v>1.6205000000000001</v>
    <v>B3 - Brazil Stock Exchange</v>
    <v>16375710000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31.96</v>
    <v>45863.958333333336</v>
    <v>739</v>
    <v>3564280</v>
    <v>BRL</v>
    <v>Hapvida Participações e Investimentos S/A</v>
    <v>Hapvida Participações e Investimentos S/A</v>
    <v>32.03</v>
    <v>32.58</v>
    <v>Avenida Heraclito Graca n 406, Centro, FORTALEZA, CEARA, 60.140-060 BR</v>
    <v>Healthcare Providers &amp; Services</v>
    <v>HAPV3</v>
    <v>Ações</v>
    <v>Hapvida Participações e Investimentos S/A (BVMF:HAPV3)</v>
    <v>0.62</v>
    <v>1.9399E-2</v>
    <v>2536200</v>
  </rv>
  <rv s="2">
    <v>740</v>
  </rv>
  <rv s="0">
    <v>https://www.bing.com/financeapi/forcetrigger?t=bvtfnm&amp;q=BVMF%3aSEQL3&amp;form=skydnc</v>
    <v>Learn more on Bing</v>
  </rv>
  <rv s="9">
    <v>pt-BR</v>
    <v>bvtfnm</v>
    <v>268435456</v>
    <v>1</v>
    <v>Da plataforma Refinitiv</v>
    <v>17</v>
    <v>18</v>
    <v>SEQUOIA LOGÍSTICA E TRANSPORTES S.A. (BVMF:SEQL3)</v>
    <v>12</v>
    <v>19</v>
    <v>Finance</v>
    <v>5</v>
    <v>9.73</v>
    <v>0.92</v>
    <v>BVMF</v>
    <v>50311580</v>
    <v>1.01</v>
    <v>1996</v>
    <v>0.99</v>
    <v>1.7937000000000001</v>
    <v>B3 - Brazil Stock Exchange</v>
    <v>49808460</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1.01</v>
    <v>45863.958333333336</v>
    <v>742</v>
    <v>207580</v>
    <v>BRL</v>
    <v>SEQUOIA LOGÍSTICA E TRANSPORTES S.A.</v>
    <v>SEQUOIA LOGÍSTICA E TRANSPORTES S.A.</v>
    <v>1.01</v>
    <v>0.99</v>
    <v>Alameda Rio Negro, 500 6 Andar, Sala 601, Alphaville, BARUERI, SAO PAULO, 06.454-000 BR</v>
    <v>Freight &amp; Logistics Services</v>
    <v>SEQL3</v>
    <v>Ações</v>
    <v>SEQUOIA LOGÍSTICA E TRANSPORTES S.A. (BVMF:SEQL3)</v>
    <v>-0.02</v>
    <v>-1.9802E-2</v>
    <v>61400</v>
  </rv>
  <rv s="2">
    <v>743</v>
  </rv>
  <rv s="0">
    <v>https://www.bing.com/financeapi/forcetrigger?t=axx6m7&amp;q=BVMF%3aBKBR3&amp;form=skydnc</v>
    <v>Learn more on Bing</v>
  </rv>
  <rv s="8">
    <v>pt-BR</v>
    <v>axx6m7</v>
    <v>268435456</v>
    <v>1</v>
    <v>Da plataforma Refinitiv</v>
    <v>14</v>
    <v>15</v>
    <v>ZAMP S.A. (BVMF:ZAMP3)</v>
    <v>12</v>
    <v>16</v>
    <v>Finance</v>
    <v>5</v>
    <v>3.69</v>
    <v>2.09</v>
    <v>BVMF</v>
    <v>406934400</v>
    <v>3.48</v>
    <v>2011</v>
    <v>3.43</v>
    <v>1.1822999999999999</v>
    <v>B3 - Brazil Stock Exchange</v>
    <v>1412062000</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3.45</v>
    <v>20000</v>
    <v>45863.958333333336</v>
    <v>745</v>
    <v>510150</v>
    <v>BRL</v>
    <v>ZAMP S.A.</v>
    <v>ZAMP S.A.</v>
    <v>3.44</v>
    <v>3.47</v>
    <v>Al Tocantins 350 Andar 10, Alphaville Centro Industrial E Empresarial/Alphavi, BARUERI, SAO PAULO, 06.455-020 BR</v>
    <v>Hotels &amp; Entertainment Services</v>
    <v>ZAMP3</v>
    <v>Ações</v>
    <v>ZAMP S.A. (BVMF:ZAMP3)</v>
    <v>0.02</v>
    <v>5.7970000000000001E-3</v>
    <v>178400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16</v>
    <v>Finance</v>
    <v>5</v>
    <v>2.54</v>
    <v>1.1499999999999999</v>
    <v>BVMF</v>
    <v>44895590</v>
    <v>1.51</v>
    <v>1968</v>
    <v>1.5</v>
    <v>1.9459</v>
    <v>B3 - Brazil Stock Exchange</v>
    <v>77472860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1.52</v>
    <v>3216</v>
    <v>45863.958333333336</v>
    <v>748</v>
    <v>9930</v>
    <v>BRL</v>
    <v>Inepar S.A. Indústria e Construções - em Recuperação Judicial</v>
    <v>Inepar S.A. Indústria e Construções - em Recuperação Judicial</v>
    <v>1.5</v>
    <v>1.51</v>
    <v>Alameda Dr. Carlos de Carvalho n 373,Cjto. 1101 11 andar, Centro, CURITIBA, PARANA, 80.410-180 BR</v>
    <v>Construction &amp; Engineering</v>
    <v>INEP4</v>
    <v>Ações</v>
    <v>Inepar S.A. Indústria e Construções - em Recuperação Judicial (BVMF:INEP4)</v>
    <v>-0.01</v>
    <v>-6.5790000000000006E-3</v>
    <v>1000</v>
  </rv>
  <rv s="2">
    <v>749</v>
  </rv>
  <rv s="0">
    <v>https://www.bing.com/financeapi/forcetrigger?t=apn2kr&amp;q=BVMF%3aOIBR3&amp;form=skydnc</v>
    <v>Learn more on Bing</v>
  </rv>
  <rv s="8">
    <v>pt-BR</v>
    <v>apn2kr</v>
    <v>268435456</v>
    <v>1</v>
    <v>Da plataforma Refinitiv</v>
    <v>14</v>
    <v>15</v>
    <v>Oi S.A. – Em Recuperação Judicial (BVMF:OIBR3)</v>
    <v>12</v>
    <v>16</v>
    <v>Finance</v>
    <v>5</v>
    <v>5.6</v>
    <v>0.45</v>
    <v>BVMF</v>
    <v>330121700</v>
    <v>0.5</v>
    <v>1963</v>
    <v>0.49</v>
    <v>1.3792</v>
    <v>B3 - Brazil Stock Exchange</v>
    <v>176922000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0.49</v>
    <v>2600</v>
    <v>45863.958333333336</v>
    <v>751</v>
    <v>22370</v>
    <v>BRL</v>
    <v>Oi S.A. – Em Recuperação Judicial</v>
    <v>Oi S.A. – Em Recuperação Judicial</v>
    <v>0.49</v>
    <v>0.5</v>
    <v>Rua do Lavradio, 71,2 andar, Centro, RIO DE JANEIRO, RIO DE JANEIRO, 20.230-070 BR</v>
    <v>Telecommunications Services</v>
    <v>OIBR3</v>
    <v>Ações</v>
    <v>Oi S.A. – Em Recuperação Judicial (BVMF:OIBR3)</v>
    <v>0.01</v>
    <v>2.0407999999999999E-2</v>
    <v>501700</v>
  </rv>
  <rv s="2">
    <v>752</v>
  </rv>
  <rv s="0">
    <v>https://www.bing.com/financeapi/forcetrigger?t=apmcfr&amp;q=BVMF%3aCSAN3&amp;form=skydnc</v>
    <v>Learn more on Bing</v>
  </rv>
  <rv s="8">
    <v>pt-BR</v>
    <v>apmcfr</v>
    <v>268435456</v>
    <v>1</v>
    <v>Da plataforma Refinitiv</v>
    <v>14</v>
    <v>15</v>
    <v>Cosan S.A (BVMF:CSAN3)</v>
    <v>12</v>
    <v>16</v>
    <v>Finance</v>
    <v>5</v>
    <v>14.18</v>
    <v>5.71</v>
    <v>BVMF</v>
    <v>1866571000</v>
    <v>6.07</v>
    <v>1966</v>
    <v>5.85</v>
    <v>1.1603000000000001</v>
    <v>B3 - Brazil Stock Exchange</v>
    <v>11236760000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5.9</v>
    <v>53498</v>
    <v>45863.958333333336</v>
    <v>754</v>
    <v>18889410</v>
    <v>BRL</v>
    <v>Cosan S.A</v>
    <v>Cosan S.A</v>
    <v>5.92</v>
    <v>6.02</v>
    <v>Avenida Brigadeiro Faria Lima, 4.100 16 andar, sala 01, Vila Nova Conceicao, SAO PAULO, SAO PAULO, 04.538-132 BR</v>
    <v>Consumer Goods Conglomerates</v>
    <v>CSAN3</v>
    <v>Ações</v>
    <v>Cosan S.A (BVMF:CSAN3)</v>
    <v>0.12</v>
    <v>2.0338999999999999E-2</v>
    <v>17980700</v>
  </rv>
  <rv s="2">
    <v>755</v>
  </rv>
  <rv s="0">
    <v>https://www.bing.com/financeapi/forcetrigger?t=apm4oc&amp;q=BVMF%3aBRKM3&amp;form=skydnc</v>
    <v>Learn more on Bing</v>
  </rv>
  <rv s="8">
    <v>pt-BR</v>
    <v>apm4oc</v>
    <v>268435456</v>
    <v>1</v>
    <v>Da plataforma Refinitiv</v>
    <v>14</v>
    <v>15</v>
    <v>BRASKEM S.A. (BVMF:BRKM3)</v>
    <v>12</v>
    <v>16</v>
    <v>Finance</v>
    <v>5</v>
    <v>20.86</v>
    <v>8.85</v>
    <v>BVMF</v>
    <v>797207800</v>
    <v>9.32</v>
    <v>1972</v>
    <v>9.11</v>
    <v>1.0709</v>
    <v>B3 - Brazil Stock Exchange</v>
    <v>7329565000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9.17</v>
    <v>8126</v>
    <v>45863.958333333336</v>
    <v>757</v>
    <v>4843410</v>
    <v>BRL</v>
    <v>BRASKEM S.A.</v>
    <v>BRASKEM S.A.</v>
    <v>9.17</v>
    <v>9.32</v>
    <v>R Eteno 1561, Polo Industrial De Camacari, CAMACARI, BAHIA, 42.816-200 BR</v>
    <v>Chemicals</v>
    <v>BRKM3</v>
    <v>Ações</v>
    <v>BRASKEM S.A. (BVMF:BRKM3)</v>
    <v>0.15</v>
    <v>1.6357999999999998E-2</v>
    <v>42600</v>
  </rv>
  <rv s="2">
    <v>758</v>
  </rv>
  <rv s="0">
    <v>https://www.bing.com/financeapi/forcetrigger?t=apnc7w&amp;q=BVMF%3aSHOW3&amp;form=skydnc</v>
    <v>Learn more on Bing</v>
  </rv>
  <rv s="8">
    <v>pt-BR</v>
    <v>apnc7w</v>
    <v>268435456</v>
    <v>1</v>
    <v>Da plataforma Refinitiv</v>
    <v>14</v>
    <v>15</v>
    <v>T4F ENTRETENIMENTO S.A. (BVMF:SHOW3)</v>
    <v>12</v>
    <v>16</v>
    <v>Finance</v>
    <v>5</v>
    <v>16</v>
    <v>5.99</v>
    <v>BVMF</v>
    <v>67412640</v>
    <v>6.57</v>
    <v>1998</v>
    <v>6.43</v>
    <v>1.8834</v>
    <v>B3 - Brazil Stock Exchange</v>
    <v>433463275</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6.43</v>
    <v>621</v>
    <v>45863.83680623828</v>
    <v>760</v>
    <v>16720</v>
    <v>BRL</v>
    <v>T4F ENTRETENIMENTO S.A.</v>
    <v>T4F ENTRETENIMENTO S.A.</v>
    <v>6.56</v>
    <v>6.43</v>
    <v>Rua Cristiano Viana, n 401, 15 andar, Pinheiros, SAO PAULO, SAO PAULO, 05.411-000 BR</v>
    <v>Hotels &amp; Entertainment Services</v>
    <v>SHOW3</v>
    <v>Ações</v>
    <v>T4F ENTRETENIMENTO S.A. (BVMF:SHOW3)</v>
    <v>0</v>
    <v>0</v>
    <v>13200</v>
  </rv>
  <rv s="2">
    <v>761</v>
  </rv>
  <rv s="0">
    <v>https://www.bing.com/financeapi/forcetrigger?t=azilm7&amp;q=BVMF%3aAZEV3&amp;form=skydnc</v>
    <v>Learn more on Bing</v>
  </rv>
  <rv s="9">
    <v>pt-BR</v>
    <v>azilm7</v>
    <v>268435456</v>
    <v>1</v>
    <v>Da plataforma Refinitiv</v>
    <v>17</v>
    <v>18</v>
    <v>AZEVEDO &amp; TRAVASSOS S.A. (BVMF:AZEV3)</v>
    <v>12</v>
    <v>19</v>
    <v>Finance</v>
    <v>5</v>
    <v>1.82</v>
    <v>0.41</v>
    <v>BVMF</v>
    <v>592753700</v>
    <v>0.54</v>
    <v>1922</v>
    <v>0.52</v>
    <v>1.0755999999999999</v>
    <v>B3 - Brazil Stock Exchange</v>
    <v>319955200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0.52</v>
    <v>45863.958333333336</v>
    <v>763</v>
    <v>2103020</v>
    <v>BRL</v>
    <v>AZEVEDO &amp; TRAVASSOS S.A.</v>
    <v>AZEVEDO &amp; TRAVASSOS S.A.</v>
    <v>0.53</v>
    <v>0.52</v>
    <v>Rua Vicente Antonio de Oliveira 1050, Pirituba, SAO PAULO, SAO PAULO, 02.955-080 BR</v>
    <v>Construction &amp; Engineering</v>
    <v>AZEV3</v>
    <v>Ações</v>
    <v>AZEVEDO &amp; TRAVASSOS S.A. (BVMF:AZEV3)</v>
    <v>0</v>
    <v>0</v>
    <v>300600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9</v>
    <v>2004</v>
    <v>6.57</v>
    <v>2.0024999999999999</v>
    <v>B3 - Brazil Stock Exchange</v>
    <v>333734800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8.02</v>
    <v>13694</v>
    <v>45863.958333333336</v>
    <v>766</v>
    <v>2045290320</v>
    <v>BRL</v>
    <v>Gol Linhas Aéreas Inteligentes S.A.</v>
    <v>Gol Linhas Aéreas Inteligentes S.A.</v>
    <v>8.99</v>
    <v>6.8</v>
    <v>Praca Comandante Lineu Gomes S/N, Portaria 3, Jardim Aeroporto, SAO PAULO, SAO PAULO, 04.626-020 BR</v>
    <v>Passenger Transportation Services</v>
    <v>GOLL54</v>
    <v>Ações</v>
    <v>Gol Linhas Aéreas Inteligentes S.A. (BVMF:GOLL54)</v>
    <v>-1.22</v>
    <v>-0.15212000000000001</v>
    <v>1749828</v>
  </rv>
  <rv s="2">
    <v>767</v>
  </rv>
  <rv s="0">
    <v>https://www.bing.com/financeapi/forcetrigger?t=apnbvh&amp;q=BVMF%3aSEER3&amp;form=skydnc</v>
    <v>Learn more on Bing</v>
  </rv>
  <rv s="8">
    <v>pt-BR</v>
    <v>apnbvh</v>
    <v>268435456</v>
    <v>1</v>
    <v>Da plataforma Refinitiv</v>
    <v>14</v>
    <v>15</v>
    <v>Ser Educacional S.A. (BVMF:SEER3)</v>
    <v>12</v>
    <v>16</v>
    <v>Finance</v>
    <v>5</v>
    <v>10.76</v>
    <v>3.9</v>
    <v>BVMF</v>
    <v>128721600</v>
    <v>8.17</v>
    <v>2002</v>
    <v>7.95</v>
    <v>1.8149999999999999</v>
    <v>B3 - Brazil Stock Exchange</v>
    <v>1024624000</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8.1199999999999992</v>
    <v>7800</v>
    <v>45863.958333333336</v>
    <v>769</v>
    <v>511600</v>
    <v>BRL</v>
    <v>Ser Educacional S.A.</v>
    <v>Ser Educacional S.A.</v>
    <v>8.07</v>
    <v>7.96</v>
    <v>Av. da Saudade, 254, Santo Amaro, RECIFE, PERNAMBUCO, 50.100-200 BR</v>
    <v>School, College &amp; University</v>
    <v>SEER3</v>
    <v>Ações</v>
    <v>Ser Educacional S.A. (BVMF:SEER3)</v>
    <v>-0.16</v>
    <v>-1.9703999999999999E-2</v>
    <v>370300</v>
  </rv>
  <rv s="2">
    <v>770</v>
  </rv>
  <rv s="0">
    <v>https://www.bing.com/financeapi/forcetrigger?t=apmk77&amp;q=BVMF%3aFESA4&amp;form=skydnc</v>
    <v>Learn more on Bing</v>
  </rv>
  <rv s="8">
    <v>pt-BR</v>
    <v>apmk77</v>
    <v>268435456</v>
    <v>1</v>
    <v>Da plataforma Refinitiv</v>
    <v>14</v>
    <v>15</v>
    <v>Companhia de Ferro Ligas da Bahia (Ferbasa) (BVMF:FESA4)</v>
    <v>12</v>
    <v>16</v>
    <v>Finance</v>
    <v>5</v>
    <v>8.2200000000000006</v>
    <v>6.57</v>
    <v>BVMF</v>
    <v>353175000</v>
    <v>6.75</v>
    <v>1961</v>
    <v>6.67</v>
    <v>0.34520000000000001</v>
    <v>B3 - Brazil Stock Exchange</v>
    <v>3004342000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6.74</v>
    <v>3218</v>
    <v>45863.958333333336</v>
    <v>772</v>
    <v>441730</v>
    <v>BRL</v>
    <v>Companhia de Ferro Ligas da Bahia (Ferbasa)</v>
    <v>Companhia de Ferro Ligas da Bahia (Ferbasa)</v>
    <v>6.74</v>
    <v>6.73</v>
    <v>Estrada de Santiago, s/n, Sede, Santiago, POJUCA, BAHIA, 48.120-000 BR</v>
    <v>Metals &amp; Mining</v>
    <v>FESA4</v>
    <v>Ações</v>
    <v>Companhia de Ferro Ligas da Bahia (Ferbasa) (BVMF:FESA4)</v>
    <v>-0.01</v>
    <v>-1.4840000000000001E-3</v>
    <v>310400</v>
  </rv>
  <rv s="2">
    <v>773</v>
  </rv>
  <rv s="0">
    <v>https://www.bing.com/financeapi/forcetrigger?t=bvcw52&amp;q=BVMF%3aLJQQ3&amp;form=skydnc</v>
    <v>Learn more on Bing</v>
  </rv>
  <rv s="8">
    <v>pt-BR</v>
    <v>bvcw52</v>
    <v>268435456</v>
    <v>1</v>
    <v>Da plataforma Refinitiv</v>
    <v>14</v>
    <v>15</v>
    <v>Lojas Quero-Quero S.A (BVMF:LJQQ3)</v>
    <v>12</v>
    <v>16</v>
    <v>Finance</v>
    <v>5</v>
    <v>4.29</v>
    <v>1.87</v>
    <v>BVMF</v>
    <v>206917300</v>
    <v>2.5099999999999998</v>
    <v>1967</v>
    <v>2.4500000000000002</v>
    <v>1.7990999999999999</v>
    <v>B3 - Brazil Stock Exchange</v>
    <v>513154904</v>
    <v>A Lojas Quero-Quero SA possui e opera lojas de varejo de artefatos domésticos em cidades de pequeno e médio porte do Rio Grande do Sul. A empresa foi fundada em 1967 e está localizada em Cachoeirinha, Brasil.</v>
    <v>BVMF</v>
    <v>2.48</v>
    <v>8200</v>
    <v>45863.958333333336</v>
    <v>775</v>
    <v>1445210</v>
    <v>BRL</v>
    <v>Lojas Quero-Quero S.A</v>
    <v>Lojas Quero-Quero S.A</v>
    <v>2.4900000000000002</v>
    <v>2.48</v>
    <v>Avenida General Flores da Cunha n 1943, Vila Cachoeirinha, CACHOEIRINHA, RIO GRANDE DO SUL, 94.910-003 BR</v>
    <v>Specialty Retailers</v>
    <v>LJQQ3</v>
    <v>Ações</v>
    <v>Lojas Quero-Quero S.A (BVMF:LJQQ3)</v>
    <v>0</v>
    <v>0</v>
    <v>970800</v>
  </rv>
  <rv s="2">
    <v>776</v>
  </rv>
  <rv s="0">
    <v>https://www.bing.com/financeapi/forcetrigger?t=apnkar&amp;q=BVMF%3aVIVR3&amp;form=skydnc</v>
    <v>Learn more on Bing</v>
  </rv>
  <rv s="8">
    <v>pt-BR</v>
    <v>apnkar</v>
    <v>268435456</v>
    <v>1</v>
    <v>Da plataforma Refinitiv</v>
    <v>14</v>
    <v>15</v>
    <v>Viver Incorporadora e Construtora S.A. (BVMF:VIVR3)</v>
    <v>12</v>
    <v>16</v>
    <v>Finance</v>
    <v>5</v>
    <v>2.7</v>
    <v>0.82</v>
    <v>BVMF</v>
    <v>38366080</v>
    <v>0.84</v>
    <v>1992</v>
    <v>0.82</v>
    <v>1.6879999999999999</v>
    <v>B3 - Brazil Stock Exchange</v>
    <v>31460190</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0.83</v>
    <v>256</v>
    <v>45863.958333333336</v>
    <v>778</v>
    <v>13040</v>
    <v>BRL</v>
    <v>Viver Incorporadora e Construtora S.A.</v>
    <v>Viver Incorporadora e Construtora S.A.</v>
    <v>0.83</v>
    <v>0.82</v>
    <v>Avenida Brigadeiro Faria Lima, 1.461, 10 andar, Jardim Paulista, SAO PAULO, SAO PAULO, 01.452-921 BR</v>
    <v>Real Estate Operations</v>
    <v>VIVR3</v>
    <v>Ações</v>
    <v>Viver Incorporadora e Construtora S.A. (BVMF:VIVR3)</v>
    <v>-0.01</v>
    <v>-1.2048000000000001E-2</v>
    <v>23600</v>
  </rv>
  <rv s="2">
    <v>779</v>
  </rv>
  <rv s="0">
    <v>https://www.bing.com/financeapi/forcetrigger?t=apmemw&amp;q=BVMF%3aDASA3&amp;form=skydnc</v>
    <v>Learn more on Bing</v>
  </rv>
  <rv s="8">
    <v>pt-BR</v>
    <v>apmemw</v>
    <v>268435456</v>
    <v>1</v>
    <v>Da plataforma Refinitiv</v>
    <v>14</v>
    <v>15</v>
    <v>Diagnósticos da América S.A (BVMF:DASA3)</v>
    <v>12</v>
    <v>16</v>
    <v>Finance</v>
    <v>5</v>
    <v>3.54</v>
    <v>1.21</v>
    <v>BVMF</v>
    <v>1255007000</v>
    <v>1.26</v>
    <v>1966</v>
    <v>1.22</v>
    <v>1.0165</v>
    <v>B3 - Brazil Stock Exchange</v>
    <v>1556208680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1.24</v>
    <v>18142</v>
    <v>45863.958333333336</v>
    <v>781</v>
    <v>580730</v>
    <v>BRL</v>
    <v>Diagnósticos da América S.A</v>
    <v>Diagnósticos da América S.A</v>
    <v>1.24</v>
    <v>1.24</v>
    <v>Avenida Jurua, 434, Alphaville, BARUERI, SAO PAULO, 06.455-010 BR</v>
    <v>Healthcare Providers &amp; Services</v>
    <v>DASA3</v>
    <v>Ações</v>
    <v>Diagnósticos da América S.A (BVMF:DASA3)</v>
    <v>0</v>
    <v>0</v>
    <v>436900</v>
  </rv>
  <rv s="2">
    <v>782</v>
  </rv>
  <rv s="0">
    <v>https://www.bing.com/financeapi/forcetrigger?t=apnakr&amp;q=BVMF%3aRSID3&amp;form=skydnc</v>
    <v>Learn more on Bing</v>
  </rv>
  <rv s="9">
    <v>pt-BR</v>
    <v>apnakr</v>
    <v>268435456</v>
    <v>1</v>
    <v>Da plataforma Refinitiv</v>
    <v>17</v>
    <v>18</v>
    <v>ROSSI RESIDENCIAL S.A. - Em Recuperação Judicial. (BVMF:RSID3)</v>
    <v>12</v>
    <v>19</v>
    <v>Finance</v>
    <v>5</v>
    <v>4.25</v>
    <v>1.65</v>
    <v>BVMF</v>
    <v>20272200</v>
    <v>2.02</v>
    <v>1985</v>
    <v>1.92</v>
    <v>0.76590000000000003</v>
    <v>B3 - Brazil Stock Exchange</v>
    <v>40341678</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1.99</v>
    <v>45863.958333333336</v>
    <v>784</v>
    <v>6670</v>
    <v>BRL</v>
    <v>ROSSI RESIDENCIAL S.A. - Em Recuperação Judicial.</v>
    <v>ROSSI RESIDENCIAL S.A. - Em Recuperação Judicial.</v>
    <v>1.99</v>
    <v>1.99</v>
    <v>Rua Henri Dunant, 873 - Conj. 601 a 605 6 andar, Santo Amaro, SAO PAULO, SAO PAULO, 04.709-111 BR</v>
    <v>Real Estate Operations</v>
    <v>RSID3</v>
    <v>Ações</v>
    <v>ROSSI RESIDENCIAL S.A. - Em Recuperação Judicial. (BVMF:RSID3)</v>
    <v>0</v>
    <v>0</v>
    <v>2900</v>
  </rv>
  <rv s="2">
    <v>785</v>
  </rv>
  <rv s="0">
    <v>https://www.bing.com/financeapi/forcetrigger?t=apnf8m&amp;q=BVMF%3aTCSA3&amp;form=skydnc</v>
    <v>Learn more on Bing</v>
  </rv>
  <rv s="8">
    <v>pt-BR</v>
    <v>apnf8m</v>
    <v>268435456</v>
    <v>1</v>
    <v>Da plataforma Refinitiv</v>
    <v>14</v>
    <v>15</v>
    <v>TECNISA S.A. (BVMF:TCSA3)</v>
    <v>12</v>
    <v>16</v>
    <v>Finance</v>
    <v>5</v>
    <v>2.31</v>
    <v>1.1499999999999999</v>
    <v>BVMF</v>
    <v>90511120</v>
    <v>1.75</v>
    <v>2006</v>
    <v>1.7</v>
    <v>1.6253</v>
    <v>B3 - Brazil Stock Exchange</v>
    <v>153868900</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1.75</v>
    <v>8039</v>
    <v>45863.958333333336</v>
    <v>787</v>
    <v>90430</v>
    <v>BRL</v>
    <v>TECNISA S.A.</v>
    <v>TECNISA S.A.</v>
    <v>1.75</v>
    <v>1.7</v>
    <v>Avenida Nicolas Boer, 399, 5 andar - Unid 502S, Jardim das Perdizes, SAO PAULO, SAO PAULO, 01.140-060 BR</v>
    <v>Real Estate Operations</v>
    <v>TCSA3</v>
    <v>Ações</v>
    <v>TECNISA S.A. (BVMF:TCSA3)</v>
    <v>-0.05</v>
    <v>-2.8570999999999999E-2</v>
    <v>27100</v>
  </rv>
  <rv s="2">
    <v>788</v>
  </rv>
  <rv s="0">
    <v>https://www.bing.com/financeapi/forcetrigger?t=aplxpr&amp;q=BVMF%3aAZUL4&amp;form=skydnc</v>
    <v>Learn more on Bing</v>
  </rv>
  <rv s="8">
    <v>pt-BR</v>
    <v>aplxpr</v>
    <v>268435456</v>
    <v>1</v>
    <v>Da plataforma Refinitiv</v>
    <v>14</v>
    <v>15</v>
    <v>Azul S.A. (BVMF:AZUL4)</v>
    <v>12</v>
    <v>16</v>
    <v>Finance</v>
    <v>5</v>
    <v>8.35</v>
    <v>0.6</v>
    <v>BVMF</v>
    <v>896039700</v>
    <v>0.77</v>
    <v>2008</v>
    <v>0.72</v>
    <v>2.0425</v>
    <v>B3 - Brazil Stock Exchange</v>
    <v>654109000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0.71</v>
    <v>15367</v>
    <v>45863.958333333336</v>
    <v>790</v>
    <v>26483690</v>
    <v>BRL</v>
    <v>Azul S.A.</v>
    <v>Azul S.A.</v>
    <v>0.75</v>
    <v>0.73</v>
    <v>Av. Marcos P. de U. Rodrigues, 939 - Edif. C. Branco Office Park, Torre Jatoba, 11 andar, Alphaville Industrial, BARUERI, SAO PAULO, 06.460-040 BR</v>
    <v>Passenger Transportation Services</v>
    <v>AZUL4</v>
    <v>Ações</v>
    <v>Azul S.A. (BVMF:AZUL4)</v>
    <v>0.02</v>
    <v>2.8169E-2</v>
    <v>25868100</v>
  </rv>
  <rv s="2">
    <v>791</v>
  </rv>
  <rv s="0">
    <v>https://www.bing.com/financeapi/forcetrigger?t=c24pbh&amp;q=BVMF%3aDOTZ3&amp;form=skydnc</v>
    <v>Learn more on Bing</v>
  </rv>
  <rv s="8">
    <v>pt-BR</v>
    <v>c24pbh</v>
    <v>268435456</v>
    <v>1</v>
    <v>Da plataforma Refinitiv</v>
    <v>14</v>
    <v>15</v>
    <v>Dotz S.A. (BVMF:DOTZ3)</v>
    <v>12</v>
    <v>16</v>
    <v>Finance</v>
    <v>5</v>
    <v>9.4499999999999993</v>
    <v>2.54</v>
    <v>BVMF</v>
    <v>13321980</v>
    <v>5.04</v>
    <v>2013</v>
    <v>4.92</v>
    <v>1.6857</v>
    <v>B3 - Brazil Stock Exchange</v>
    <v>67142779</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5.04</v>
    <v>226</v>
    <v>45863.958333333336</v>
    <v>793</v>
    <v>11720</v>
    <v>BRL</v>
    <v>Dotz S.A.</v>
    <v>Dotz S.A.</v>
    <v>5.04</v>
    <v>5.04</v>
    <v>R Joaquim Floriano 533 15 andar, Itaim Bibi, Sao Paulo, SAO PAULO, 04.534-011 BR</v>
    <v>Professional &amp; Commercial Services</v>
    <v>DOTZ3</v>
    <v>Ações</v>
    <v>Dotz S.A. (BVMF:DOTZ3)</v>
    <v>0</v>
    <v>0</v>
    <v>10500</v>
  </rv>
  <rv s="2">
    <v>794</v>
  </rv>
  <rv s="0">
    <v>https://www.bing.com/financeapi/forcetrigger?t=apn51h&amp;q=BVMF%3aPMAM3&amp;form=skydnc</v>
    <v>Learn more on Bing</v>
  </rv>
  <rv s="8">
    <v>pt-BR</v>
    <v>apn51h</v>
    <v>268435456</v>
    <v>1</v>
    <v>Da plataforma Refinitiv</v>
    <v>14</v>
    <v>15</v>
    <v>PARANAPANEMA S.A - EM RECUPERACAO JUDICIAL (BVMF:PMAM3)</v>
    <v>12</v>
    <v>16</v>
    <v>Finance</v>
    <v>5</v>
    <v>2.71</v>
    <v>0.76</v>
    <v>BVMF</v>
    <v>511363900</v>
    <v>1.71</v>
    <v>1961</v>
    <v>1.64</v>
    <v>1.3065</v>
    <v>B3 - Brazil Stock Exchange</v>
    <v>874432300</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1.65</v>
    <v>2229</v>
    <v>45863.958333333336</v>
    <v>796</v>
    <v>213350</v>
    <v>BRL</v>
    <v>PARANAPANEMA S.A - EM RECUPERACAO JUDICIAL</v>
    <v>PARANAPANEMA S.A - EM RECUPERACAO JUDICIAL</v>
    <v>1.65</v>
    <v>1.71</v>
    <v>Rua Felipe Camarao, 500, Bairro Utinga, SANTO ANDRE, SAO PAULO, 09.220-580 BR</v>
    <v>Metals &amp; Mining</v>
    <v>PMAM3</v>
    <v>Ações</v>
    <v>PARANAPANEMA S.A - EM RECUPERACAO JUDICIAL (BVMF:PMAM3)</v>
    <v>0.06</v>
    <v>3.6364E-2</v>
    <v>118200</v>
  </rv>
  <rv s="2">
    <v>797</v>
  </rv>
  <rv s="0">
    <v>https://www.bing.com/financeapi/forcetrigger?t=apmvm7&amp;q=BVMF%3aLLIS3&amp;form=skydnc</v>
    <v>Learn more on Bing</v>
  </rv>
  <rv s="8">
    <v>pt-BR</v>
    <v>apmvm7</v>
    <v>268435456</v>
    <v>1</v>
    <v>Da plataforma Refinitiv</v>
    <v>14</v>
    <v>15</v>
    <v>VESTE S.A. ESTILO (BVMF:VSTE3)</v>
    <v>12</v>
    <v>16</v>
    <v>Finance</v>
    <v>5</v>
    <v>15.2</v>
    <v>5.5</v>
    <v>BVMF</v>
    <v>114333800</v>
    <v>6</v>
    <v>1982</v>
    <v>5.93</v>
    <v>1.4542999999999999</v>
    <v>B3 - Brazil Stock Exchange</v>
    <v>683716400</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5.97</v>
    <v>1833</v>
    <v>45863.958333333336</v>
    <v>799</v>
    <v>8820</v>
    <v>BRL</v>
    <v>VESTE S.A. ESTILO</v>
    <v>VESTE S.A. ESTILO</v>
    <v>6</v>
    <v>5.98</v>
    <v>Rua Othao 405, Vila Leopoldina, SAO PAULO, SAO PAULO, 05.313-020 BR</v>
    <v>Specialty Retailers</v>
    <v>VSTE3</v>
    <v>Ações</v>
    <v>VESTE S.A. ESTILO (BVMF:VSTE3)</v>
    <v>0.01</v>
    <v>1.6750000000000001E-3</v>
    <v>9500</v>
  </rv>
  <rv s="2">
    <v>800</v>
  </rv>
  <rv s="0">
    <v>https://www.bing.com/financeapi/forcetrigger?t=apmxkr&amp;q=BVMF%3aMGEL4&amp;form=skydnc</v>
    <v>Learn more on Bing</v>
  </rv>
  <rv s="8">
    <v>pt-BR</v>
    <v>apmxkr</v>
    <v>268435456</v>
    <v>1</v>
    <v>Da plataforma Refinitiv</v>
    <v>14</v>
    <v>15</v>
    <v>Mangels Industrial S.A. (BVMF:MGEL4)</v>
    <v>12</v>
    <v>16</v>
    <v>Finance</v>
    <v>5</v>
    <v>13.55</v>
    <v>3.9</v>
    <v>BVMF</v>
    <v>5783210</v>
    <v>4.05</v>
    <v>1928</v>
    <v>4.03</v>
    <v>1.2130000000000001</v>
    <v>B3 - Brazil Stock Exchange</v>
    <v>15049670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4.04</v>
    <v>3100</v>
    <v>45863.958333333336</v>
    <v>802</v>
    <v>3950</v>
    <v>BRL</v>
    <v>Mangels Industrial S.A.</v>
    <v>Mangels Industrial S.A.</v>
    <v>4.05</v>
    <v>4.05</v>
    <v>Rodovia Fernao Dias, Km 755,6, Distrito Industrial, Tres Coracoes, MINAS GERAIS, 37.418-760 BR</v>
    <v>Metals &amp; Mining</v>
    <v>MGEL4</v>
    <v>Ações</v>
    <v>Mangels Industrial S.A. (BVMF:MGEL4)</v>
    <v>0.01</v>
    <v>2.4749999999999998E-3</v>
    <v>1100</v>
  </rv>
  <rv s="2">
    <v>803</v>
  </rv>
  <rv s="0">
    <v>https://www.bing.com/financeapi/forcetrigger?t=apn91h&amp;q=BVMF%3aRCSL3&amp;form=skydnc</v>
    <v>Learn more on Bing</v>
  </rv>
  <rv s="8">
    <v>pt-BR</v>
    <v>apn91h</v>
    <v>268435456</v>
    <v>1</v>
    <v>Da plataforma Refinitiv</v>
    <v>14</v>
    <v>15</v>
    <v>RECRUSUL S.A. (BVMF:RCSL3)</v>
    <v>12</v>
    <v>16</v>
    <v>Finance</v>
    <v>5</v>
    <v>8.57</v>
    <v>1.95</v>
    <v>BVMF</v>
    <v>31822290</v>
    <v>2.0499999999999998</v>
    <v>1954</v>
    <v>1.97</v>
    <v>1.4360999999999999</v>
    <v>B3 - Brazil Stock Exchange</v>
    <v>44495370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2</v>
    <v>106</v>
    <v>45863.958333333336</v>
    <v>805</v>
    <v>5658680</v>
    <v>BRL</v>
    <v>RECRUSUL S.A.</v>
    <v>RECRUSUL S.A.</v>
    <v>1.98</v>
    <v>1.99</v>
    <v>Av. Luiz Pasteur, 1020, Tres Portos, SAPUCAIA DO SUL, RIO GRANDE DO SUL, 93.212-360 BR</v>
    <v>Automobiles &amp; Auto Parts</v>
    <v>RCSL3</v>
    <v>Ações</v>
    <v>RECRUSUL S.A. (BVMF:RCSL3)</v>
    <v>-0.01</v>
    <v>-5.0000000000000001E-3</v>
    <v>101700</v>
  </rv>
  <rv s="2">
    <v>806</v>
  </rv>
  <rv s="0">
    <v>https://www.bing.com/financeapi/forcetrigger?t=c2vnz2&amp;q=BVMF%3aARML3&amp;form=skydnc</v>
    <v>Learn more on Bing</v>
  </rv>
  <rv s="8">
    <v>pt-BR</v>
    <v>c2vnz2</v>
    <v>268435456</v>
    <v>1</v>
    <v>Da plataforma Refinitiv</v>
    <v>14</v>
    <v>15</v>
    <v>Armac Locação, Logística e Serviços S.A. (BVMF:ARML3)</v>
    <v>12</v>
    <v>16</v>
    <v>Finance</v>
    <v>5</v>
    <v>9.49</v>
    <v>2.95</v>
    <v>BVMF</v>
    <v>346494100</v>
    <v>3.99</v>
    <v>1994</v>
    <v>3.85</v>
    <v>1.3252999999999999</v>
    <v>B3 - Brazil Stock Exchange</v>
    <v>1340932000</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3.82</v>
    <v>6000</v>
    <v>45863.958333333336</v>
    <v>808</v>
    <v>2052740</v>
    <v>BRL</v>
    <v>Armac Locação, Logística e Serviços S.A.</v>
    <v>Armac Locação, Logística e Serviços S.A.</v>
    <v>3.85</v>
    <v>3.87</v>
    <v>Av. Marcos Penteado de Ulhoa Rodrigues, 939, Conj. 701 e 702 Torre II, Ed. Jatoba, Tambore, BARUERI, SAO PAULO, 06.460-040 BR</v>
    <v>Professional &amp; Commercial Services</v>
    <v>ARML3</v>
    <v>Ações</v>
    <v>Armac Locação, Logística e Serviços S.A. (BVMF:ARML3)</v>
    <v>0.05</v>
    <v>1.3089E-2</v>
    <v>1717000</v>
  </rv>
  <rv s="2">
    <v>809</v>
  </rv>
  <rv s="0">
    <v>https://www.bing.com/financeapi/forcetrigger?t=az8xkr&amp;q=BVMF%3aATMP3&amp;form=skydnc</v>
    <v>Learn more on Bing</v>
  </rv>
  <rv s="8">
    <v>pt-BR</v>
    <v>az8xkr</v>
    <v>268435456</v>
    <v>1</v>
    <v>Da plataforma Refinitiv</v>
    <v>14</v>
    <v>15</v>
    <v>ATMA Participações S.A. - Em Recuperação Judicial (BVMF:CTAX3)</v>
    <v>12</v>
    <v>16</v>
    <v>Finance</v>
    <v>5</v>
    <v>1.96</v>
    <v>0.98</v>
    <v>BVMF</v>
    <v>26710360</v>
    <v>1.05</v>
    <v>2000</v>
    <v>1.05</v>
    <v>1.7042999999999999</v>
    <v>B3 - Brazil Stock Exchange</v>
    <v>28045878</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1.05</v>
    <v>57370</v>
    <v>45863.958333333336</v>
    <v>811</v>
    <v>11550</v>
    <v>BRL</v>
    <v>ATMA Participações S.A. - Em Recuperação Judicial</v>
    <v>ATMA Participações S.A. - Em Recuperação Judicial</v>
    <v>1.05</v>
    <v>1.05</v>
    <v>Rua Beneditinos, n. 15/17, Parte, Centro, RIO DE JANEIRO, RIO DE JANEIRO, 20.081-050 BR</v>
    <v>Professional &amp; Commercial Services</v>
    <v>CTAX3</v>
    <v>Ações</v>
    <v>ATMA Participações S.A. - Em Recuperação Judicial (BVMF:CTAX3)</v>
    <v>0</v>
    <v>0</v>
    <v>300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11.19</v>
    <v>2006</v>
    <v>11.05</v>
    <v>0.70899999999999996</v>
    <v>B3 - Brazil Stock Exchange</v>
    <v>11537270000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11.17</v>
    <v>854</v>
    <v>45863.958333333336</v>
    <v>820</v>
    <v>1235190</v>
    <v>BRL</v>
    <v>Transmissora Aliança de Energia Elétrica S/A</v>
    <v>Transmissora Aliança de Energia Elétrica S/A</v>
    <v>11.15</v>
    <v>11.05</v>
    <v>Av. das Americas, 2480 Bloco 6, Barra da Tijuca, RIO DE JANEIRO, RIO DE JANEIRO, 22.640-101 BR</v>
    <v>Electrical Utilities &amp; IPPs</v>
    <v>TAEE3</v>
    <v>Ações</v>
    <v>Transmissora Aliança de Energia Elétrica S/A (BVMF:TAEE3)</v>
    <v>-0.12</v>
    <v>-1.0743000000000001E-2</v>
    <v>48900</v>
  </rv>
  <rv s="2">
    <v>821</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1">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3">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8</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22</v>
      <v>2</v>
      <v>2</v>
      <v>2</v>
      <v>2</v>
    </spb>
    <spb s="19">
      <v>1</v>
      <v>2</v>
      <v>3</v>
      <v>1</v>
      <v>1</v>
      <v>10</v>
      <v>4</v>
      <v>1</v>
      <v>1</v>
      <v>4</v>
      <v>5</v>
      <v>4</v>
      <v>6</v>
      <v>1</v>
      <v>1</v>
      <v>9</v>
      <v>4</v>
      <v>1</v>
      <v>7</v>
      <v>8</v>
    </spb>
    <spb s="20">
      <v>Da plataforma Refinitiv</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8</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8</v>
    </spb>
    <spb s="27">
      <v>High</v>
      <v>Name</v>
      <v>Low</v>
      <v>Exchange</v>
      <v>Currency</v>
      <v>Price</v>
      <v>Volume</v>
      <v>Change</v>
      <v>Open</v>
      <v>UniqueName</v>
      <v>Change (%)</v>
      <v>%ProviderInfo</v>
      <v>Ticker symbol</v>
      <v>52 week high</v>
      <v>52 week low</v>
      <v>Previous close</v>
      <v>Instrument type</v>
      <v>Exchange abbreviation</v>
      <v>Market cap</v>
      <v>Last trade time</v>
    </spb>
    <spb s="28">
      <v>9</v>
      <v>Name</v>
    </spb>
    <spb s="29">
      <v>2</v>
      <v>2</v>
    </spb>
    <spb s="30">
      <v>11</v>
      <v>3</v>
      <v>11</v>
      <v>11</v>
      <v>4</v>
      <v>11</v>
      <v>11</v>
      <v>5</v>
      <v>6</v>
      <v>11</v>
      <v>11</v>
      <v>11</v>
      <v>12</v>
      <v>8</v>
    </spb>
    <spb s="31">
      <v xml:space="preserve">do fechamento anterior </v>
      <v xml:space="preserve">do fechamento anterior </v>
      <v>GMT</v>
    </spb>
    <spb s="32">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3">
      <v>1</v>
      <v>2</v>
      <v>3</v>
      <v>1</v>
      <v>1</v>
      <v>4</v>
      <v>1</v>
      <v>1</v>
      <v>5</v>
      <v>6</v>
      <v>1</v>
      <v>1</v>
      <v>9</v>
      <v>4</v>
      <v>1</v>
      <v>7</v>
      <v>8</v>
    </spb>
  </spbData>
</supportingPropertyBags>
</file>

<file path=xl/richData/rdsupportingpropertybagstructure.xml><?xml version="1.0" encoding="utf-8"?>
<spbStructures xmlns="http://schemas.microsoft.com/office/spreadsheetml/2017/richdata2" count="34">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2"/>
    <rSty dxfid="6">
      <rpv i="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EY279"/>
  <sheetViews>
    <sheetView topLeftCell="BG1" zoomScale="120" zoomScaleNormal="120" workbookViewId="0">
      <selection activeCell="EG9" sqref="EG9"/>
    </sheetView>
  </sheetViews>
  <sheetFormatPr defaultColWidth="5.7109375" defaultRowHeight="15" x14ac:dyDescent="0.25"/>
  <cols>
    <col min="1" max="13" width="13.85546875" style="6" customWidth="1"/>
    <col min="14" max="14" width="13" style="6" customWidth="1"/>
    <col min="15" max="15" width="13.85546875" style="6" customWidth="1"/>
    <col min="16" max="16" width="13" style="6" customWidth="1"/>
    <col min="17" max="18" width="13.85546875" style="6" customWidth="1"/>
    <col min="19" max="19" width="13.140625" style="6" customWidth="1"/>
    <col min="20" max="47" width="13.85546875" style="6" customWidth="1"/>
    <col min="48" max="48" width="13" style="6" customWidth="1"/>
    <col min="49" max="53" width="13.85546875" style="6" customWidth="1"/>
    <col min="54" max="54" width="12.5703125" style="6" customWidth="1"/>
    <col min="55" max="55" width="10.7109375" style="6" customWidth="1"/>
    <col min="56" max="56" width="8.85546875" style="6" customWidth="1"/>
    <col min="57" max="57" width="8.7109375" style="6" customWidth="1"/>
    <col min="58" max="65" width="9.85546875" style="6" customWidth="1"/>
    <col min="66" max="66" width="9.28515625" style="6" customWidth="1"/>
    <col min="67" max="67" width="10.5703125" style="7" customWidth="1"/>
    <col min="68" max="68" width="9" style="19" customWidth="1"/>
    <col min="69" max="70" width="9" style="7" customWidth="1"/>
    <col min="71" max="71" width="3.42578125" style="22" customWidth="1"/>
    <col min="72" max="72" width="10.140625" style="16" bestFit="1" customWidth="1"/>
    <col min="73" max="73" width="1.5703125" customWidth="1"/>
    <col min="74" max="74" width="7.28515625" style="1" customWidth="1"/>
    <col min="75" max="75" width="7.7109375" style="1" customWidth="1"/>
    <col min="76" max="76" width="2.28515625" style="22" customWidth="1"/>
    <col min="77" max="77" width="7.5703125" style="22" customWidth="1"/>
    <col min="78" max="78" width="1.28515625" customWidth="1"/>
    <col min="79" max="79" width="8.140625" style="8" customWidth="1"/>
    <col min="80" max="80" width="1.85546875" style="22" customWidth="1"/>
    <col min="81" max="81" width="6.85546875" style="14" customWidth="1"/>
    <col min="82" max="82" width="9.42578125" style="14" customWidth="1"/>
    <col min="83" max="83" width="8.5703125" style="14" customWidth="1"/>
    <col min="84" max="84" width="1.85546875" style="14" customWidth="1"/>
    <col min="85" max="85" width="7.28515625" style="1" customWidth="1"/>
    <col min="86" max="86" width="7.42578125" style="1" customWidth="1"/>
    <col min="87" max="87" width="8.140625" style="1" customWidth="1"/>
    <col min="88" max="88" width="1.7109375" customWidth="1"/>
    <col min="89" max="89" width="1.42578125" style="14" customWidth="1"/>
    <col min="90" max="90" width="6.42578125" style="1" customWidth="1"/>
    <col min="91" max="91" width="7" style="1" customWidth="1"/>
    <col min="92" max="92" width="7.28515625" style="1" customWidth="1"/>
    <col min="93" max="93" width="6.85546875" style="1" customWidth="1"/>
    <col min="94" max="94" width="7.7109375" style="1" customWidth="1"/>
    <col min="95" max="96" width="6.85546875" style="1" customWidth="1"/>
    <col min="97" max="97" width="9" style="1" customWidth="1"/>
    <col min="98" max="98" width="10.42578125" style="1" customWidth="1"/>
    <col min="99" max="99" width="9.42578125" style="1" customWidth="1"/>
    <col min="100" max="113" width="8.140625" style="1" customWidth="1"/>
    <col min="114" max="114" width="2.7109375" customWidth="1"/>
    <col min="115" max="115" width="6.7109375" style="1" customWidth="1"/>
    <col min="116" max="116" width="7.28515625" style="1" customWidth="1"/>
    <col min="117" max="117" width="7.5703125" style="1" customWidth="1"/>
    <col min="118" max="118" width="8.7109375" style="1" customWidth="1"/>
    <col min="119" max="119" width="9.28515625" style="1" customWidth="1"/>
    <col min="120" max="120" width="9.140625" style="1" customWidth="1"/>
    <col min="121" max="123" width="1.5703125" style="1" customWidth="1"/>
    <col min="124" max="124" width="9.140625" style="81" customWidth="1"/>
    <col min="125" max="125" width="7.85546875" style="82" customWidth="1"/>
    <col min="126" max="126" width="7.5703125" style="73" customWidth="1"/>
    <col min="127" max="127" width="1.5703125" style="1" customWidth="1"/>
    <col min="128" max="128" width="6" style="1" customWidth="1"/>
    <col min="129" max="129" width="1.28515625" style="1" customWidth="1"/>
    <col min="130" max="130" width="1.7109375" style="1" customWidth="1"/>
    <col min="131" max="133" width="2.28515625" style="1" customWidth="1"/>
    <col min="134" max="134" width="12" style="1" customWidth="1"/>
    <col min="135" max="135" width="6.5703125" style="1" customWidth="1"/>
    <col min="136" max="136" width="16.85546875" style="1" customWidth="1"/>
    <col min="137" max="137" width="15.85546875" style="1" customWidth="1"/>
    <col min="138" max="138" width="15.28515625" style="1" customWidth="1"/>
    <col min="139" max="139" width="1.85546875" style="1" customWidth="1"/>
    <col min="140" max="140" width="6.140625" style="1" customWidth="1"/>
    <col min="141" max="141" width="9.28515625" style="1" customWidth="1"/>
    <col min="142" max="142" width="9.140625" style="1" customWidth="1"/>
    <col min="143" max="143" width="10.5703125" customWidth="1"/>
    <col min="144" max="144" width="8.28515625" style="1" customWidth="1"/>
    <col min="145" max="145" width="15.85546875" style="1" customWidth="1"/>
    <col min="146" max="146" width="1.42578125" style="1" customWidth="1"/>
    <col min="147" max="148" width="12.28515625" style="1" customWidth="1"/>
    <col min="149" max="149" width="13.85546875" style="1" customWidth="1"/>
    <col min="150" max="150" width="9" style="1" customWidth="1"/>
    <col min="151" max="151" width="10.28515625" style="1" customWidth="1"/>
    <col min="152" max="152" width="2" customWidth="1"/>
    <col min="153" max="153" width="11.7109375" style="1" customWidth="1"/>
    <col min="154" max="154" width="10.85546875" style="1" customWidth="1"/>
    <col min="155" max="155" width="3.7109375" customWidth="1"/>
    <col min="156" max="156" width="32.7109375" style="1" customWidth="1"/>
    <col min="157" max="157" width="4.28515625" style="1" customWidth="1"/>
    <col min="158" max="16384" width="5.7109375" style="1"/>
  </cols>
  <sheetData>
    <row r="1" spans="1:154" x14ac:dyDescent="0.25">
      <c r="BF1" s="6">
        <v>19.350000000000001</v>
      </c>
      <c r="BG1" s="6">
        <v>19.399999999999999</v>
      </c>
      <c r="BH1" s="6">
        <v>19.41</v>
      </c>
      <c r="BI1" s="6">
        <v>18.77</v>
      </c>
      <c r="BJ1" s="6">
        <v>18.91</v>
      </c>
      <c r="BK1" s="6">
        <v>19.489999999999998</v>
      </c>
      <c r="BL1" s="6">
        <v>19.55</v>
      </c>
      <c r="BM1" s="6">
        <v>19.38</v>
      </c>
      <c r="BN1" s="87" cm="1">
        <f t="array" aca="1" ref="BN1" ca="1">_FV(BO1,"Preço")</f>
        <v>19.38</v>
      </c>
      <c r="BO1" s="1" t="e" vm="1">
        <v>#VALUE!</v>
      </c>
    </row>
    <row r="2" spans="1:154" x14ac:dyDescent="0.25">
      <c r="BG2" s="86">
        <f>(BG1/$BF1)-1</f>
        <v>2.5839793281652312E-3</v>
      </c>
      <c r="BH2" s="86">
        <f t="shared" ref="BH2:BN2" si="0">(BH1/$BF1)-1</f>
        <v>3.1007751937983663E-3</v>
      </c>
      <c r="BI2" s="86">
        <f t="shared" si="0"/>
        <v>-2.9974160206718392E-2</v>
      </c>
      <c r="BJ2" s="86">
        <v>-2.2739018087855389E-2</v>
      </c>
      <c r="BK2" s="86">
        <v>7.2351421188630027E-3</v>
      </c>
      <c r="BL2" s="86">
        <v>1.0335917312661369E-2</v>
      </c>
      <c r="BM2" s="86">
        <v>1.5503875968991832E-3</v>
      </c>
      <c r="BN2" s="86">
        <f t="shared" ca="1" si="0"/>
        <v>1.5503875968991832E-3</v>
      </c>
      <c r="BO2" s="8">
        <f ca="1">AVERAGE(BG2:BN2)</f>
        <v>-3.2945736434109307E-3</v>
      </c>
      <c r="BT2" s="88" cm="1">
        <f t="array" aca="1" ref="BT2" ca="1">_FV(BO1,"Variação (%)",TRUE)</f>
        <v>-2.5729999999999998E-3</v>
      </c>
    </row>
    <row r="3" spans="1:154" x14ac:dyDescent="0.25">
      <c r="BE3" s="76">
        <v>137026</v>
      </c>
      <c r="BF3" s="76">
        <v>136102</v>
      </c>
      <c r="BG3" s="76">
        <v>137212</v>
      </c>
      <c r="BH3" s="76">
        <v>137115.82999999999</v>
      </c>
      <c r="BI3" s="76">
        <v>136865.79</v>
      </c>
      <c r="BJ3" s="76">
        <v>141263.56</v>
      </c>
      <c r="BK3" s="76">
        <v>136187.31</v>
      </c>
      <c r="BL3" s="76">
        <v>133381.57999999999</v>
      </c>
      <c r="BM3" s="76">
        <v>133524.18</v>
      </c>
      <c r="BN3" s="76" cm="1">
        <f t="array" aca="1" ref="BN3" ca="1">_FV(BO3,"Preço")</f>
        <v>133524.18</v>
      </c>
      <c r="BO3" s="1" t="e" vm="2">
        <v>#VALUE!</v>
      </c>
      <c r="BS3" s="1"/>
      <c r="CG3" s="8"/>
      <c r="DU3" s="83"/>
    </row>
    <row r="4" spans="1:154" x14ac:dyDescent="0.25">
      <c r="BG4" s="86">
        <f>(BG3/$BF3)-1</f>
        <v>8.1556479699049778E-3</v>
      </c>
      <c r="BH4" s="86">
        <f>(BH3/$BF3)-1</f>
        <v>7.4490455687645785E-3</v>
      </c>
      <c r="BI4" s="86">
        <f>(BI3/$BF3)-1</f>
        <v>5.6118940206610901E-3</v>
      </c>
      <c r="BJ4" s="86">
        <v>3.7924203905894016E-2</v>
      </c>
      <c r="BK4" s="86">
        <v>6.268093047860912E-4</v>
      </c>
      <c r="BL4" s="86">
        <v>-1.9988097162422447E-2</v>
      </c>
      <c r="BM4" s="86">
        <v>-1.8940353558360656E-2</v>
      </c>
      <c r="BN4" s="86">
        <f ca="1">(BN3/$BF3)-1</f>
        <v>-1.8940353558360656E-2</v>
      </c>
      <c r="BO4" s="8">
        <f ca="1">AVERAGE(BG4:BN4)</f>
        <v>2.3734956135837426E-4</v>
      </c>
      <c r="BT4" s="88" cm="1">
        <f t="array" aca="1" ref="BT4" ca="1">_FV(BO3,"Variação (%)",TRUE)</f>
        <v>-2.1180000000000001E-3</v>
      </c>
    </row>
    <row r="5" spans="1:154"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50">
        <v>45785</v>
      </c>
      <c r="BC5" s="50">
        <v>45792</v>
      </c>
      <c r="BD5" s="50">
        <v>45800</v>
      </c>
      <c r="BE5" s="50">
        <v>45807</v>
      </c>
      <c r="BF5" s="50">
        <v>45814</v>
      </c>
      <c r="BG5" s="68">
        <v>45821</v>
      </c>
      <c r="BH5" s="50">
        <v>45828</v>
      </c>
      <c r="BI5" s="50">
        <v>45835</v>
      </c>
      <c r="BJ5" s="50">
        <v>45842</v>
      </c>
      <c r="BK5" s="50">
        <v>45849</v>
      </c>
      <c r="BL5" s="50">
        <v>45856</v>
      </c>
      <c r="BM5" s="50">
        <v>45863</v>
      </c>
      <c r="BN5" s="50" t="s">
        <v>272</v>
      </c>
      <c r="BO5" s="38" t="s">
        <v>475</v>
      </c>
      <c r="BP5" s="51" t="s">
        <v>493</v>
      </c>
      <c r="BQ5" s="50" t="s">
        <v>284</v>
      </c>
      <c r="BR5" s="38" t="s">
        <v>284</v>
      </c>
      <c r="BS5" s="3" t="s">
        <v>285</v>
      </c>
      <c r="BT5" s="28" t="s">
        <v>476</v>
      </c>
      <c r="BV5" s="38" t="s">
        <v>477</v>
      </c>
      <c r="BW5" s="38" t="s">
        <v>478</v>
      </c>
      <c r="BY5" s="64" t="s">
        <v>479</v>
      </c>
      <c r="CA5" s="50" t="s">
        <v>501</v>
      </c>
      <c r="CC5" s="61" t="s">
        <v>481</v>
      </c>
      <c r="CD5" s="61" t="s">
        <v>483</v>
      </c>
      <c r="CE5" s="61" t="s">
        <v>482</v>
      </c>
      <c r="CF5" s="14"/>
      <c r="CG5" s="38" t="s">
        <v>494</v>
      </c>
      <c r="CH5" s="38" t="s">
        <v>504</v>
      </c>
      <c r="CI5" s="38" t="s">
        <v>495</v>
      </c>
      <c r="CK5" s="14"/>
      <c r="CL5" s="38" t="s">
        <v>484</v>
      </c>
      <c r="CM5" s="38" t="s">
        <v>485</v>
      </c>
      <c r="CN5" s="38" t="s">
        <v>486</v>
      </c>
      <c r="CO5" s="38" t="s">
        <v>487</v>
      </c>
      <c r="CP5" s="38" t="s">
        <v>488</v>
      </c>
      <c r="CQ5" s="38" t="s">
        <v>489</v>
      </c>
      <c r="CR5" s="38" t="s">
        <v>490</v>
      </c>
      <c r="CS5" s="3" t="s">
        <v>491</v>
      </c>
      <c r="CT5" s="3" t="s">
        <v>492</v>
      </c>
      <c r="CU5" s="8" t="s">
        <v>268</v>
      </c>
      <c r="CV5" s="38" t="s">
        <v>275</v>
      </c>
      <c r="CW5" s="28" t="s">
        <v>269</v>
      </c>
      <c r="CX5" s="28" t="s">
        <v>271</v>
      </c>
      <c r="CY5" s="28" t="s">
        <v>270</v>
      </c>
      <c r="CZ5" s="28" t="s">
        <v>279</v>
      </c>
      <c r="DA5" s="28" t="s">
        <v>280</v>
      </c>
      <c r="DB5" s="28" t="s">
        <v>281</v>
      </c>
      <c r="DC5" s="28" t="s">
        <v>283</v>
      </c>
      <c r="DD5" s="28" t="s">
        <v>280</v>
      </c>
      <c r="DE5" s="28" t="s">
        <v>282</v>
      </c>
      <c r="DF5" s="28" t="s">
        <v>270</v>
      </c>
      <c r="DG5" s="28" t="s">
        <v>271</v>
      </c>
      <c r="DH5" s="28" t="s">
        <v>269</v>
      </c>
      <c r="DI5" s="38" t="s">
        <v>275</v>
      </c>
      <c r="DK5" s="38" t="s">
        <v>273</v>
      </c>
      <c r="DL5" s="38" t="s">
        <v>278</v>
      </c>
      <c r="DM5" s="3" t="s">
        <v>274</v>
      </c>
      <c r="DN5" s="38" t="s">
        <v>276</v>
      </c>
      <c r="DO5" s="38" t="s">
        <v>491</v>
      </c>
      <c r="DP5" s="38" t="s">
        <v>492</v>
      </c>
      <c r="DT5" s="85" t="s">
        <v>502</v>
      </c>
      <c r="DU5" s="85" t="s">
        <v>502</v>
      </c>
      <c r="DV5" s="74" t="s">
        <v>496</v>
      </c>
      <c r="DX5" s="17" t="s">
        <v>277</v>
      </c>
      <c r="ED5" s="3" t="s">
        <v>464</v>
      </c>
      <c r="EE5" s="3" t="s">
        <v>289</v>
      </c>
      <c r="EF5" s="3" t="s">
        <v>463</v>
      </c>
      <c r="EG5" s="38" t="s">
        <v>465</v>
      </c>
      <c r="EH5" s="38" t="s">
        <v>465</v>
      </c>
      <c r="EK5" s="38" t="s">
        <v>472</v>
      </c>
      <c r="EL5" s="38" t="s">
        <v>473</v>
      </c>
      <c r="EM5" s="38" t="s">
        <v>474</v>
      </c>
      <c r="EN5" s="38" t="s">
        <v>289</v>
      </c>
      <c r="EO5" s="38" t="s">
        <v>467</v>
      </c>
      <c r="EQ5" s="38" t="s">
        <v>301</v>
      </c>
      <c r="ER5" s="38" t="s">
        <v>470</v>
      </c>
      <c r="ES5" s="38" t="s">
        <v>469</v>
      </c>
      <c r="ET5" s="38" t="s">
        <v>480</v>
      </c>
      <c r="EU5" s="38" t="s">
        <v>468</v>
      </c>
      <c r="EW5" s="38" t="s">
        <v>471</v>
      </c>
      <c r="EX5" s="38" t="s">
        <v>466</v>
      </c>
    </row>
    <row r="6" spans="1:154" s="2" customFormat="1" ht="11.25"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5">
        <v>8.25</v>
      </c>
      <c r="BC6" s="52">
        <v>8.25</v>
      </c>
      <c r="BD6" s="52">
        <v>8.25</v>
      </c>
      <c r="BE6" s="52">
        <v>8.25</v>
      </c>
      <c r="BF6" s="52">
        <v>8.25</v>
      </c>
      <c r="BG6" s="67">
        <v>8.0500000000000007</v>
      </c>
      <c r="BH6" s="52">
        <v>8.0500000000000007</v>
      </c>
      <c r="BI6" s="52">
        <v>8.0500000000000007</v>
      </c>
      <c r="BJ6" s="52">
        <v>8.0500000000000007</v>
      </c>
      <c r="BK6" s="52">
        <v>8.0500000000000007</v>
      </c>
      <c r="BL6" s="52">
        <v>8.0500000000000007</v>
      </c>
      <c r="BM6" s="52">
        <v>8.0500000000000007</v>
      </c>
      <c r="BN6" s="52" cm="1">
        <f t="array" aca="1" ref="BN6" ca="1">_FV(EB6,"Preço")</f>
        <v>8.0500000000000007</v>
      </c>
      <c r="BO6" s="69" t="s">
        <v>3</v>
      </c>
      <c r="BP6" s="36" t="e" cm="1" vm="3">
        <f t="array" ref="BP6">_FV(EB6,"Média de volume",TRUE)</f>
        <v>#VALUE!</v>
      </c>
      <c r="BQ6" s="36">
        <v>500</v>
      </c>
      <c r="BR6" s="36" cm="1">
        <f t="array" aca="1" ref="BR6" ca="1">_FV(EB6,"Volume")</f>
        <v>500</v>
      </c>
      <c r="BS6" s="24" cm="1">
        <f t="array" aca="1" ref="BS6" ca="1">_FV(EB6,"Beta")</f>
        <v>0.65490000000000004</v>
      </c>
      <c r="BT6" s="71" cm="1">
        <f t="array" aca="1" ref="BT6" ca="1">_FV(EB6,"Variação (%)",TRUE)</f>
        <v>6.0606E-2</v>
      </c>
      <c r="BV6" s="17" cm="1">
        <f t="array" aca="1" ref="BV6" ca="1">_FV(EB6,"Baixo")</f>
        <v>8.0500000000000007</v>
      </c>
      <c r="BW6" s="17" cm="1">
        <f t="array" aca="1" ref="BW6" ca="1">_FV(EB6,"Alto")</f>
        <v>8.0500000000000007</v>
      </c>
      <c r="BX6" s="24"/>
      <c r="BY6" s="63">
        <f ca="1">SQRT(22.5*(BN6/VLOOKUP(BO6,Fundamentus!A:U,3,FALSE))*(BN6/VLOOKUP(BO6,Fundamentus!A:U,4,FALSE)))</f>
        <v>6.9413749095532742</v>
      </c>
      <c r="CA6" s="62">
        <f ca="1">(BN6 - BM6) / BM6</f>
        <v>0</v>
      </c>
      <c r="CB6" s="8"/>
      <c r="CC6" s="61">
        <f>MIN(A6:BM6)</f>
        <v>8.0500000000000007</v>
      </c>
      <c r="CD6" s="61">
        <f>MAX(A6:BM6)</f>
        <v>9</v>
      </c>
      <c r="CE6" s="61">
        <f>AVERAGE(A6:BM6)</f>
        <v>8.3261538461538489</v>
      </c>
      <c r="CF6" s="14"/>
      <c r="CG6" s="35">
        <f t="shared" ref="CG6:CG69" si="1">CH6-DX6*2</f>
        <v>8.0500000000000007</v>
      </c>
      <c r="CH6" s="15">
        <f>FORECAST("01/08/2025", BJ6:BM6, $BJ$5:$BM$5)</f>
        <v>8.0500000000000007</v>
      </c>
      <c r="CI6" s="35">
        <f t="shared" ref="CI6:CI69" si="2">CH6+DX6*2</f>
        <v>8.0500000000000007</v>
      </c>
      <c r="CK6" s="14"/>
      <c r="CL6" s="17">
        <f t="shared" ref="CL6:CL69" si="3">CC6-2*(CD6-CO6)</f>
        <v>6.783333333333335</v>
      </c>
      <c r="CM6" s="17">
        <f t="shared" ref="CM6:CM69" si="4">CO6-(CD6-CC6)</f>
        <v>7.4166666666666679</v>
      </c>
      <c r="CN6" s="17">
        <f t="shared" ref="CN6:CN69" si="5">2*CO6-CD6</f>
        <v>7.7333333333333343</v>
      </c>
      <c r="CO6" s="38">
        <f>(CD6+CC6+BL6)/3</f>
        <v>8.3666666666666671</v>
      </c>
      <c r="CP6" s="17">
        <f t="shared" ref="CP6:CP69" si="6">2*CO6-CC6</f>
        <v>8.6833333333333336</v>
      </c>
      <c r="CQ6" s="17">
        <f t="shared" ref="CQ6:CQ69" si="7">CO6+(CD6-CC6)</f>
        <v>9.3166666666666664</v>
      </c>
      <c r="CR6" s="17">
        <f t="shared" ref="CR6:CR69" si="8">CD6+2*(CO6-CC6)</f>
        <v>9.6333333333333329</v>
      </c>
      <c r="CS6" s="2" cm="1">
        <f t="array" aca="1" ref="CS6" ca="1">MAX(_xlfn._xlws.FILTER(CL6:CR6,CL6:CR6&lt;BN6))</f>
        <v>7.7333333333333343</v>
      </c>
      <c r="CT6" s="2" cm="1">
        <f t="array" aca="1" ref="CT6" ca="1">MIN(_xlfn._xlws.FILTER($CL6:$CR6,$CL6:$CR6&gt;BN6))</f>
        <v>8.3666666666666671</v>
      </c>
      <c r="CU6" s="16">
        <f ca="1">(CT6/CS6)-1</f>
        <v>8.18965517241379E-2</v>
      </c>
      <c r="CV6" s="20">
        <f ca="1">-$CU6/2</f>
        <v>-4.094827586206895E-2</v>
      </c>
      <c r="CW6" s="20">
        <f ca="1">-$CU6/3</f>
        <v>-2.7298850574712635E-2</v>
      </c>
      <c r="CX6" s="20">
        <f ca="1">-$CU6/5</f>
        <v>-1.6379310344827581E-2</v>
      </c>
      <c r="CY6" s="20">
        <f ca="1">-$CU6/9</f>
        <v>-9.0996168582375449E-3</v>
      </c>
      <c r="CZ6" s="20">
        <f t="shared" ref="CZ6:CZ7" ca="1" si="9">-$CU6/17</f>
        <v>-4.8174442190669353E-3</v>
      </c>
      <c r="DA6" s="20">
        <f t="shared" ref="DA6:DA7" ca="1" si="10">-$CU6/33</f>
        <v>-2.4817136886102396E-3</v>
      </c>
      <c r="DB6" s="20">
        <f t="shared" ref="DB6:DB7" ca="1" si="11">-$CU6/65</f>
        <v>-1.2599469496021216E-3</v>
      </c>
      <c r="DC6" s="21">
        <f t="shared" ref="DC6:DC7" ca="1" si="12">-$CU6/65*-1</f>
        <v>1.2599469496021216E-3</v>
      </c>
      <c r="DD6" s="21">
        <f t="shared" ref="DD6:DD7" ca="1" si="13">-$CU6/33*-1</f>
        <v>2.4817136886102396E-3</v>
      </c>
      <c r="DE6" s="21">
        <f t="shared" ref="DE6:DE7" ca="1" si="14">-$CU6/17*-1</f>
        <v>4.8174442190669353E-3</v>
      </c>
      <c r="DF6" s="21">
        <f ca="1">-$CU6/9*-1</f>
        <v>9.0996168582375449E-3</v>
      </c>
      <c r="DG6" s="21">
        <f ca="1">-$CU6/5*-1</f>
        <v>1.6379310344827581E-2</v>
      </c>
      <c r="DH6" s="21">
        <f ca="1">-$CU6/3*-1</f>
        <v>2.7298850574712635E-2</v>
      </c>
      <c r="DI6" s="21">
        <f ca="1">-$CU6/2*-1</f>
        <v>4.094827586206895E-2</v>
      </c>
      <c r="DK6" s="16" cm="1">
        <f t="array" aca="1" ref="DK6" ca="1">MAX(_xlfn._xlws.FILTER(CV6:DI6,CV6:DI6&lt;BT6))</f>
        <v>4.094827586206895E-2</v>
      </c>
      <c r="DL6" s="16" t="e" cm="1" vm="4">
        <f t="array" aca="1" ref="DL6" ca="1">MIN(_xlfn._xlws.FILTER(CV6:DI6,CV6:DI6&gt;BT6))</f>
        <v>#VALUE!</v>
      </c>
      <c r="DM6" s="2" cm="1">
        <f t="array" aca="1" ref="DM6" ca="1">_FV(EB6,"Fechamento anterior",TRUE)</f>
        <v>7.59</v>
      </c>
      <c r="DN6" s="28" t="e" vm="5">
        <f t="shared" ref="DN6:DN69" ca="1" si="15">(BN6-DO6)/(DP6-DO6)</f>
        <v>#VALUE!</v>
      </c>
      <c r="DO6" s="15">
        <f t="shared" ref="DO6:DO13" ca="1" si="16">DM6+(DM6*DK6)</f>
        <v>7.9007974137931036</v>
      </c>
      <c r="DP6" s="15" t="e" vm="5">
        <f t="shared" ref="DP6:DP13" ca="1" si="17">DM6+(DM6*DL6)</f>
        <v>#VALUE!</v>
      </c>
      <c r="DQ6" s="9"/>
      <c r="DR6" s="9"/>
      <c r="DS6" s="9"/>
      <c r="DT6" s="89" t="e" vm="5">
        <v>#VALUE!</v>
      </c>
      <c r="DU6" s="89" t="e" vm="5">
        <f t="shared" ref="DU6:DU69" ca="1" si="18">DL6-DK6</f>
        <v>#VALUE!</v>
      </c>
      <c r="DV6" s="72" t="e">
        <f t="shared" ref="DV6:DV69" ca="1" si="19">(BN6-CH6)/(CH6-CG6)</f>
        <v>#DIV/0!</v>
      </c>
      <c r="DW6" s="37"/>
      <c r="DX6" s="35">
        <f>_xlfn.STDEV.P(BJ6:BM6)</f>
        <v>0</v>
      </c>
      <c r="DY6" s="56"/>
      <c r="DZ6" s="56"/>
      <c r="EB6" s="2" t="e" vm="6">
        <v>#VALUE!</v>
      </c>
      <c r="ED6" s="10" cm="1">
        <f t="array" aca="1" ref="ED6" ca="1">_FV(EB6,"Ações em circulação",TRUE)</f>
        <v>4453440</v>
      </c>
      <c r="EE6" s="18">
        <f>VLOOKUP(BO6,Fundamentus!A:U,5,FALSE)</f>
        <v>1.593</v>
      </c>
      <c r="EF6" s="2">
        <f t="shared" ref="EF6:EF69" ca="1" si="20">(BN6*ED6)/EE6</f>
        <v>22504828.625235405</v>
      </c>
      <c r="EG6" s="17">
        <v>3909088.7322033895</v>
      </c>
      <c r="EH6" s="17">
        <f t="shared" ref="EH6:EH69" ca="1" si="21">EF6*ET6</f>
        <v>3909088.7322033895</v>
      </c>
      <c r="EJ6" s="16">
        <f t="shared" ref="EJ6:EJ65" ca="1" si="22">(EH6/EG6)-1</f>
        <v>0</v>
      </c>
      <c r="EK6" s="45" t="str">
        <f>IF(VLOOKUP(BO6,Fundamentus!A:U,3,FALSE)&lt;15,"Bom",IF(VLOOKUP(BO6,Fundamentus!A:U,3,FALSE)&gt;15,"Ruim","n/a"))</f>
        <v>Bom</v>
      </c>
      <c r="EL6" s="46" t="str">
        <f>IF(VLOOKUP(BO6,Fundamentus!A:U,4,FALSE)&lt;1,"Baixo",IF(VLOOKUP(BO6,Fundamentus!A:U,4,FALSE)&lt;1.5,"Moderado",IF(VLOOKUP(BO6,Fundamentus!A:U,4,FALSE)&gt;1.5,"Alto","n/a")))</f>
        <v>Alto</v>
      </c>
      <c r="EM6" s="30" t="str">
        <f>IF(VLOOKUP(BO6,Fundamentus!A:U,8,FALSE)&lt;0,"Risco elevado",IF(VLOOKUP(BO6,Fundamentus!A:U,8,FALSE)&lt;1,"Saudável",IF(VLOOKUP(BO6,Fundamentus!A:U,8,FALSE)&lt;3,"Estável",IF(VLOOKUP(BO6,Fundamentus!A:U,8,FALSE)&gt;3,"Alerta","n/a"))))</f>
        <v>Alerta</v>
      </c>
      <c r="EN6" s="46" t="str">
        <f t="shared" ref="EN6:EN69" si="23">IF(EE6&gt;1,"Bom","Ruim")</f>
        <v>Bom</v>
      </c>
      <c r="EO6" s="30" t="str">
        <f>IF(VLOOKUP(BO6,Fundamentus!A:U,12,FALSE)&lt;2,"Subvalorizada",IF(VLOOKUP(BO6,Fundamentus!A:U,12,FALSE)&lt;6,"Muita barata",IF(VLOOKUP(BO6,Fundamentus!A:U,12,FALSE)&lt;6,"Barata",IF(VLOOKUP(BO6,Fundamentus!A:U,12,FALSE)&lt;8,"Atrativa",IF(VLOOKUP(BO6,Fundamentus!A:U,12,FALSE)&gt;8,"Supervalorizada","n/a")))))</f>
        <v>Atrativa</v>
      </c>
      <c r="EQ6" s="30" t="str">
        <f>IF(VLOOKUP(BO6,Fundamentus!A:U,17,FALSE)&lt;0.1,"Fraco retorno",IF(VLOOKUP(BO6,Fundamentus!A:U,17,FALSE)&gt;0.1,"Bom retorno","n/a"))</f>
        <v>Bom retorno</v>
      </c>
      <c r="ER6" s="30" t="str">
        <f>IF(VLOOKUP(BO6,Fundamentus!A:U,16,FALSE)&lt;0.1,"Ineficiente",IF(VLOOKUP(BO6,Fundamentus!A:U,16,FALSE)&gt;0.1,"Eficiente","n/a"))</f>
        <v>Eficiente</v>
      </c>
      <c r="ES6" s="47" t="str">
        <f>IF(VLOOKUP(BO6,Fundamentus!A:U,16,FALSE)&lt;0.1,"Oper.Ineficiente",IF(VLOOKUP(BO6,Fundamentus!A:U,16,FALSE)&gt;0.1,"Oper.Eficiente","n/a"))</f>
        <v>Oper.Eficiente</v>
      </c>
      <c r="ET6" s="48">
        <f>VLOOKUP(BO6,Fundamentus!A:U,14,FALSE)</f>
        <v>0.17369999999999999</v>
      </c>
      <c r="EU6" s="30" t="str">
        <f>IF(VLOOKUP(BO6,Fundamentus!A:U,21,FALSE)&lt;0,"Negativo",IF(VLOOKUP(BO6,Fundamentus!A:U,21,FALSE)&lt;0.05,"Fraco",IF(VLOOKUP(BO6,Fundamentus!A:U,21,FALSE)&lt;0.1,"Bom",IF(VLOOKUP(BO6,Fundamentus!A:U,21,FALSE)&gt;0.1,"Muito bom","n/a"))))</f>
        <v>Muito bom</v>
      </c>
      <c r="EW6" s="31" t="str">
        <f>IF(VLOOKUP(BO6,Fundamentus!A:U,15,FALSE)&gt;1,"Bom",IF(VLOOKUP(BO6,Fundamentus!A:U,15,FALSE)&lt;1,"Ruim","n/a"))</f>
        <v>Bom</v>
      </c>
      <c r="EX6" s="30" t="str">
        <f>IF(VLOOKUP(BO6,Fundamentus!A:U,20,FALSE)&lt;0.5,"Baixa",IF(VLOOKUP(BO6,Fundamentus!A:U,20,FALSE)&lt;1,"Moderada",IF(VLOOKUP(BO6,Fundamentus!A:U,20,FALSE)&lt;2,"Alerta",IF(VLOOKUP(BO6,Fundamentus!A:U,20,FALSE)&gt;2,"Alta","n/a"))))</f>
        <v>Alerta</v>
      </c>
    </row>
    <row r="7" spans="1:154" s="2" customFormat="1" ht="11.25"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5">
        <v>26.4</v>
      </c>
      <c r="BC7" s="52">
        <v>26.68</v>
      </c>
      <c r="BD7" s="52">
        <v>26.99</v>
      </c>
      <c r="BE7" s="52">
        <v>27.58</v>
      </c>
      <c r="BF7" s="52">
        <v>27.49</v>
      </c>
      <c r="BG7" s="67">
        <v>29.05</v>
      </c>
      <c r="BH7" s="52">
        <v>28.76</v>
      </c>
      <c r="BI7" s="52">
        <v>28.38</v>
      </c>
      <c r="BJ7" s="52">
        <v>29.05</v>
      </c>
      <c r="BK7" s="52">
        <v>28.7</v>
      </c>
      <c r="BL7" s="52">
        <v>27.52</v>
      </c>
      <c r="BM7" s="52">
        <v>27.24</v>
      </c>
      <c r="BN7" s="52" cm="1">
        <f t="array" aca="1" ref="BN7" ca="1">_FV(EB7,"Preço")</f>
        <v>27.24</v>
      </c>
      <c r="BO7" s="69" t="s">
        <v>4</v>
      </c>
      <c r="BP7" s="36" cm="1">
        <f t="array" aca="1" ref="BP7" ca="1">_FV(EB7,"Média de volume",TRUE)</f>
        <v>8290</v>
      </c>
      <c r="BQ7" s="36">
        <v>2200</v>
      </c>
      <c r="BR7" s="36" cm="1">
        <f t="array" aca="1" ref="BR7" ca="1">_FV(EB7,"Volume")</f>
        <v>2200</v>
      </c>
      <c r="BS7" s="24" cm="1">
        <f t="array" aca="1" ref="BS7" ca="1">_FV(EB7,"Beta")</f>
        <v>0.57040000000000002</v>
      </c>
      <c r="BT7" s="71" cm="1">
        <f t="array" aca="1" ref="BT7" ca="1">_FV(EB7,"Variação (%)",TRUE)</f>
        <v>-1.8731999999999999E-2</v>
      </c>
      <c r="BV7" s="17" cm="1">
        <f t="array" aca="1" ref="BV7" ca="1">_FV(EB7,"Baixo")</f>
        <v>27.24</v>
      </c>
      <c r="BW7" s="17" cm="1">
        <f t="array" aca="1" ref="BW7" ca="1">_FV(EB7,"Alto")</f>
        <v>27.95</v>
      </c>
      <c r="BX7" s="24"/>
      <c r="BY7" s="63">
        <f ca="1">SQRT(22.5*(BN7/VLOOKUP(BO7,Fundamentus!A:U,3,FALSE))*(BN7/VLOOKUP(BO7,Fundamentus!A:U,4,FALSE)))</f>
        <v>70.999157986433957</v>
      </c>
      <c r="CA7" s="62">
        <f t="shared" ref="CA7:CA70" ca="1" si="24">(BN7 - BM7) / BM7</f>
        <v>0</v>
      </c>
      <c r="CB7" s="8"/>
      <c r="CC7" s="61">
        <f t="shared" ref="CC7:CC70" si="25">MIN(A7:BM7)</f>
        <v>24.1</v>
      </c>
      <c r="CD7" s="61">
        <f t="shared" ref="CD7:CD70" si="26">MAX(A7:BM7)</f>
        <v>29.05</v>
      </c>
      <c r="CE7" s="61">
        <f t="shared" ref="CE7:CE70" si="27">AVERAGE(A7:BM7)</f>
        <v>26.185846153846164</v>
      </c>
      <c r="CF7" s="14"/>
      <c r="CG7" s="35">
        <f t="shared" si="1"/>
        <v>24.946773904161535</v>
      </c>
      <c r="CH7" s="15">
        <f t="shared" ref="CH7:CH70" si="28">FORECAST("01/08/2025", BJ7:BM7, $BJ$5:$BM$5)</f>
        <v>26.474999999999454</v>
      </c>
      <c r="CI7" s="35">
        <f t="shared" si="2"/>
        <v>28.003226095837373</v>
      </c>
      <c r="CK7" s="14"/>
      <c r="CL7" s="17">
        <f t="shared" si="3"/>
        <v>19.78</v>
      </c>
      <c r="CM7" s="17">
        <f t="shared" si="4"/>
        <v>21.94</v>
      </c>
      <c r="CN7" s="17">
        <f t="shared" si="5"/>
        <v>24.73</v>
      </c>
      <c r="CO7" s="38">
        <f t="shared" ref="CO7:CO70" si="29">(CD7+CC7+BL7)/3</f>
        <v>26.89</v>
      </c>
      <c r="CP7" s="17">
        <f t="shared" si="6"/>
        <v>29.68</v>
      </c>
      <c r="CQ7" s="17">
        <f t="shared" si="7"/>
        <v>31.84</v>
      </c>
      <c r="CR7" s="17">
        <f t="shared" si="8"/>
        <v>34.629999999999995</v>
      </c>
      <c r="CS7" s="2" cm="1">
        <f t="array" aca="1" ref="CS7" ca="1">MAX(_xlfn._xlws.FILTER(CL7:CR7,CL7:CR7&lt;BN7))</f>
        <v>26.89</v>
      </c>
      <c r="CT7" s="2" cm="1">
        <f t="array" aca="1" ref="CT7" ca="1">MIN(_xlfn._xlws.FILTER($CL7:$CR7,$CL7:$CR7&gt;BN7))</f>
        <v>29.68</v>
      </c>
      <c r="CU7" s="16">
        <f t="shared" ref="CU7:CU13" ca="1" si="30">(CT7/CS7)-1</f>
        <v>0.10375604313871323</v>
      </c>
      <c r="CV7" s="20">
        <f t="shared" ref="CV7:CV13" ca="1" si="31">-$CU7/2</f>
        <v>-5.1878021569356614E-2</v>
      </c>
      <c r="CW7" s="20">
        <f t="shared" ref="CW7:CW13" ca="1" si="32">-$CU7/3</f>
        <v>-3.4585347712904412E-2</v>
      </c>
      <c r="CX7" s="20">
        <f t="shared" ref="CX7:CX13" ca="1" si="33">-$CU7/5</f>
        <v>-2.0751208627742646E-2</v>
      </c>
      <c r="CY7" s="20">
        <f t="shared" ref="CY7:CY13" ca="1" si="34">-$CU7/9</f>
        <v>-1.1528449237634804E-2</v>
      </c>
      <c r="CZ7" s="20">
        <f t="shared" ca="1" si="9"/>
        <v>-6.1032966552184249E-3</v>
      </c>
      <c r="DA7" s="20">
        <f t="shared" ca="1" si="10"/>
        <v>-3.1441225193549463E-3</v>
      </c>
      <c r="DB7" s="20">
        <f t="shared" ca="1" si="11"/>
        <v>-1.5962468175186651E-3</v>
      </c>
      <c r="DC7" s="21">
        <f t="shared" ca="1" si="12"/>
        <v>1.5962468175186651E-3</v>
      </c>
      <c r="DD7" s="21">
        <f t="shared" ca="1" si="13"/>
        <v>3.1441225193549463E-3</v>
      </c>
      <c r="DE7" s="21">
        <f t="shared" ca="1" si="14"/>
        <v>6.1032966552184249E-3</v>
      </c>
      <c r="DF7" s="21">
        <f t="shared" ref="DF7:DF13" ca="1" si="35">-$CU7/9*-1</f>
        <v>1.1528449237634804E-2</v>
      </c>
      <c r="DG7" s="21">
        <f t="shared" ref="DG7:DG13" ca="1" si="36">-$CU7/5*-1</f>
        <v>2.0751208627742646E-2</v>
      </c>
      <c r="DH7" s="21">
        <f t="shared" ref="DH7:DH13" ca="1" si="37">-$CU7/3*-1</f>
        <v>3.4585347712904412E-2</v>
      </c>
      <c r="DI7" s="21">
        <f t="shared" ref="DI7:DI13" ca="1" si="38">-$CU7/2*-1</f>
        <v>5.1878021569356614E-2</v>
      </c>
      <c r="DK7" s="16" cm="1">
        <f t="array" aca="1" ref="DK7" ca="1">MAX(_xlfn._xlws.FILTER(CV7:DI7,CV7:DI7&lt;BT7))</f>
        <v>-2.0751208627742646E-2</v>
      </c>
      <c r="DL7" s="16" cm="1">
        <f t="array" aca="1" ref="DL7" ca="1">MIN(_xlfn._xlws.FILTER(CV7:DI7,CV7:DI7&gt;BT7))</f>
        <v>-1.1528449237634804E-2</v>
      </c>
      <c r="DM7" s="2" cm="1">
        <f t="array" aca="1" ref="DM7" ca="1">_FV(EB7,"Fechamento anterior",TRUE)</f>
        <v>27.76</v>
      </c>
      <c r="DN7" s="28">
        <f t="shared" ca="1" si="15"/>
        <v>0.21893883052894178</v>
      </c>
      <c r="DO7" s="15">
        <f t="shared" ca="1" si="16"/>
        <v>27.183946448493867</v>
      </c>
      <c r="DP7" s="15">
        <f t="shared" ca="1" si="17"/>
        <v>27.43997024916326</v>
      </c>
      <c r="DQ7" s="9"/>
      <c r="DR7" s="9"/>
      <c r="DS7" s="9"/>
      <c r="DT7" s="89">
        <v>9.2227593901078424E-3</v>
      </c>
      <c r="DU7" s="89">
        <f t="shared" ca="1" si="18"/>
        <v>9.2227593901078424E-3</v>
      </c>
      <c r="DV7" s="72">
        <f t="shared" ca="1" si="19"/>
        <v>0.50058038014401152</v>
      </c>
      <c r="DW7" s="37"/>
      <c r="DX7" s="35">
        <f t="shared" ref="DX7:DX70" si="39">_xlfn.STDEV.P(BJ7:BM7)</f>
        <v>0.76411304791895873</v>
      </c>
      <c r="DY7" s="56"/>
      <c r="DZ7" s="56"/>
      <c r="EB7" s="2" t="e" vm="7">
        <v>#VALUE!</v>
      </c>
      <c r="ED7" s="10" cm="1">
        <f t="array" aca="1" ref="ED7" ca="1">_FV(EB7,"Ações em circulação",TRUE)</f>
        <v>20585620</v>
      </c>
      <c r="EE7" s="18">
        <f>VLOOKUP(BO7,Fundamentus!A:U,5,FALSE)</f>
        <v>0.77600000000000002</v>
      </c>
      <c r="EF7" s="2">
        <f t="shared" ca="1" si="20"/>
        <v>722618928.86597931</v>
      </c>
      <c r="EG7" s="17">
        <v>101672483.29144329</v>
      </c>
      <c r="EH7" s="17">
        <f t="shared" ca="1" si="21"/>
        <v>101672483.29144329</v>
      </c>
      <c r="EJ7" s="16">
        <f t="shared" ca="1" si="22"/>
        <v>0</v>
      </c>
      <c r="EK7" s="32" t="str">
        <f>IF(VLOOKUP(BO7,Fundamentus!A:U,3,FALSE)&lt;15,"Bom",IF(VLOOKUP(BO7,Fundamentus!A:U,3,FALSE)&gt;15,"Ruim","n/a"))</f>
        <v>Bom</v>
      </c>
      <c r="EL7" s="28" t="str">
        <f>IF(VLOOKUP(BO7,Fundamentus!A:U,4,FALSE)&lt;1,"Baixo",IF(VLOOKUP(BO7,Fundamentus!A:U,4,FALSE)&lt;1.5,"Moderado",IF(VLOOKUP(BO7,Fundamentus!A:U,4,FALSE)&gt;1.5,"Alto","n/a")))</f>
        <v>Baixo</v>
      </c>
      <c r="EM7" s="17" t="str">
        <f>IF(VLOOKUP(BO7,Fundamentus!A:U,8,FALSE)&lt;0,"Risco elevado",IF(VLOOKUP(BO7,Fundamentus!A:U,8,FALSE)&lt;1,"Saudável",IF(VLOOKUP(BO7,Fundamentus!A:U,8,FALSE)&lt;3,"Estável",IF(VLOOKUP(BO7,Fundamentus!A:U,8,FALSE)&gt;3,"Alerta","n/a"))))</f>
        <v>Estável</v>
      </c>
      <c r="EN7" s="28" t="str">
        <f t="shared" si="23"/>
        <v>Ruim</v>
      </c>
      <c r="EO7" s="17" t="str">
        <f>IF(VLOOKUP(BO7,Fundamentus!A:U,12,FALSE)&lt;2,"Subvalorizada",IF(VLOOKUP(BO7,Fundamentus!A:U,12,FALSE)&lt;6,"Muita barata",IF(VLOOKUP(BO7,Fundamentus!A:U,12,FALSE)&lt;6,"Barata",IF(VLOOKUP(BO7,Fundamentus!A:U,12,FALSE)&lt;8,"Atrativa",IF(VLOOKUP(BO7,Fundamentus!A:U,12,FALSE)&gt;8,"Supervalorizada","n/a")))))</f>
        <v>Muita barata</v>
      </c>
      <c r="EQ7" s="17" t="str">
        <f>IF(VLOOKUP(BO7,Fundamentus!A:U,17,FALSE)&lt;0.1,"Fraco retorno",IF(VLOOKUP(BO7,Fundamentus!A:U,17,FALSE)&gt;0.1,"Bom retorno","n/a"))</f>
        <v>Bom retorno</v>
      </c>
      <c r="ER7" s="17" t="str">
        <f>IF(VLOOKUP(BO7,Fundamentus!A:U,16,FALSE)&lt;0.1,"Ineficiente",IF(VLOOKUP(BO7,Fundamentus!A:U,16,FALSE)&gt;0.1,"Eficiente","n/a"))</f>
        <v>Ineficiente</v>
      </c>
      <c r="ES7" s="33" t="str">
        <f>IF(VLOOKUP(BO7,Fundamentus!A:U,16,FALSE)&lt;0.1,"Oper. Ineficiente",IF(VLOOKUP(BO7,Fundamentus!A:U,16,FALSE)&gt;0.1,"Oper.Eficiente","n/a"))</f>
        <v>Oper. Ineficiente</v>
      </c>
      <c r="ET7" s="34">
        <f>VLOOKUP(BO7,Fundamentus!A:U,14,FALSE)</f>
        <v>0.14069999999999999</v>
      </c>
      <c r="EU7" s="17" t="str">
        <f>IF(VLOOKUP(BO7,Fundamentus!A:U,21,FALSE)&lt;0,"Negativo",IF(VLOOKUP(BO7,Fundamentus!A:U,21,FALSE)&lt;0.05,"Fraco",IF(VLOOKUP(BO7,Fundamentus!A:U,21,FALSE)&lt;0.1,"Bom",IF(VLOOKUP(BO7,Fundamentus!A:U,21,FALSE)&gt;0.1,"Muito bom","n/a"))))</f>
        <v>Muito bom</v>
      </c>
      <c r="EW7" s="29" t="str">
        <f>IF(VLOOKUP(BO7,Fundamentus!A:U,15,FALSE)&gt;1,"Bom",IF(VLOOKUP(BO7,Fundamentus!A:U,15,FALSE)&lt;1,"Ruim","n/a"))</f>
        <v>Bom</v>
      </c>
      <c r="EX7" s="17" t="str">
        <f>IF(VLOOKUP(BO7,Fundamentus!A:U,20,FALSE)&lt;0.5,"Baixa",IF(VLOOKUP(BO7,Fundamentus!A:U,20,FALSE)&lt;1,"Moderada",IF(VLOOKUP(BO7,Fundamentus!A:U,20,FALSE)&lt;2,"Alerta",IF(VLOOKUP(BO7,Fundamentus!A:U,20,FALSE)&gt;2,"Alta","n/a"))))</f>
        <v>Baixa</v>
      </c>
    </row>
    <row r="8" spans="1:154" s="2" customFormat="1" ht="11.25"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5">
        <v>22.87</v>
      </c>
      <c r="BC8" s="52">
        <v>23.42</v>
      </c>
      <c r="BD8" s="52">
        <v>23.5</v>
      </c>
      <c r="BE8" s="52">
        <v>23.4</v>
      </c>
      <c r="BF8" s="52">
        <v>23.14</v>
      </c>
      <c r="BG8" s="67">
        <v>23.12</v>
      </c>
      <c r="BH8" s="52">
        <v>23.03</v>
      </c>
      <c r="BI8" s="52">
        <v>22.79</v>
      </c>
      <c r="BJ8" s="52">
        <v>23.31</v>
      </c>
      <c r="BK8" s="52">
        <v>22.8</v>
      </c>
      <c r="BL8" s="52">
        <v>22.44</v>
      </c>
      <c r="BM8" s="52">
        <v>22.37</v>
      </c>
      <c r="BN8" s="52" cm="1">
        <f t="array" aca="1" ref="BN8" ca="1">_FV(EB8,"Preço")</f>
        <v>22.37</v>
      </c>
      <c r="BO8" s="69" t="s">
        <v>5</v>
      </c>
      <c r="BP8" s="36" cm="1">
        <f t="array" aca="1" ref="BP8" ca="1">_FV(EB8,"Média de volume",TRUE)</f>
        <v>1276540</v>
      </c>
      <c r="BQ8" s="36">
        <v>885100</v>
      </c>
      <c r="BR8" s="36" cm="1">
        <f t="array" aca="1" ref="BR8" ca="1">_FV(EB8,"Volume")</f>
        <v>885100</v>
      </c>
      <c r="BS8" s="24" cm="1">
        <f t="array" aca="1" ref="BS8" ca="1">_FV(EB8,"Beta")</f>
        <v>0.70330000000000004</v>
      </c>
      <c r="BT8" s="71" cm="1">
        <f t="array" aca="1" ref="BT8" ca="1">_FV(EB8,"Variação (%)",TRUE)</f>
        <v>-1.3389999999999999E-3</v>
      </c>
      <c r="BV8" s="17" cm="1">
        <f t="array" aca="1" ref="BV8" ca="1">_FV(EB8,"Baixo")</f>
        <v>22.27</v>
      </c>
      <c r="BW8" s="17" cm="1">
        <f t="array" aca="1" ref="BW8" ca="1">_FV(EB8,"Alto")</f>
        <v>22.49</v>
      </c>
      <c r="BX8" s="24"/>
      <c r="BY8" s="63">
        <f ca="1">SQRT(22.5*(BN8/VLOOKUP(BO8,Fundamentus!A:U,3,FALSE))*(BN8/VLOOKUP(BO8,Fundamentus!A:U,4,FALSE)))</f>
        <v>61.459754957765654</v>
      </c>
      <c r="CA8" s="62">
        <f t="shared" ca="1" si="24"/>
        <v>0</v>
      </c>
      <c r="CB8" s="8"/>
      <c r="CC8" s="61">
        <f t="shared" si="25"/>
        <v>22.1</v>
      </c>
      <c r="CD8" s="61">
        <f t="shared" si="26"/>
        <v>27.09</v>
      </c>
      <c r="CE8" s="61">
        <f t="shared" si="27"/>
        <v>24.030153846153851</v>
      </c>
      <c r="CF8" s="14"/>
      <c r="CG8" s="35">
        <f t="shared" si="1"/>
        <v>21.19001677871238</v>
      </c>
      <c r="CH8" s="15">
        <f t="shared" si="28"/>
        <v>21.934999999999945</v>
      </c>
      <c r="CI8" s="35">
        <f t="shared" si="2"/>
        <v>22.679983221287511</v>
      </c>
      <c r="CK8" s="14"/>
      <c r="CL8" s="17">
        <f t="shared" si="3"/>
        <v>15.673333333333332</v>
      </c>
      <c r="CM8" s="17">
        <f t="shared" si="4"/>
        <v>18.886666666666667</v>
      </c>
      <c r="CN8" s="17">
        <f t="shared" si="5"/>
        <v>20.66333333333333</v>
      </c>
      <c r="CO8" s="38">
        <f t="shared" si="29"/>
        <v>23.876666666666665</v>
      </c>
      <c r="CP8" s="17">
        <f t="shared" si="6"/>
        <v>25.653333333333329</v>
      </c>
      <c r="CQ8" s="17">
        <f t="shared" si="7"/>
        <v>28.866666666666664</v>
      </c>
      <c r="CR8" s="17">
        <f t="shared" si="8"/>
        <v>30.643333333333327</v>
      </c>
      <c r="CS8" s="2" cm="1">
        <f t="array" aca="1" ref="CS8" ca="1">MAX(_xlfn._xlws.FILTER(CL8:CR8,CL8:CR8&lt;BN8))</f>
        <v>20.66333333333333</v>
      </c>
      <c r="CT8" s="2" cm="1">
        <f t="array" aca="1" ref="CT8" ca="1">MIN(_xlfn._xlws.FILTER($CL8:$CR8,$CL8:$CR8&gt;BN8))</f>
        <v>23.876666666666665</v>
      </c>
      <c r="CU8" s="16">
        <f t="shared" ca="1" si="30"/>
        <v>0.15550895305694468</v>
      </c>
      <c r="CV8" s="20">
        <f t="shared" ca="1" si="31"/>
        <v>-7.7754476528472338E-2</v>
      </c>
      <c r="CW8" s="20">
        <f t="shared" ca="1" si="32"/>
        <v>-5.1836317685648226E-2</v>
      </c>
      <c r="CX8" s="20">
        <f t="shared" ca="1" si="33"/>
        <v>-3.1101790611388937E-2</v>
      </c>
      <c r="CY8" s="20">
        <f t="shared" ca="1" si="34"/>
        <v>-1.7278772561882743E-2</v>
      </c>
      <c r="CZ8" s="20">
        <f ca="1">-$CU8/17</f>
        <v>-9.1475854739379216E-3</v>
      </c>
      <c r="DA8" s="20">
        <f ca="1">-$CU8/33</f>
        <v>-4.7123925168771116E-3</v>
      </c>
      <c r="DB8" s="20">
        <f ca="1">-$CU8/65</f>
        <v>-2.3924454316453028E-3</v>
      </c>
      <c r="DC8" s="21">
        <f ca="1">-$CU8/65*-1</f>
        <v>2.3924454316453028E-3</v>
      </c>
      <c r="DD8" s="21">
        <f ca="1">-$CU8/33*-1</f>
        <v>4.7123925168771116E-3</v>
      </c>
      <c r="DE8" s="21">
        <f ca="1">-$CU8/17*-1</f>
        <v>9.1475854739379216E-3</v>
      </c>
      <c r="DF8" s="21">
        <f t="shared" ca="1" si="35"/>
        <v>1.7278772561882743E-2</v>
      </c>
      <c r="DG8" s="21">
        <f t="shared" ca="1" si="36"/>
        <v>3.1101790611388937E-2</v>
      </c>
      <c r="DH8" s="21">
        <f t="shared" ca="1" si="37"/>
        <v>5.1836317685648226E-2</v>
      </c>
      <c r="DI8" s="21">
        <f t="shared" ca="1" si="38"/>
        <v>7.7754476528472338E-2</v>
      </c>
      <c r="DK8" s="16" cm="1">
        <f t="array" aca="1" ref="DK8" ca="1">MAX(_xlfn._xlws.FILTER(CV8:DI8,CV8:DI8&lt;BT8))</f>
        <v>-2.3924454316453028E-3</v>
      </c>
      <c r="DL8" s="16" cm="1">
        <f t="array" aca="1" ref="DL8" ca="1">MIN(_xlfn._xlws.FILTER(CV8:DI8,CV8:DI8&gt;BT8))</f>
        <v>2.3924454316453028E-3</v>
      </c>
      <c r="DM8" s="2" cm="1">
        <f t="array" aca="1" ref="DM8" ca="1">_FV(EB8,"Fechamento anterior",TRUE)</f>
        <v>22.4</v>
      </c>
      <c r="DN8" s="28">
        <f t="shared" ca="1" si="15"/>
        <v>0.22010109476884585</v>
      </c>
      <c r="DO8" s="15">
        <f t="shared" ca="1" si="16"/>
        <v>22.346409222331143</v>
      </c>
      <c r="DP8" s="15">
        <f t="shared" ca="1" si="17"/>
        <v>22.453590777668854</v>
      </c>
      <c r="DQ8" s="9"/>
      <c r="DR8" s="9"/>
      <c r="DS8" s="9"/>
      <c r="DT8" s="89">
        <v>4.7848908632906056E-3</v>
      </c>
      <c r="DU8" s="89">
        <f t="shared" ca="1" si="18"/>
        <v>4.7848908632906056E-3</v>
      </c>
      <c r="DV8" s="72">
        <f t="shared" ca="1" si="19"/>
        <v>0.58390576803627681</v>
      </c>
      <c r="DW8" s="37"/>
      <c r="DX8" s="35">
        <f t="shared" si="39"/>
        <v>0.37249161064378256</v>
      </c>
      <c r="DY8" s="56"/>
      <c r="DZ8" s="56"/>
      <c r="EB8" s="2" t="e" vm="8">
        <v>#VALUE!</v>
      </c>
      <c r="ED8" s="10" cm="1">
        <f t="array" aca="1" ref="ED8" ca="1">_FV(EB8,"Ações em circulação",TRUE)</f>
        <v>658883300</v>
      </c>
      <c r="EE8" s="18">
        <f>VLOOKUP(BO8,Fundamentus!A:U,5,FALSE)</f>
        <v>1.76</v>
      </c>
      <c r="EF8" s="2">
        <f t="shared" ca="1" si="20"/>
        <v>8374556489.204545</v>
      </c>
      <c r="EG8" s="17">
        <v>3610271302.4960794</v>
      </c>
      <c r="EH8" s="17">
        <f t="shared" ca="1" si="21"/>
        <v>3610271302.4960794</v>
      </c>
      <c r="EJ8" s="16">
        <f t="shared" ca="1" si="22"/>
        <v>0</v>
      </c>
      <c r="EK8" s="32" t="str">
        <f>IF(VLOOKUP(BO8,Fundamentus!A:U,3,FALSE)&lt;15,"Bom",IF(VLOOKUP(BO8,Fundamentus!A:U,3,FALSE)&gt;15,"Ruim","n/a"))</f>
        <v>Bom</v>
      </c>
      <c r="EL8" s="28" t="str">
        <f>IF(VLOOKUP(BO8,Fundamentus!A:U,4,FALSE)&lt;1,"Baixo",IF(VLOOKUP(BO8,Fundamentus!A:U,4,FALSE)&lt;1.5,"Moderado",IF(VLOOKUP(BO8,Fundamentus!A:U,4,FALSE)&gt;1.5,"Alto","n/a")))</f>
        <v>Baixo</v>
      </c>
      <c r="EM8" s="17" t="str">
        <f>IF(VLOOKUP(BO8,Fundamentus!A:U,8,FALSE)&lt;0,"Risco elevado",IF(VLOOKUP(BO8,Fundamentus!A:U,8,FALSE)&lt;1,"Saudável",IF(VLOOKUP(BO8,Fundamentus!A:U,8,FALSE)&lt;3,"Estável",IF(VLOOKUP(BO8,Fundamentus!A:U,8,FALSE)&gt;3,"Alerta","n/a"))))</f>
        <v>Estável</v>
      </c>
      <c r="EN8" s="28" t="str">
        <f t="shared" si="23"/>
        <v>Bom</v>
      </c>
      <c r="EO8" s="17" t="str">
        <f>IF(VLOOKUP(BO8,Fundamentus!A:U,12,FALSE)&lt;2,"Subvalorizada",IF(VLOOKUP(BO8,Fundamentus!A:U,12,FALSE)&lt;6,"Muita barata",IF(VLOOKUP(BO8,Fundamentus!A:U,12,FALSE)&lt;6,"Barata",IF(VLOOKUP(BO8,Fundamentus!A:U,12,FALSE)&lt;8,"Atrativa",IF(VLOOKUP(BO8,Fundamentus!A:U,12,FALSE)&gt;8,"Supervalorizada","n/a")))))</f>
        <v>Muita barata</v>
      </c>
      <c r="EQ8" s="17" t="str">
        <f>IF(VLOOKUP(BO8,Fundamentus!A:U,17,FALSE)&lt;0.1,"Fraco retorno",IF(VLOOKUP(BO8,Fundamentus!A:U,17,FALSE)&gt;0.1,"Bom retorno","n/a"))</f>
        <v>Bom retorno</v>
      </c>
      <c r="ER8" s="17" t="str">
        <f>IF(VLOOKUP(BO8,Fundamentus!A:U,16,FALSE)&lt;0.1,"Ineficiente",IF(VLOOKUP(BO8,Fundamentus!A:U,16,FALSE)&gt;0.1,"Eficiente","n/a"))</f>
        <v>Eficiente</v>
      </c>
      <c r="ES8" s="33" t="str">
        <f>IF(VLOOKUP(BO8,Fundamentus!A:U,16,FALSE)&lt;0.1,"Oper. Ineficiente",IF(VLOOKUP(BO8,Fundamentus!A:U,16,FALSE)&gt;0.1,"Oper.Eficiente","n/a"))</f>
        <v>Oper.Eficiente</v>
      </c>
      <c r="ET8" s="34">
        <f>VLOOKUP(BO8,Fundamentus!A:U,14,FALSE)</f>
        <v>0.43109999999999998</v>
      </c>
      <c r="EU8" s="17" t="str">
        <f>IF(VLOOKUP(BO8,Fundamentus!A:U,21,FALSE)&lt;0,"Negativo",IF(VLOOKUP(BO8,Fundamentus!A:U,21,FALSE)&lt;0.05,"Fraco",IF(VLOOKUP(BO8,Fundamentus!A:U,21,FALSE)&lt;0.1,"Bom",IF(VLOOKUP(BO8,Fundamentus!A:U,21,FALSE)&gt;0.1,"Muito bom","n/a"))))</f>
        <v>Muito bom</v>
      </c>
      <c r="EW8" s="29" t="str">
        <f>IF(VLOOKUP(BO8,Fundamentus!A:U,15,FALSE)&gt;1,"Bom",IF(VLOOKUP(BO8,Fundamentus!A:U,15,FALSE)&lt;1,"Ruim","n/a"))</f>
        <v>Bom</v>
      </c>
      <c r="EX8" s="17" t="str">
        <f>IF(VLOOKUP(BO8,Fundamentus!A:U,20,FALSE)&lt;0.5,"Baixa",IF(VLOOKUP(BO8,Fundamentus!A:U,20,FALSE)&lt;1,"Moderada",IF(VLOOKUP(BO8,Fundamentus!A:U,20,FALSE)&lt;2,"Alerta",IF(VLOOKUP(BO8,Fundamentus!A:U,20,FALSE)&gt;2,"Alta","n/a"))))</f>
        <v>Moderada</v>
      </c>
    </row>
    <row r="9" spans="1:154" s="2" customFormat="1" ht="11.25"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5">
        <v>8.73</v>
      </c>
      <c r="BC9" s="52">
        <v>8.52</v>
      </c>
      <c r="BD9" s="52">
        <v>8.77</v>
      </c>
      <c r="BE9" s="52">
        <v>8.64</v>
      </c>
      <c r="BF9" s="52">
        <v>8.56</v>
      </c>
      <c r="BG9" s="67">
        <v>8.58</v>
      </c>
      <c r="BH9" s="52">
        <v>8.42</v>
      </c>
      <c r="BI9" s="52">
        <v>8.49</v>
      </c>
      <c r="BJ9" s="52">
        <v>8.6300000000000008</v>
      </c>
      <c r="BK9" s="52">
        <v>8.5</v>
      </c>
      <c r="BL9" s="52">
        <v>8.49</v>
      </c>
      <c r="BM9" s="52">
        <v>8.39</v>
      </c>
      <c r="BN9" s="52" cm="1">
        <f t="array" aca="1" ref="BN9" ca="1">_FV(EB9,"Preço")</f>
        <v>8.39</v>
      </c>
      <c r="BO9" s="69" t="s">
        <v>6</v>
      </c>
      <c r="BP9" s="36" cm="1">
        <f t="array" aca="1" ref="BP9" ca="1">_FV(EB9,"Média de volume",TRUE)</f>
        <v>7090</v>
      </c>
      <c r="BQ9" s="36">
        <v>2900</v>
      </c>
      <c r="BR9" s="36" cm="1">
        <f t="array" aca="1" ref="BR9" ca="1">_FV(EB9,"Volume")</f>
        <v>2900</v>
      </c>
      <c r="BS9" s="24" cm="1">
        <f t="array" aca="1" ref="BS9" ca="1">_FV(EB9,"Beta")</f>
        <v>0.45240000000000002</v>
      </c>
      <c r="BT9" s="71" cm="1">
        <f t="array" aca="1" ref="BT9" ca="1">_FV(EB9,"Variação (%)",TRUE)</f>
        <v>3.5890000000000002E-3</v>
      </c>
      <c r="BV9" s="17" cm="1">
        <f t="array" aca="1" ref="BV9" ca="1">_FV(EB9,"Baixo")</f>
        <v>8.35</v>
      </c>
      <c r="BW9" s="17" cm="1">
        <f t="array" aca="1" ref="BW9" ca="1">_FV(EB9,"Alto")</f>
        <v>8.44</v>
      </c>
      <c r="BX9" s="24"/>
      <c r="BY9" s="63">
        <f ca="1">SQRT(22.5*(BN9/VLOOKUP(BO9,Fundamentus!A:U,3,FALSE))*(BN9/VLOOKUP(BO9,Fundamentus!A:U,4,FALSE)))</f>
        <v>13.866726806466437</v>
      </c>
      <c r="CA9" s="62">
        <f t="shared" ca="1" si="24"/>
        <v>0</v>
      </c>
      <c r="CB9" s="8"/>
      <c r="CC9" s="61">
        <f t="shared" si="25"/>
        <v>8.1199999999999992</v>
      </c>
      <c r="CD9" s="61">
        <f t="shared" si="26"/>
        <v>9.1999999999999993</v>
      </c>
      <c r="CE9" s="61">
        <f t="shared" si="27"/>
        <v>8.6365384615384624</v>
      </c>
      <c r="CF9" s="14"/>
      <c r="CG9" s="35">
        <f t="shared" si="1"/>
        <v>8.1494860709502497</v>
      </c>
      <c r="CH9" s="15">
        <f t="shared" si="28"/>
        <v>8.32000000000005</v>
      </c>
      <c r="CI9" s="35">
        <f t="shared" si="2"/>
        <v>8.4905139290498504</v>
      </c>
      <c r="CK9" s="14"/>
      <c r="CL9" s="17">
        <f t="shared" si="3"/>
        <v>6.9266666666666676</v>
      </c>
      <c r="CM9" s="17">
        <f t="shared" si="4"/>
        <v>7.5233333333333334</v>
      </c>
      <c r="CN9" s="17">
        <f t="shared" si="5"/>
        <v>8.0066666666666677</v>
      </c>
      <c r="CO9" s="38">
        <f t="shared" si="29"/>
        <v>8.6033333333333335</v>
      </c>
      <c r="CP9" s="17">
        <f t="shared" si="6"/>
        <v>9.0866666666666678</v>
      </c>
      <c r="CQ9" s="17">
        <f t="shared" si="7"/>
        <v>9.6833333333333336</v>
      </c>
      <c r="CR9" s="17">
        <f t="shared" si="8"/>
        <v>10.166666666666668</v>
      </c>
      <c r="CS9" s="2" cm="1">
        <f t="array" aca="1" ref="CS9" ca="1">MAX(_xlfn._xlws.FILTER(CL9:CR9,CL9:CR9&lt;BN9))</f>
        <v>8.0066666666666677</v>
      </c>
      <c r="CT9" s="2" cm="1">
        <f t="array" aca="1" ref="CT9" ca="1">MIN(_xlfn._xlws.FILTER($CL9:$CR9,$CL9:$CR9&gt;BN9))</f>
        <v>8.6033333333333335</v>
      </c>
      <c r="CU9" s="16">
        <f t="shared" ca="1" si="30"/>
        <v>7.4521232306411278E-2</v>
      </c>
      <c r="CV9" s="20">
        <f t="shared" ca="1" si="31"/>
        <v>-3.7260616153205639E-2</v>
      </c>
      <c r="CW9" s="20">
        <f t="shared" ca="1" si="32"/>
        <v>-2.4840410768803761E-2</v>
      </c>
      <c r="CX9" s="20">
        <f t="shared" ca="1" si="33"/>
        <v>-1.4904246461282255E-2</v>
      </c>
      <c r="CY9" s="20">
        <f t="shared" ca="1" si="34"/>
        <v>-8.2801369229345868E-3</v>
      </c>
      <c r="CZ9" s="20">
        <f t="shared" ref="CZ9:CZ13" ca="1" si="40">-$CU9/17</f>
        <v>-4.383601900377134E-3</v>
      </c>
      <c r="DA9" s="20">
        <f t="shared" ref="DA9:DA13" ca="1" si="41">-$CU9/33</f>
        <v>-2.2582191608003419E-3</v>
      </c>
      <c r="DB9" s="20">
        <f t="shared" ref="DB9:DB13" ca="1" si="42">-$CU9/65</f>
        <v>-1.146480497021712E-3</v>
      </c>
      <c r="DC9" s="21">
        <f t="shared" ref="DC9:DC13" ca="1" si="43">-$CU9/65*-1</f>
        <v>1.146480497021712E-3</v>
      </c>
      <c r="DD9" s="21">
        <f t="shared" ref="DD9:DD13" ca="1" si="44">-$CU9/33*-1</f>
        <v>2.2582191608003419E-3</v>
      </c>
      <c r="DE9" s="21">
        <f t="shared" ref="DE9:DE13" ca="1" si="45">-$CU9/17*-1</f>
        <v>4.383601900377134E-3</v>
      </c>
      <c r="DF9" s="21">
        <f t="shared" ca="1" si="35"/>
        <v>8.2801369229345868E-3</v>
      </c>
      <c r="DG9" s="21">
        <f t="shared" ca="1" si="36"/>
        <v>1.4904246461282255E-2</v>
      </c>
      <c r="DH9" s="21">
        <f t="shared" ca="1" si="37"/>
        <v>2.4840410768803761E-2</v>
      </c>
      <c r="DI9" s="21">
        <f t="shared" ca="1" si="38"/>
        <v>3.7260616153205639E-2</v>
      </c>
      <c r="DK9" s="16" cm="1">
        <f t="array" aca="1" ref="DK9" ca="1">MAX(_xlfn._xlws.FILTER(CV9:DI9,CV9:DI9&lt;BT9))</f>
        <v>2.2582191608003419E-3</v>
      </c>
      <c r="DL9" s="16" cm="1">
        <f t="array" aca="1" ref="DL9" ca="1">MIN(_xlfn._xlws.FILTER(CV9:DI9,CV9:DI9&gt;BT9))</f>
        <v>4.383601900377134E-3</v>
      </c>
      <c r="DM9" s="2" cm="1">
        <f t="array" aca="1" ref="DM9" ca="1">_FV(EB9,"Fechamento anterior",TRUE)</f>
        <v>8.36</v>
      </c>
      <c r="DN9" s="28">
        <f t="shared" ca="1" si="15"/>
        <v>0.62590965892388295</v>
      </c>
      <c r="DO9" s="15">
        <f t="shared" ca="1" si="16"/>
        <v>8.3788787121842905</v>
      </c>
      <c r="DP9" s="15">
        <f t="shared" ca="1" si="17"/>
        <v>8.396646911887153</v>
      </c>
      <c r="DQ9" s="9"/>
      <c r="DR9" s="9"/>
      <c r="DS9" s="9"/>
      <c r="DT9" s="89">
        <v>2.125382739576792E-3</v>
      </c>
      <c r="DU9" s="89">
        <f t="shared" ca="1" si="18"/>
        <v>2.125382739576792E-3</v>
      </c>
      <c r="DV9" s="72">
        <f t="shared" ca="1" si="19"/>
        <v>0.41052364689518317</v>
      </c>
      <c r="DW9" s="37"/>
      <c r="DX9" s="35">
        <f t="shared" si="39"/>
        <v>8.5256964524899767E-2</v>
      </c>
      <c r="DY9" s="56"/>
      <c r="DZ9" s="56"/>
      <c r="EB9" s="2" t="e" vm="9">
        <v>#VALUE!</v>
      </c>
      <c r="ED9" s="10" cm="1">
        <f t="array" aca="1" ref="ED9" ca="1">_FV(EB9,"Ações em circulação",TRUE)</f>
        <v>315912900</v>
      </c>
      <c r="EE9" s="18">
        <f>VLOOKUP(BO9,Fundamentus!A:U,5,FALSE)</f>
        <v>0</v>
      </c>
      <c r="EF9" s="2" t="e">
        <f t="shared" ca="1" si="20"/>
        <v>#DIV/0!</v>
      </c>
      <c r="EG9" s="17" t="e">
        <v>#DIV/0!</v>
      </c>
      <c r="EH9" s="17" t="e">
        <f t="shared" ca="1" si="21"/>
        <v>#DIV/0!</v>
      </c>
      <c r="EJ9" s="16" t="e">
        <f t="shared" ca="1" si="22"/>
        <v>#DIV/0!</v>
      </c>
      <c r="EK9" s="32" t="str">
        <f>IF(VLOOKUP(BO9,Fundamentus!A:U,3,FALSE)&lt;15,"Bom",IF(VLOOKUP(BO9,Fundamentus!A:U,3,FALSE)&gt;15,"Ruim","n/a"))</f>
        <v>Bom</v>
      </c>
      <c r="EL9" s="28" t="str">
        <f>IF(VLOOKUP(BO9,Fundamentus!A:U,4,FALSE)&lt;1,"Baixo",IF(VLOOKUP(BO9,Fundamentus!A:U,4,FALSE)&lt;1.5,"Moderado",IF(VLOOKUP(BO9,Fundamentus!A:U,4,FALSE)&gt;1.5,"Alto","n/a")))</f>
        <v>Moderado</v>
      </c>
      <c r="EM9" s="17" t="str">
        <f>IF(VLOOKUP(BO9,Fundamentus!A:U,8,FALSE)&lt;0,"Risco elevado",IF(VLOOKUP(BO9,Fundamentus!A:U,8,FALSE)&lt;1,"Saudável",IF(VLOOKUP(BO9,Fundamentus!A:U,8,FALSE)&lt;3,"Estável",IF(VLOOKUP(BO9,Fundamentus!A:U,8,FALSE)&gt;3,"Alerta","n/a"))))</f>
        <v>Saudável</v>
      </c>
      <c r="EN9" s="28" t="str">
        <f t="shared" si="23"/>
        <v>Ruim</v>
      </c>
      <c r="EO9" s="17" t="str">
        <f>IF(VLOOKUP(BO9,Fundamentus!A:U,12,FALSE)&lt;2,"Subvalorizada",IF(VLOOKUP(BO9,Fundamentus!A:U,12,FALSE)&lt;6,"Muita barata",IF(VLOOKUP(BO9,Fundamentus!A:U,12,FALSE)&lt;6,"Barata",IF(VLOOKUP(BO9,Fundamentus!A:U,12,FALSE)&lt;8,"Atrativa",IF(VLOOKUP(BO9,Fundamentus!A:U,12,FALSE)&gt;8,"Supervalorizada","n/a")))))</f>
        <v>Subvalorizada</v>
      </c>
      <c r="EQ9" s="17" t="str">
        <f>IF(VLOOKUP(BO9,Fundamentus!A:U,17,FALSE)&lt;0.1,"Fraco retorno",IF(VLOOKUP(BO9,Fundamentus!A:U,17,FALSE)&gt;0.1,"Bom retorno","n/a"))</f>
        <v>Bom retorno</v>
      </c>
      <c r="ER9" s="17" t="str">
        <f>IF(VLOOKUP(BO9,Fundamentus!A:U,16,FALSE)&lt;0.1,"Ineficiente",IF(VLOOKUP(BO9,Fundamentus!A:U,16,FALSE)&gt;0.1,"Eficiente","n/a"))</f>
        <v>Ineficiente</v>
      </c>
      <c r="ES9" s="33" t="str">
        <f>IF(VLOOKUP(BO9,Fundamentus!A:U,16,FALSE)&lt;0.1,"Oper. Ineficiente",IF(VLOOKUP(BO9,Fundamentus!A:U,16,FALSE)&gt;0.1,"Oper.Eficiente","n/a"))</f>
        <v>Oper. Ineficiente</v>
      </c>
      <c r="ET9" s="34">
        <f>VLOOKUP(BO9,Fundamentus!A:U,14,FALSE)</f>
        <v>0</v>
      </c>
      <c r="EU9" s="17" t="str">
        <f>IF(VLOOKUP(BO9,Fundamentus!A:U,21,FALSE)&lt;0,"Negativo",IF(VLOOKUP(BO9,Fundamentus!A:U,21,FALSE)&lt;0.05,"Fraco",IF(VLOOKUP(BO9,Fundamentus!A:U,21,FALSE)&lt;0.1,"Bom",IF(VLOOKUP(BO9,Fundamentus!A:U,21,FALSE)&gt;0.1,"Muito bom","n/a"))))</f>
        <v>Muito bom</v>
      </c>
      <c r="EW9" s="29" t="str">
        <f>IF(VLOOKUP(BO9,Fundamentus!A:U,15,FALSE)&gt;1,"Bom",IF(VLOOKUP(BO9,Fundamentus!A:U,15,FALSE)&lt;1,"Ruim","n/a"))</f>
        <v>Ruim</v>
      </c>
      <c r="EX9" s="17" t="str">
        <f>IF(VLOOKUP(BO9,Fundamentus!A:U,20,FALSE)&lt;0.5,"Baixa",IF(VLOOKUP(BO9,Fundamentus!A:U,20,FALSE)&lt;1,"Moderada",IF(VLOOKUP(BO9,Fundamentus!A:U,20,FALSE)&lt;2,"Alerta",IF(VLOOKUP(BO9,Fundamentus!A:U,20,FALSE)&gt;2,"Alta","n/a"))))</f>
        <v>Baixa</v>
      </c>
    </row>
    <row r="10" spans="1:154" s="2" customFormat="1" ht="11.25"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5">
        <v>14.37</v>
      </c>
      <c r="BC10" s="52">
        <v>14.41</v>
      </c>
      <c r="BD10" s="52">
        <v>14.24</v>
      </c>
      <c r="BE10" s="52">
        <v>14.03</v>
      </c>
      <c r="BF10" s="52">
        <v>14.08</v>
      </c>
      <c r="BG10" s="67">
        <v>13.64</v>
      </c>
      <c r="BH10" s="52">
        <v>13.53</v>
      </c>
      <c r="BI10" s="52">
        <v>13.15</v>
      </c>
      <c r="BJ10" s="52">
        <v>13.52</v>
      </c>
      <c r="BK10" s="52">
        <v>13.3</v>
      </c>
      <c r="BL10" s="52">
        <v>13.32</v>
      </c>
      <c r="BM10" s="52">
        <v>13.47</v>
      </c>
      <c r="BN10" s="52" cm="1">
        <f t="array" aca="1" ref="BN10" ca="1">_FV(EB10,"Preço")</f>
        <v>13.47</v>
      </c>
      <c r="BO10" s="69" t="s">
        <v>7</v>
      </c>
      <c r="BP10" s="36" cm="1">
        <f t="array" aca="1" ref="BP10" ca="1">_FV(EB10,"Média de volume",TRUE)</f>
        <v>23870940</v>
      </c>
      <c r="BQ10" s="36">
        <v>15426100</v>
      </c>
      <c r="BR10" s="36" cm="1">
        <f t="array" aca="1" ref="BR10" ca="1">_FV(EB10,"Volume")</f>
        <v>15426100</v>
      </c>
      <c r="BS10" s="24" cm="1">
        <f t="array" aca="1" ref="BS10" ca="1">_FV(EB10,"Beta")</f>
        <v>0.68379999999999996</v>
      </c>
      <c r="BT10" s="71" cm="1">
        <f t="array" aca="1" ref="BT10" ca="1">_FV(EB10,"Variação (%)",TRUE)</f>
        <v>-2.222E-3</v>
      </c>
      <c r="BV10" s="17" cm="1">
        <f t="array" aca="1" ref="BV10" ca="1">_FV(EB10,"Baixo")</f>
        <v>13.45</v>
      </c>
      <c r="BW10" s="17" cm="1">
        <f t="array" aca="1" ref="BW10" ca="1">_FV(EB10,"Alto")</f>
        <v>13.6</v>
      </c>
      <c r="BX10" s="24"/>
      <c r="BY10" s="63">
        <f ca="1">SQRT(22.5*(BN10/VLOOKUP(BO10,Fundamentus!A:U,3,FALSE))*(BN10/VLOOKUP(BO10,Fundamentus!A:U,4,FALSE)))</f>
        <v>11.00852101238541</v>
      </c>
      <c r="CA10" s="62">
        <f t="shared" ca="1" si="24"/>
        <v>0</v>
      </c>
      <c r="CB10" s="8"/>
      <c r="CC10" s="61">
        <f t="shared" si="25"/>
        <v>10.85</v>
      </c>
      <c r="CD10" s="61">
        <f t="shared" si="26"/>
        <v>14.57</v>
      </c>
      <c r="CE10" s="61">
        <f t="shared" si="27"/>
        <v>12.655769230769231</v>
      </c>
      <c r="CF10" s="14"/>
      <c r="CG10" s="35">
        <f t="shared" si="1"/>
        <v>13.181121732324764</v>
      </c>
      <c r="CH10" s="15">
        <f t="shared" si="28"/>
        <v>13.370000000000005</v>
      </c>
      <c r="CI10" s="35">
        <f t="shared" si="2"/>
        <v>13.558878267675246</v>
      </c>
      <c r="CK10" s="14"/>
      <c r="CL10" s="17">
        <f t="shared" si="3"/>
        <v>7.5366666666666671</v>
      </c>
      <c r="CM10" s="17">
        <f t="shared" si="4"/>
        <v>9.1933333333333334</v>
      </c>
      <c r="CN10" s="17">
        <f t="shared" si="5"/>
        <v>11.256666666666668</v>
      </c>
      <c r="CO10" s="38">
        <f t="shared" si="29"/>
        <v>12.913333333333334</v>
      </c>
      <c r="CP10" s="17">
        <f t="shared" si="6"/>
        <v>14.976666666666668</v>
      </c>
      <c r="CQ10" s="17">
        <f t="shared" si="7"/>
        <v>16.633333333333333</v>
      </c>
      <c r="CR10" s="17">
        <f t="shared" si="8"/>
        <v>18.696666666666669</v>
      </c>
      <c r="CS10" s="2" cm="1">
        <f t="array" aca="1" ref="CS10" ca="1">MAX(_xlfn._xlws.FILTER(CL10:CR10,CL10:CR10&lt;BN10))</f>
        <v>12.913333333333334</v>
      </c>
      <c r="CT10" s="2" cm="1">
        <f t="array" aca="1" ref="CT10" ca="1">MIN(_xlfn._xlws.FILTER($CL10:$CR10,$CL10:$CR10&gt;BN10))</f>
        <v>14.976666666666668</v>
      </c>
      <c r="CU10" s="16">
        <f t="shared" ca="1" si="30"/>
        <v>0.15978316985028407</v>
      </c>
      <c r="CV10" s="20">
        <f t="shared" ca="1" si="31"/>
        <v>-7.9891584925142034E-2</v>
      </c>
      <c r="CW10" s="20">
        <f t="shared" ca="1" si="32"/>
        <v>-5.3261056616761358E-2</v>
      </c>
      <c r="CX10" s="20">
        <f t="shared" ca="1" si="33"/>
        <v>-3.1956633970056811E-2</v>
      </c>
      <c r="CY10" s="20">
        <f t="shared" ca="1" si="34"/>
        <v>-1.7753685538920452E-2</v>
      </c>
      <c r="CZ10" s="20">
        <f t="shared" ca="1" si="40"/>
        <v>-9.3990099911931812E-3</v>
      </c>
      <c r="DA10" s="20">
        <f t="shared" ca="1" si="41"/>
        <v>-4.8419142378873957E-3</v>
      </c>
      <c r="DB10" s="20">
        <f t="shared" ca="1" si="42"/>
        <v>-2.4582026130812932E-3</v>
      </c>
      <c r="DC10" s="21">
        <f t="shared" ca="1" si="43"/>
        <v>2.4582026130812932E-3</v>
      </c>
      <c r="DD10" s="21">
        <f t="shared" ca="1" si="44"/>
        <v>4.8419142378873957E-3</v>
      </c>
      <c r="DE10" s="21">
        <f t="shared" ca="1" si="45"/>
        <v>9.3990099911931812E-3</v>
      </c>
      <c r="DF10" s="21">
        <f t="shared" ca="1" si="35"/>
        <v>1.7753685538920452E-2</v>
      </c>
      <c r="DG10" s="21">
        <f t="shared" ca="1" si="36"/>
        <v>3.1956633970056811E-2</v>
      </c>
      <c r="DH10" s="21">
        <f t="shared" ca="1" si="37"/>
        <v>5.3261056616761358E-2</v>
      </c>
      <c r="DI10" s="21">
        <f t="shared" ca="1" si="38"/>
        <v>7.9891584925142034E-2</v>
      </c>
      <c r="DK10" s="16" cm="1">
        <f t="array" aca="1" ref="DK10" ca="1">MAX(_xlfn._xlws.FILTER(CV10:DI10,CV10:DI10&lt;BT10))</f>
        <v>-2.4582026130812932E-3</v>
      </c>
      <c r="DL10" s="16" cm="1">
        <f t="array" aca="1" ref="DL10" ca="1">MIN(_xlfn._xlws.FILTER(CV10:DI10,CV10:DI10&gt;BT10))</f>
        <v>2.4582026130812932E-3</v>
      </c>
      <c r="DM10" s="2" cm="1">
        <f t="array" aca="1" ref="DM10" ca="1">_FV(EB10,"Fechamento anterior",TRUE)</f>
        <v>13.5</v>
      </c>
      <c r="DN10" s="28">
        <f t="shared" ca="1" si="15"/>
        <v>4.7998563992123294E-2</v>
      </c>
      <c r="DO10" s="15">
        <f t="shared" ca="1" si="16"/>
        <v>13.466814264723402</v>
      </c>
      <c r="DP10" s="15">
        <f t="shared" ca="1" si="17"/>
        <v>13.533185735276598</v>
      </c>
      <c r="DQ10" s="9"/>
      <c r="DR10" s="9"/>
      <c r="DS10" s="9"/>
      <c r="DT10" s="89">
        <v>4.9164052261625865E-3</v>
      </c>
      <c r="DU10" s="89">
        <f t="shared" ca="1" si="18"/>
        <v>4.9164052261625865E-3</v>
      </c>
      <c r="DV10" s="72">
        <f t="shared" ca="1" si="19"/>
        <v>0.52944153517935166</v>
      </c>
      <c r="DW10" s="37"/>
      <c r="DX10" s="35">
        <f t="shared" si="39"/>
        <v>9.4439133837620232E-2</v>
      </c>
      <c r="DY10" s="56"/>
      <c r="DZ10" s="56"/>
      <c r="EB10" s="2" t="e" vm="10">
        <v>#VALUE!</v>
      </c>
      <c r="ED10" s="10" cm="1">
        <f t="array" aca="1" ref="ED10" ca="1">_FV(EB10,"Ações em circulação",TRUE)</f>
        <v>15761640000</v>
      </c>
      <c r="EE10" s="18">
        <f>VLOOKUP(BO10,Fundamentus!A:U,5,FALSE)</f>
        <v>2.3370000000000002</v>
      </c>
      <c r="EF10" s="2">
        <f t="shared" ca="1" si="20"/>
        <v>90846936585.365845</v>
      </c>
      <c r="EG10" s="17">
        <v>14717203726.829268</v>
      </c>
      <c r="EH10" s="17">
        <f t="shared" ca="1" si="21"/>
        <v>14717203726.829268</v>
      </c>
      <c r="EJ10" s="16">
        <f t="shared" ca="1" si="22"/>
        <v>0</v>
      </c>
      <c r="EK10" s="32" t="str">
        <f>IF(VLOOKUP(BO10,Fundamentus!A:U,3,FALSE)&lt;15,"Bom",IF(VLOOKUP(BO10,Fundamentus!A:U,3,FALSE)&gt;15,"Ruim","n/a"))</f>
        <v>Bom</v>
      </c>
      <c r="EL10" s="28" t="str">
        <f>IF(VLOOKUP(BO10,Fundamentus!A:U,4,FALSE)&lt;1,"Baixo",IF(VLOOKUP(BO10,Fundamentus!A:U,4,FALSE)&lt;1.5,"Moderado",IF(VLOOKUP(BO10,Fundamentus!A:U,4,FALSE)&gt;1.5,"Alto","n/a")))</f>
        <v>Alto</v>
      </c>
      <c r="EM10" s="17" t="str">
        <f>IF(VLOOKUP(BO10,Fundamentus!A:U,8,FALSE)&lt;0,"Risco elevado",IF(VLOOKUP(BO10,Fundamentus!A:U,8,FALSE)&lt;1,"Saudável",IF(VLOOKUP(BO10,Fundamentus!A:U,8,FALSE)&lt;3,"Estável",IF(VLOOKUP(BO10,Fundamentus!A:U,8,FALSE)&gt;3,"Alerta","n/a"))))</f>
        <v>Alerta</v>
      </c>
      <c r="EN10" s="28" t="str">
        <f t="shared" si="23"/>
        <v>Bom</v>
      </c>
      <c r="EO10" s="17" t="str">
        <f>IF(VLOOKUP(BO10,Fundamentus!A:U,12,FALSE)&lt;2,"Subvalorizada",IF(VLOOKUP(BO10,Fundamentus!A:U,12,FALSE)&lt;6,"Muita barata",IF(VLOOKUP(BO10,Fundamentus!A:U,12,FALSE)&lt;6,"Barata",IF(VLOOKUP(BO10,Fundamentus!A:U,12,FALSE)&lt;8,"Atrativa",IF(VLOOKUP(BO10,Fundamentus!A:U,12,FALSE)&gt;8,"Supervalorizada","n/a")))))</f>
        <v>Atrativa</v>
      </c>
      <c r="EQ10" s="17" t="str">
        <f>IF(VLOOKUP(BO10,Fundamentus!A:U,17,FALSE)&lt;0.1,"Fraco retorno",IF(VLOOKUP(BO10,Fundamentus!A:U,17,FALSE)&gt;0.1,"Bom retorno","n/a"))</f>
        <v>Bom retorno</v>
      </c>
      <c r="ER10" s="17" t="str">
        <f>IF(VLOOKUP(BO10,Fundamentus!A:U,16,FALSE)&lt;0.1,"Ineficiente",IF(VLOOKUP(BO10,Fundamentus!A:U,16,FALSE)&gt;0.1,"Eficiente","n/a"))</f>
        <v>Eficiente</v>
      </c>
      <c r="ES10" s="33" t="str">
        <f>IF(VLOOKUP(BO10,Fundamentus!A:U,16,FALSE)&lt;0.1,"Oper. Ineficiente",IF(VLOOKUP(BO10,Fundamentus!A:U,16,FALSE)&gt;0.1,"Oper.Eficiente","n/a"))</f>
        <v>Oper.Eficiente</v>
      </c>
      <c r="ET10" s="34">
        <f>VLOOKUP(BO10,Fundamentus!A:U,14,FALSE)</f>
        <v>0.16200000000000001</v>
      </c>
      <c r="EU10" s="17" t="str">
        <f>IF(VLOOKUP(BO10,Fundamentus!A:U,21,FALSE)&lt;0,"Negativo",IF(VLOOKUP(BO10,Fundamentus!A:U,21,FALSE)&lt;0.05,"Fraco",IF(VLOOKUP(BO10,Fundamentus!A:U,21,FALSE)&lt;0.1,"Bom",IF(VLOOKUP(BO10,Fundamentus!A:U,21,FALSE)&gt;0.1,"Muito bom","n/a"))))</f>
        <v>Bom</v>
      </c>
      <c r="EW10" s="29" t="str">
        <f>IF(VLOOKUP(BO10,Fundamentus!A:U,15,FALSE)&gt;1,"Bom",IF(VLOOKUP(BO10,Fundamentus!A:U,15,FALSE)&lt;1,"Ruim","n/a"))</f>
        <v>Bom</v>
      </c>
      <c r="EX10" s="17" t="str">
        <f>IF(VLOOKUP(BO10,Fundamentus!A:U,20,FALSE)&lt;0.5,"Baixa",IF(VLOOKUP(BO10,Fundamentus!A:U,20,FALSE)&lt;1,"Moderada",IF(VLOOKUP(BO10,Fundamentus!A:U,20,FALSE)&lt;2,"Alerta",IF(VLOOKUP(BO10,Fundamentus!A:U,20,FALSE)&gt;2,"Alta","n/a"))))</f>
        <v>Baixa</v>
      </c>
    </row>
    <row r="11" spans="1:154" s="2" customFormat="1" ht="11.25"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5">
        <v>2.81</v>
      </c>
      <c r="BC11" s="52">
        <v>2.82</v>
      </c>
      <c r="BD11" s="52">
        <v>2.88</v>
      </c>
      <c r="BE11" s="52">
        <v>2.98</v>
      </c>
      <c r="BF11" s="52">
        <v>2.9</v>
      </c>
      <c r="BG11" s="67">
        <v>2.88</v>
      </c>
      <c r="BH11" s="52">
        <v>2.91</v>
      </c>
      <c r="BI11" s="52">
        <v>2.9</v>
      </c>
      <c r="BJ11" s="52">
        <v>2.96</v>
      </c>
      <c r="BK11" s="52">
        <v>2.9</v>
      </c>
      <c r="BL11" s="52">
        <v>2.9</v>
      </c>
      <c r="BM11" s="52">
        <v>2.98</v>
      </c>
      <c r="BN11" s="52" cm="1">
        <f t="array" aca="1" ref="BN11" ca="1">_FV(EB11,"Preço")</f>
        <v>2.98</v>
      </c>
      <c r="BO11" s="69" t="s">
        <v>8</v>
      </c>
      <c r="BP11" s="36" cm="1">
        <f t="array" aca="1" ref="BP11" ca="1">_FV(EB11,"Média de volume",TRUE)</f>
        <v>3930</v>
      </c>
      <c r="BQ11" s="36">
        <v>1700</v>
      </c>
      <c r="BR11" s="36" cm="1">
        <f t="array" aca="1" ref="BR11" ca="1">_FV(EB11,"Volume")</f>
        <v>1700</v>
      </c>
      <c r="BS11" s="24" cm="1">
        <f t="array" aca="1" ref="BS11" ca="1">_FV(EB11,"Beta")</f>
        <v>0.82550000000000001</v>
      </c>
      <c r="BT11" s="71" cm="1">
        <f t="array" aca="1" ref="BT11" ca="1">_FV(EB11,"Variação (%)",TRUE)</f>
        <v>1.3605000000000001E-2</v>
      </c>
      <c r="BV11" s="17" cm="1">
        <f t="array" aca="1" ref="BV11" ca="1">_FV(EB11,"Baixo")</f>
        <v>2.91</v>
      </c>
      <c r="BW11" s="17" cm="1">
        <f t="array" aca="1" ref="BW11" ca="1">_FV(EB11,"Alto")</f>
        <v>2.99</v>
      </c>
      <c r="BX11" s="24"/>
      <c r="BY11" s="63">
        <f ca="1">SQRT(22.5*(BN11/VLOOKUP(BO11,Fundamentus!A:U,3,FALSE))*(BN11/VLOOKUP(BO11,Fundamentus!A:U,4,FALSE)))</f>
        <v>210.71782079359119</v>
      </c>
      <c r="CA11" s="62">
        <f t="shared" ca="1" si="24"/>
        <v>0</v>
      </c>
      <c r="CB11" s="8"/>
      <c r="CC11" s="61">
        <f t="shared" si="25"/>
        <v>2.0099999999999998</v>
      </c>
      <c r="CD11" s="61">
        <f t="shared" si="26"/>
        <v>3.15</v>
      </c>
      <c r="CE11" s="61">
        <f t="shared" si="27"/>
        <v>2.7808461538461531</v>
      </c>
      <c r="CF11" s="14"/>
      <c r="CG11" s="35">
        <f t="shared" si="1"/>
        <v>2.8785857157145744</v>
      </c>
      <c r="CH11" s="15">
        <f t="shared" si="28"/>
        <v>2.9500000000000028</v>
      </c>
      <c r="CI11" s="35">
        <f t="shared" si="2"/>
        <v>3.0214142842854312</v>
      </c>
      <c r="CK11" s="14"/>
      <c r="CL11" s="17">
        <f t="shared" si="3"/>
        <v>1.0833333333333339</v>
      </c>
      <c r="CM11" s="17">
        <f t="shared" si="4"/>
        <v>1.5466666666666669</v>
      </c>
      <c r="CN11" s="17">
        <f t="shared" si="5"/>
        <v>2.223333333333334</v>
      </c>
      <c r="CO11" s="38">
        <f t="shared" si="29"/>
        <v>2.686666666666667</v>
      </c>
      <c r="CP11" s="17">
        <f t="shared" si="6"/>
        <v>3.3633333333333342</v>
      </c>
      <c r="CQ11" s="17">
        <f t="shared" si="7"/>
        <v>3.8266666666666671</v>
      </c>
      <c r="CR11" s="17">
        <f t="shared" si="8"/>
        <v>4.5033333333333339</v>
      </c>
      <c r="CS11" s="2" cm="1">
        <f t="array" aca="1" ref="CS11" ca="1">MAX(_xlfn._xlws.FILTER(CL11:CR11,CL11:CR11&lt;BN11))</f>
        <v>2.686666666666667</v>
      </c>
      <c r="CT11" s="2" cm="1">
        <f t="array" aca="1" ref="CT11" ca="1">MIN(_xlfn._xlws.FILTER($CL11:$CR11,$CL11:$CR11&gt;BN11))</f>
        <v>3.3633333333333342</v>
      </c>
      <c r="CU11" s="16">
        <f t="shared" ca="1" si="30"/>
        <v>0.25186104218362293</v>
      </c>
      <c r="CV11" s="20">
        <f t="shared" ca="1" si="31"/>
        <v>-0.12593052109181146</v>
      </c>
      <c r="CW11" s="20">
        <f t="shared" ca="1" si="32"/>
        <v>-8.3953680727874305E-2</v>
      </c>
      <c r="CX11" s="20">
        <f t="shared" ca="1" si="33"/>
        <v>-5.0372208436724589E-2</v>
      </c>
      <c r="CY11" s="20">
        <f t="shared" ca="1" si="34"/>
        <v>-2.798456024262477E-2</v>
      </c>
      <c r="CZ11" s="20">
        <f t="shared" ca="1" si="40"/>
        <v>-1.4815355422566054E-2</v>
      </c>
      <c r="DA11" s="20">
        <f t="shared" ca="1" si="41"/>
        <v>-7.6321527934431191E-3</v>
      </c>
      <c r="DB11" s="20">
        <f t="shared" ca="1" si="42"/>
        <v>-3.8747852643634295E-3</v>
      </c>
      <c r="DC11" s="21">
        <f t="shared" ca="1" si="43"/>
        <v>3.8747852643634295E-3</v>
      </c>
      <c r="DD11" s="21">
        <f t="shared" ca="1" si="44"/>
        <v>7.6321527934431191E-3</v>
      </c>
      <c r="DE11" s="21">
        <f t="shared" ca="1" si="45"/>
        <v>1.4815355422566054E-2</v>
      </c>
      <c r="DF11" s="21">
        <f t="shared" ca="1" si="35"/>
        <v>2.798456024262477E-2</v>
      </c>
      <c r="DG11" s="21">
        <f t="shared" ca="1" si="36"/>
        <v>5.0372208436724589E-2</v>
      </c>
      <c r="DH11" s="21">
        <f t="shared" ca="1" si="37"/>
        <v>8.3953680727874305E-2</v>
      </c>
      <c r="DI11" s="21">
        <f t="shared" ca="1" si="38"/>
        <v>0.12593052109181146</v>
      </c>
      <c r="DK11" s="16" cm="1">
        <f t="array" aca="1" ref="DK11" ca="1">MAX(_xlfn._xlws.FILTER(CV11:DI11,CV11:DI11&lt;BT11))</f>
        <v>7.6321527934431191E-3</v>
      </c>
      <c r="DL11" s="16" cm="1">
        <f t="array" aca="1" ref="DL11" ca="1">MIN(_xlfn._xlws.FILTER(CV11:DI11,CV11:DI11&gt;BT11))</f>
        <v>1.4815355422566054E-2</v>
      </c>
      <c r="DM11" s="2" cm="1">
        <f t="array" aca="1" ref="DM11" ca="1">_FV(EB11,"Fechamento anterior",TRUE)</f>
        <v>2.94</v>
      </c>
      <c r="DN11" s="28">
        <f t="shared" ca="1" si="15"/>
        <v>0.83156353674474881</v>
      </c>
      <c r="DO11" s="15">
        <f t="shared" ca="1" si="16"/>
        <v>2.9624385292127227</v>
      </c>
      <c r="DP11" s="15">
        <f t="shared" ca="1" si="17"/>
        <v>2.9835571449423441</v>
      </c>
      <c r="DQ11" s="9"/>
      <c r="DR11" s="9"/>
      <c r="DS11" s="9"/>
      <c r="DT11" s="89">
        <v>7.1832026291229348E-3</v>
      </c>
      <c r="DU11" s="89">
        <f t="shared" ca="1" si="18"/>
        <v>7.1832026291229348E-3</v>
      </c>
      <c r="DV11" s="72">
        <f t="shared" ca="1" si="19"/>
        <v>0.42008402520836352</v>
      </c>
      <c r="DW11" s="37"/>
      <c r="DX11" s="35">
        <f t="shared" si="39"/>
        <v>3.5707142142714282E-2</v>
      </c>
      <c r="DY11" s="56"/>
      <c r="DZ11" s="56"/>
      <c r="EB11" s="2" t="e" vm="11">
        <v>#VALUE!</v>
      </c>
      <c r="ED11" s="10" cm="1">
        <f t="array" aca="1" ref="ED11" ca="1">_FV(EB11,"Ações em circulação",TRUE)</f>
        <v>67691630</v>
      </c>
      <c r="EE11" s="18">
        <f>VLOOKUP(BO11,Fundamentus!A:U,5,FALSE)</f>
        <v>2.7E-2</v>
      </c>
      <c r="EF11" s="2">
        <f t="shared" ca="1" si="20"/>
        <v>7471150274.0740747</v>
      </c>
      <c r="EG11" s="17">
        <v>-1319405138.4014816</v>
      </c>
      <c r="EH11" s="17">
        <f t="shared" ca="1" si="21"/>
        <v>-1319405138.4014816</v>
      </c>
      <c r="EJ11" s="16">
        <f t="shared" ca="1" si="22"/>
        <v>0</v>
      </c>
      <c r="EK11" s="32" t="str">
        <f>IF(VLOOKUP(BO11,Fundamentus!A:U,3,FALSE)&lt;15,"Bom",IF(VLOOKUP(BO11,Fundamentus!A:U,3,FALSE)&gt;15,"Ruim","n/a"))</f>
        <v>Bom</v>
      </c>
      <c r="EL11" s="28" t="str">
        <f>IF(VLOOKUP(BO11,Fundamentus!A:U,4,FALSE)&lt;1,"Baixo",IF(VLOOKUP(BO11,Fundamentus!A:U,4,FALSE)&lt;1.5,"Moderado",IF(VLOOKUP(BO11,Fundamentus!A:U,4,FALSE)&gt;1.5,"Alto","n/a")))</f>
        <v>Baixo</v>
      </c>
      <c r="EM11" s="17" t="str">
        <f>IF(VLOOKUP(BO11,Fundamentus!A:U,8,FALSE)&lt;0,"Risco elevado",IF(VLOOKUP(BO11,Fundamentus!A:U,8,FALSE)&lt;1,"Saudável",IF(VLOOKUP(BO11,Fundamentus!A:U,8,FALSE)&lt;3,"Estável",IF(VLOOKUP(BO11,Fundamentus!A:U,8,FALSE)&gt;3,"Alerta","n/a"))))</f>
        <v>Risco elevado</v>
      </c>
      <c r="EN11" s="28" t="str">
        <f t="shared" si="23"/>
        <v>Ruim</v>
      </c>
      <c r="EO11" s="17" t="str">
        <f>IF(VLOOKUP(BO11,Fundamentus!A:U,12,FALSE)&lt;2,"Subvalorizada",IF(VLOOKUP(BO11,Fundamentus!A:U,12,FALSE)&lt;6,"Muita barata",IF(VLOOKUP(BO11,Fundamentus!A:U,12,FALSE)&lt;6,"Barata",IF(VLOOKUP(BO11,Fundamentus!A:U,12,FALSE)&lt;8,"Atrativa",IF(VLOOKUP(BO11,Fundamentus!A:U,12,FALSE)&gt;8,"Supervalorizada","n/a")))))</f>
        <v>Subvalorizada</v>
      </c>
      <c r="EQ11" s="17" t="str">
        <f>IF(VLOOKUP(BO11,Fundamentus!A:U,17,FALSE)&lt;0.1,"Fraco retorno",IF(VLOOKUP(BO11,Fundamentus!A:U,17,FALSE)&gt;0.1,"Bom retorno","n/a"))</f>
        <v>Bom retorno</v>
      </c>
      <c r="ER11" s="17" t="str">
        <f>IF(VLOOKUP(BO11,Fundamentus!A:U,16,FALSE)&lt;0.1,"Ineficiente",IF(VLOOKUP(BO11,Fundamentus!A:U,16,FALSE)&gt;0.1,"Eficiente","n/a"))</f>
        <v>Ineficiente</v>
      </c>
      <c r="ES11" s="33" t="str">
        <f>IF(VLOOKUP(BO11,Fundamentus!A:U,16,FALSE)&lt;0.1,"Oper. Ineficiente",IF(VLOOKUP(BO11,Fundamentus!A:U,16,FALSE)&gt;0.1,"Oper.Eficiente","n/a"))</f>
        <v>Oper. Ineficiente</v>
      </c>
      <c r="ET11" s="34">
        <f>VLOOKUP(BO11,Fundamentus!A:U,14,FALSE)</f>
        <v>-0.17660000000000001</v>
      </c>
      <c r="EU11" s="17" t="str">
        <f>IF(VLOOKUP(BO11,Fundamentus!A:U,21,FALSE)&lt;0,"Negativo",IF(VLOOKUP(BO11,Fundamentus!A:U,21,FALSE)&lt;0.05,"Fraco",IF(VLOOKUP(BO11,Fundamentus!A:U,21,FALSE)&lt;0.1,"Bom",IF(VLOOKUP(BO11,Fundamentus!A:U,21,FALSE)&gt;0.1,"Muito bom","n/a"))))</f>
        <v>Muito bom</v>
      </c>
      <c r="EW11" s="29" t="str">
        <f>IF(VLOOKUP(BO11,Fundamentus!A:U,15,FALSE)&gt;1,"Bom",IF(VLOOKUP(BO11,Fundamentus!A:U,15,FALSE)&lt;1,"Ruim","n/a"))</f>
        <v>Ruim</v>
      </c>
      <c r="EX11" s="17" t="str">
        <f>IF(VLOOKUP(BO11,Fundamentus!A:U,20,FALSE)&lt;0.5,"Baixa",IF(VLOOKUP(BO11,Fundamentus!A:U,20,FALSE)&lt;1,"Moderada",IF(VLOOKUP(BO11,Fundamentus!A:U,20,FALSE)&lt;2,"Alerta",IF(VLOOKUP(BO11,Fundamentus!A:U,20,FALSE)&gt;2,"Alta","n/a"))))</f>
        <v>Baixa</v>
      </c>
    </row>
    <row r="12" spans="1:154" s="2" customFormat="1" ht="11.25"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5">
        <v>5.32</v>
      </c>
      <c r="BC12" s="52">
        <v>5.4</v>
      </c>
      <c r="BD12" s="52">
        <v>5.3</v>
      </c>
      <c r="BE12" s="52">
        <v>5.4</v>
      </c>
      <c r="BF12" s="52">
        <v>5.47</v>
      </c>
      <c r="BG12" s="67">
        <v>5.07</v>
      </c>
      <c r="BH12" s="52">
        <v>4.9400000000000004</v>
      </c>
      <c r="BI12" s="52">
        <v>4.99</v>
      </c>
      <c r="BJ12" s="52">
        <v>4.9400000000000004</v>
      </c>
      <c r="BK12" s="52">
        <v>4.74</v>
      </c>
      <c r="BL12" s="52">
        <v>4.6900000000000004</v>
      </c>
      <c r="BM12" s="52">
        <v>4.7300000000000004</v>
      </c>
      <c r="BN12" s="52" cm="1">
        <f t="array" aca="1" ref="BN12" ca="1">_FV(EB12,"Preço")</f>
        <v>4.7300000000000004</v>
      </c>
      <c r="BO12" s="69" t="s">
        <v>9</v>
      </c>
      <c r="BP12" s="36" cm="1">
        <f t="array" aca="1" ref="BP12" ca="1">_FV(EB12,"Média de volume",TRUE)</f>
        <v>34290</v>
      </c>
      <c r="BQ12" s="36">
        <v>32700</v>
      </c>
      <c r="BR12" s="36" cm="1">
        <f t="array" aca="1" ref="BR12" ca="1">_FV(EB12,"Volume")</f>
        <v>32700</v>
      </c>
      <c r="BS12" s="24" cm="1">
        <f t="array" aca="1" ref="BS12" ca="1">_FV(EB12,"Beta")</f>
        <v>0.96440000000000003</v>
      </c>
      <c r="BT12" s="71" cm="1">
        <f t="array" aca="1" ref="BT12" ca="1">_FV(EB12,"Variação (%)",TRUE)</f>
        <v>2.8260999999999998E-2</v>
      </c>
      <c r="BV12" s="17" cm="1">
        <f t="array" aca="1" ref="BV12" ca="1">_FV(EB12,"Baixo")</f>
        <v>4.59</v>
      </c>
      <c r="BW12" s="17" cm="1">
        <f t="array" aca="1" ref="BW12" ca="1">_FV(EB12,"Alto")</f>
        <v>4.7300000000000004</v>
      </c>
      <c r="BX12" s="24"/>
      <c r="BY12" s="63">
        <f ca="1">SQRT(22.5*(BN12/VLOOKUP(BO12,Fundamentus!A:U,3,FALSE))*(BN12/VLOOKUP(BO12,Fundamentus!A:U,4,FALSE)))</f>
        <v>13.972329923473801</v>
      </c>
      <c r="CA12" s="62">
        <f t="shared" ca="1" si="24"/>
        <v>0</v>
      </c>
      <c r="CB12" s="8"/>
      <c r="CC12" s="61">
        <f t="shared" si="25"/>
        <v>4.6900000000000004</v>
      </c>
      <c r="CD12" s="61">
        <f t="shared" si="26"/>
        <v>8.1199999999999992</v>
      </c>
      <c r="CE12" s="61">
        <f t="shared" si="27"/>
        <v>6.3082307692307662</v>
      </c>
      <c r="CF12" s="14"/>
      <c r="CG12" s="35">
        <f t="shared" si="1"/>
        <v>4.4108351216104857</v>
      </c>
      <c r="CH12" s="15">
        <f t="shared" si="28"/>
        <v>4.6049999999999613</v>
      </c>
      <c r="CI12" s="35">
        <f t="shared" si="2"/>
        <v>4.799164878389437</v>
      </c>
      <c r="CK12" s="14"/>
      <c r="CL12" s="17">
        <f t="shared" si="3"/>
        <v>0.11666666666666803</v>
      </c>
      <c r="CM12" s="17">
        <f t="shared" si="4"/>
        <v>2.4033333333333342</v>
      </c>
      <c r="CN12" s="17">
        <f t="shared" si="5"/>
        <v>3.5466666666666669</v>
      </c>
      <c r="CO12" s="38">
        <f t="shared" si="29"/>
        <v>5.833333333333333</v>
      </c>
      <c r="CP12" s="17">
        <f t="shared" si="6"/>
        <v>6.9766666666666657</v>
      </c>
      <c r="CQ12" s="17">
        <f t="shared" si="7"/>
        <v>9.2633333333333319</v>
      </c>
      <c r="CR12" s="17">
        <f t="shared" si="8"/>
        <v>10.406666666666665</v>
      </c>
      <c r="CS12" s="2" cm="1">
        <f t="array" aca="1" ref="CS12" ca="1">MAX(_xlfn._xlws.FILTER(CL12:CR12,CL12:CR12&lt;BN12))</f>
        <v>3.5466666666666669</v>
      </c>
      <c r="CT12" s="2" cm="1">
        <f t="array" aca="1" ref="CT12" ca="1">MIN(_xlfn._xlws.FILTER($CL12:$CR12,$CL12:$CR12&gt;BN12))</f>
        <v>5.833333333333333</v>
      </c>
      <c r="CU12" s="16">
        <f t="shared" ca="1" si="30"/>
        <v>0.64473684210526305</v>
      </c>
      <c r="CV12" s="20">
        <f t="shared" ca="1" si="31"/>
        <v>-0.32236842105263153</v>
      </c>
      <c r="CW12" s="20">
        <f t="shared" ca="1" si="32"/>
        <v>-0.21491228070175436</v>
      </c>
      <c r="CX12" s="20">
        <f t="shared" ca="1" si="33"/>
        <v>-0.12894736842105262</v>
      </c>
      <c r="CY12" s="20">
        <f t="shared" ca="1" si="34"/>
        <v>-7.1637426900584777E-2</v>
      </c>
      <c r="CZ12" s="20">
        <f t="shared" ca="1" si="40"/>
        <v>-3.7925696594427238E-2</v>
      </c>
      <c r="DA12" s="20">
        <f t="shared" ca="1" si="41"/>
        <v>-1.953748006379585E-2</v>
      </c>
      <c r="DB12" s="20">
        <f t="shared" ca="1" si="42"/>
        <v>-9.9190283400809702E-3</v>
      </c>
      <c r="DC12" s="21">
        <f t="shared" ca="1" si="43"/>
        <v>9.9190283400809702E-3</v>
      </c>
      <c r="DD12" s="21">
        <f t="shared" ca="1" si="44"/>
        <v>1.953748006379585E-2</v>
      </c>
      <c r="DE12" s="21">
        <f t="shared" ca="1" si="45"/>
        <v>3.7925696594427238E-2</v>
      </c>
      <c r="DF12" s="21">
        <f t="shared" ca="1" si="35"/>
        <v>7.1637426900584777E-2</v>
      </c>
      <c r="DG12" s="21">
        <f t="shared" ca="1" si="36"/>
        <v>0.12894736842105262</v>
      </c>
      <c r="DH12" s="21">
        <f t="shared" ca="1" si="37"/>
        <v>0.21491228070175436</v>
      </c>
      <c r="DI12" s="21">
        <f t="shared" ca="1" si="38"/>
        <v>0.32236842105263153</v>
      </c>
      <c r="DK12" s="16" cm="1">
        <f t="array" aca="1" ref="DK12" ca="1">MAX(_xlfn._xlws.FILTER(CV12:DI12,CV12:DI12&lt;BT12))</f>
        <v>1.953748006379585E-2</v>
      </c>
      <c r="DL12" s="16" cm="1">
        <f t="array" aca="1" ref="DL12" ca="1">MIN(_xlfn._xlws.FILTER(CV12:DI12,CV12:DI12&gt;BT12))</f>
        <v>3.7925696594427238E-2</v>
      </c>
      <c r="DM12" s="2" cm="1">
        <f t="array" aca="1" ref="DM12" ca="1">_FV(EB12,"Fechamento anterior",TRUE)</f>
        <v>4.5999999999999996</v>
      </c>
      <c r="DN12" s="28">
        <f t="shared" ca="1" si="15"/>
        <v>0.47440106477374633</v>
      </c>
      <c r="DO12" s="15">
        <f t="shared" ca="1" si="16"/>
        <v>4.6898724082934606</v>
      </c>
      <c r="DP12" s="15">
        <f t="shared" ca="1" si="17"/>
        <v>4.7744582043343646</v>
      </c>
      <c r="DQ12" s="9"/>
      <c r="DR12" s="9"/>
      <c r="DS12" s="9"/>
      <c r="DT12" s="89">
        <v>1.8388216530631388E-2</v>
      </c>
      <c r="DU12" s="89">
        <f t="shared" ca="1" si="18"/>
        <v>1.8388216530631388E-2</v>
      </c>
      <c r="DV12" s="72">
        <f t="shared" ca="1" si="19"/>
        <v>0.64378275328095846</v>
      </c>
      <c r="DW12" s="37"/>
      <c r="DX12" s="35">
        <f t="shared" si="39"/>
        <v>9.708243919473801E-2</v>
      </c>
      <c r="DY12" s="56"/>
      <c r="DZ12" s="56"/>
      <c r="EB12" s="2" t="e" vm="12">
        <v>#VALUE!</v>
      </c>
      <c r="ED12" s="10" cm="1">
        <f t="array" aca="1" ref="ED12" ca="1">_FV(EB12,"Ações em circulação",TRUE)</f>
        <v>50602840</v>
      </c>
      <c r="EE12" s="18">
        <f>VLOOKUP(BO12,Fundamentus!A:U,5,FALSE)</f>
        <v>0.106</v>
      </c>
      <c r="EF12" s="2">
        <f t="shared" ca="1" si="20"/>
        <v>2258032388.6792455</v>
      </c>
      <c r="EG12" s="17">
        <v>25064159.514339626</v>
      </c>
      <c r="EH12" s="17">
        <f t="shared" ca="1" si="21"/>
        <v>25064159.514339626</v>
      </c>
      <c r="EJ12" s="16">
        <f t="shared" ca="1" si="22"/>
        <v>0</v>
      </c>
      <c r="EK12" s="32" t="str">
        <f>IF(VLOOKUP(BO12,Fundamentus!A:U,3,FALSE)&lt;15,"Bom",IF(VLOOKUP(BO12,Fundamentus!A:U,3,FALSE)&gt;15,"Ruim","n/a"))</f>
        <v>Bom</v>
      </c>
      <c r="EL12" s="28" t="str">
        <f>IF(VLOOKUP(BO12,Fundamentus!A:U,4,FALSE)&lt;1,"Baixo",IF(VLOOKUP(BO12,Fundamentus!A:U,4,FALSE)&lt;1.5,"Moderado",IF(VLOOKUP(BO12,Fundamentus!A:U,4,FALSE)&gt;1.5,"Alto","n/a")))</f>
        <v>Baixo</v>
      </c>
      <c r="EM12" s="17" t="str">
        <f>IF(VLOOKUP(BO12,Fundamentus!A:U,8,FALSE)&lt;0,"Risco elevado",IF(VLOOKUP(BO12,Fundamentus!A:U,8,FALSE)&lt;1,"Saudável",IF(VLOOKUP(BO12,Fundamentus!A:U,8,FALSE)&lt;3,"Estável",IF(VLOOKUP(BO12,Fundamentus!A:U,8,FALSE)&gt;3,"Alerta","n/a"))))</f>
        <v>Alerta</v>
      </c>
      <c r="EN12" s="28" t="str">
        <f t="shared" si="23"/>
        <v>Ruim</v>
      </c>
      <c r="EO12" s="17" t="str">
        <f>IF(VLOOKUP(BO12,Fundamentus!A:U,12,FALSE)&lt;2,"Subvalorizada",IF(VLOOKUP(BO12,Fundamentus!A:U,12,FALSE)&lt;6,"Muita barata",IF(VLOOKUP(BO12,Fundamentus!A:U,12,FALSE)&lt;6,"Barata",IF(VLOOKUP(BO12,Fundamentus!A:U,12,FALSE)&lt;8,"Atrativa",IF(VLOOKUP(BO12,Fundamentus!A:U,12,FALSE)&gt;8,"Supervalorizada","n/a")))))</f>
        <v>Subvalorizada</v>
      </c>
      <c r="EQ12" s="17" t="str">
        <f>IF(VLOOKUP(BO12,Fundamentus!A:U,17,FALSE)&lt;0.1,"Fraco retorno",IF(VLOOKUP(BO12,Fundamentus!A:U,17,FALSE)&gt;0.1,"Bom retorno","n/a"))</f>
        <v>Fraco retorno</v>
      </c>
      <c r="ER12" s="17" t="str">
        <f>IF(VLOOKUP(BO12,Fundamentus!A:U,16,FALSE)&lt;0.1,"Ineficiente",IF(VLOOKUP(BO12,Fundamentus!A:U,16,FALSE)&gt;0.1,"Eficiente","n/a"))</f>
        <v>Ineficiente</v>
      </c>
      <c r="ES12" s="33" t="str">
        <f>IF(VLOOKUP(BO12,Fundamentus!A:U,16,FALSE)&lt;0.1,"Oper. Ineficiente",IF(VLOOKUP(BO12,Fundamentus!A:U,16,FALSE)&gt;0.1,"Oper.Eficiente","n/a"))</f>
        <v>Oper. Ineficiente</v>
      </c>
      <c r="ET12" s="34">
        <f>VLOOKUP(BO12,Fundamentus!A:U,14,FALSE)</f>
        <v>1.11E-2</v>
      </c>
      <c r="EU12" s="17" t="str">
        <f>IF(VLOOKUP(BO12,Fundamentus!A:U,21,FALSE)&lt;0,"Negativo",IF(VLOOKUP(BO12,Fundamentus!A:U,21,FALSE)&lt;0.05,"Fraco",IF(VLOOKUP(BO12,Fundamentus!A:U,21,FALSE)&lt;0.1,"Bom",IF(VLOOKUP(BO12,Fundamentus!A:U,21,FALSE)&gt;0.1,"Muito bom","n/a"))))</f>
        <v>Muito bom</v>
      </c>
      <c r="EW12" s="29" t="str">
        <f>IF(VLOOKUP(BO12,Fundamentus!A:U,15,FALSE)&gt;1,"Bom",IF(VLOOKUP(BO12,Fundamentus!A:U,15,FALSE)&lt;1,"Ruim","n/a"))</f>
        <v>Bom</v>
      </c>
      <c r="EX12" s="17" t="str">
        <f>IF(VLOOKUP(BO12,Fundamentus!A:U,20,FALSE)&lt;0.5,"Baixa",IF(VLOOKUP(BO12,Fundamentus!A:U,20,FALSE)&lt;1,"Moderada",IF(VLOOKUP(BO12,Fundamentus!A:U,20,FALSE)&lt;2,"Alerta",IF(VLOOKUP(BO12,Fundamentus!A:U,20,FALSE)&gt;2,"Alta","n/a"))))</f>
        <v>Baixa</v>
      </c>
    </row>
    <row r="13" spans="1:154" s="2" customFormat="1" ht="11.25"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5">
        <v>19.329999999999998</v>
      </c>
      <c r="BC13" s="52">
        <v>19.04</v>
      </c>
      <c r="BD13" s="52">
        <v>18.88</v>
      </c>
      <c r="BE13" s="52">
        <v>18.89</v>
      </c>
      <c r="BF13" s="52">
        <v>18.91</v>
      </c>
      <c r="BG13" s="67">
        <v>18.489999999999998</v>
      </c>
      <c r="BH13" s="52">
        <v>18.45</v>
      </c>
      <c r="BI13" s="52">
        <v>17.91</v>
      </c>
      <c r="BJ13" s="52">
        <v>18.100000000000001</v>
      </c>
      <c r="BK13" s="52">
        <v>18.2</v>
      </c>
      <c r="BL13" s="52">
        <v>18.2</v>
      </c>
      <c r="BM13" s="52">
        <v>17.989999999999998</v>
      </c>
      <c r="BN13" s="52" cm="1">
        <f t="array" aca="1" ref="BN13" ca="1">_FV(EB13,"Preço")</f>
        <v>17.989999999999998</v>
      </c>
      <c r="BO13" s="69" t="s">
        <v>10</v>
      </c>
      <c r="BP13" s="36" cm="1">
        <f t="array" aca="1" ref="BP13" ca="1">_FV(EB13,"Média de volume",TRUE)</f>
        <v>2048150</v>
      </c>
      <c r="BQ13" s="36">
        <v>2946900</v>
      </c>
      <c r="BR13" s="36" cm="1">
        <f t="array" aca="1" ref="BR13" ca="1">_FV(EB13,"Volume")</f>
        <v>2946900</v>
      </c>
      <c r="BS13" s="24" cm="1">
        <f t="array" aca="1" ref="BS13" ca="1">_FV(EB13,"Beta")</f>
        <v>0.4798</v>
      </c>
      <c r="BT13" s="71" cm="1">
        <f t="array" aca="1" ref="BT13" ca="1">_FV(EB13,"Variação (%)",TRUE)</f>
        <v>2.2279999999999999E-3</v>
      </c>
      <c r="BV13" s="17" cm="1">
        <f t="array" aca="1" ref="BV13" ca="1">_FV(EB13,"Baixo")</f>
        <v>17.68</v>
      </c>
      <c r="BW13" s="17" cm="1">
        <f t="array" aca="1" ref="BW13" ca="1">_FV(EB13,"Alto")</f>
        <v>18.02</v>
      </c>
      <c r="BX13" s="24"/>
      <c r="BY13" s="63">
        <f ca="1">SQRT(22.5*(BN13/VLOOKUP(BO13,Fundamentus!A:U,3,FALSE))*(BN13/VLOOKUP(BO13,Fundamentus!A:U,4,FALSE)))</f>
        <v>20.423674709323556</v>
      </c>
      <c r="CA13" s="62">
        <f t="shared" ca="1" si="24"/>
        <v>0</v>
      </c>
      <c r="CB13" s="8"/>
      <c r="CC13" s="61">
        <f t="shared" si="25"/>
        <v>16.84</v>
      </c>
      <c r="CD13" s="61">
        <f t="shared" si="26"/>
        <v>20.149999999999999</v>
      </c>
      <c r="CE13" s="61">
        <f t="shared" si="27"/>
        <v>18.181000000000001</v>
      </c>
      <c r="CF13" s="14"/>
      <c r="CG13" s="35">
        <f t="shared" si="1"/>
        <v>17.866578548039772</v>
      </c>
      <c r="CH13" s="15">
        <f t="shared" si="28"/>
        <v>18.04000000000002</v>
      </c>
      <c r="CI13" s="35">
        <f t="shared" si="2"/>
        <v>18.213421451960269</v>
      </c>
      <c r="CK13" s="14"/>
      <c r="CL13" s="17">
        <f t="shared" si="3"/>
        <v>13.333333333333332</v>
      </c>
      <c r="CM13" s="17">
        <f t="shared" si="4"/>
        <v>15.086666666666666</v>
      </c>
      <c r="CN13" s="17">
        <f t="shared" si="5"/>
        <v>16.643333333333331</v>
      </c>
      <c r="CO13" s="38">
        <f t="shared" si="29"/>
        <v>18.396666666666665</v>
      </c>
      <c r="CP13" s="17">
        <f t="shared" si="6"/>
        <v>19.95333333333333</v>
      </c>
      <c r="CQ13" s="17">
        <f t="shared" si="7"/>
        <v>21.706666666666663</v>
      </c>
      <c r="CR13" s="17">
        <f t="shared" si="8"/>
        <v>23.263333333333328</v>
      </c>
      <c r="CS13" s="2" cm="1">
        <f t="array" aca="1" ref="CS13" ca="1">MAX(_xlfn._xlws.FILTER(CL13:CR13,CL13:CR13&lt;BN13))</f>
        <v>16.643333333333331</v>
      </c>
      <c r="CT13" s="2" cm="1">
        <f t="array" aca="1" ref="CT13" ca="1">MIN(_xlfn._xlws.FILTER($CL13:$CR13,$CL13:$CR13&gt;BN13))</f>
        <v>18.396666666666665</v>
      </c>
      <c r="CU13" s="16">
        <f t="shared" ca="1" si="30"/>
        <v>0.1053474864810735</v>
      </c>
      <c r="CV13" s="20">
        <f t="shared" ca="1" si="31"/>
        <v>-5.2673743240536752E-2</v>
      </c>
      <c r="CW13" s="20">
        <f t="shared" ca="1" si="32"/>
        <v>-3.5115828827024499E-2</v>
      </c>
      <c r="CX13" s="20">
        <f t="shared" ca="1" si="33"/>
        <v>-2.1069497296214702E-2</v>
      </c>
      <c r="CY13" s="20">
        <f t="shared" ca="1" si="34"/>
        <v>-1.1705276275674834E-2</v>
      </c>
      <c r="CZ13" s="20">
        <f t="shared" ca="1" si="40"/>
        <v>-6.1969109694749117E-3</v>
      </c>
      <c r="DA13" s="20">
        <f t="shared" ca="1" si="41"/>
        <v>-3.1923480751840454E-3</v>
      </c>
      <c r="DB13" s="20">
        <f t="shared" ca="1" si="42"/>
        <v>-1.6207305612472847E-3</v>
      </c>
      <c r="DC13" s="21">
        <f t="shared" ca="1" si="43"/>
        <v>1.6207305612472847E-3</v>
      </c>
      <c r="DD13" s="21">
        <f t="shared" ca="1" si="44"/>
        <v>3.1923480751840454E-3</v>
      </c>
      <c r="DE13" s="21">
        <f t="shared" ca="1" si="45"/>
        <v>6.1969109694749117E-3</v>
      </c>
      <c r="DF13" s="21">
        <f t="shared" ca="1" si="35"/>
        <v>1.1705276275674834E-2</v>
      </c>
      <c r="DG13" s="21">
        <f t="shared" ca="1" si="36"/>
        <v>2.1069497296214702E-2</v>
      </c>
      <c r="DH13" s="21">
        <f t="shared" ca="1" si="37"/>
        <v>3.5115828827024499E-2</v>
      </c>
      <c r="DI13" s="21">
        <f t="shared" ca="1" si="38"/>
        <v>5.2673743240536752E-2</v>
      </c>
      <c r="DK13" s="16" cm="1">
        <f t="array" aca="1" ref="DK13" ca="1">MAX(_xlfn._xlws.FILTER(CV13:DI13,CV13:DI13&lt;BT13))</f>
        <v>1.6207305612472847E-3</v>
      </c>
      <c r="DL13" s="16" cm="1">
        <f t="array" aca="1" ref="DL13" ca="1">MIN(_xlfn._xlws.FILTER(CV13:DI13,CV13:DI13&gt;BT13))</f>
        <v>3.1923480751840454E-3</v>
      </c>
      <c r="DM13" s="2" cm="1">
        <f t="array" aca="1" ref="DM13" ca="1">_FV(EB13,"Fechamento anterior",TRUE)</f>
        <v>17.95</v>
      </c>
      <c r="DN13" s="28">
        <f t="shared" ca="1" si="15"/>
        <v>0.38666004268292531</v>
      </c>
      <c r="DO13" s="15">
        <f t="shared" ca="1" si="16"/>
        <v>17.979092113574389</v>
      </c>
      <c r="DP13" s="15">
        <f t="shared" ca="1" si="17"/>
        <v>18.007302647949555</v>
      </c>
      <c r="DQ13" s="9"/>
      <c r="DR13" s="9"/>
      <c r="DS13" s="9"/>
      <c r="DT13" s="89">
        <v>1.5716175139367607E-3</v>
      </c>
      <c r="DU13" s="89">
        <f t="shared" ca="1" si="18"/>
        <v>1.5716175139367607E-3</v>
      </c>
      <c r="DV13" s="72">
        <f t="shared" ca="1" si="19"/>
        <v>-0.28831496585256983</v>
      </c>
      <c r="DW13" s="37"/>
      <c r="DX13" s="35">
        <f t="shared" si="39"/>
        <v>8.6710725980123318E-2</v>
      </c>
      <c r="DY13" s="56"/>
      <c r="DZ13" s="56"/>
      <c r="EB13" s="2" t="e" vm="13">
        <v>#VALUE!</v>
      </c>
      <c r="ED13" s="10" cm="1">
        <f t="array" aca="1" ref="ED13" ca="1">_FV(EB13,"Ações em circulação",TRUE)</f>
        <v>443329700</v>
      </c>
      <c r="EE13" s="18">
        <f>VLOOKUP(BO13,Fundamentus!A:U,5,FALSE)</f>
        <v>0.92500000000000004</v>
      </c>
      <c r="EF13" s="2">
        <f t="shared" ca="1" si="20"/>
        <v>8622163570.8108101</v>
      </c>
      <c r="EG13" s="17">
        <v>761337043.30259454</v>
      </c>
      <c r="EH13" s="17">
        <f t="shared" ca="1" si="21"/>
        <v>761337043.30259454</v>
      </c>
      <c r="EJ13" s="16">
        <f t="shared" ca="1" si="22"/>
        <v>0</v>
      </c>
      <c r="EK13" s="32" t="str">
        <f>IF(VLOOKUP(BO13,Fundamentus!A:U,3,FALSE)&lt;15,"Bom",IF(VLOOKUP(BO13,Fundamentus!A:U,3,FALSE)&gt;15,"Ruim","n/a"))</f>
        <v>Bom</v>
      </c>
      <c r="EL13" s="28" t="str">
        <f>IF(VLOOKUP(BO13,Fundamentus!A:U,4,FALSE)&lt;1,"Baixo",IF(VLOOKUP(BO13,Fundamentus!A:U,4,FALSE)&lt;1.5,"Moderado",IF(VLOOKUP(BO13,Fundamentus!A:U,4,FALSE)&gt;1.5,"Alto","n/a")))</f>
        <v>Alto</v>
      </c>
      <c r="EM13" s="17" t="str">
        <f>IF(VLOOKUP(BO13,Fundamentus!A:U,8,FALSE)&lt;0,"Risco elevado",IF(VLOOKUP(BO13,Fundamentus!A:U,8,FALSE)&lt;1,"Saudável",IF(VLOOKUP(BO13,Fundamentus!A:U,8,FALSE)&lt;3,"Estável",IF(VLOOKUP(BO13,Fundamentus!A:U,8,FALSE)&gt;3,"Alerta","n/a"))))</f>
        <v>Alerta</v>
      </c>
      <c r="EN13" s="28" t="str">
        <f t="shared" si="23"/>
        <v>Ruim</v>
      </c>
      <c r="EO13" s="17" t="str">
        <f>IF(VLOOKUP(BO13,Fundamentus!A:U,12,FALSE)&lt;2,"Subvalorizada",IF(VLOOKUP(BO13,Fundamentus!A:U,12,FALSE)&lt;6,"Muita barata",IF(VLOOKUP(BO13,Fundamentus!A:U,12,FALSE)&lt;6,"Barata",IF(VLOOKUP(BO13,Fundamentus!A:U,12,FALSE)&lt;8,"Atrativa",IF(VLOOKUP(BO13,Fundamentus!A:U,12,FALSE)&gt;8,"Supervalorizada","n/a")))))</f>
        <v>Muita barata</v>
      </c>
      <c r="EQ13" s="17" t="str">
        <f>IF(VLOOKUP(BO13,Fundamentus!A:U,17,FALSE)&lt;0.1,"Fraco retorno",IF(VLOOKUP(BO13,Fundamentus!A:U,17,FALSE)&gt;0.1,"Bom retorno","n/a"))</f>
        <v>Bom retorno</v>
      </c>
      <c r="ER13" s="17" t="str">
        <f>IF(VLOOKUP(BO13,Fundamentus!A:U,16,FALSE)&lt;0.1,"Ineficiente",IF(VLOOKUP(BO13,Fundamentus!A:U,16,FALSE)&gt;0.1,"Eficiente","n/a"))</f>
        <v>Eficiente</v>
      </c>
      <c r="ES13" s="33" t="str">
        <f>IF(VLOOKUP(BO13,Fundamentus!A:U,16,FALSE)&lt;0.1,"Oper. Ineficiente",IF(VLOOKUP(BO13,Fundamentus!A:U,16,FALSE)&gt;0.1,"Oper.Eficiente","n/a"))</f>
        <v>Oper.Eficiente</v>
      </c>
      <c r="ET13" s="34">
        <f>VLOOKUP(BO13,Fundamentus!A:U,14,FALSE)</f>
        <v>8.8300000000000003E-2</v>
      </c>
      <c r="EU13" s="17" t="str">
        <f>IF(VLOOKUP(BO13,Fundamentus!A:U,21,FALSE)&lt;0,"Negativo",IF(VLOOKUP(BO13,Fundamentus!A:U,21,FALSE)&lt;0.05,"Fraco",IF(VLOOKUP(BO13,Fundamentus!A:U,21,FALSE)&lt;0.1,"Bom",IF(VLOOKUP(BO13,Fundamentus!A:U,21,FALSE)&gt;0.1,"Muito bom","n/a"))))</f>
        <v>Muito bom</v>
      </c>
      <c r="EW13" s="29" t="str">
        <f>IF(VLOOKUP(BO13,Fundamentus!A:U,15,FALSE)&gt;1,"Bom",IF(VLOOKUP(BO13,Fundamentus!A:U,15,FALSE)&lt;1,"Ruim","n/a"))</f>
        <v>Bom</v>
      </c>
      <c r="EX13" s="17" t="str">
        <f>IF(VLOOKUP(BO13,Fundamentus!A:U,20,FALSE)&lt;0.5,"Baixa",IF(VLOOKUP(BO13,Fundamentus!A:U,20,FALSE)&lt;1,"Moderada",IF(VLOOKUP(BO13,Fundamentus!A:U,20,FALSE)&lt;2,"Alerta",IF(VLOOKUP(BO13,Fundamentus!A:U,20,FALSE)&gt;2,"Alta","n/a"))))</f>
        <v>Alerta</v>
      </c>
    </row>
    <row r="14" spans="1:154" s="2" customFormat="1" ht="11.25"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5">
        <v>5.51</v>
      </c>
      <c r="BC14" s="52">
        <v>5.81</v>
      </c>
      <c r="BD14" s="52">
        <v>5.88</v>
      </c>
      <c r="BE14" s="52">
        <v>5.83</v>
      </c>
      <c r="BF14" s="52">
        <v>6.25</v>
      </c>
      <c r="BG14" s="67">
        <v>6.3</v>
      </c>
      <c r="BH14" s="52">
        <v>6.42</v>
      </c>
      <c r="BI14" s="52">
        <v>6.85</v>
      </c>
      <c r="BJ14" s="52">
        <v>7</v>
      </c>
      <c r="BK14" s="52">
        <v>6.82</v>
      </c>
      <c r="BL14" s="52">
        <v>6.42</v>
      </c>
      <c r="BM14" s="52">
        <v>6.4</v>
      </c>
      <c r="BN14" s="52" cm="1">
        <f t="array" aca="1" ref="BN14" ca="1">_FV(EB14,"Preço")</f>
        <v>6.4</v>
      </c>
      <c r="BO14" s="69" t="s">
        <v>123</v>
      </c>
      <c r="BP14" s="36" cm="1">
        <f t="array" aca="1" ref="BP14" ca="1">_FV(EB14,"Média de volume",TRUE)</f>
        <v>332490</v>
      </c>
      <c r="BQ14" s="36">
        <v>618500</v>
      </c>
      <c r="BR14" s="36" cm="1">
        <f t="array" aca="1" ref="BR14" ca="1">_FV(EB14,"Volume")</f>
        <v>618500</v>
      </c>
      <c r="BS14" s="24" cm="1">
        <f t="array" aca="1" ref="BS14" ca="1">_FV(EB14,"Beta")</f>
        <v>1.2604</v>
      </c>
      <c r="BT14" s="71" cm="1">
        <f t="array" aca="1" ref="BT14" ca="1">_FV(EB14,"Variação (%)",TRUE)</f>
        <v>1.1057999999999998E-2</v>
      </c>
      <c r="BV14" s="17" cm="1">
        <f t="array" aca="1" ref="BV14" ca="1">_FV(EB14,"Baixo")</f>
        <v>6.22</v>
      </c>
      <c r="BW14" s="17" cm="1">
        <f t="array" aca="1" ref="BW14" ca="1">_FV(EB14,"Alto")</f>
        <v>6.45</v>
      </c>
      <c r="BX14" s="24"/>
      <c r="BY14" s="63" t="e">
        <f ca="1">SQRT(22.5*(BN14/VLOOKUP(BO14,Fundamentus!A:U,3,FALSE))*(BN14/VLOOKUP(BO14,Fundamentus!A:U,4,FALSE)))</f>
        <v>#NUM!</v>
      </c>
      <c r="CA14" s="62">
        <f t="shared" ca="1" si="24"/>
        <v>0</v>
      </c>
      <c r="CB14" s="8"/>
      <c r="CC14" s="61">
        <f t="shared" si="25"/>
        <v>5.05</v>
      </c>
      <c r="CD14" s="61">
        <f t="shared" si="26"/>
        <v>7</v>
      </c>
      <c r="CE14" s="61">
        <f t="shared" si="27"/>
        <v>6.1030769230769248</v>
      </c>
      <c r="CF14" s="14"/>
      <c r="CG14" s="35">
        <f t="shared" si="1"/>
        <v>5.5938604839775703</v>
      </c>
      <c r="CH14" s="15">
        <f t="shared" si="28"/>
        <v>6.1100000000001273</v>
      </c>
      <c r="CI14" s="35">
        <f t="shared" si="2"/>
        <v>6.6261395160226844</v>
      </c>
      <c r="CK14" s="14"/>
      <c r="CL14" s="17">
        <f t="shared" si="3"/>
        <v>3.3633333333333324</v>
      </c>
      <c r="CM14" s="17">
        <f t="shared" si="4"/>
        <v>4.2066666666666661</v>
      </c>
      <c r="CN14" s="17">
        <f t="shared" si="5"/>
        <v>5.3133333333333326</v>
      </c>
      <c r="CO14" s="38">
        <f t="shared" si="29"/>
        <v>6.1566666666666663</v>
      </c>
      <c r="CP14" s="17">
        <f t="shared" si="6"/>
        <v>7.2633333333333328</v>
      </c>
      <c r="CQ14" s="17">
        <f t="shared" si="7"/>
        <v>8.1066666666666656</v>
      </c>
      <c r="CR14" s="17">
        <f t="shared" si="8"/>
        <v>9.2133333333333329</v>
      </c>
      <c r="CS14" s="2" cm="1">
        <f t="array" aca="1" ref="CS14" ca="1">MAX(_xlfn._xlws.FILTER(CL14:CR14,CL14:CR14&lt;BN14))</f>
        <v>6.1566666666666663</v>
      </c>
      <c r="CT14" s="2" cm="1">
        <f t="array" aca="1" ref="CT14" ca="1">MIN(_xlfn._xlws.FILTER($CL14:$CR14,$CL14:$CR14&gt;BN14))</f>
        <v>7.2633333333333328</v>
      </c>
      <c r="CU14" s="16">
        <f t="shared" ref="CU14:CU18" ca="1" si="46">(CT14/CS14)-1</f>
        <v>0.17975094748240394</v>
      </c>
      <c r="CV14" s="20">
        <f t="shared" ref="CV14:CV18" ca="1" si="47">-$CU14/2</f>
        <v>-8.9875473741201972E-2</v>
      </c>
      <c r="CW14" s="20">
        <f t="shared" ref="CW14:CW18" ca="1" si="48">-$CU14/3</f>
        <v>-5.991698249413465E-2</v>
      </c>
      <c r="CX14" s="20">
        <f t="shared" ref="CX14:CX18" ca="1" si="49">-$CU14/5</f>
        <v>-3.5950189496480787E-2</v>
      </c>
      <c r="CY14" s="20">
        <f t="shared" ref="CY14:CY18" ca="1" si="50">-$CU14/9</f>
        <v>-1.9972327498044881E-2</v>
      </c>
      <c r="CZ14" s="20">
        <f t="shared" ref="CZ14:CZ18" ca="1" si="51">-$CU14/17</f>
        <v>-1.0573585146023761E-2</v>
      </c>
      <c r="DA14" s="20">
        <f t="shared" ref="DA14:DA18" ca="1" si="52">-$CU14/33</f>
        <v>-5.4469984085576953E-3</v>
      </c>
      <c r="DB14" s="20">
        <f t="shared" ref="DB14:DB18" ca="1" si="53">-$CU14/65</f>
        <v>-2.765399192036984E-3</v>
      </c>
      <c r="DC14" s="21">
        <f t="shared" ref="DC14:DC18" ca="1" si="54">-$CU14/65*-1</f>
        <v>2.765399192036984E-3</v>
      </c>
      <c r="DD14" s="21">
        <f t="shared" ref="DD14:DD18" ca="1" si="55">-$CU14/33*-1</f>
        <v>5.4469984085576953E-3</v>
      </c>
      <c r="DE14" s="21">
        <f t="shared" ref="DE14:DE18" ca="1" si="56">-$CU14/17*-1</f>
        <v>1.0573585146023761E-2</v>
      </c>
      <c r="DF14" s="21">
        <f t="shared" ref="DF14:DF18" ca="1" si="57">-$CU14/9*-1</f>
        <v>1.9972327498044881E-2</v>
      </c>
      <c r="DG14" s="21">
        <f t="shared" ref="DG14:DG18" ca="1" si="58">-$CU14/5*-1</f>
        <v>3.5950189496480787E-2</v>
      </c>
      <c r="DH14" s="21">
        <f t="shared" ref="DH14:DH18" ca="1" si="59">-$CU14/3*-1</f>
        <v>5.991698249413465E-2</v>
      </c>
      <c r="DI14" s="21">
        <f t="shared" ref="DI14:DI18" ca="1" si="60">-$CU14/2*-1</f>
        <v>8.9875473741201972E-2</v>
      </c>
      <c r="DK14" s="16" cm="1">
        <f t="array" aca="1" ref="DK14" ca="1">MAX(_xlfn._xlws.FILTER(CV14:DI14,CV14:DI14&lt;BT14))</f>
        <v>1.0573585146023761E-2</v>
      </c>
      <c r="DL14" s="16" cm="1">
        <f t="array" aca="1" ref="DL14" ca="1">MIN(_xlfn._xlws.FILTER(CV14:DI14,CV14:DI14&gt;BT14))</f>
        <v>1.9972327498044881E-2</v>
      </c>
      <c r="DM14" s="2" cm="1">
        <f t="array" aca="1" ref="DM14" ca="1">_FV(EB14,"Fechamento anterior",TRUE)</f>
        <v>6.33</v>
      </c>
      <c r="DN14" s="28">
        <f t="shared" ca="1" si="15"/>
        <v>5.1588462856174924E-2</v>
      </c>
      <c r="DO14" s="15">
        <f t="shared" ref="DO14:DO18" ca="1" si="61">DM14+(DM14*DK14)</f>
        <v>6.3969307939743301</v>
      </c>
      <c r="DP14" s="15">
        <f t="shared" ref="DP14:DP18" ca="1" si="62">DM14+(DM14*DL14)</f>
        <v>6.4564248330626244</v>
      </c>
      <c r="DQ14" s="9"/>
      <c r="DR14" s="9"/>
      <c r="DS14" s="9"/>
      <c r="DT14" s="89">
        <v>9.3987423520211204E-3</v>
      </c>
      <c r="DU14" s="89">
        <f t="shared" ca="1" si="18"/>
        <v>9.3987423520211204E-3</v>
      </c>
      <c r="DV14" s="72">
        <f t="shared" ca="1" si="19"/>
        <v>0.56186358726154784</v>
      </c>
      <c r="DW14" s="37"/>
      <c r="DX14" s="35">
        <f t="shared" si="39"/>
        <v>0.25806975801127874</v>
      </c>
      <c r="DY14" s="56"/>
      <c r="DZ14" s="56"/>
      <c r="EB14" s="2" t="e" vm="14">
        <v>#VALUE!</v>
      </c>
      <c r="ED14" s="10" cm="1">
        <f t="array" aca="1" ref="ED14" ca="1">_FV(EB14,"Ações em circulação",TRUE)</f>
        <v>199959500</v>
      </c>
      <c r="EE14" s="18">
        <f>VLOOKUP(BO14,Fundamentus!A:U,5,FALSE)</f>
        <v>0.754</v>
      </c>
      <c r="EF14" s="2">
        <f t="shared" ca="1" si="20"/>
        <v>1697268965.5172415</v>
      </c>
      <c r="EG14" s="17">
        <v>-23252584.827586208</v>
      </c>
      <c r="EH14" s="17">
        <f t="shared" ca="1" si="21"/>
        <v>-23252584.827586208</v>
      </c>
      <c r="EJ14" s="16">
        <f t="shared" ca="1" si="22"/>
        <v>0</v>
      </c>
      <c r="EK14" s="32" t="str">
        <f>IF(VLOOKUP(BO14,Fundamentus!A:U,3,FALSE)&lt;15,"Bom",IF(VLOOKUP(BO14,Fundamentus!A:U,3,FALSE)&gt;15,"Ruim","n/a"))</f>
        <v>Bom</v>
      </c>
      <c r="EL14" s="28" t="str">
        <f>IF(VLOOKUP(BO14,Fundamentus!A:U,4,FALSE)&lt;1,"Baixo",IF(VLOOKUP(BO14,Fundamentus!A:U,4,FALSE)&lt;1.5,"Moderado",IF(VLOOKUP(BO14,Fundamentus!A:U,4,FALSE)&gt;1.5,"Alto","n/a")))</f>
        <v>Moderado</v>
      </c>
      <c r="EM14" s="17" t="str">
        <f>IF(VLOOKUP(BO14,Fundamentus!A:U,8,FALSE)&lt;0,"Risco elevado",IF(VLOOKUP(BO14,Fundamentus!A:U,8,FALSE)&lt;1,"Saudável",IF(VLOOKUP(BO14,Fundamentus!A:U,8,FALSE)&lt;3,"Estável",IF(VLOOKUP(BO14,Fundamentus!A:U,8,FALSE)&gt;3,"Alerta","n/a"))))</f>
        <v>Alerta</v>
      </c>
      <c r="EN14" s="28" t="str">
        <f t="shared" si="23"/>
        <v>Ruim</v>
      </c>
      <c r="EO14" s="17" t="str">
        <f>IF(VLOOKUP(BO14,Fundamentus!A:U,12,FALSE)&lt;2,"Subvalorizada",IF(VLOOKUP(BO14,Fundamentus!A:U,12,FALSE)&lt;6,"Muita barata",IF(VLOOKUP(BO14,Fundamentus!A:U,12,FALSE)&lt;6,"Barata",IF(VLOOKUP(BO14,Fundamentus!A:U,12,FALSE)&lt;8,"Atrativa",IF(VLOOKUP(BO14,Fundamentus!A:U,12,FALSE)&gt;8,"Supervalorizada","n/a")))))</f>
        <v>Muita barata</v>
      </c>
      <c r="EQ14" s="17" t="str">
        <f>IF(VLOOKUP(BO14,Fundamentus!A:U,17,FALSE)&lt;0.1,"Fraco retorno",IF(VLOOKUP(BO14,Fundamentus!A:U,17,FALSE)&gt;0.1,"Bom retorno","n/a"))</f>
        <v>Fraco retorno</v>
      </c>
      <c r="ER14" s="17" t="str">
        <f>IF(VLOOKUP(BO14,Fundamentus!A:U,16,FALSE)&lt;0.1,"Ineficiente",IF(VLOOKUP(BO14,Fundamentus!A:U,16,FALSE)&gt;0.1,"Eficiente","n/a"))</f>
        <v>Ineficiente</v>
      </c>
      <c r="ES14" s="33" t="str">
        <f>IF(VLOOKUP(BO14,Fundamentus!A:U,16,FALSE)&lt;0.1,"Oper. Ineficiente",IF(VLOOKUP(BO14,Fundamentus!A:U,16,FALSE)&gt;0.1,"Oper.Eficiente","n/a"))</f>
        <v>Oper. Ineficiente</v>
      </c>
      <c r="ET14" s="34">
        <f>VLOOKUP(BO14,Fundamentus!A:U,14,FALSE)</f>
        <v>-1.37E-2</v>
      </c>
      <c r="EU14" s="17" t="str">
        <f>IF(VLOOKUP(BO14,Fundamentus!A:U,21,FALSE)&lt;0,"Negativo",IF(VLOOKUP(BO14,Fundamentus!A:U,21,FALSE)&lt;0.05,"Fraco",IF(VLOOKUP(BO14,Fundamentus!A:U,21,FALSE)&lt;0.1,"Bom",IF(VLOOKUP(BO14,Fundamentus!A:U,21,FALSE)&gt;0.1,"Muito bom","n/a"))))</f>
        <v>Muito bom</v>
      </c>
      <c r="EW14" s="29" t="str">
        <f>IF(VLOOKUP(BO14,Fundamentus!A:U,15,FALSE)&gt;1,"Bom",IF(VLOOKUP(BO14,Fundamentus!A:U,15,FALSE)&lt;1,"Ruim","n/a"))</f>
        <v>Bom</v>
      </c>
      <c r="EX14" s="17" t="str">
        <f>IF(VLOOKUP(BO14,Fundamentus!A:U,20,FALSE)&lt;0.5,"Baixa",IF(VLOOKUP(BO14,Fundamentus!A:U,20,FALSE)&lt;1,"Moderada",IF(VLOOKUP(BO14,Fundamentus!A:U,20,FALSE)&lt;2,"Alerta",IF(VLOOKUP(BO14,Fundamentus!A:U,20,FALSE)&gt;2,"Alta","n/a"))))</f>
        <v>Alerta</v>
      </c>
    </row>
    <row r="15" spans="1:154" s="2" customFormat="1" ht="11.25"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5">
        <v>15.53</v>
      </c>
      <c r="BC15" s="52">
        <v>15.91</v>
      </c>
      <c r="BD15" s="52">
        <v>15.69</v>
      </c>
      <c r="BE15" s="52">
        <v>15.4</v>
      </c>
      <c r="BF15" s="52">
        <v>14.98</v>
      </c>
      <c r="BG15" s="67">
        <v>15.5</v>
      </c>
      <c r="BH15" s="52">
        <v>15.37</v>
      </c>
      <c r="BI15" s="52">
        <v>15.34</v>
      </c>
      <c r="BJ15" s="52">
        <v>15.37</v>
      </c>
      <c r="BK15" s="52">
        <v>14.44</v>
      </c>
      <c r="BL15" s="52">
        <v>13.79</v>
      </c>
      <c r="BM15" s="52">
        <v>13.96</v>
      </c>
      <c r="BN15" s="52" cm="1">
        <f t="array" aca="1" ref="BN15" ca="1">_FV(EB15,"Preço")</f>
        <v>13.96</v>
      </c>
      <c r="BO15" s="69" t="s">
        <v>12</v>
      </c>
      <c r="BP15" s="36" cm="1">
        <f t="array" aca="1" ref="BP15" ca="1">_FV(EB15,"Média de volume",TRUE)</f>
        <v>71530</v>
      </c>
      <c r="BQ15" s="36">
        <v>21300</v>
      </c>
      <c r="BR15" s="36" cm="1">
        <f t="array" aca="1" ref="BR15" ca="1">_FV(EB15,"Volume")</f>
        <v>21300</v>
      </c>
      <c r="BS15" s="24" cm="1">
        <f t="array" aca="1" ref="BS15" ca="1">_FV(EB15,"Beta")</f>
        <v>1.1056999999999999</v>
      </c>
      <c r="BT15" s="71" cm="1">
        <f t="array" aca="1" ref="BT15" ca="1">_FV(EB15,"Variação (%)",TRUE)</f>
        <v>1.1594E-2</v>
      </c>
      <c r="BV15" s="17" cm="1">
        <f t="array" aca="1" ref="BV15" ca="1">_FV(EB15,"Baixo")</f>
        <v>13.81</v>
      </c>
      <c r="BW15" s="17" cm="1">
        <f t="array" aca="1" ref="BW15" ca="1">_FV(EB15,"Alto")</f>
        <v>13.96</v>
      </c>
      <c r="BX15" s="24"/>
      <c r="BY15" s="63">
        <f ca="1">SQRT(22.5*(BN15/VLOOKUP(BO15,Fundamentus!A:U,3,FALSE))*(BN15/VLOOKUP(BO15,Fundamentus!A:U,4,FALSE)))</f>
        <v>22.435084738597798</v>
      </c>
      <c r="CA15" s="62">
        <f t="shared" ca="1" si="24"/>
        <v>0</v>
      </c>
      <c r="CB15" s="8"/>
      <c r="CC15" s="61">
        <f t="shared" si="25"/>
        <v>12.24</v>
      </c>
      <c r="CD15" s="61">
        <f t="shared" si="26"/>
        <v>16.399999999999999</v>
      </c>
      <c r="CE15" s="61">
        <f t="shared" si="27"/>
        <v>14.472461538461538</v>
      </c>
      <c r="CF15" s="14"/>
      <c r="CG15" s="35">
        <f t="shared" si="1"/>
        <v>11.942074920852328</v>
      </c>
      <c r="CH15" s="15">
        <f t="shared" si="28"/>
        <v>13.170000000000073</v>
      </c>
      <c r="CI15" s="35">
        <f t="shared" si="2"/>
        <v>14.397925079147818</v>
      </c>
      <c r="CK15" s="14"/>
      <c r="CL15" s="17">
        <f t="shared" si="3"/>
        <v>7.7266666666666683</v>
      </c>
      <c r="CM15" s="17">
        <f t="shared" si="4"/>
        <v>9.9833333333333343</v>
      </c>
      <c r="CN15" s="17">
        <f t="shared" si="5"/>
        <v>11.886666666666667</v>
      </c>
      <c r="CO15" s="38">
        <f t="shared" si="29"/>
        <v>14.143333333333333</v>
      </c>
      <c r="CP15" s="17">
        <f t="shared" si="6"/>
        <v>16.046666666666667</v>
      </c>
      <c r="CQ15" s="17">
        <f t="shared" si="7"/>
        <v>18.303333333333331</v>
      </c>
      <c r="CR15" s="17">
        <f t="shared" si="8"/>
        <v>20.206666666666663</v>
      </c>
      <c r="CS15" s="2" cm="1">
        <f t="array" aca="1" ref="CS15" ca="1">MAX(_xlfn._xlws.FILTER(CL15:CR15,CL15:CR15&lt;BN15))</f>
        <v>11.886666666666667</v>
      </c>
      <c r="CT15" s="2" cm="1">
        <f t="array" aca="1" ref="CT15" ca="1">MIN(_xlfn._xlws.FILTER($CL15:$CR15,$CL15:$CR15&gt;BN15))</f>
        <v>14.143333333333333</v>
      </c>
      <c r="CU15" s="16">
        <f t="shared" ca="1" si="46"/>
        <v>0.18984856982613563</v>
      </c>
      <c r="CV15" s="20">
        <f t="shared" ca="1" si="47"/>
        <v>-9.4924284913067813E-2</v>
      </c>
      <c r="CW15" s="20">
        <f t="shared" ca="1" si="48"/>
        <v>-6.3282856608711871E-2</v>
      </c>
      <c r="CX15" s="20">
        <f t="shared" ca="1" si="49"/>
        <v>-3.7969713965227123E-2</v>
      </c>
      <c r="CY15" s="20">
        <f t="shared" ca="1" si="50"/>
        <v>-2.1094285536237291E-2</v>
      </c>
      <c r="CZ15" s="20">
        <f t="shared" ca="1" si="51"/>
        <v>-1.1167562930949155E-2</v>
      </c>
      <c r="DA15" s="20">
        <f t="shared" ca="1" si="52"/>
        <v>-5.7529869644283521E-3</v>
      </c>
      <c r="DB15" s="20">
        <f t="shared" ca="1" si="53"/>
        <v>-2.9207472280943941E-3</v>
      </c>
      <c r="DC15" s="21">
        <f t="shared" ca="1" si="54"/>
        <v>2.9207472280943941E-3</v>
      </c>
      <c r="DD15" s="21">
        <f t="shared" ca="1" si="55"/>
        <v>5.7529869644283521E-3</v>
      </c>
      <c r="DE15" s="21">
        <f t="shared" ca="1" si="56"/>
        <v>1.1167562930949155E-2</v>
      </c>
      <c r="DF15" s="21">
        <f t="shared" ca="1" si="57"/>
        <v>2.1094285536237291E-2</v>
      </c>
      <c r="DG15" s="21">
        <f t="shared" ca="1" si="58"/>
        <v>3.7969713965227123E-2</v>
      </c>
      <c r="DH15" s="21">
        <f t="shared" ca="1" si="59"/>
        <v>6.3282856608711871E-2</v>
      </c>
      <c r="DI15" s="21">
        <f t="shared" ca="1" si="60"/>
        <v>9.4924284913067813E-2</v>
      </c>
      <c r="DK15" s="16" cm="1">
        <f t="array" aca="1" ref="DK15" ca="1">MAX(_xlfn._xlws.FILTER(CV15:DI15,CV15:DI15&lt;BT15))</f>
        <v>1.1167562930949155E-2</v>
      </c>
      <c r="DL15" s="16" cm="1">
        <f t="array" aca="1" ref="DL15" ca="1">MIN(_xlfn._xlws.FILTER(CV15:DI15,CV15:DI15&gt;BT15))</f>
        <v>2.1094285536237291E-2</v>
      </c>
      <c r="DM15" s="2" cm="1">
        <f t="array" aca="1" ref="DM15" ca="1">_FV(EB15,"Fechamento anterior",TRUE)</f>
        <v>13.8</v>
      </c>
      <c r="DN15" s="28">
        <f t="shared" ca="1" si="15"/>
        <v>4.2978935200053907E-2</v>
      </c>
      <c r="DO15" s="15">
        <f t="shared" ca="1" si="61"/>
        <v>13.954112368447099</v>
      </c>
      <c r="DP15" s="15">
        <f t="shared" ca="1" si="62"/>
        <v>14.091101140400076</v>
      </c>
      <c r="DQ15" s="9"/>
      <c r="DR15" s="9"/>
      <c r="DS15" s="9"/>
      <c r="DT15" s="89">
        <v>9.9267226052881363E-3</v>
      </c>
      <c r="DU15" s="89">
        <f t="shared" ca="1" si="18"/>
        <v>9.9267226052881363E-3</v>
      </c>
      <c r="DV15" s="72">
        <f t="shared" ca="1" si="19"/>
        <v>0.64336172736877095</v>
      </c>
      <c r="DW15" s="37"/>
      <c r="DX15" s="35">
        <f t="shared" si="39"/>
        <v>0.61396253957387303</v>
      </c>
      <c r="DY15" s="56"/>
      <c r="DZ15" s="56"/>
      <c r="EB15" s="2" t="e" vm="15">
        <v>#VALUE!</v>
      </c>
      <c r="ED15" s="10" cm="1">
        <f t="array" aca="1" ref="ED15" ca="1">_FV(EB15,"Ações em circulação",TRUE)</f>
        <v>3749266000</v>
      </c>
      <c r="EE15" s="18">
        <f>VLOOKUP(BO15,Fundamentus!A:U,5,FALSE)</f>
        <v>0</v>
      </c>
      <c r="EF15" s="2" t="e">
        <f t="shared" ca="1" si="20"/>
        <v>#DIV/0!</v>
      </c>
      <c r="EG15" s="17" t="e">
        <v>#DIV/0!</v>
      </c>
      <c r="EH15" s="17" t="e">
        <f t="shared" ca="1" si="21"/>
        <v>#DIV/0!</v>
      </c>
      <c r="EJ15" s="16" t="e">
        <f t="shared" ca="1" si="22"/>
        <v>#DIV/0!</v>
      </c>
      <c r="EK15" s="32" t="str">
        <f>IF(VLOOKUP(BO15,Fundamentus!A:U,3,FALSE)&lt;15,"Bom",IF(VLOOKUP(BO15,Fundamentus!A:U,3,FALSE)&gt;15,"Ruim","n/a"))</f>
        <v>Bom</v>
      </c>
      <c r="EL15" s="28" t="str">
        <f>IF(VLOOKUP(BO15,Fundamentus!A:U,4,FALSE)&lt;1,"Baixo",IF(VLOOKUP(BO15,Fundamentus!A:U,4,FALSE)&lt;1.5,"Moderado",IF(VLOOKUP(BO15,Fundamentus!A:U,4,FALSE)&gt;1.5,"Alto","n/a")))</f>
        <v>Moderado</v>
      </c>
      <c r="EM15" s="17" t="str">
        <f>IF(VLOOKUP(BO15,Fundamentus!A:U,8,FALSE)&lt;0,"Risco elevado",IF(VLOOKUP(BO15,Fundamentus!A:U,8,FALSE)&lt;1,"Saudável",IF(VLOOKUP(BO15,Fundamentus!A:U,8,FALSE)&lt;3,"Estável",IF(VLOOKUP(BO15,Fundamentus!A:U,8,FALSE)&gt;3,"Alerta","n/a"))))</f>
        <v>Saudável</v>
      </c>
      <c r="EN15" s="28" t="str">
        <f t="shared" si="23"/>
        <v>Ruim</v>
      </c>
      <c r="EO15" s="17" t="str">
        <f>IF(VLOOKUP(BO15,Fundamentus!A:U,12,FALSE)&lt;2,"Subvalorizada",IF(VLOOKUP(BO15,Fundamentus!A:U,12,FALSE)&lt;6,"Muita barata",IF(VLOOKUP(BO15,Fundamentus!A:U,12,FALSE)&lt;6,"Barata",IF(VLOOKUP(BO15,Fundamentus!A:U,12,FALSE)&lt;8,"Atrativa",IF(VLOOKUP(BO15,Fundamentus!A:U,12,FALSE)&gt;8,"Supervalorizada","n/a")))))</f>
        <v>Subvalorizada</v>
      </c>
      <c r="EQ15" s="17" t="str">
        <f>IF(VLOOKUP(BO15,Fundamentus!A:U,17,FALSE)&lt;0.1,"Fraco retorno",IF(VLOOKUP(BO15,Fundamentus!A:U,17,FALSE)&gt;0.1,"Bom retorno","n/a"))</f>
        <v>Bom retorno</v>
      </c>
      <c r="ER15" s="17" t="str">
        <f>IF(VLOOKUP(BO15,Fundamentus!A:U,16,FALSE)&lt;0.1,"Ineficiente",IF(VLOOKUP(BO15,Fundamentus!A:U,16,FALSE)&gt;0.1,"Eficiente","n/a"))</f>
        <v>Ineficiente</v>
      </c>
      <c r="ES15" s="33" t="str">
        <f>IF(VLOOKUP(BO15,Fundamentus!A:U,16,FALSE)&lt;0.1,"Oper. Ineficiente",IF(VLOOKUP(BO15,Fundamentus!A:U,16,FALSE)&gt;0.1,"Oper.Eficiente","n/a"))</f>
        <v>Oper. Ineficiente</v>
      </c>
      <c r="ET15" s="34">
        <f>VLOOKUP(BO15,Fundamentus!A:U,14,FALSE)</f>
        <v>0</v>
      </c>
      <c r="EU15" s="17" t="str">
        <f>IF(VLOOKUP(BO15,Fundamentus!A:U,21,FALSE)&lt;0,"Negativo",IF(VLOOKUP(BO15,Fundamentus!A:U,21,FALSE)&lt;0.05,"Fraco",IF(VLOOKUP(BO15,Fundamentus!A:U,21,FALSE)&lt;0.1,"Bom",IF(VLOOKUP(BO15,Fundamentus!A:U,21,FALSE)&gt;0.1,"Muito bom","n/a"))))</f>
        <v>Negativo</v>
      </c>
      <c r="EW15" s="29" t="str">
        <f>IF(VLOOKUP(BO15,Fundamentus!A:U,15,FALSE)&gt;1,"Bom",IF(VLOOKUP(BO15,Fundamentus!A:U,15,FALSE)&lt;1,"Ruim","n/a"))</f>
        <v>Ruim</v>
      </c>
      <c r="EX15" s="17" t="str">
        <f>IF(VLOOKUP(BO15,Fundamentus!A:U,20,FALSE)&lt;0.5,"Baixa",IF(VLOOKUP(BO15,Fundamentus!A:U,20,FALSE)&lt;1,"Moderada",IF(VLOOKUP(BO15,Fundamentus!A:U,20,FALSE)&lt;2,"Alerta",IF(VLOOKUP(BO15,Fundamentus!A:U,20,FALSE)&gt;2,"Alta","n/a"))))</f>
        <v>Baixa</v>
      </c>
    </row>
    <row r="16" spans="1:154" s="2" customFormat="1" ht="11.25"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5">
        <v>4.42</v>
      </c>
      <c r="BC16" s="52">
        <v>4.7</v>
      </c>
      <c r="BD16" s="52">
        <v>4.8899999999999997</v>
      </c>
      <c r="BE16" s="52">
        <v>4.88</v>
      </c>
      <c r="BF16" s="52">
        <v>4.91</v>
      </c>
      <c r="BG16" s="67">
        <v>4.95</v>
      </c>
      <c r="BH16" s="52">
        <v>4.75</v>
      </c>
      <c r="BI16" s="52">
        <v>5.05</v>
      </c>
      <c r="BJ16" s="52">
        <v>4.5999999999999996</v>
      </c>
      <c r="BK16" s="52">
        <v>4.2</v>
      </c>
      <c r="BL16" s="52">
        <v>4.17</v>
      </c>
      <c r="BM16" s="52">
        <v>4.08</v>
      </c>
      <c r="BN16" s="52" cm="1">
        <f t="array" aca="1" ref="BN16" ca="1">_FV(EB16,"Preço")</f>
        <v>4.08</v>
      </c>
      <c r="BO16" s="69" t="s">
        <v>13</v>
      </c>
      <c r="BP16" s="36" cm="1">
        <f t="array" aca="1" ref="BP16" ca="1">_FV(EB16,"Média de volume",TRUE)</f>
        <v>50010</v>
      </c>
      <c r="BQ16" s="36">
        <v>34200</v>
      </c>
      <c r="BR16" s="36" cm="1">
        <f t="array" aca="1" ref="BR16" ca="1">_FV(EB16,"Volume")</f>
        <v>34200</v>
      </c>
      <c r="BS16" s="24" cm="1">
        <f t="array" aca="1" ref="BS16" ca="1">_FV(EB16,"Beta")</f>
        <v>0.56169999999999998</v>
      </c>
      <c r="BT16" s="71" cm="1">
        <f t="array" aca="1" ref="BT16" ca="1">_FV(EB16,"Variação (%)",TRUE)</f>
        <v>-9.7090000000000006E-3</v>
      </c>
      <c r="BV16" s="17" cm="1">
        <f t="array" aca="1" ref="BV16" ca="1">_FV(EB16,"Baixo")</f>
        <v>4.0599999999999996</v>
      </c>
      <c r="BW16" s="17" cm="1">
        <f t="array" aca="1" ref="BW16" ca="1">_FV(EB16,"Alto")</f>
        <v>4.0999999999999996</v>
      </c>
      <c r="BX16" s="24"/>
      <c r="BY16" s="63">
        <f ca="1">SQRT(22.5*(BN16/VLOOKUP(BO16,Fundamentus!A:U,3,FALSE))*(BN16/VLOOKUP(BO16,Fundamentus!A:U,4,FALSE)))</f>
        <v>4.8547582629870547</v>
      </c>
      <c r="CA16" s="62">
        <f t="shared" ca="1" si="24"/>
        <v>0</v>
      </c>
      <c r="CB16" s="8"/>
      <c r="CC16" s="61">
        <f t="shared" si="25"/>
        <v>4.08</v>
      </c>
      <c r="CD16" s="61">
        <f t="shared" si="26"/>
        <v>5.08</v>
      </c>
      <c r="CE16" s="61">
        <f t="shared" si="27"/>
        <v>4.4605384615384605</v>
      </c>
      <c r="CF16" s="14"/>
      <c r="CG16" s="35">
        <f t="shared" si="1"/>
        <v>3.4654064565086262</v>
      </c>
      <c r="CH16" s="15">
        <f t="shared" si="28"/>
        <v>3.8650000000000091</v>
      </c>
      <c r="CI16" s="35">
        <f t="shared" si="2"/>
        <v>4.264593543491392</v>
      </c>
      <c r="CK16" s="14"/>
      <c r="CL16" s="17">
        <f t="shared" si="3"/>
        <v>2.8066666666666666</v>
      </c>
      <c r="CM16" s="17">
        <f t="shared" si="4"/>
        <v>3.4433333333333334</v>
      </c>
      <c r="CN16" s="17">
        <f t="shared" si="5"/>
        <v>3.8066666666666666</v>
      </c>
      <c r="CO16" s="38">
        <f t="shared" si="29"/>
        <v>4.4433333333333334</v>
      </c>
      <c r="CP16" s="17">
        <f t="shared" si="6"/>
        <v>4.8066666666666666</v>
      </c>
      <c r="CQ16" s="17">
        <f t="shared" si="7"/>
        <v>5.4433333333333334</v>
      </c>
      <c r="CR16" s="17">
        <f t="shared" si="8"/>
        <v>5.8066666666666666</v>
      </c>
      <c r="CS16" s="2" cm="1">
        <f t="array" aca="1" ref="CS16" ca="1">MAX(_xlfn._xlws.FILTER(CL16:CR16,CL16:CR16&lt;BN16))</f>
        <v>3.8066666666666666</v>
      </c>
      <c r="CT16" s="2" cm="1">
        <f t="array" aca="1" ref="CT16" ca="1">MIN(_xlfn._xlws.FILTER($CL16:$CR16,$CL16:$CR16&gt;BN16))</f>
        <v>4.4433333333333334</v>
      </c>
      <c r="CU16" s="16">
        <f t="shared" ca="1" si="46"/>
        <v>0.16725043782837123</v>
      </c>
      <c r="CV16" s="20">
        <f t="shared" ca="1" si="47"/>
        <v>-8.3625218914185617E-2</v>
      </c>
      <c r="CW16" s="20">
        <f t="shared" ca="1" si="48"/>
        <v>-5.5750145942790409E-2</v>
      </c>
      <c r="CX16" s="20">
        <f t="shared" ca="1" si="49"/>
        <v>-3.3450087565674247E-2</v>
      </c>
      <c r="CY16" s="20">
        <f t="shared" ca="1" si="50"/>
        <v>-1.8583381980930139E-2</v>
      </c>
      <c r="CZ16" s="20">
        <f t="shared" ca="1" si="51"/>
        <v>-9.838261048727719E-3</v>
      </c>
      <c r="DA16" s="20">
        <f t="shared" ca="1" si="52"/>
        <v>-5.0681950857082193E-3</v>
      </c>
      <c r="DB16" s="20">
        <f t="shared" ca="1" si="53"/>
        <v>-2.5730836588980189E-3</v>
      </c>
      <c r="DC16" s="21">
        <f t="shared" ca="1" si="54"/>
        <v>2.5730836588980189E-3</v>
      </c>
      <c r="DD16" s="21">
        <f t="shared" ca="1" si="55"/>
        <v>5.0681950857082193E-3</v>
      </c>
      <c r="DE16" s="21">
        <f t="shared" ca="1" si="56"/>
        <v>9.838261048727719E-3</v>
      </c>
      <c r="DF16" s="21">
        <f t="shared" ca="1" si="57"/>
        <v>1.8583381980930139E-2</v>
      </c>
      <c r="DG16" s="21">
        <f t="shared" ca="1" si="58"/>
        <v>3.3450087565674247E-2</v>
      </c>
      <c r="DH16" s="21">
        <f t="shared" ca="1" si="59"/>
        <v>5.5750145942790409E-2</v>
      </c>
      <c r="DI16" s="21">
        <f t="shared" ca="1" si="60"/>
        <v>8.3625218914185617E-2</v>
      </c>
      <c r="DK16" s="16" cm="1">
        <f t="array" aca="1" ref="DK16" ca="1">MAX(_xlfn._xlws.FILTER(CV16:DI16,CV16:DI16&lt;BT16))</f>
        <v>-9.838261048727719E-3</v>
      </c>
      <c r="DL16" s="16" cm="1">
        <f t="array" aca="1" ref="DL16" ca="1">MIN(_xlfn._xlws.FILTER(CV16:DI16,CV16:DI16&gt;BT16))</f>
        <v>-5.0681950857082193E-3</v>
      </c>
      <c r="DM16" s="2" cm="1">
        <f t="array" aca="1" ref="DM16" ca="1">_FV(EB16,"Fechamento anterior",TRUE)</f>
        <v>4.12</v>
      </c>
      <c r="DN16" s="28">
        <f t="shared" ca="1" si="15"/>
        <v>2.7153331977856084E-2</v>
      </c>
      <c r="DO16" s="15">
        <f t="shared" ca="1" si="61"/>
        <v>4.0794663644792415</v>
      </c>
      <c r="DP16" s="15">
        <f t="shared" ca="1" si="62"/>
        <v>4.0991190362468819</v>
      </c>
      <c r="DQ16" s="9"/>
      <c r="DR16" s="9"/>
      <c r="DS16" s="9"/>
      <c r="DT16" s="89">
        <v>4.7700659630194996E-3</v>
      </c>
      <c r="DU16" s="89">
        <f t="shared" ca="1" si="18"/>
        <v>4.7700659630194996E-3</v>
      </c>
      <c r="DV16" s="72">
        <f t="shared" ca="1" si="19"/>
        <v>0.53804673148986304</v>
      </c>
      <c r="DW16" s="37"/>
      <c r="DX16" s="35">
        <f t="shared" si="39"/>
        <v>0.19979677174569146</v>
      </c>
      <c r="DY16" s="56"/>
      <c r="DZ16" s="56"/>
      <c r="EB16" s="2" t="e" vm="16">
        <v>#VALUE!</v>
      </c>
      <c r="ED16" s="10" cm="1">
        <f t="array" aca="1" ref="ED16" ca="1">_FV(EB16,"Ações em circulação",TRUE)</f>
        <v>1502786000</v>
      </c>
      <c r="EE16" s="18">
        <f>VLOOKUP(BO16,Fundamentus!A:U,5,FALSE)</f>
        <v>0.47399999999999998</v>
      </c>
      <c r="EF16" s="2">
        <f t="shared" ca="1" si="20"/>
        <v>12935373164.556963</v>
      </c>
      <c r="EG16" s="17">
        <v>880898912.50632906</v>
      </c>
      <c r="EH16" s="17">
        <f t="shared" ca="1" si="21"/>
        <v>880898912.50632906</v>
      </c>
      <c r="EJ16" s="16">
        <f t="shared" ca="1" si="22"/>
        <v>0</v>
      </c>
      <c r="EK16" s="32" t="str">
        <f>IF(VLOOKUP(BO16,Fundamentus!A:U,3,FALSE)&lt;15,"Bom",IF(VLOOKUP(BO16,Fundamentus!A:U,3,FALSE)&gt;15,"Ruim","n/a"))</f>
        <v>Bom</v>
      </c>
      <c r="EL16" s="28" t="str">
        <f>IF(VLOOKUP(BO16,Fundamentus!A:U,4,FALSE)&lt;1,"Baixo",IF(VLOOKUP(BO16,Fundamentus!A:U,4,FALSE)&lt;1.5,"Moderado",IF(VLOOKUP(BO16,Fundamentus!A:U,4,FALSE)&gt;1.5,"Alto","n/a")))</f>
        <v>Alto</v>
      </c>
      <c r="EM16" s="17" t="str">
        <f>IF(VLOOKUP(BO16,Fundamentus!A:U,8,FALSE)&lt;0,"Risco elevado",IF(VLOOKUP(BO16,Fundamentus!A:U,8,FALSE)&lt;1,"Saudável",IF(VLOOKUP(BO16,Fundamentus!A:U,8,FALSE)&lt;3,"Estável",IF(VLOOKUP(BO16,Fundamentus!A:U,8,FALSE)&gt;3,"Alerta","n/a"))))</f>
        <v>Alerta</v>
      </c>
      <c r="EN16" s="28" t="str">
        <f t="shared" si="23"/>
        <v>Ruim</v>
      </c>
      <c r="EO16" s="17" t="str">
        <f>IF(VLOOKUP(BO16,Fundamentus!A:U,12,FALSE)&lt;2,"Subvalorizada",IF(VLOOKUP(BO16,Fundamentus!A:U,12,FALSE)&lt;6,"Muita barata",IF(VLOOKUP(BO16,Fundamentus!A:U,12,FALSE)&lt;6,"Barata",IF(VLOOKUP(BO16,Fundamentus!A:U,12,FALSE)&lt;8,"Atrativa",IF(VLOOKUP(BO16,Fundamentus!A:U,12,FALSE)&gt;8,"Supervalorizada","n/a")))))</f>
        <v>Muita barata</v>
      </c>
      <c r="EQ16" s="17" t="str">
        <f>IF(VLOOKUP(BO16,Fundamentus!A:U,17,FALSE)&lt;0.1,"Fraco retorno",IF(VLOOKUP(BO16,Fundamentus!A:U,17,FALSE)&gt;0.1,"Bom retorno","n/a"))</f>
        <v>Bom retorno</v>
      </c>
      <c r="ER16" s="17" t="str">
        <f>IF(VLOOKUP(BO16,Fundamentus!A:U,16,FALSE)&lt;0.1,"Ineficiente",IF(VLOOKUP(BO16,Fundamentus!A:U,16,FALSE)&gt;0.1,"Eficiente","n/a"))</f>
        <v>Eficiente</v>
      </c>
      <c r="ES16" s="33" t="str">
        <f>IF(VLOOKUP(BO16,Fundamentus!A:U,16,FALSE)&lt;0.1,"Oper. Ineficiente",IF(VLOOKUP(BO16,Fundamentus!A:U,16,FALSE)&gt;0.1,"Oper.Eficiente","n/a"))</f>
        <v>Oper.Eficiente</v>
      </c>
      <c r="ET16" s="34">
        <f>VLOOKUP(BO16,Fundamentus!A:U,14,FALSE)</f>
        <v>6.8099999999999994E-2</v>
      </c>
      <c r="EU16" s="17" t="str">
        <f>IF(VLOOKUP(BO16,Fundamentus!A:U,21,FALSE)&lt;0,"Negativo",IF(VLOOKUP(BO16,Fundamentus!A:U,21,FALSE)&lt;0.05,"Fraco",IF(VLOOKUP(BO16,Fundamentus!A:U,21,FALSE)&lt;0.1,"Bom",IF(VLOOKUP(BO16,Fundamentus!A:U,21,FALSE)&gt;0.1,"Muito bom","n/a"))))</f>
        <v>Bom</v>
      </c>
      <c r="EW16" s="29" t="str">
        <f>IF(VLOOKUP(BO16,Fundamentus!A:U,15,FALSE)&gt;1,"Bom",IF(VLOOKUP(BO16,Fundamentus!A:U,15,FALSE)&lt;1,"Ruim","n/a"))</f>
        <v>Bom</v>
      </c>
      <c r="EX16" s="17" t="str">
        <f>IF(VLOOKUP(BO16,Fundamentus!A:U,20,FALSE)&lt;0.5,"Baixa",IF(VLOOKUP(BO16,Fundamentus!A:U,20,FALSE)&lt;1,"Moderada",IF(VLOOKUP(BO16,Fundamentus!A:U,20,FALSE)&lt;2,"Alerta",IF(VLOOKUP(BO16,Fundamentus!A:U,20,FALSE)&gt;2,"Alta","n/a"))))</f>
        <v>Baixa</v>
      </c>
    </row>
    <row r="17" spans="1:155" s="2" customFormat="1" ht="11.25"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5">
        <v>9.24</v>
      </c>
      <c r="BC17" s="52">
        <v>8.73</v>
      </c>
      <c r="BD17" s="52">
        <v>8.8000000000000007</v>
      </c>
      <c r="BE17" s="52">
        <v>8.92</v>
      </c>
      <c r="BF17" s="52">
        <v>8.89</v>
      </c>
      <c r="BG17" s="67">
        <v>8.64</v>
      </c>
      <c r="BH17" s="52">
        <v>8.74</v>
      </c>
      <c r="BI17" s="52">
        <v>8.8000000000000007</v>
      </c>
      <c r="BJ17" s="52">
        <v>8.27</v>
      </c>
      <c r="BK17" s="52">
        <v>7.96</v>
      </c>
      <c r="BL17" s="52">
        <v>7.3</v>
      </c>
      <c r="BM17" s="52">
        <v>7.5</v>
      </c>
      <c r="BN17" s="52" cm="1">
        <f t="array" aca="1" ref="BN17" ca="1">_FV(EB17,"Preço")</f>
        <v>7.5</v>
      </c>
      <c r="BO17" s="69" t="s">
        <v>14</v>
      </c>
      <c r="BP17" s="36" cm="1">
        <f t="array" aca="1" ref="BP17" ca="1">_FV(EB17,"Média de volume",TRUE)</f>
        <v>4760</v>
      </c>
      <c r="BQ17" s="36">
        <v>6700</v>
      </c>
      <c r="BR17" s="36" cm="1">
        <f t="array" aca="1" ref="BR17" ca="1">_FV(EB17,"Volume")</f>
        <v>6700</v>
      </c>
      <c r="BS17" s="24" cm="1">
        <f t="array" aca="1" ref="BS17" ca="1">_FV(EB17,"Beta")</f>
        <v>1.0430999999999999</v>
      </c>
      <c r="BT17" s="71" cm="1">
        <f t="array" aca="1" ref="BT17" ca="1">_FV(EB17,"Variação (%)",TRUE)</f>
        <v>-6.6230000000000004E-3</v>
      </c>
      <c r="BV17" s="17" cm="1">
        <f t="array" aca="1" ref="BV17" ca="1">_FV(EB17,"Baixo")</f>
        <v>7.5</v>
      </c>
      <c r="BW17" s="17" cm="1">
        <f t="array" aca="1" ref="BW17" ca="1">_FV(EB17,"Alto")</f>
        <v>7.75</v>
      </c>
      <c r="BX17" s="24"/>
      <c r="BY17" s="63">
        <f ca="1">SQRT(22.5*(BN17/VLOOKUP(BO17,Fundamentus!A:U,3,FALSE))*(BN17/VLOOKUP(BO17,Fundamentus!A:U,4,FALSE)))</f>
        <v>4.4736154751711608</v>
      </c>
      <c r="CA17" s="62">
        <f t="shared" ca="1" si="24"/>
        <v>0</v>
      </c>
      <c r="CB17" s="8"/>
      <c r="CC17" s="61">
        <f t="shared" si="25"/>
        <v>6.8</v>
      </c>
      <c r="CD17" s="61">
        <f t="shared" si="26"/>
        <v>10.1</v>
      </c>
      <c r="CE17" s="61">
        <f t="shared" si="27"/>
        <v>8.7608461538461544</v>
      </c>
      <c r="CF17" s="14"/>
      <c r="CG17" s="35">
        <f t="shared" si="1"/>
        <v>6.2538988240714328</v>
      </c>
      <c r="CH17" s="15">
        <f t="shared" si="28"/>
        <v>7.0150000000001</v>
      </c>
      <c r="CI17" s="35">
        <f t="shared" si="2"/>
        <v>7.7761011759287673</v>
      </c>
      <c r="CK17" s="14"/>
      <c r="CL17" s="17">
        <f t="shared" si="3"/>
        <v>2.7333333333333334</v>
      </c>
      <c r="CM17" s="17">
        <f t="shared" si="4"/>
        <v>4.7666666666666666</v>
      </c>
      <c r="CN17" s="17">
        <f t="shared" si="5"/>
        <v>6.0333333333333332</v>
      </c>
      <c r="CO17" s="38">
        <f t="shared" si="29"/>
        <v>8.0666666666666664</v>
      </c>
      <c r="CP17" s="17">
        <f t="shared" si="6"/>
        <v>9.3333333333333321</v>
      </c>
      <c r="CQ17" s="17">
        <f t="shared" si="7"/>
        <v>11.366666666666667</v>
      </c>
      <c r="CR17" s="17">
        <f t="shared" si="8"/>
        <v>12.633333333333333</v>
      </c>
      <c r="CS17" s="2" cm="1">
        <f t="array" aca="1" ref="CS17" ca="1">MAX(_xlfn._xlws.FILTER(CL17:CR17,CL17:CR17&lt;BN17))</f>
        <v>6.0333333333333332</v>
      </c>
      <c r="CT17" s="2" cm="1">
        <f t="array" aca="1" ref="CT17" ca="1">MIN(_xlfn._xlws.FILTER($CL17:$CR17,$CL17:$CR17&gt;BN17))</f>
        <v>8.0666666666666664</v>
      </c>
      <c r="CU17" s="16">
        <f t="shared" ca="1" si="46"/>
        <v>0.33701657458563528</v>
      </c>
      <c r="CV17" s="20">
        <f t="shared" ca="1" si="47"/>
        <v>-0.16850828729281764</v>
      </c>
      <c r="CW17" s="20">
        <f t="shared" ca="1" si="48"/>
        <v>-0.11233885819521176</v>
      </c>
      <c r="CX17" s="20">
        <f t="shared" ca="1" si="49"/>
        <v>-6.7403314917127061E-2</v>
      </c>
      <c r="CY17" s="20">
        <f t="shared" ca="1" si="50"/>
        <v>-3.7446286065070583E-2</v>
      </c>
      <c r="CZ17" s="20">
        <f t="shared" ca="1" si="51"/>
        <v>-1.9824504387390311E-2</v>
      </c>
      <c r="DA17" s="20">
        <f t="shared" ca="1" si="52"/>
        <v>-1.0212623472291979E-2</v>
      </c>
      <c r="DB17" s="20">
        <f t="shared" ca="1" si="53"/>
        <v>-5.1848703782405425E-3</v>
      </c>
      <c r="DC17" s="21">
        <f t="shared" ca="1" si="54"/>
        <v>5.1848703782405425E-3</v>
      </c>
      <c r="DD17" s="21">
        <f t="shared" ca="1" si="55"/>
        <v>1.0212623472291979E-2</v>
      </c>
      <c r="DE17" s="21">
        <f t="shared" ca="1" si="56"/>
        <v>1.9824504387390311E-2</v>
      </c>
      <c r="DF17" s="21">
        <f t="shared" ca="1" si="57"/>
        <v>3.7446286065070583E-2</v>
      </c>
      <c r="DG17" s="21">
        <f t="shared" ca="1" si="58"/>
        <v>6.7403314917127061E-2</v>
      </c>
      <c r="DH17" s="21">
        <f t="shared" ca="1" si="59"/>
        <v>0.11233885819521176</v>
      </c>
      <c r="DI17" s="21">
        <f t="shared" ca="1" si="60"/>
        <v>0.16850828729281764</v>
      </c>
      <c r="DK17" s="16" cm="1">
        <f t="array" aca="1" ref="DK17" ca="1">MAX(_xlfn._xlws.FILTER(CV17:DI17,CV17:DI17&lt;BT17))</f>
        <v>-1.0212623472291979E-2</v>
      </c>
      <c r="DL17" s="16" cm="1">
        <f t="array" aca="1" ref="DL17" ca="1">MIN(_xlfn._xlws.FILTER(CV17:DI17,CV17:DI17&gt;BT17))</f>
        <v>-5.1848703782405425E-3</v>
      </c>
      <c r="DM17" s="2" cm="1">
        <f t="array" aca="1" ref="DM17" ca="1">_FV(EB17,"Fechamento anterior",TRUE)</f>
        <v>7.55</v>
      </c>
      <c r="DN17" s="28">
        <f t="shared" ca="1" si="15"/>
        <v>0.71405791987840295</v>
      </c>
      <c r="DO17" s="15">
        <f t="shared" ca="1" si="61"/>
        <v>7.4728946927841955</v>
      </c>
      <c r="DP17" s="15">
        <f t="shared" ca="1" si="62"/>
        <v>7.5108542286442841</v>
      </c>
      <c r="DQ17" s="9"/>
      <c r="DR17" s="9"/>
      <c r="DS17" s="9"/>
      <c r="DT17" s="89">
        <v>5.0277530940514362E-3</v>
      </c>
      <c r="DU17" s="89">
        <f t="shared" ca="1" si="18"/>
        <v>5.0277530940514362E-3</v>
      </c>
      <c r="DV17" s="72">
        <f t="shared" ca="1" si="19"/>
        <v>0.63723459552945916</v>
      </c>
      <c r="DW17" s="37"/>
      <c r="DX17" s="35">
        <f t="shared" si="39"/>
        <v>0.3805505879643335</v>
      </c>
      <c r="DY17" s="56"/>
      <c r="DZ17" s="56"/>
      <c r="EB17" s="2" t="e" vm="17">
        <v>#VALUE!</v>
      </c>
      <c r="ED17" s="10" cm="1">
        <f t="array" aca="1" ref="ED17" ca="1">_FV(EB17,"Ações em circulação",TRUE)</f>
        <v>101983400</v>
      </c>
      <c r="EE17" s="18">
        <f>VLOOKUP(BO17,Fundamentus!A:U,5,FALSE)</f>
        <v>1.591</v>
      </c>
      <c r="EF17" s="2">
        <f t="shared" ca="1" si="20"/>
        <v>480751414.20490259</v>
      </c>
      <c r="EG17" s="17">
        <v>5913242.394720302</v>
      </c>
      <c r="EH17" s="17">
        <f t="shared" ca="1" si="21"/>
        <v>5913242.394720302</v>
      </c>
      <c r="EJ17" s="16">
        <f t="shared" ca="1" si="22"/>
        <v>0</v>
      </c>
      <c r="EK17" s="32" t="str">
        <f>IF(VLOOKUP(BO17,Fundamentus!A:U,3,FALSE)&lt;15,"Bom",IF(VLOOKUP(BO17,Fundamentus!A:U,3,FALSE)&gt;15,"Ruim","n/a"))</f>
        <v>Ruim</v>
      </c>
      <c r="EL17" s="28" t="str">
        <f>IF(VLOOKUP(BO17,Fundamentus!A:U,4,FALSE)&lt;1,"Baixo",IF(VLOOKUP(BO17,Fundamentus!A:U,4,FALSE)&lt;1.5,"Moderado",IF(VLOOKUP(BO17,Fundamentus!A:U,4,FALSE)&gt;1.5,"Alto","n/a")))</f>
        <v>Baixo</v>
      </c>
      <c r="EM17" s="17" t="str">
        <f>IF(VLOOKUP(BO17,Fundamentus!A:U,8,FALSE)&lt;0,"Risco elevado",IF(VLOOKUP(BO17,Fundamentus!A:U,8,FALSE)&lt;1,"Saudável",IF(VLOOKUP(BO17,Fundamentus!A:U,8,FALSE)&lt;3,"Estável",IF(VLOOKUP(BO17,Fundamentus!A:U,8,FALSE)&gt;3,"Alerta","n/a"))))</f>
        <v>Saudável</v>
      </c>
      <c r="EN17" s="28" t="str">
        <f t="shared" si="23"/>
        <v>Bom</v>
      </c>
      <c r="EO17" s="17" t="str">
        <f>IF(VLOOKUP(BO17,Fundamentus!A:U,12,FALSE)&lt;2,"Subvalorizada",IF(VLOOKUP(BO17,Fundamentus!A:U,12,FALSE)&lt;6,"Muita barata",IF(VLOOKUP(BO17,Fundamentus!A:U,12,FALSE)&lt;6,"Barata",IF(VLOOKUP(BO17,Fundamentus!A:U,12,FALSE)&lt;8,"Atrativa",IF(VLOOKUP(BO17,Fundamentus!A:U,12,FALSE)&gt;8,"Supervalorizada","n/a")))))</f>
        <v>Supervalorizada</v>
      </c>
      <c r="EQ17" s="17" t="str">
        <f>IF(VLOOKUP(BO17,Fundamentus!A:U,17,FALSE)&lt;0.1,"Fraco retorno",IF(VLOOKUP(BO17,Fundamentus!A:U,17,FALSE)&gt;0.1,"Bom retorno","n/a"))</f>
        <v>Fraco retorno</v>
      </c>
      <c r="ER17" s="17" t="str">
        <f>IF(VLOOKUP(BO17,Fundamentus!A:U,16,FALSE)&lt;0.1,"Ineficiente",IF(VLOOKUP(BO17,Fundamentus!A:U,16,FALSE)&gt;0.1,"Eficiente","n/a"))</f>
        <v>Ineficiente</v>
      </c>
      <c r="ES17" s="33" t="str">
        <f>IF(VLOOKUP(BO17,Fundamentus!A:U,16,FALSE)&lt;0.1,"Oper. Ineficiente",IF(VLOOKUP(BO17,Fundamentus!A:U,16,FALSE)&gt;0.1,"Oper.Eficiente","n/a"))</f>
        <v>Oper. Ineficiente</v>
      </c>
      <c r="ET17" s="34">
        <f>VLOOKUP(BO17,Fundamentus!A:U,14,FALSE)</f>
        <v>1.23E-2</v>
      </c>
      <c r="EU17" s="17" t="str">
        <f>IF(VLOOKUP(BO17,Fundamentus!A:U,21,FALSE)&lt;0,"Negativo",IF(VLOOKUP(BO17,Fundamentus!A:U,21,FALSE)&lt;0.05,"Fraco",IF(VLOOKUP(BO17,Fundamentus!A:U,21,FALSE)&lt;0.1,"Bom",IF(VLOOKUP(BO17,Fundamentus!A:U,21,FALSE)&gt;0.1,"Muito bom","n/a"))))</f>
        <v>Muito bom</v>
      </c>
      <c r="EW17" s="29" t="str">
        <f>IF(VLOOKUP(BO17,Fundamentus!A:U,15,FALSE)&gt;1,"Bom",IF(VLOOKUP(BO17,Fundamentus!A:U,15,FALSE)&lt;1,"Ruim","n/a"))</f>
        <v>Bom</v>
      </c>
      <c r="EX17" s="17" t="str">
        <f>IF(VLOOKUP(BO17,Fundamentus!A:U,20,FALSE)&lt;0.5,"Baixa",IF(VLOOKUP(BO17,Fundamentus!A:U,20,FALSE)&lt;1,"Moderada",IF(VLOOKUP(BO17,Fundamentus!A:U,20,FALSE)&lt;2,"Alerta",IF(VLOOKUP(BO17,Fundamentus!A:U,20,FALSE)&gt;2,"Alta","n/a"))))</f>
        <v>Baixa</v>
      </c>
    </row>
    <row r="18" spans="1:155" s="2" customFormat="1" ht="11.25"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5">
        <v>30.71</v>
      </c>
      <c r="BC18" s="52">
        <v>31.87</v>
      </c>
      <c r="BD18" s="52">
        <v>31.4</v>
      </c>
      <c r="BE18" s="52">
        <v>30.9</v>
      </c>
      <c r="BF18" s="52">
        <v>29.63</v>
      </c>
      <c r="BG18" s="67">
        <v>32.53</v>
      </c>
      <c r="BH18" s="52">
        <v>32.82</v>
      </c>
      <c r="BI18" s="52">
        <v>31.21</v>
      </c>
      <c r="BJ18" s="52">
        <v>32.119999999999997</v>
      </c>
      <c r="BK18" s="52">
        <v>32.6</v>
      </c>
      <c r="BL18" s="52">
        <v>30.99</v>
      </c>
      <c r="BM18" s="52">
        <v>31.98</v>
      </c>
      <c r="BN18" s="52" cm="1">
        <f t="array" aca="1" ref="BN18" ca="1">_FV(EB18,"Preço")</f>
        <v>31.98</v>
      </c>
      <c r="BO18" s="69" t="s">
        <v>15</v>
      </c>
      <c r="BP18" s="36" cm="1">
        <f t="array" aca="1" ref="BP18" ca="1">_FV(EB18,"Média de volume",TRUE)</f>
        <v>25405980</v>
      </c>
      <c r="BQ18" s="36">
        <v>13317300</v>
      </c>
      <c r="BR18" s="36" cm="1">
        <f t="array" aca="1" ref="BR18" ca="1">_FV(EB18,"Volume")</f>
        <v>13317300</v>
      </c>
      <c r="BS18" s="24" cm="1">
        <f t="array" aca="1" ref="BS18" ca="1">_FV(EB18,"Beta")</f>
        <v>1.0266</v>
      </c>
      <c r="BT18" s="71" cm="1">
        <f t="array" aca="1" ref="BT18" ca="1">_FV(EB18,"Variação (%)",TRUE)</f>
        <v>1.2520000000000001E-3</v>
      </c>
      <c r="BV18" s="17" cm="1">
        <f t="array" aca="1" ref="BV18" ca="1">_FV(EB18,"Baixo")</f>
        <v>31.91</v>
      </c>
      <c r="BW18" s="17" cm="1">
        <f t="array" aca="1" ref="BW18" ca="1">_FV(EB18,"Alto")</f>
        <v>32.18</v>
      </c>
      <c r="BX18" s="24"/>
      <c r="BY18" s="63">
        <f ca="1">SQRT(22.5*(BN18/VLOOKUP(BO18,Fundamentus!A:U,3,FALSE))*(BN18/VLOOKUP(BO18,Fundamentus!A:U,4,FALSE)))</f>
        <v>50.811572772889143</v>
      </c>
      <c r="CA18" s="62">
        <f t="shared" ca="1" si="24"/>
        <v>0</v>
      </c>
      <c r="CB18" s="8"/>
      <c r="CC18" s="61">
        <f t="shared" si="25"/>
        <v>29.63</v>
      </c>
      <c r="CD18" s="61">
        <f t="shared" si="26"/>
        <v>41.67</v>
      </c>
      <c r="CE18" s="61">
        <f t="shared" si="27"/>
        <v>35.753307692307693</v>
      </c>
      <c r="CF18" s="14"/>
      <c r="CG18" s="35">
        <f t="shared" si="1"/>
        <v>30.244156287115729</v>
      </c>
      <c r="CH18" s="15">
        <f t="shared" si="28"/>
        <v>31.414999999999736</v>
      </c>
      <c r="CI18" s="35">
        <f t="shared" si="2"/>
        <v>32.585843712883744</v>
      </c>
      <c r="CK18" s="14"/>
      <c r="CL18" s="17">
        <f t="shared" si="3"/>
        <v>14.483333333333324</v>
      </c>
      <c r="CM18" s="17">
        <f t="shared" si="4"/>
        <v>22.056666666666661</v>
      </c>
      <c r="CN18" s="17">
        <f t="shared" si="5"/>
        <v>26.523333333333326</v>
      </c>
      <c r="CO18" s="38">
        <f t="shared" si="29"/>
        <v>34.096666666666664</v>
      </c>
      <c r="CP18" s="17">
        <f t="shared" si="6"/>
        <v>38.563333333333333</v>
      </c>
      <c r="CQ18" s="17">
        <f t="shared" si="7"/>
        <v>46.13666666666667</v>
      </c>
      <c r="CR18" s="17">
        <f t="shared" si="8"/>
        <v>50.603333333333332</v>
      </c>
      <c r="CS18" s="2" cm="1">
        <f t="array" aca="1" ref="CS18" ca="1">MAX(_xlfn._xlws.FILTER(CL18:CR18,CL18:CR18&lt;BN18))</f>
        <v>26.523333333333326</v>
      </c>
      <c r="CT18" s="2" cm="1">
        <f t="array" aca="1" ref="CT18" ca="1">MIN(_xlfn._xlws.FILTER($CL18:$CR18,$CL18:$CR18&gt;BN18))</f>
        <v>34.096666666666664</v>
      </c>
      <c r="CU18" s="16">
        <f t="shared" ca="1" si="46"/>
        <v>0.28553474927736611</v>
      </c>
      <c r="CV18" s="20">
        <f t="shared" ca="1" si="47"/>
        <v>-0.14276737463868305</v>
      </c>
      <c r="CW18" s="20">
        <f t="shared" ca="1" si="48"/>
        <v>-9.5178249759122036E-2</v>
      </c>
      <c r="CX18" s="20">
        <f t="shared" ca="1" si="49"/>
        <v>-5.7106949855473224E-2</v>
      </c>
      <c r="CY18" s="20">
        <f t="shared" ca="1" si="50"/>
        <v>-3.1726083253040681E-2</v>
      </c>
      <c r="CZ18" s="20">
        <f t="shared" ca="1" si="51"/>
        <v>-1.6796161722198007E-2</v>
      </c>
      <c r="DA18" s="20">
        <f t="shared" ca="1" si="52"/>
        <v>-8.6525681599201858E-3</v>
      </c>
      <c r="DB18" s="20">
        <f t="shared" ca="1" si="53"/>
        <v>-4.3928422965748629E-3</v>
      </c>
      <c r="DC18" s="21">
        <f t="shared" ca="1" si="54"/>
        <v>4.3928422965748629E-3</v>
      </c>
      <c r="DD18" s="21">
        <f t="shared" ca="1" si="55"/>
        <v>8.6525681599201858E-3</v>
      </c>
      <c r="DE18" s="21">
        <f t="shared" ca="1" si="56"/>
        <v>1.6796161722198007E-2</v>
      </c>
      <c r="DF18" s="21">
        <f t="shared" ca="1" si="57"/>
        <v>3.1726083253040681E-2</v>
      </c>
      <c r="DG18" s="21">
        <f t="shared" ca="1" si="58"/>
        <v>5.7106949855473224E-2</v>
      </c>
      <c r="DH18" s="21">
        <f t="shared" ca="1" si="59"/>
        <v>9.5178249759122036E-2</v>
      </c>
      <c r="DI18" s="21">
        <f t="shared" ca="1" si="60"/>
        <v>0.14276737463868305</v>
      </c>
      <c r="DK18" s="16" cm="1">
        <f t="array" aca="1" ref="DK18" ca="1">MAX(_xlfn._xlws.FILTER(CV18:DI18,CV18:DI18&lt;BT18))</f>
        <v>-4.3928422965748629E-3</v>
      </c>
      <c r="DL18" s="16" cm="1">
        <f t="array" aca="1" ref="DL18" ca="1">MIN(_xlfn._xlws.FILTER(CV18:DI18,CV18:DI18&gt;BT18))</f>
        <v>4.3928422965748629E-3</v>
      </c>
      <c r="DM18" s="2" cm="1">
        <f t="array" aca="1" ref="DM18" ca="1">_FV(EB18,"Fechamento anterior",TRUE)</f>
        <v>31.94</v>
      </c>
      <c r="DN18" s="28">
        <f t="shared" ca="1" si="15"/>
        <v>0.64254417393527408</v>
      </c>
      <c r="DO18" s="15">
        <f t="shared" ca="1" si="61"/>
        <v>31.799692617047402</v>
      </c>
      <c r="DP18" s="15">
        <f t="shared" ca="1" si="62"/>
        <v>32.080307382952604</v>
      </c>
      <c r="DQ18" s="9"/>
      <c r="DR18" s="9"/>
      <c r="DS18" s="9"/>
      <c r="DT18" s="89">
        <v>8.7856845931497257E-3</v>
      </c>
      <c r="DU18" s="89">
        <f t="shared" ca="1" si="18"/>
        <v>8.7856845931497257E-3</v>
      </c>
      <c r="DV18" s="72">
        <f t="shared" ca="1" si="19"/>
        <v>0.4825579996569852</v>
      </c>
      <c r="DW18" s="37"/>
      <c r="DX18" s="35">
        <f t="shared" si="39"/>
        <v>0.58542185644200284</v>
      </c>
      <c r="DY18" s="56"/>
      <c r="DZ18" s="56"/>
      <c r="EB18" s="2" t="e" vm="18">
        <v>#VALUE!</v>
      </c>
      <c r="ED18" s="10" cm="1">
        <f t="array" aca="1" ref="ED18" ca="1">_FV(EB18,"Ações em circulação",TRUE)</f>
        <v>12888730000</v>
      </c>
      <c r="EE18" s="18">
        <f>VLOOKUP(BO18,Fundamentus!A:U,5,FALSE)</f>
        <v>0.83099999999999996</v>
      </c>
      <c r="EF18" s="2">
        <f t="shared" ca="1" si="20"/>
        <v>496006721299.63904</v>
      </c>
      <c r="EG18" s="17">
        <v>48509457343.104698</v>
      </c>
      <c r="EH18" s="17">
        <f t="shared" ca="1" si="21"/>
        <v>48509457343.104698</v>
      </c>
      <c r="EJ18" s="16">
        <f t="shared" ca="1" si="22"/>
        <v>0</v>
      </c>
      <c r="EK18" s="32" t="str">
        <f>IF(VLOOKUP(BO18,Fundamentus!A:U,3,FALSE)&lt;15,"Bom",IF(VLOOKUP(BO18,Fundamentus!A:U,3,FALSE)&gt;15,"Ruim","n/a"))</f>
        <v>Bom</v>
      </c>
      <c r="EL18" s="28" t="str">
        <f>IF(VLOOKUP(BO18,Fundamentus!A:U,4,FALSE)&lt;1,"Baixo",IF(VLOOKUP(BO18,Fundamentus!A:U,4,FALSE)&lt;1.5,"Moderado",IF(VLOOKUP(BO18,Fundamentus!A:U,4,FALSE)&gt;1.5,"Alto","n/a")))</f>
        <v>Moderado</v>
      </c>
      <c r="EM18" s="17" t="str">
        <f>IF(VLOOKUP(BO18,Fundamentus!A:U,8,FALSE)&lt;0,"Risco elevado",IF(VLOOKUP(BO18,Fundamentus!A:U,8,FALSE)&lt;1,"Saudável",IF(VLOOKUP(BO18,Fundamentus!A:U,8,FALSE)&lt;3,"Estável",IF(VLOOKUP(BO18,Fundamentus!A:U,8,FALSE)&gt;3,"Alerta","n/a"))))</f>
        <v>Risco elevado</v>
      </c>
      <c r="EN18" s="28" t="str">
        <f t="shared" si="23"/>
        <v>Ruim</v>
      </c>
      <c r="EO18" s="17" t="str">
        <f>IF(VLOOKUP(BO18,Fundamentus!A:U,12,FALSE)&lt;2,"Subvalorizada",IF(VLOOKUP(BO18,Fundamentus!A:U,12,FALSE)&lt;6,"Muita barata",IF(VLOOKUP(BO18,Fundamentus!A:U,12,FALSE)&lt;6,"Barata",IF(VLOOKUP(BO18,Fundamentus!A:U,12,FALSE)&lt;8,"Atrativa",IF(VLOOKUP(BO18,Fundamentus!A:U,12,FALSE)&gt;8,"Supervalorizada","n/a")))))</f>
        <v>Muita barata</v>
      </c>
      <c r="EQ18" s="17" t="str">
        <f>IF(VLOOKUP(BO18,Fundamentus!A:U,17,FALSE)&lt;0.1,"Fraco retorno",IF(VLOOKUP(BO18,Fundamentus!A:U,17,FALSE)&gt;0.1,"Bom retorno","n/a"))</f>
        <v>Bom retorno</v>
      </c>
      <c r="ER18" s="17" t="str">
        <f>IF(VLOOKUP(BO18,Fundamentus!A:U,16,FALSE)&lt;0.1,"Ineficiente",IF(VLOOKUP(BO18,Fundamentus!A:U,16,FALSE)&gt;0.1,"Eficiente","n/a"))</f>
        <v>Eficiente</v>
      </c>
      <c r="ES18" s="33" t="str">
        <f>IF(VLOOKUP(BO18,Fundamentus!A:U,16,FALSE)&lt;0.1,"Oper. Ineficiente",IF(VLOOKUP(BO18,Fundamentus!A:U,16,FALSE)&gt;0.1,"Oper.Eficiente","n/a"))</f>
        <v>Oper.Eficiente</v>
      </c>
      <c r="ET18" s="34">
        <f>VLOOKUP(BO18,Fundamentus!A:U,14,FALSE)</f>
        <v>9.7799999999999998E-2</v>
      </c>
      <c r="EU18" s="17" t="str">
        <f>IF(VLOOKUP(BO18,Fundamentus!A:U,21,FALSE)&lt;0,"Negativo",IF(VLOOKUP(BO18,Fundamentus!A:U,21,FALSE)&lt;0.05,"Fraco",IF(VLOOKUP(BO18,Fundamentus!A:U,21,FALSE)&lt;0.1,"Bom",IF(VLOOKUP(BO18,Fundamentus!A:U,21,FALSE)&gt;0.1,"Muito bom","n/a"))))</f>
        <v>Muito bom</v>
      </c>
      <c r="EW18" s="29" t="str">
        <f>IF(VLOOKUP(BO18,Fundamentus!A:U,15,FALSE)&gt;1,"Bom",IF(VLOOKUP(BO18,Fundamentus!A:U,15,FALSE)&lt;1,"Ruim","n/a"))</f>
        <v>Ruim</v>
      </c>
      <c r="EX18" s="17" t="str">
        <f>IF(VLOOKUP(BO18,Fundamentus!A:U,20,FALSE)&lt;0.5,"Baixa",IF(VLOOKUP(BO18,Fundamentus!A:U,20,FALSE)&lt;1,"Moderada",IF(VLOOKUP(BO18,Fundamentus!A:U,20,FALSE)&lt;2,"Alerta",IF(VLOOKUP(BO18,Fundamentus!A:U,20,FALSE)&gt;2,"Alta","n/a"))))</f>
        <v>Moderada</v>
      </c>
    </row>
    <row r="19" spans="1:155" s="2" customFormat="1" ht="11.25"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5">
        <v>9.4</v>
      </c>
      <c r="BC19" s="52">
        <v>9.64</v>
      </c>
      <c r="BD19" s="52">
        <v>10.050000000000001</v>
      </c>
      <c r="BE19" s="52">
        <v>11.22</v>
      </c>
      <c r="BF19" s="52">
        <v>11.21</v>
      </c>
      <c r="BG19" s="67">
        <v>10.91</v>
      </c>
      <c r="BH19" s="52">
        <v>10.78</v>
      </c>
      <c r="BI19" s="52">
        <v>11.04</v>
      </c>
      <c r="BJ19" s="52">
        <v>10.3</v>
      </c>
      <c r="BK19" s="52">
        <v>9.98</v>
      </c>
      <c r="BL19" s="52">
        <v>9.7200000000000006</v>
      </c>
      <c r="BM19" s="52">
        <v>9.6999999999999993</v>
      </c>
      <c r="BN19" s="52" cm="1">
        <f t="array" aca="1" ref="BN19" ca="1">_FV(EB19,"Preço")</f>
        <v>9.6999999999999993</v>
      </c>
      <c r="BO19" s="69" t="s">
        <v>182</v>
      </c>
      <c r="BP19" s="36" cm="1">
        <f t="array" aca="1" ref="BP19" ca="1">_FV(EB19,"Média de volume",TRUE)</f>
        <v>12243270</v>
      </c>
      <c r="BQ19" s="36">
        <v>17086700</v>
      </c>
      <c r="BR19" s="36" cm="1">
        <f t="array" aca="1" ref="BR19" ca="1">_FV(EB19,"Volume")</f>
        <v>17086700</v>
      </c>
      <c r="BS19" s="24" cm="1">
        <f t="array" aca="1" ref="BS19" ca="1">_FV(EB19,"Beta")</f>
        <v>1.4517</v>
      </c>
      <c r="BT19" s="71" cm="1">
        <f t="array" aca="1" ref="BT19" ca="1">_FV(EB19,"Variação (%)",TRUE)</f>
        <v>1.4643999999999999E-2</v>
      </c>
      <c r="BV19" s="17" cm="1">
        <f t="array" aca="1" ref="BV19" ca="1">_FV(EB19,"Baixo")</f>
        <v>9.5</v>
      </c>
      <c r="BW19" s="17" cm="1">
        <f t="array" aca="1" ref="BW19" ca="1">_FV(EB19,"Alto")</f>
        <v>9.74</v>
      </c>
      <c r="BX19" s="24"/>
      <c r="BY19" s="63">
        <f ca="1">SQRT(22.5*(BN19/VLOOKUP(BO19,Fundamentus!A:U,3,FALSE))*(BN19/VLOOKUP(BO19,Fundamentus!A:U,4,FALSE)))</f>
        <v>7.4138743823118913</v>
      </c>
      <c r="CA19" s="62">
        <f t="shared" ca="1" si="24"/>
        <v>0</v>
      </c>
      <c r="CB19" s="8"/>
      <c r="CC19" s="61">
        <f t="shared" si="25"/>
        <v>5.42</v>
      </c>
      <c r="CD19" s="61">
        <f t="shared" si="26"/>
        <v>13.63</v>
      </c>
      <c r="CE19" s="61">
        <f t="shared" si="27"/>
        <v>8.9095384615384621</v>
      </c>
      <c r="CF19" s="14"/>
      <c r="CG19" s="35">
        <f t="shared" si="1"/>
        <v>8.9238930158906165</v>
      </c>
      <c r="CH19" s="15">
        <f t="shared" si="28"/>
        <v>9.4100000000000819</v>
      </c>
      <c r="CI19" s="35">
        <f t="shared" si="2"/>
        <v>9.8961069841095473</v>
      </c>
      <c r="CK19" s="14"/>
      <c r="CL19" s="17">
        <f t="shared" si="3"/>
        <v>-2.6599999999999984</v>
      </c>
      <c r="CM19" s="17">
        <f t="shared" si="4"/>
        <v>1.3800000000000008</v>
      </c>
      <c r="CN19" s="17">
        <f t="shared" si="5"/>
        <v>5.5500000000000025</v>
      </c>
      <c r="CO19" s="38">
        <f t="shared" si="29"/>
        <v>9.5900000000000016</v>
      </c>
      <c r="CP19" s="17">
        <f t="shared" si="6"/>
        <v>13.760000000000003</v>
      </c>
      <c r="CQ19" s="17">
        <f t="shared" si="7"/>
        <v>17.800000000000004</v>
      </c>
      <c r="CR19" s="17">
        <f t="shared" si="8"/>
        <v>21.970000000000006</v>
      </c>
      <c r="CS19" s="2" cm="1">
        <f t="array" aca="1" ref="CS19" ca="1">MAX(_xlfn._xlws.FILTER(CL19:CR19,CL19:CR19&lt;BN19))</f>
        <v>9.5900000000000016</v>
      </c>
      <c r="CT19" s="2" cm="1">
        <f t="array" aca="1" ref="CT19" ca="1">MIN(_xlfn._xlws.FILTER($CL19:$CR19,$CL19:$CR19&gt;BN19))</f>
        <v>13.760000000000003</v>
      </c>
      <c r="CU19" s="16">
        <f t="shared" ref="CU19:CU50" ca="1" si="63">(CT19/CS19)-1</f>
        <v>0.43482794577685091</v>
      </c>
      <c r="CV19" s="20">
        <f t="shared" ref="CV19:CV50" ca="1" si="64">-$CU19/2</f>
        <v>-0.21741397288842546</v>
      </c>
      <c r="CW19" s="20">
        <f t="shared" ref="CW19:CW50" ca="1" si="65">-$CU19/3</f>
        <v>-0.14494264859228365</v>
      </c>
      <c r="CX19" s="20">
        <f t="shared" ref="CX19:CX50" ca="1" si="66">-$CU19/5</f>
        <v>-8.6965589155370185E-2</v>
      </c>
      <c r="CY19" s="20">
        <f t="shared" ref="CY19:CY50" ca="1" si="67">-$CU19/9</f>
        <v>-4.831421619742788E-2</v>
      </c>
      <c r="CZ19" s="20">
        <f t="shared" ref="CZ19:CZ50" ca="1" si="68">-$CU19/17</f>
        <v>-2.5578114457461817E-2</v>
      </c>
      <c r="DA19" s="20">
        <f t="shared" ref="DA19:DA50" ca="1" si="69">-$CU19/33</f>
        <v>-1.3176604417480331E-2</v>
      </c>
      <c r="DB19" s="20">
        <f t="shared" ref="DB19:DB50" ca="1" si="70">-$CU19/65</f>
        <v>-6.6896607042592447E-3</v>
      </c>
      <c r="DC19" s="21">
        <f t="shared" ref="DC19:DC50" ca="1" si="71">-$CU19/65*-1</f>
        <v>6.6896607042592447E-3</v>
      </c>
      <c r="DD19" s="21">
        <f t="shared" ref="DD19:DD50" ca="1" si="72">-$CU19/33*-1</f>
        <v>1.3176604417480331E-2</v>
      </c>
      <c r="DE19" s="21">
        <f t="shared" ref="DE19:DE50" ca="1" si="73">-$CU19/17*-1</f>
        <v>2.5578114457461817E-2</v>
      </c>
      <c r="DF19" s="21">
        <f t="shared" ref="DF19:DF50" ca="1" si="74">-$CU19/9*-1</f>
        <v>4.831421619742788E-2</v>
      </c>
      <c r="DG19" s="21">
        <f t="shared" ref="DG19:DG50" ca="1" si="75">-$CU19/5*-1</f>
        <v>8.6965589155370185E-2</v>
      </c>
      <c r="DH19" s="21">
        <f t="shared" ref="DH19:DH50" ca="1" si="76">-$CU19/3*-1</f>
        <v>0.14494264859228365</v>
      </c>
      <c r="DI19" s="21">
        <f t="shared" ref="DI19:DI50" ca="1" si="77">-$CU19/2*-1</f>
        <v>0.21741397288842546</v>
      </c>
      <c r="DK19" s="16" cm="1">
        <f t="array" aca="1" ref="DK19" ca="1">MAX(_xlfn._xlws.FILTER(CV19:DI19,CV19:DI19&lt;BT19))</f>
        <v>1.3176604417480331E-2</v>
      </c>
      <c r="DL19" s="16" cm="1">
        <f t="array" aca="1" ref="DL19" ca="1">MIN(_xlfn._xlws.FILTER(CV19:DI19,CV19:DI19&gt;BT19))</f>
        <v>2.5578114457461817E-2</v>
      </c>
      <c r="DM19" s="2" cm="1">
        <f t="array" aca="1" ref="DM19" ca="1">_FV(EB19,"Fechamento anterior",TRUE)</f>
        <v>9.56</v>
      </c>
      <c r="DN19" s="28">
        <f t="shared" ca="1" si="15"/>
        <v>0.11835228469942026</v>
      </c>
      <c r="DO19" s="15">
        <f t="shared" ref="DO19:DO50" ca="1" si="78">DM19+(DM19*DK19)</f>
        <v>9.6859683382311133</v>
      </c>
      <c r="DP19" s="15">
        <f t="shared" ref="DP19:DP50" ca="1" si="79">DM19+(DM19*DL19)</f>
        <v>9.8045267742133362</v>
      </c>
      <c r="DQ19" s="9"/>
      <c r="DR19" s="9"/>
      <c r="DS19" s="9"/>
      <c r="DT19" s="89">
        <v>1.2401510039981486E-2</v>
      </c>
      <c r="DU19" s="89">
        <f t="shared" ca="1" si="18"/>
        <v>1.2401510039981486E-2</v>
      </c>
      <c r="DV19" s="72">
        <f t="shared" ca="1" si="19"/>
        <v>0.59657649340543717</v>
      </c>
      <c r="DW19" s="37"/>
      <c r="DX19" s="35">
        <f t="shared" si="39"/>
        <v>0.24305349205473301</v>
      </c>
      <c r="DY19" s="56"/>
      <c r="DZ19" s="56"/>
      <c r="EB19" s="2" t="e" vm="19">
        <v>#VALUE!</v>
      </c>
      <c r="ED19" s="10" cm="1">
        <f t="array" aca="1" ref="ED19" ca="1">_FV(EB19,"Ações em circulação",TRUE)</f>
        <v>1352245000</v>
      </c>
      <c r="EE19" s="18">
        <f>VLOOKUP(BO19,Fundamentus!A:U,5,FALSE)</f>
        <v>0.17399999999999999</v>
      </c>
      <c r="EF19" s="2">
        <f t="shared" ca="1" si="20"/>
        <v>75383772988.505737</v>
      </c>
      <c r="EG19" s="17">
        <v>829221502.87356305</v>
      </c>
      <c r="EH19" s="17">
        <f t="shared" ca="1" si="21"/>
        <v>829221502.87356305</v>
      </c>
      <c r="EJ19" s="16">
        <f t="shared" ca="1" si="22"/>
        <v>0</v>
      </c>
      <c r="EK19" s="32" t="str">
        <f>IF(VLOOKUP(BO19,Fundamentus!A:U,3,FALSE)&lt;15,"Bom",IF(VLOOKUP(BO19,Fundamentus!A:U,3,FALSE)&gt;15,"Ruim","n/a"))</f>
        <v>Ruim</v>
      </c>
      <c r="EL19" s="28" t="str">
        <f>IF(VLOOKUP(BO19,Fundamentus!A:U,4,FALSE)&lt;1,"Baixo",IF(VLOOKUP(BO19,Fundamentus!A:U,4,FALSE)&lt;1.5,"Moderado",IF(VLOOKUP(BO19,Fundamentus!A:U,4,FALSE)&gt;1.5,"Alto","n/a")))</f>
        <v>Alto</v>
      </c>
      <c r="EM19" s="17" t="str">
        <f>IF(VLOOKUP(BO19,Fundamentus!A:U,8,FALSE)&lt;0,"Risco elevado",IF(VLOOKUP(BO19,Fundamentus!A:U,8,FALSE)&lt;1,"Saudável",IF(VLOOKUP(BO19,Fundamentus!A:U,8,FALSE)&lt;3,"Estável",IF(VLOOKUP(BO19,Fundamentus!A:U,8,FALSE)&gt;3,"Alerta","n/a"))))</f>
        <v>Alerta</v>
      </c>
      <c r="EN19" s="28" t="str">
        <f t="shared" si="23"/>
        <v>Ruim</v>
      </c>
      <c r="EO19" s="17" t="str">
        <f>IF(VLOOKUP(BO19,Fundamentus!A:U,12,FALSE)&lt;2,"Subvalorizada",IF(VLOOKUP(BO19,Fundamentus!A:U,12,FALSE)&lt;6,"Muita barata",IF(VLOOKUP(BO19,Fundamentus!A:U,12,FALSE)&lt;6,"Barata",IF(VLOOKUP(BO19,Fundamentus!A:U,12,FALSE)&lt;8,"Atrativa",IF(VLOOKUP(BO19,Fundamentus!A:U,12,FALSE)&gt;8,"Supervalorizada","n/a")))))</f>
        <v>Muita barata</v>
      </c>
      <c r="EQ19" s="17" t="str">
        <f>IF(VLOOKUP(BO19,Fundamentus!A:U,17,FALSE)&lt;0.1,"Fraco retorno",IF(VLOOKUP(BO19,Fundamentus!A:U,17,FALSE)&gt;0.1,"Bom retorno","n/a"))</f>
        <v>Bom retorno</v>
      </c>
      <c r="ER19" s="17" t="str">
        <f>IF(VLOOKUP(BO19,Fundamentus!A:U,16,FALSE)&lt;0.1,"Ineficiente",IF(VLOOKUP(BO19,Fundamentus!A:U,16,FALSE)&gt;0.1,"Eficiente","n/a"))</f>
        <v>Eficiente</v>
      </c>
      <c r="ES19" s="33" t="str">
        <f>IF(VLOOKUP(BO19,Fundamentus!A:U,16,FALSE)&lt;0.1,"Oper. Ineficiente",IF(VLOOKUP(BO19,Fundamentus!A:U,16,FALSE)&gt;0.1,"Oper.Eficiente","n/a"))</f>
        <v>Oper.Eficiente</v>
      </c>
      <c r="ET19" s="34">
        <f>VLOOKUP(BO19,Fundamentus!A:U,14,FALSE)</f>
        <v>1.0999999999999999E-2</v>
      </c>
      <c r="EU19" s="17" t="str">
        <f>IF(VLOOKUP(BO19,Fundamentus!A:U,21,FALSE)&lt;0,"Negativo",IF(VLOOKUP(BO19,Fundamentus!A:U,21,FALSE)&lt;0.05,"Fraco",IF(VLOOKUP(BO19,Fundamentus!A:U,21,FALSE)&lt;0.1,"Bom",IF(VLOOKUP(BO19,Fundamentus!A:U,21,FALSE)&gt;0.1,"Muito bom","n/a"))))</f>
        <v>Muito bom</v>
      </c>
      <c r="EW19" s="29" t="str">
        <f>IF(VLOOKUP(BO19,Fundamentus!A:U,15,FALSE)&gt;1,"Bom",IF(VLOOKUP(BO19,Fundamentus!A:U,15,FALSE)&lt;1,"Ruim","n/a"))</f>
        <v>Bom</v>
      </c>
      <c r="EX19" s="17" t="str">
        <f>IF(VLOOKUP(BO19,Fundamentus!A:U,20,FALSE)&lt;0.5,"Baixa",IF(VLOOKUP(BO19,Fundamentus!A:U,20,FALSE)&lt;1,"Moderada",IF(VLOOKUP(BO19,Fundamentus!A:U,20,FALSE)&lt;2,"Alerta",IF(VLOOKUP(BO19,Fundamentus!A:U,20,FALSE)&gt;2,"Alta","n/a"))))</f>
        <v>Alta</v>
      </c>
      <c r="EY19" s="10"/>
    </row>
    <row r="20" spans="1:155" s="2" customFormat="1" ht="11.25"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5">
        <v>5.48</v>
      </c>
      <c r="BC20" s="52">
        <v>5.59</v>
      </c>
      <c r="BD20" s="52">
        <v>5.45</v>
      </c>
      <c r="BE20" s="52">
        <v>5.46</v>
      </c>
      <c r="BF20" s="52">
        <v>5.35</v>
      </c>
      <c r="BG20" s="67">
        <v>5.31</v>
      </c>
      <c r="BH20" s="52">
        <v>5.26</v>
      </c>
      <c r="BI20" s="52">
        <v>5.22</v>
      </c>
      <c r="BJ20" s="52">
        <v>5.28</v>
      </c>
      <c r="BK20" s="52">
        <v>5.19</v>
      </c>
      <c r="BL20" s="52">
        <v>5.0999999999999996</v>
      </c>
      <c r="BM20" s="52">
        <v>5.0999999999999996</v>
      </c>
      <c r="BN20" s="52" cm="1">
        <f t="array" aca="1" ref="BN20" ca="1">_FV(EB20,"Preço")</f>
        <v>5.0999999999999996</v>
      </c>
      <c r="BO20" s="69" t="s">
        <v>17</v>
      </c>
      <c r="BP20" s="36" cm="1">
        <f t="array" aca="1" ref="BP20" ca="1">_FV(EB20,"Média de volume",TRUE)</f>
        <v>282790</v>
      </c>
      <c r="BQ20" s="36">
        <v>86900</v>
      </c>
      <c r="BR20" s="36" cm="1">
        <f t="array" aca="1" ref="BR20" ca="1">_FV(EB20,"Volume")</f>
        <v>86900</v>
      </c>
      <c r="BS20" s="24" cm="1">
        <f t="array" aca="1" ref="BS20" ca="1">_FV(EB20,"Beta")</f>
        <v>0.59019999999999995</v>
      </c>
      <c r="BT20" s="71" cm="1">
        <f t="array" aca="1" ref="BT20" ca="1">_FV(EB20,"Variação (%)",TRUE)</f>
        <v>3.9369999999999995E-3</v>
      </c>
      <c r="BV20" s="17" cm="1">
        <f t="array" aca="1" ref="BV20" ca="1">_FV(EB20,"Baixo")</f>
        <v>5.0599999999999996</v>
      </c>
      <c r="BW20" s="17" cm="1">
        <f t="array" aca="1" ref="BW20" ca="1">_FV(EB20,"Alto")</f>
        <v>5.12</v>
      </c>
      <c r="BX20" s="24"/>
      <c r="BY20" s="63">
        <f ca="1">SQRT(22.5*(BN20/VLOOKUP(BO20,Fundamentus!A:U,3,FALSE))*(BN20/VLOOKUP(BO20,Fundamentus!A:U,4,FALSE)))</f>
        <v>8.3647780720783</v>
      </c>
      <c r="CA20" s="62">
        <f t="shared" ca="1" si="24"/>
        <v>0</v>
      </c>
      <c r="CB20" s="8"/>
      <c r="CC20" s="61">
        <f t="shared" si="25"/>
        <v>5.0999999999999996</v>
      </c>
      <c r="CD20" s="61">
        <f t="shared" si="26"/>
        <v>6.78</v>
      </c>
      <c r="CE20" s="61">
        <f t="shared" si="27"/>
        <v>5.8769230769230774</v>
      </c>
      <c r="CF20" s="14"/>
      <c r="CG20" s="35">
        <f t="shared" si="1"/>
        <v>4.8607518844340545</v>
      </c>
      <c r="CH20" s="15">
        <f t="shared" si="28"/>
        <v>5.0100000000000477</v>
      </c>
      <c r="CI20" s="35">
        <f t="shared" si="2"/>
        <v>5.159248115566041</v>
      </c>
      <c r="CK20" s="14"/>
      <c r="CL20" s="17">
        <f t="shared" si="3"/>
        <v>2.8599999999999977</v>
      </c>
      <c r="CM20" s="17">
        <f t="shared" si="4"/>
        <v>3.9799999999999986</v>
      </c>
      <c r="CN20" s="17">
        <f t="shared" si="5"/>
        <v>4.5399999999999983</v>
      </c>
      <c r="CO20" s="38">
        <f t="shared" si="29"/>
        <v>5.6599999999999993</v>
      </c>
      <c r="CP20" s="17">
        <f t="shared" si="6"/>
        <v>6.2199999999999989</v>
      </c>
      <c r="CQ20" s="17">
        <f t="shared" si="7"/>
        <v>7.34</v>
      </c>
      <c r="CR20" s="17">
        <f t="shared" si="8"/>
        <v>7.8999999999999995</v>
      </c>
      <c r="CS20" s="2" cm="1">
        <f t="array" aca="1" ref="CS20" ca="1">MAX(_xlfn._xlws.FILTER(CL20:CR20,CL20:CR20&lt;BN20))</f>
        <v>4.5399999999999983</v>
      </c>
      <c r="CT20" s="2" cm="1">
        <f t="array" aca="1" ref="CT20" ca="1">MIN(_xlfn._xlws.FILTER($CL20:$CR20,$CL20:$CR20&gt;BN20))</f>
        <v>5.6599999999999993</v>
      </c>
      <c r="CU20" s="16">
        <f t="shared" ca="1" si="63"/>
        <v>0.24669603524229111</v>
      </c>
      <c r="CV20" s="20">
        <f t="shared" ca="1" si="64"/>
        <v>-0.12334801762114556</v>
      </c>
      <c r="CW20" s="20">
        <f t="shared" ca="1" si="65"/>
        <v>-8.2232011747430375E-2</v>
      </c>
      <c r="CX20" s="20">
        <f t="shared" ca="1" si="66"/>
        <v>-4.933920704845822E-2</v>
      </c>
      <c r="CY20" s="20">
        <f t="shared" ca="1" si="67"/>
        <v>-2.7410670582476791E-2</v>
      </c>
      <c r="CZ20" s="20">
        <f t="shared" ca="1" si="68"/>
        <v>-1.4511531484840653E-2</v>
      </c>
      <c r="DA20" s="20">
        <f t="shared" ca="1" si="69"/>
        <v>-7.4756374315845791E-3</v>
      </c>
      <c r="DB20" s="20">
        <f t="shared" ca="1" si="70"/>
        <v>-3.795323619112171E-3</v>
      </c>
      <c r="DC20" s="21">
        <f t="shared" ca="1" si="71"/>
        <v>3.795323619112171E-3</v>
      </c>
      <c r="DD20" s="21">
        <f t="shared" ca="1" si="72"/>
        <v>7.4756374315845791E-3</v>
      </c>
      <c r="DE20" s="21">
        <f t="shared" ca="1" si="73"/>
        <v>1.4511531484840653E-2</v>
      </c>
      <c r="DF20" s="21">
        <f t="shared" ca="1" si="74"/>
        <v>2.7410670582476791E-2</v>
      </c>
      <c r="DG20" s="21">
        <f t="shared" ca="1" si="75"/>
        <v>4.933920704845822E-2</v>
      </c>
      <c r="DH20" s="21">
        <f t="shared" ca="1" si="76"/>
        <v>8.2232011747430375E-2</v>
      </c>
      <c r="DI20" s="21">
        <f t="shared" ca="1" si="77"/>
        <v>0.12334801762114556</v>
      </c>
      <c r="DK20" s="16" cm="1">
        <f t="array" aca="1" ref="DK20" ca="1">MAX(_xlfn._xlws.FILTER(CV20:DI20,CV20:DI20&lt;BT20))</f>
        <v>3.795323619112171E-3</v>
      </c>
      <c r="DL20" s="16" cm="1">
        <f t="array" aca="1" ref="DL20" ca="1">MIN(_xlfn._xlws.FILTER(CV20:DI20,CV20:DI20&gt;BT20))</f>
        <v>7.4756374315845791E-3</v>
      </c>
      <c r="DM20" s="2" cm="1">
        <f t="array" aca="1" ref="DM20" ca="1">_FV(EB20,"Fechamento anterior",TRUE)</f>
        <v>5.08</v>
      </c>
      <c r="DN20" s="28">
        <f t="shared" ca="1" si="15"/>
        <v>3.84978733126735E-2</v>
      </c>
      <c r="DO20" s="15">
        <f t="shared" ca="1" si="78"/>
        <v>5.0992802439850902</v>
      </c>
      <c r="DP20" s="15">
        <f t="shared" ca="1" si="79"/>
        <v>5.1179762381524494</v>
      </c>
      <c r="DQ20" s="9"/>
      <c r="DR20" s="9"/>
      <c r="DS20" s="9"/>
      <c r="DT20" s="89">
        <v>3.6803138124724081E-3</v>
      </c>
      <c r="DU20" s="89">
        <f t="shared" ca="1" si="18"/>
        <v>3.6803138124724081E-3</v>
      </c>
      <c r="DV20" s="72">
        <f t="shared" ca="1" si="19"/>
        <v>0.60302268915520385</v>
      </c>
      <c r="DW20" s="37"/>
      <c r="DX20" s="35">
        <f t="shared" si="39"/>
        <v>7.4624057782996772E-2</v>
      </c>
      <c r="DY20" s="56"/>
      <c r="DZ20" s="56"/>
      <c r="EB20" s="2" t="e" vm="20">
        <v>#VALUE!</v>
      </c>
      <c r="ED20" s="10" cm="1">
        <f t="array" aca="1" ref="ED20" ca="1">_FV(EB20,"Ações em circulação",TRUE)</f>
        <v>357374800</v>
      </c>
      <c r="EE20" s="18">
        <f>VLOOKUP(BO20,Fundamentus!A:U,5,FALSE)</f>
        <v>0.91300000000000003</v>
      </c>
      <c r="EF20" s="2">
        <f t="shared" ca="1" si="20"/>
        <v>1996288587.0755746</v>
      </c>
      <c r="EG20" s="17">
        <v>267901928.38554215</v>
      </c>
      <c r="EH20" s="17">
        <f t="shared" ca="1" si="21"/>
        <v>267901928.38554215</v>
      </c>
      <c r="EJ20" s="16">
        <f t="shared" ca="1" si="22"/>
        <v>0</v>
      </c>
      <c r="EK20" s="32" t="str">
        <f>IF(VLOOKUP(BO20,Fundamentus!A:U,3,FALSE)&lt;15,"Bom",IF(VLOOKUP(BO20,Fundamentus!A:U,3,FALSE)&gt;15,"Ruim","n/a"))</f>
        <v>Bom</v>
      </c>
      <c r="EL20" s="28" t="str">
        <f>IF(VLOOKUP(BO20,Fundamentus!A:U,4,FALSE)&lt;1,"Baixo",IF(VLOOKUP(BO20,Fundamentus!A:U,4,FALSE)&lt;1.5,"Moderado",IF(VLOOKUP(BO20,Fundamentus!A:U,4,FALSE)&gt;1.5,"Alto","n/a")))</f>
        <v>Moderado</v>
      </c>
      <c r="EM20" s="17" t="str">
        <f>IF(VLOOKUP(BO20,Fundamentus!A:U,8,FALSE)&lt;0,"Risco elevado",IF(VLOOKUP(BO20,Fundamentus!A:U,8,FALSE)&lt;1,"Saudável",IF(VLOOKUP(BO20,Fundamentus!A:U,8,FALSE)&lt;3,"Estável",IF(VLOOKUP(BO20,Fundamentus!A:U,8,FALSE)&gt;3,"Alerta","n/a"))))</f>
        <v>Estável</v>
      </c>
      <c r="EN20" s="28" t="str">
        <f t="shared" si="23"/>
        <v>Ruim</v>
      </c>
      <c r="EO20" s="17" t="str">
        <f>IF(VLOOKUP(BO20,Fundamentus!A:U,12,FALSE)&lt;2,"Subvalorizada",IF(VLOOKUP(BO20,Fundamentus!A:U,12,FALSE)&lt;6,"Muita barata",IF(VLOOKUP(BO20,Fundamentus!A:U,12,FALSE)&lt;6,"Barata",IF(VLOOKUP(BO20,Fundamentus!A:U,12,FALSE)&lt;8,"Atrativa",IF(VLOOKUP(BO20,Fundamentus!A:U,12,FALSE)&gt;8,"Supervalorizada","n/a")))))</f>
        <v>Atrativa</v>
      </c>
      <c r="EQ20" s="17" t="str">
        <f>IF(VLOOKUP(BO20,Fundamentus!A:U,17,FALSE)&lt;0.1,"Fraco retorno",IF(VLOOKUP(BO20,Fundamentus!A:U,17,FALSE)&gt;0.1,"Bom retorno","n/a"))</f>
        <v>Bom retorno</v>
      </c>
      <c r="ER20" s="17" t="str">
        <f>IF(VLOOKUP(BO20,Fundamentus!A:U,16,FALSE)&lt;0.1,"Ineficiente",IF(VLOOKUP(BO20,Fundamentus!A:U,16,FALSE)&gt;0.1,"Eficiente","n/a"))</f>
        <v>Eficiente</v>
      </c>
      <c r="ES20" s="33" t="str">
        <f>IF(VLOOKUP(BO20,Fundamentus!A:U,16,FALSE)&lt;0.1,"Oper. Ineficiente",IF(VLOOKUP(BO20,Fundamentus!A:U,16,FALSE)&gt;0.1,"Oper.Eficiente","n/a"))</f>
        <v>Oper.Eficiente</v>
      </c>
      <c r="ET20" s="34">
        <f>VLOOKUP(BO20,Fundamentus!A:U,14,FALSE)</f>
        <v>0.13420000000000001</v>
      </c>
      <c r="EU20" s="17" t="str">
        <f>IF(VLOOKUP(BO20,Fundamentus!A:U,21,FALSE)&lt;0,"Negativo",IF(VLOOKUP(BO20,Fundamentus!A:U,21,FALSE)&lt;0.05,"Fraco",IF(VLOOKUP(BO20,Fundamentus!A:U,21,FALSE)&lt;0.1,"Bom",IF(VLOOKUP(BO20,Fundamentus!A:U,21,FALSE)&gt;0.1,"Muito bom","n/a"))))</f>
        <v>Muito bom</v>
      </c>
      <c r="EW20" s="29" t="str">
        <f>IF(VLOOKUP(BO20,Fundamentus!A:U,15,FALSE)&gt;1,"Bom",IF(VLOOKUP(BO20,Fundamentus!A:U,15,FALSE)&lt;1,"Ruim","n/a"))</f>
        <v>Bom</v>
      </c>
      <c r="EX20" s="17" t="str">
        <f>IF(VLOOKUP(BO20,Fundamentus!A:U,20,FALSE)&lt;0.5,"Baixa",IF(VLOOKUP(BO20,Fundamentus!A:U,20,FALSE)&lt;1,"Moderada",IF(VLOOKUP(BO20,Fundamentus!A:U,20,FALSE)&lt;2,"Alerta",IF(VLOOKUP(BO20,Fundamentus!A:U,20,FALSE)&gt;2,"Alta","n/a"))))</f>
        <v>Moderada</v>
      </c>
    </row>
    <row r="21" spans="1:155" s="2" customFormat="1" ht="11.25"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5">
        <v>29.15</v>
      </c>
      <c r="BC21" s="52">
        <v>28.83</v>
      </c>
      <c r="BD21" s="52">
        <v>30.66</v>
      </c>
      <c r="BE21" s="52">
        <v>32.1</v>
      </c>
      <c r="BF21" s="52">
        <v>30.5</v>
      </c>
      <c r="BG21" s="67">
        <v>30.25</v>
      </c>
      <c r="BH21" s="52">
        <v>29.26</v>
      </c>
      <c r="BI21" s="52">
        <v>29.55</v>
      </c>
      <c r="BJ21" s="52">
        <v>30.01</v>
      </c>
      <c r="BK21" s="52">
        <v>29.2</v>
      </c>
      <c r="BL21" s="52">
        <v>28.7</v>
      </c>
      <c r="BM21" s="52">
        <v>28.3</v>
      </c>
      <c r="BN21" s="52" cm="1">
        <f t="array" aca="1" ref="BN21" ca="1">_FV(EB21,"Preço")</f>
        <v>28.3</v>
      </c>
      <c r="BO21" s="69" t="s">
        <v>18</v>
      </c>
      <c r="BP21" s="36" cm="1">
        <f t="array" aca="1" ref="BP21" ca="1">_FV(EB21,"Média de volume",TRUE)</f>
        <v>231750</v>
      </c>
      <c r="BQ21" s="36">
        <v>161500</v>
      </c>
      <c r="BR21" s="36" cm="1">
        <f t="array" aca="1" ref="BR21" ca="1">_FV(EB21,"Volume")</f>
        <v>161500</v>
      </c>
      <c r="BS21" s="24" cm="1">
        <f t="array" aca="1" ref="BS21" ca="1">_FV(EB21,"Beta")</f>
        <v>0.77480000000000004</v>
      </c>
      <c r="BT21" s="71" cm="1">
        <f t="array" aca="1" ref="BT21" ca="1">_FV(EB21,"Variação (%)",TRUE)</f>
        <v>5.3290000000000004E-3</v>
      </c>
      <c r="BV21" s="17" cm="1">
        <f t="array" aca="1" ref="BV21" ca="1">_FV(EB21,"Baixo")</f>
        <v>28.16</v>
      </c>
      <c r="BW21" s="17" cm="1">
        <f t="array" aca="1" ref="BW21" ca="1">_FV(EB21,"Alto")</f>
        <v>28.47</v>
      </c>
      <c r="BX21" s="24"/>
      <c r="BY21" s="63">
        <f ca="1">SQRT(22.5*(BN21/VLOOKUP(BO21,Fundamentus!A:U,3,FALSE))*(BN21/VLOOKUP(BO21,Fundamentus!A:U,4,FALSE)))</f>
        <v>23.051867544248896</v>
      </c>
      <c r="CA21" s="62">
        <f t="shared" ca="1" si="24"/>
        <v>0</v>
      </c>
      <c r="CB21" s="8"/>
      <c r="CC21" s="61">
        <f t="shared" si="25"/>
        <v>26.18</v>
      </c>
      <c r="CD21" s="61">
        <f t="shared" si="26"/>
        <v>34.200000000000003</v>
      </c>
      <c r="CE21" s="61">
        <f t="shared" si="27"/>
        <v>30.009230769230765</v>
      </c>
      <c r="CF21" s="14"/>
      <c r="CG21" s="35">
        <f t="shared" si="1"/>
        <v>26.368647775886277</v>
      </c>
      <c r="CH21" s="15">
        <f t="shared" si="28"/>
        <v>27.644999999999982</v>
      </c>
      <c r="CI21" s="35">
        <f t="shared" si="2"/>
        <v>28.921352224113686</v>
      </c>
      <c r="CK21" s="14"/>
      <c r="CL21" s="17">
        <f t="shared" si="3"/>
        <v>17.166666666666657</v>
      </c>
      <c r="CM21" s="17">
        <f t="shared" si="4"/>
        <v>21.673333333333328</v>
      </c>
      <c r="CN21" s="17">
        <f t="shared" si="5"/>
        <v>25.18666666666666</v>
      </c>
      <c r="CO21" s="38">
        <f t="shared" si="29"/>
        <v>29.693333333333332</v>
      </c>
      <c r="CP21" s="17">
        <f t="shared" si="6"/>
        <v>33.206666666666663</v>
      </c>
      <c r="CQ21" s="17">
        <f t="shared" si="7"/>
        <v>37.713333333333338</v>
      </c>
      <c r="CR21" s="17">
        <f t="shared" si="8"/>
        <v>41.226666666666667</v>
      </c>
      <c r="CS21" s="2" cm="1">
        <f t="array" aca="1" ref="CS21" ca="1">MAX(_xlfn._xlws.FILTER(CL21:CR21,CL21:CR21&lt;BN21))</f>
        <v>25.18666666666666</v>
      </c>
      <c r="CT21" s="2" cm="1">
        <f t="array" aca="1" ref="CT21" ca="1">MIN(_xlfn._xlws.FILTER($CL21:$CR21,$CL21:$CR21&gt;BN21))</f>
        <v>29.693333333333332</v>
      </c>
      <c r="CU21" s="16">
        <f t="shared" ca="1" si="63"/>
        <v>0.17893065113816853</v>
      </c>
      <c r="CV21" s="20">
        <f t="shared" ca="1" si="64"/>
        <v>-8.9465325569084264E-2</v>
      </c>
      <c r="CW21" s="20">
        <f t="shared" ca="1" si="65"/>
        <v>-5.9643550379389509E-2</v>
      </c>
      <c r="CX21" s="20">
        <f t="shared" ca="1" si="66"/>
        <v>-3.5786130227633703E-2</v>
      </c>
      <c r="CY21" s="20">
        <f t="shared" ca="1" si="67"/>
        <v>-1.9881183459796503E-2</v>
      </c>
      <c r="CZ21" s="20">
        <f t="shared" ca="1" si="68"/>
        <v>-1.0525332419892267E-2</v>
      </c>
      <c r="DA21" s="20">
        <f t="shared" ca="1" si="69"/>
        <v>-5.4221409435808643E-3</v>
      </c>
      <c r="DB21" s="20">
        <f t="shared" ca="1" si="70"/>
        <v>-2.7527792482795158E-3</v>
      </c>
      <c r="DC21" s="21">
        <f t="shared" ca="1" si="71"/>
        <v>2.7527792482795158E-3</v>
      </c>
      <c r="DD21" s="21">
        <f t="shared" ca="1" si="72"/>
        <v>5.4221409435808643E-3</v>
      </c>
      <c r="DE21" s="21">
        <f t="shared" ca="1" si="73"/>
        <v>1.0525332419892267E-2</v>
      </c>
      <c r="DF21" s="21">
        <f t="shared" ca="1" si="74"/>
        <v>1.9881183459796503E-2</v>
      </c>
      <c r="DG21" s="21">
        <f t="shared" ca="1" si="75"/>
        <v>3.5786130227633703E-2</v>
      </c>
      <c r="DH21" s="21">
        <f t="shared" ca="1" si="76"/>
        <v>5.9643550379389509E-2</v>
      </c>
      <c r="DI21" s="21">
        <f t="shared" ca="1" si="77"/>
        <v>8.9465325569084264E-2</v>
      </c>
      <c r="DK21" s="16" cm="1">
        <f t="array" aca="1" ref="DK21" ca="1">MAX(_xlfn._xlws.FILTER(CV21:DI21,CV21:DI21&lt;BT21))</f>
        <v>2.7527792482795158E-3</v>
      </c>
      <c r="DL21" s="16" cm="1">
        <f t="array" aca="1" ref="DL21" ca="1">MIN(_xlfn._xlws.FILTER(CV21:DI21,CV21:DI21&gt;BT21))</f>
        <v>5.4221409435808643E-3</v>
      </c>
      <c r="DM21" s="2" cm="1">
        <f t="array" aca="1" ref="DM21" ca="1">_FV(EB21,"Fechamento anterior",TRUE)</f>
        <v>28.15</v>
      </c>
      <c r="DN21" s="28">
        <f t="shared" ca="1" si="15"/>
        <v>0.96495636357430192</v>
      </c>
      <c r="DO21" s="15">
        <f t="shared" ca="1" si="78"/>
        <v>28.227490735839066</v>
      </c>
      <c r="DP21" s="15">
        <f t="shared" ca="1" si="79"/>
        <v>28.302633267561799</v>
      </c>
      <c r="DQ21" s="9"/>
      <c r="DR21" s="9"/>
      <c r="DS21" s="9"/>
      <c r="DT21" s="89">
        <v>2.6693616953013485E-3</v>
      </c>
      <c r="DU21" s="89">
        <f t="shared" ca="1" si="18"/>
        <v>2.6693616953013485E-3</v>
      </c>
      <c r="DV21" s="72">
        <f t="shared" ca="1" si="19"/>
        <v>0.51318122664364774</v>
      </c>
      <c r="DW21" s="37"/>
      <c r="DX21" s="35">
        <f t="shared" si="39"/>
        <v>0.63817611205685265</v>
      </c>
      <c r="DY21" s="56"/>
      <c r="DZ21" s="56"/>
      <c r="EB21" s="2" t="e" vm="21">
        <v>#VALUE!</v>
      </c>
      <c r="ED21" s="10" cm="1">
        <f t="array" aca="1" ref="ED21" ca="1">_FV(EB21,"Ações em circulação",TRUE)</f>
        <v>135539000</v>
      </c>
      <c r="EE21" s="18">
        <f>VLOOKUP(BO21,Fundamentus!A:U,5,FALSE)</f>
        <v>0.80700000000000005</v>
      </c>
      <c r="EF21" s="2">
        <f t="shared" ca="1" si="20"/>
        <v>4753102478.3147459</v>
      </c>
      <c r="EG21" s="17">
        <v>494322657.74473357</v>
      </c>
      <c r="EH21" s="17">
        <f t="shared" ca="1" si="21"/>
        <v>494322657.74473357</v>
      </c>
      <c r="EJ21" s="16">
        <f t="shared" ca="1" si="22"/>
        <v>0</v>
      </c>
      <c r="EK21" s="32" t="str">
        <f>IF(VLOOKUP(BO21,Fundamentus!A:U,3,FALSE)&lt;15,"Bom",IF(VLOOKUP(BO21,Fundamentus!A:U,3,FALSE)&gt;15,"Ruim","n/a"))</f>
        <v>Bom</v>
      </c>
      <c r="EL21" s="28" t="str">
        <f>IF(VLOOKUP(BO21,Fundamentus!A:U,4,FALSE)&lt;1,"Baixo",IF(VLOOKUP(BO21,Fundamentus!A:U,4,FALSE)&lt;1.5,"Moderado",IF(VLOOKUP(BO21,Fundamentus!A:U,4,FALSE)&gt;1.5,"Alto","n/a")))</f>
        <v>Alto</v>
      </c>
      <c r="EM21" s="17" t="str">
        <f>IF(VLOOKUP(BO21,Fundamentus!A:U,8,FALSE)&lt;0,"Risco elevado",IF(VLOOKUP(BO21,Fundamentus!A:U,8,FALSE)&lt;1,"Saudável",IF(VLOOKUP(BO21,Fundamentus!A:U,8,FALSE)&lt;3,"Estável",IF(VLOOKUP(BO21,Fundamentus!A:U,8,FALSE)&gt;3,"Alerta","n/a"))))</f>
        <v>Alerta</v>
      </c>
      <c r="EN21" s="28" t="str">
        <f t="shared" si="23"/>
        <v>Ruim</v>
      </c>
      <c r="EO21" s="17" t="str">
        <f>IF(VLOOKUP(BO21,Fundamentus!A:U,12,FALSE)&lt;2,"Subvalorizada",IF(VLOOKUP(BO21,Fundamentus!A:U,12,FALSE)&lt;6,"Muita barata",IF(VLOOKUP(BO21,Fundamentus!A:U,12,FALSE)&lt;6,"Barata",IF(VLOOKUP(BO21,Fundamentus!A:U,12,FALSE)&lt;8,"Atrativa",IF(VLOOKUP(BO21,Fundamentus!A:U,12,FALSE)&gt;8,"Supervalorizada","n/a")))))</f>
        <v>Muita barata</v>
      </c>
      <c r="EQ21" s="17" t="str">
        <f>IF(VLOOKUP(BO21,Fundamentus!A:U,17,FALSE)&lt;0.1,"Fraco retorno",IF(VLOOKUP(BO21,Fundamentus!A:U,17,FALSE)&gt;0.1,"Bom retorno","n/a"))</f>
        <v>Bom retorno</v>
      </c>
      <c r="ER21" s="17" t="str">
        <f>IF(VLOOKUP(BO21,Fundamentus!A:U,16,FALSE)&lt;0.1,"Ineficiente",IF(VLOOKUP(BO21,Fundamentus!A:U,16,FALSE)&gt;0.1,"Eficiente","n/a"))</f>
        <v>Eficiente</v>
      </c>
      <c r="ES21" s="33" t="str">
        <f>IF(VLOOKUP(BO21,Fundamentus!A:U,16,FALSE)&lt;0.1,"Oper. Ineficiente",IF(VLOOKUP(BO21,Fundamentus!A:U,16,FALSE)&gt;0.1,"Oper.Eficiente","n/a"))</f>
        <v>Oper.Eficiente</v>
      </c>
      <c r="ET21" s="34">
        <f>VLOOKUP(BO21,Fundamentus!A:U,14,FALSE)</f>
        <v>0.104</v>
      </c>
      <c r="EU21" s="17" t="str">
        <f>IF(VLOOKUP(BO21,Fundamentus!A:U,21,FALSE)&lt;0,"Negativo",IF(VLOOKUP(BO21,Fundamentus!A:U,21,FALSE)&lt;0.05,"Fraco",IF(VLOOKUP(BO21,Fundamentus!A:U,21,FALSE)&lt;0.1,"Bom",IF(VLOOKUP(BO21,Fundamentus!A:U,21,FALSE)&gt;0.1,"Muito bom","n/a"))))</f>
        <v>Muito bom</v>
      </c>
      <c r="EW21" s="29" t="str">
        <f>IF(VLOOKUP(BO21,Fundamentus!A:U,15,FALSE)&gt;1,"Bom",IF(VLOOKUP(BO21,Fundamentus!A:U,15,FALSE)&lt;1,"Ruim","n/a"))</f>
        <v>Bom</v>
      </c>
      <c r="EX21" s="17" t="str">
        <f>IF(VLOOKUP(BO21,Fundamentus!A:U,20,FALSE)&lt;0.5,"Baixa",IF(VLOOKUP(BO21,Fundamentus!A:U,20,FALSE)&lt;1,"Moderada",IF(VLOOKUP(BO21,Fundamentus!A:U,20,FALSE)&lt;2,"Alerta",IF(VLOOKUP(BO21,Fundamentus!A:U,20,FALSE)&gt;2,"Alta","n/a"))))</f>
        <v>Alerta</v>
      </c>
    </row>
    <row r="22" spans="1:155" s="5" customFormat="1" ht="11.25"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5">
        <v>11.86</v>
      </c>
      <c r="BC22" s="52">
        <v>12.42</v>
      </c>
      <c r="BD22" s="52">
        <v>12.4</v>
      </c>
      <c r="BE22" s="52">
        <v>12.67</v>
      </c>
      <c r="BF22" s="52">
        <v>12.48</v>
      </c>
      <c r="BG22" s="67">
        <v>12.39</v>
      </c>
      <c r="BH22" s="52">
        <v>12.41</v>
      </c>
      <c r="BI22" s="52">
        <v>12.24</v>
      </c>
      <c r="BJ22" s="52">
        <v>12.34</v>
      </c>
      <c r="BK22" s="52">
        <v>11.95</v>
      </c>
      <c r="BL22" s="52">
        <v>11.88</v>
      </c>
      <c r="BM22" s="52">
        <v>11.67</v>
      </c>
      <c r="BN22" s="52" cm="1">
        <f t="array" aca="1" ref="BN22" ca="1">_FV(EB22,"Preço")</f>
        <v>11.67</v>
      </c>
      <c r="BO22" s="69" t="s">
        <v>19</v>
      </c>
      <c r="BP22" s="36" cm="1">
        <f t="array" aca="1" ref="BP22" ca="1">_FV(EB22,"Média de volume",TRUE)</f>
        <v>10023440</v>
      </c>
      <c r="BQ22" s="36">
        <v>6637000</v>
      </c>
      <c r="BR22" s="36" cm="1">
        <f t="array" aca="1" ref="BR22" ca="1">_FV(EB22,"Volume")</f>
        <v>6637000</v>
      </c>
      <c r="BS22" s="24" cm="1">
        <f t="array" aca="1" ref="BS22" ca="1">_FV(EB22,"Beta")</f>
        <v>0.86270000000000002</v>
      </c>
      <c r="BT22" s="71" cm="1">
        <f t="array" aca="1" ref="BT22" ca="1">_FV(EB22,"Variação (%)",TRUE)</f>
        <v>-5.1149999999999998E-3</v>
      </c>
      <c r="BV22" s="17" cm="1">
        <f t="array" aca="1" ref="BV22" ca="1">_FV(EB22,"Baixo")</f>
        <v>11.56</v>
      </c>
      <c r="BW22" s="17" cm="1">
        <f t="array" aca="1" ref="BW22" ca="1">_FV(EB22,"Alto")</f>
        <v>11.72</v>
      </c>
      <c r="BX22" s="24"/>
      <c r="BY22" s="63">
        <f ca="1">SQRT(22.5*(BN22/VLOOKUP(BO22,Fundamentus!A:U,3,FALSE))*(BN22/VLOOKUP(BO22,Fundamentus!A:U,4,FALSE)))</f>
        <v>13.730361995648966</v>
      </c>
      <c r="CA22" s="62">
        <f t="shared" ca="1" si="24"/>
        <v>0</v>
      </c>
      <c r="CB22" s="8"/>
      <c r="CC22" s="61">
        <f t="shared" si="25"/>
        <v>8.76</v>
      </c>
      <c r="CD22" s="61">
        <f t="shared" si="26"/>
        <v>12.67</v>
      </c>
      <c r="CE22" s="61">
        <f t="shared" si="27"/>
        <v>10.333230769230767</v>
      </c>
      <c r="CF22" s="14"/>
      <c r="CG22" s="35">
        <f t="shared" si="1"/>
        <v>10.955232014258423</v>
      </c>
      <c r="CH22" s="15">
        <f t="shared" si="28"/>
        <v>11.440000000000055</v>
      </c>
      <c r="CI22" s="35">
        <f t="shared" si="2"/>
        <v>11.924767985741687</v>
      </c>
      <c r="CK22" s="14"/>
      <c r="CL22" s="17">
        <f t="shared" si="3"/>
        <v>5.6266666666666669</v>
      </c>
      <c r="CM22" s="17">
        <f t="shared" si="4"/>
        <v>7.1933333333333334</v>
      </c>
      <c r="CN22" s="17">
        <f t="shared" si="5"/>
        <v>9.5366666666666671</v>
      </c>
      <c r="CO22" s="38">
        <f t="shared" si="29"/>
        <v>11.103333333333333</v>
      </c>
      <c r="CP22" s="17">
        <f t="shared" si="6"/>
        <v>13.446666666666667</v>
      </c>
      <c r="CQ22" s="17">
        <f t="shared" si="7"/>
        <v>15.013333333333334</v>
      </c>
      <c r="CR22" s="17">
        <f t="shared" si="8"/>
        <v>17.356666666666669</v>
      </c>
      <c r="CS22" s="2" cm="1">
        <f t="array" aca="1" ref="CS22" ca="1">MAX(_xlfn._xlws.FILTER(CL22:CR22,CL22:CR22&lt;BN22))</f>
        <v>11.103333333333333</v>
      </c>
      <c r="CT22" s="2" cm="1">
        <f t="array" aca="1" ref="CT22" ca="1">MIN(_xlfn._xlws.FILTER($CL22:$CR22,$CL22:$CR22&gt;BN22))</f>
        <v>13.446666666666667</v>
      </c>
      <c r="CU22" s="16">
        <f t="shared" ca="1" si="63"/>
        <v>0.21104773341338934</v>
      </c>
      <c r="CV22" s="20">
        <f t="shared" ca="1" si="64"/>
        <v>-0.10552386670669467</v>
      </c>
      <c r="CW22" s="20">
        <f t="shared" ca="1" si="65"/>
        <v>-7.0349244471129779E-2</v>
      </c>
      <c r="CX22" s="20">
        <f t="shared" ca="1" si="66"/>
        <v>-4.2209546682677866E-2</v>
      </c>
      <c r="CY22" s="20">
        <f t="shared" ca="1" si="67"/>
        <v>-2.344974815704326E-2</v>
      </c>
      <c r="CZ22" s="20">
        <f t="shared" ca="1" si="68"/>
        <v>-1.2414572553728784E-2</v>
      </c>
      <c r="DA22" s="20">
        <f t="shared" ca="1" si="69"/>
        <v>-6.3953858610117983E-3</v>
      </c>
      <c r="DB22" s="20">
        <f t="shared" ca="1" si="70"/>
        <v>-3.2468882063598358E-3</v>
      </c>
      <c r="DC22" s="21">
        <f t="shared" ca="1" si="71"/>
        <v>3.2468882063598358E-3</v>
      </c>
      <c r="DD22" s="21">
        <f t="shared" ca="1" si="72"/>
        <v>6.3953858610117983E-3</v>
      </c>
      <c r="DE22" s="21">
        <f t="shared" ca="1" si="73"/>
        <v>1.2414572553728784E-2</v>
      </c>
      <c r="DF22" s="21">
        <f t="shared" ca="1" si="74"/>
        <v>2.344974815704326E-2</v>
      </c>
      <c r="DG22" s="21">
        <f t="shared" ca="1" si="75"/>
        <v>4.2209546682677866E-2</v>
      </c>
      <c r="DH22" s="21">
        <f t="shared" ca="1" si="76"/>
        <v>7.0349244471129779E-2</v>
      </c>
      <c r="DI22" s="21">
        <f t="shared" ca="1" si="77"/>
        <v>0.10552386670669467</v>
      </c>
      <c r="DK22" s="16" cm="1">
        <f t="array" aca="1" ref="DK22" ca="1">MAX(_xlfn._xlws.FILTER(CV22:DI22,CV22:DI22&lt;BT22))</f>
        <v>-6.3953858610117983E-3</v>
      </c>
      <c r="DL22" s="16" cm="1">
        <f t="array" aca="1" ref="DL22" ca="1">MIN(_xlfn._xlws.FILTER(CV22:DI22,CV22:DI22&gt;BT22))</f>
        <v>-3.2468882063598358E-3</v>
      </c>
      <c r="DM22" s="2" cm="1">
        <f t="array" aca="1" ref="DM22" ca="1">_FV(EB22,"Fechamento anterior",TRUE)</f>
        <v>11.73</v>
      </c>
      <c r="DN22" s="28">
        <f t="shared" ca="1" si="15"/>
        <v>0.40663722428174953</v>
      </c>
      <c r="DO22" s="15">
        <f t="shared" ca="1" si="78"/>
        <v>11.654982123850331</v>
      </c>
      <c r="DP22" s="15">
        <f t="shared" ca="1" si="79"/>
        <v>11.6919140013394</v>
      </c>
      <c r="DQ22" s="9"/>
      <c r="DR22" s="9"/>
      <c r="DS22" s="9"/>
      <c r="DT22" s="89">
        <v>3.1484976546519625E-3</v>
      </c>
      <c r="DU22" s="89">
        <f t="shared" ca="1" si="18"/>
        <v>3.1484976546519625E-3</v>
      </c>
      <c r="DV22" s="72">
        <f t="shared" ca="1" si="19"/>
        <v>0.47445377327893307</v>
      </c>
      <c r="DW22" s="37"/>
      <c r="DX22" s="35">
        <f t="shared" si="39"/>
        <v>0.24238399287081638</v>
      </c>
      <c r="DY22" s="56"/>
      <c r="DZ22" s="56"/>
      <c r="EB22" s="5" t="e" vm="22">
        <v>#VALUE!</v>
      </c>
      <c r="ED22" s="10" cm="1">
        <f t="array" aca="1" ref="ED22" ca="1">_FV(EB22,"Ações em circulação",TRUE)</f>
        <v>2982811000</v>
      </c>
      <c r="EE22" s="18">
        <f>VLOOKUP(BO22,Fundamentus!A:U,5,FALSE)</f>
        <v>1.532</v>
      </c>
      <c r="EF22" s="2">
        <f t="shared" ca="1" si="20"/>
        <v>22721543322.454308</v>
      </c>
      <c r="EG22" s="17">
        <v>2878819538.9549608</v>
      </c>
      <c r="EH22" s="17">
        <f t="shared" ca="1" si="21"/>
        <v>2878819538.9549608</v>
      </c>
      <c r="EI22" s="2"/>
      <c r="EJ22" s="16">
        <f t="shared" ca="1" si="22"/>
        <v>0</v>
      </c>
      <c r="EK22" s="32" t="str">
        <f>IF(VLOOKUP(BO22,Fundamentus!A:U,3,FALSE)&lt;15,"Bom",IF(VLOOKUP(BO22,Fundamentus!A:U,3,FALSE)&gt;15,"Ruim","n/a"))</f>
        <v>Bom</v>
      </c>
      <c r="EL22" s="28" t="str">
        <f>IF(VLOOKUP(BO22,Fundamentus!A:U,4,FALSE)&lt;1,"Baixo",IF(VLOOKUP(BO22,Fundamentus!A:U,4,FALSE)&lt;1.5,"Moderado",IF(VLOOKUP(BO22,Fundamentus!A:U,4,FALSE)&gt;1.5,"Alto","n/a")))</f>
        <v>Moderado</v>
      </c>
      <c r="EM22" s="17" t="str">
        <f>IF(VLOOKUP(BO22,Fundamentus!A:U,8,FALSE)&lt;0,"Risco elevado",IF(VLOOKUP(BO22,Fundamentus!A:U,8,FALSE)&lt;1,"Saudável",IF(VLOOKUP(BO22,Fundamentus!A:U,8,FALSE)&lt;3,"Estável",IF(VLOOKUP(BO22,Fundamentus!A:U,8,FALSE)&gt;3,"Alerta","n/a"))))</f>
        <v>Alerta</v>
      </c>
      <c r="EN22" s="28" t="str">
        <f t="shared" si="23"/>
        <v>Bom</v>
      </c>
      <c r="EO22" s="17" t="str">
        <f>IF(VLOOKUP(BO22,Fundamentus!A:U,12,FALSE)&lt;2,"Subvalorizada",IF(VLOOKUP(BO22,Fundamentus!A:U,12,FALSE)&lt;6,"Muita barata",IF(VLOOKUP(BO22,Fundamentus!A:U,12,FALSE)&lt;6,"Barata",IF(VLOOKUP(BO22,Fundamentus!A:U,12,FALSE)&lt;8,"Atrativa",IF(VLOOKUP(BO22,Fundamentus!A:U,12,FALSE)&gt;8,"Supervalorizada","n/a")))))</f>
        <v>Supervalorizada</v>
      </c>
      <c r="EP22" s="2"/>
      <c r="EQ22" s="17" t="str">
        <f>IF(VLOOKUP(BO22,Fundamentus!A:U,17,FALSE)&lt;0.1,"Fraco retorno",IF(VLOOKUP(BO22,Fundamentus!A:U,17,FALSE)&gt;0.1,"Bom retorno","n/a"))</f>
        <v>Bom retorno</v>
      </c>
      <c r="ER22" s="17" t="str">
        <f>IF(VLOOKUP(BO22,Fundamentus!A:U,16,FALSE)&lt;0.1,"Ineficiente",IF(VLOOKUP(BO22,Fundamentus!A:U,16,FALSE)&gt;0.1,"Eficiente","n/a"))</f>
        <v>Ineficiente</v>
      </c>
      <c r="ES22" s="33" t="str">
        <f>IF(VLOOKUP(BO22,Fundamentus!A:U,16,FALSE)&lt;0.1,"Oper. Ineficiente",IF(VLOOKUP(BO22,Fundamentus!A:U,16,FALSE)&gt;0.1,"Oper.Eficiente","n/a"))</f>
        <v>Oper. Ineficiente</v>
      </c>
      <c r="ET22" s="34">
        <f>VLOOKUP(BO22,Fundamentus!A:U,14,FALSE)</f>
        <v>0.12670000000000001</v>
      </c>
      <c r="EU22" s="17" t="str">
        <f>IF(VLOOKUP(BO22,Fundamentus!A:U,21,FALSE)&lt;0,"Negativo",IF(VLOOKUP(BO22,Fundamentus!A:U,21,FALSE)&lt;0.05,"Fraco",IF(VLOOKUP(BO22,Fundamentus!A:U,21,FALSE)&lt;0.1,"Bom",IF(VLOOKUP(BO22,Fundamentus!A:U,21,FALSE)&gt;0.1,"Muito bom","n/a"))))</f>
        <v>Fraco</v>
      </c>
      <c r="EW22" s="29" t="str">
        <f>IF(VLOOKUP(BO22,Fundamentus!A:U,15,FALSE)&gt;1,"Bom",IF(VLOOKUP(BO22,Fundamentus!A:U,15,FALSE)&lt;1,"Ruim","n/a"))</f>
        <v>Bom</v>
      </c>
      <c r="EX22" s="17" t="str">
        <f>IF(VLOOKUP(BO22,Fundamentus!A:U,20,FALSE)&lt;0.5,"Baixa",IF(VLOOKUP(BO22,Fundamentus!A:U,20,FALSE)&lt;1,"Moderada",IF(VLOOKUP(BO22,Fundamentus!A:U,20,FALSE)&lt;2,"Alerta",IF(VLOOKUP(BO22,Fundamentus!A:U,20,FALSE)&gt;2,"Alta","n/a"))))</f>
        <v>Moderada</v>
      </c>
    </row>
    <row r="23" spans="1:155" s="2" customFormat="1" ht="11.25"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5">
        <v>20.12</v>
      </c>
      <c r="BC23" s="52">
        <v>20.7</v>
      </c>
      <c r="BD23" s="52">
        <v>20.95</v>
      </c>
      <c r="BE23" s="52">
        <v>20.95</v>
      </c>
      <c r="BF23" s="52">
        <v>21</v>
      </c>
      <c r="BG23" s="67">
        <v>21.1</v>
      </c>
      <c r="BH23" s="52">
        <v>20.72</v>
      </c>
      <c r="BI23" s="52">
        <v>21</v>
      </c>
      <c r="BJ23" s="52">
        <v>21.6</v>
      </c>
      <c r="BK23" s="52">
        <v>21.73</v>
      </c>
      <c r="BL23" s="52">
        <v>21.15</v>
      </c>
      <c r="BM23" s="52">
        <v>21.15</v>
      </c>
      <c r="BN23" s="52" cm="1">
        <f t="array" aca="1" ref="BN23" ca="1">_FV(EB23,"Preço")</f>
        <v>21.15</v>
      </c>
      <c r="BO23" s="69" t="s">
        <v>20</v>
      </c>
      <c r="BP23" s="36" cm="1">
        <f t="array" aca="1" ref="BP23" ca="1">_FV(EB23,"Média de volume",TRUE)</f>
        <v>2790</v>
      </c>
      <c r="BQ23" s="36">
        <v>1200</v>
      </c>
      <c r="BR23" s="36" cm="1">
        <f t="array" aca="1" ref="BR23" ca="1">_FV(EB23,"Volume")</f>
        <v>1200</v>
      </c>
      <c r="BS23" s="24" cm="1">
        <f t="array" aca="1" ref="BS23" ca="1">_FV(EB23,"Beta")</f>
        <v>0.63919999999999999</v>
      </c>
      <c r="BT23" s="71" cm="1">
        <f t="array" aca="1" ref="BT23" ca="1">_FV(EB23,"Variação (%)",TRUE)</f>
        <v>1.9276999999999999E-2</v>
      </c>
      <c r="BV23" s="17" cm="1">
        <f t="array" aca="1" ref="BV23" ca="1">_FV(EB23,"Baixo")</f>
        <v>20.78</v>
      </c>
      <c r="BW23" s="17" cm="1">
        <f t="array" aca="1" ref="BW23" ca="1">_FV(EB23,"Alto")</f>
        <v>21.19</v>
      </c>
      <c r="BX23" s="24"/>
      <c r="BY23" s="63">
        <f ca="1">SQRT(22.5*(BN23/VLOOKUP(BO23,Fundamentus!A:U,3,FALSE))*(BN23/VLOOKUP(BO23,Fundamentus!A:U,4,FALSE)))</f>
        <v>29.898659771218973</v>
      </c>
      <c r="CA23" s="62">
        <f t="shared" ca="1" si="24"/>
        <v>0</v>
      </c>
      <c r="CB23" s="8"/>
      <c r="CC23" s="61">
        <f t="shared" si="25"/>
        <v>16.8</v>
      </c>
      <c r="CD23" s="61">
        <f t="shared" si="26"/>
        <v>22.9</v>
      </c>
      <c r="CE23" s="61">
        <f t="shared" si="27"/>
        <v>19.132999999999996</v>
      </c>
      <c r="CF23" s="14"/>
      <c r="CG23" s="35">
        <f t="shared" si="1"/>
        <v>20.401860439270695</v>
      </c>
      <c r="CH23" s="15">
        <f t="shared" si="28"/>
        <v>20.924999999999955</v>
      </c>
      <c r="CI23" s="35">
        <f t="shared" si="2"/>
        <v>21.448139560729214</v>
      </c>
      <c r="CK23" s="14"/>
      <c r="CL23" s="17">
        <f t="shared" si="3"/>
        <v>11.566666666666674</v>
      </c>
      <c r="CM23" s="17">
        <f t="shared" si="4"/>
        <v>14.183333333333337</v>
      </c>
      <c r="CN23" s="17">
        <f t="shared" si="5"/>
        <v>17.666666666666671</v>
      </c>
      <c r="CO23" s="38">
        <f t="shared" si="29"/>
        <v>20.283333333333335</v>
      </c>
      <c r="CP23" s="17">
        <f t="shared" si="6"/>
        <v>23.766666666666669</v>
      </c>
      <c r="CQ23" s="17">
        <f t="shared" si="7"/>
        <v>26.383333333333333</v>
      </c>
      <c r="CR23" s="17">
        <f t="shared" si="8"/>
        <v>29.866666666666667</v>
      </c>
      <c r="CS23" s="2" cm="1">
        <f t="array" aca="1" ref="CS23" ca="1">MAX(_xlfn._xlws.FILTER(CL23:CR23,CL23:CR23&lt;BN23))</f>
        <v>20.283333333333335</v>
      </c>
      <c r="CT23" s="2" cm="1">
        <f t="array" aca="1" ref="CT23" ca="1">MIN(_xlfn._xlws.FILTER($CL23:$CR23,$CL23:$CR23&gt;BN23))</f>
        <v>23.766666666666669</v>
      </c>
      <c r="CU23" s="16">
        <f t="shared" ca="1" si="63"/>
        <v>0.17173377156943315</v>
      </c>
      <c r="CV23" s="20">
        <f t="shared" ca="1" si="64"/>
        <v>-8.5866885784716573E-2</v>
      </c>
      <c r="CW23" s="20">
        <f t="shared" ca="1" si="65"/>
        <v>-5.724459052314438E-2</v>
      </c>
      <c r="CX23" s="20">
        <f t="shared" ca="1" si="66"/>
        <v>-3.4346754313886632E-2</v>
      </c>
      <c r="CY23" s="20">
        <f t="shared" ca="1" si="67"/>
        <v>-1.908153017438146E-2</v>
      </c>
      <c r="CZ23" s="20">
        <f t="shared" ca="1" si="68"/>
        <v>-1.0101986562907832E-2</v>
      </c>
      <c r="DA23" s="20">
        <f t="shared" ca="1" si="69"/>
        <v>-5.2040536839222168E-3</v>
      </c>
      <c r="DB23" s="20">
        <f t="shared" ca="1" si="70"/>
        <v>-2.6420580241451252E-3</v>
      </c>
      <c r="DC23" s="21">
        <f t="shared" ca="1" si="71"/>
        <v>2.6420580241451252E-3</v>
      </c>
      <c r="DD23" s="21">
        <f t="shared" ca="1" si="72"/>
        <v>5.2040536839222168E-3</v>
      </c>
      <c r="DE23" s="21">
        <f t="shared" ca="1" si="73"/>
        <v>1.0101986562907832E-2</v>
      </c>
      <c r="DF23" s="21">
        <f t="shared" ca="1" si="74"/>
        <v>1.908153017438146E-2</v>
      </c>
      <c r="DG23" s="21">
        <f t="shared" ca="1" si="75"/>
        <v>3.4346754313886632E-2</v>
      </c>
      <c r="DH23" s="21">
        <f t="shared" ca="1" si="76"/>
        <v>5.724459052314438E-2</v>
      </c>
      <c r="DI23" s="21">
        <f t="shared" ca="1" si="77"/>
        <v>8.5866885784716573E-2</v>
      </c>
      <c r="DK23" s="16" cm="1">
        <f t="array" aca="1" ref="DK23" ca="1">MAX(_xlfn._xlws.FILTER(CV23:DI23,CV23:DI23&lt;BT23))</f>
        <v>1.908153017438146E-2</v>
      </c>
      <c r="DL23" s="16" cm="1">
        <f t="array" aca="1" ref="DL23" ca="1">MIN(_xlfn._xlws.FILTER(CV23:DI23,CV23:DI23&gt;BT23))</f>
        <v>3.4346754313886632E-2</v>
      </c>
      <c r="DM23" s="2" cm="1">
        <f t="array" aca="1" ref="DM23" ca="1">_FV(EB23,"Fechamento anterior",TRUE)</f>
        <v>20.75</v>
      </c>
      <c r="DN23" s="28">
        <f t="shared" ca="1" si="15"/>
        <v>1.2812013604655921E-2</v>
      </c>
      <c r="DO23" s="15">
        <f t="shared" ca="1" si="78"/>
        <v>21.145941751118414</v>
      </c>
      <c r="DP23" s="15">
        <f t="shared" ca="1" si="79"/>
        <v>21.462695152013147</v>
      </c>
      <c r="DQ23" s="9"/>
      <c r="DR23" s="9"/>
      <c r="DS23" s="9"/>
      <c r="DT23" s="89">
        <v>1.5265224139505172E-2</v>
      </c>
      <c r="DU23" s="89">
        <f t="shared" ca="1" si="18"/>
        <v>1.5265224139505172E-2</v>
      </c>
      <c r="DV23" s="72">
        <f t="shared" ca="1" si="19"/>
        <v>0.43009555554619683</v>
      </c>
      <c r="DW23" s="37"/>
      <c r="DX23" s="35">
        <f t="shared" si="39"/>
        <v>0.26156978036462958</v>
      </c>
      <c r="DY23" s="56"/>
      <c r="DZ23" s="56"/>
      <c r="EB23" s="2" t="e" vm="23">
        <v>#VALUE!</v>
      </c>
      <c r="ED23" s="10" cm="1">
        <f t="array" aca="1" ref="ED23" ca="1">_FV(EB23,"Ações em circulação",TRUE)</f>
        <v>72081910</v>
      </c>
      <c r="EE23" s="18">
        <f>VLOOKUP(BO23,Fundamentus!A:U,5,FALSE)</f>
        <v>3.8490000000000002</v>
      </c>
      <c r="EF23" s="2">
        <f t="shared" ca="1" si="20"/>
        <v>396085319.95323461</v>
      </c>
      <c r="EG23" s="17">
        <v>238601796.73982856</v>
      </c>
      <c r="EH23" s="17">
        <f t="shared" ca="1" si="21"/>
        <v>238601796.73982856</v>
      </c>
      <c r="EJ23" s="16">
        <f t="shared" ca="1" si="22"/>
        <v>0</v>
      </c>
      <c r="EK23" s="32" t="str">
        <f>IF(VLOOKUP(BO23,Fundamentus!A:U,3,FALSE)&lt;15,"Bom",IF(VLOOKUP(BO23,Fundamentus!A:U,3,FALSE)&gt;15,"Ruim","n/a"))</f>
        <v>Bom</v>
      </c>
      <c r="EL23" s="28" t="str">
        <f>IF(VLOOKUP(BO23,Fundamentus!A:U,4,FALSE)&lt;1,"Baixo",IF(VLOOKUP(BO23,Fundamentus!A:U,4,FALSE)&lt;1.5,"Moderado",IF(VLOOKUP(BO23,Fundamentus!A:U,4,FALSE)&gt;1.5,"Alto","n/a")))</f>
        <v>Moderado</v>
      </c>
      <c r="EM23" s="17" t="str">
        <f>IF(VLOOKUP(BO23,Fundamentus!A:U,8,FALSE)&lt;0,"Risco elevado",IF(VLOOKUP(BO23,Fundamentus!A:U,8,FALSE)&lt;1,"Saudável",IF(VLOOKUP(BO23,Fundamentus!A:U,8,FALSE)&lt;3,"Estável",IF(VLOOKUP(BO23,Fundamentus!A:U,8,FALSE)&gt;3,"Alerta","n/a"))))</f>
        <v>Estável</v>
      </c>
      <c r="EN23" s="28" t="str">
        <f t="shared" si="23"/>
        <v>Bom</v>
      </c>
      <c r="EO23" s="17" t="str">
        <f>IF(VLOOKUP(BO23,Fundamentus!A:U,12,FALSE)&lt;2,"Subvalorizada",IF(VLOOKUP(BO23,Fundamentus!A:U,12,FALSE)&lt;6,"Muita barata",IF(VLOOKUP(BO23,Fundamentus!A:U,12,FALSE)&lt;6,"Barata",IF(VLOOKUP(BO23,Fundamentus!A:U,12,FALSE)&lt;8,"Atrativa",IF(VLOOKUP(BO23,Fundamentus!A:U,12,FALSE)&gt;8,"Supervalorizada","n/a")))))</f>
        <v>Muita barata</v>
      </c>
      <c r="EQ23" s="17" t="str">
        <f>IF(VLOOKUP(BO23,Fundamentus!A:U,17,FALSE)&lt;0.1,"Fraco retorno",IF(VLOOKUP(BO23,Fundamentus!A:U,17,FALSE)&gt;0.1,"Bom retorno","n/a"))</f>
        <v>Bom retorno</v>
      </c>
      <c r="ER23" s="17" t="str">
        <f>IF(VLOOKUP(BO23,Fundamentus!A:U,16,FALSE)&lt;0.1,"Ineficiente",IF(VLOOKUP(BO23,Fundamentus!A:U,16,FALSE)&gt;0.1,"Eficiente","n/a"))</f>
        <v>Eficiente</v>
      </c>
      <c r="ES23" s="33" t="str">
        <f>IF(VLOOKUP(BO23,Fundamentus!A:U,16,FALSE)&lt;0.1,"Oper. Ineficiente",IF(VLOOKUP(BO23,Fundamentus!A:U,16,FALSE)&gt;0.1,"Oper.Eficiente","n/a"))</f>
        <v>Oper.Eficiente</v>
      </c>
      <c r="ET23" s="34">
        <f>VLOOKUP(BO23,Fundamentus!A:U,14,FALSE)</f>
        <v>0.60240000000000005</v>
      </c>
      <c r="EU23" s="17" t="str">
        <f>IF(VLOOKUP(BO23,Fundamentus!A:U,21,FALSE)&lt;0,"Negativo",IF(VLOOKUP(BO23,Fundamentus!A:U,21,FALSE)&lt;0.05,"Fraco",IF(VLOOKUP(BO23,Fundamentus!A:U,21,FALSE)&lt;0.1,"Bom",IF(VLOOKUP(BO23,Fundamentus!A:U,21,FALSE)&gt;0.1,"Muito bom","n/a"))))</f>
        <v>Fraco</v>
      </c>
      <c r="EW23" s="29" t="str">
        <f>IF(VLOOKUP(BO23,Fundamentus!A:U,15,FALSE)&gt;1,"Bom",IF(VLOOKUP(BO23,Fundamentus!A:U,15,FALSE)&lt;1,"Ruim","n/a"))</f>
        <v>Bom</v>
      </c>
      <c r="EX23" s="17" t="str">
        <f>IF(VLOOKUP(BO23,Fundamentus!A:U,20,FALSE)&lt;0.5,"Baixa",IF(VLOOKUP(BO23,Fundamentus!A:U,20,FALSE)&lt;1,"Moderada",IF(VLOOKUP(BO23,Fundamentus!A:U,20,FALSE)&lt;2,"Alerta",IF(VLOOKUP(BO23,Fundamentus!A:U,20,FALSE)&gt;2,"Alta","n/a"))))</f>
        <v>Baixa</v>
      </c>
    </row>
    <row r="24" spans="1:155" s="2" customFormat="1" ht="11.25"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5">
        <v>16.34</v>
      </c>
      <c r="BC24" s="52">
        <v>16.93</v>
      </c>
      <c r="BD24" s="52">
        <v>16.46</v>
      </c>
      <c r="BE24" s="52">
        <v>16</v>
      </c>
      <c r="BF24" s="52">
        <v>15.89</v>
      </c>
      <c r="BG24" s="67">
        <v>15.11</v>
      </c>
      <c r="BH24" s="52">
        <v>15.01</v>
      </c>
      <c r="BI24" s="52">
        <v>14.62</v>
      </c>
      <c r="BJ24" s="52">
        <v>15.46</v>
      </c>
      <c r="BK24" s="52">
        <v>15.56</v>
      </c>
      <c r="BL24" s="52">
        <v>15.25</v>
      </c>
      <c r="BM24" s="52">
        <v>15</v>
      </c>
      <c r="BN24" s="52" cm="1">
        <f t="array" aca="1" ref="BN24" ca="1">_FV(EB24,"Preço")</f>
        <v>15</v>
      </c>
      <c r="BO24" s="69" t="s">
        <v>21</v>
      </c>
      <c r="BP24" s="36" cm="1">
        <f t="array" aca="1" ref="BP24" ca="1">_FV(EB24,"Média de volume",TRUE)</f>
        <v>278470</v>
      </c>
      <c r="BQ24" s="36">
        <v>122100</v>
      </c>
      <c r="BR24" s="36" cm="1">
        <f t="array" aca="1" ref="BR24" ca="1">_FV(EB24,"Volume")</f>
        <v>122100</v>
      </c>
      <c r="BS24" s="24" cm="1">
        <f t="array" aca="1" ref="BS24" ca="1">_FV(EB24,"Beta")</f>
        <v>1.0409999999999999</v>
      </c>
      <c r="BT24" s="71" cm="1">
        <f t="array" aca="1" ref="BT24" ca="1">_FV(EB24,"Variação (%)",TRUE)</f>
        <v>0</v>
      </c>
      <c r="BV24" s="17" cm="1">
        <f t="array" aca="1" ref="BV24" ca="1">_FV(EB24,"Baixo")</f>
        <v>14.96</v>
      </c>
      <c r="BW24" s="17" cm="1">
        <f t="array" aca="1" ref="BW24" ca="1">_FV(EB24,"Alto")</f>
        <v>15.1</v>
      </c>
      <c r="BX24" s="24"/>
      <c r="BY24" s="63">
        <f ca="1">SQRT(22.5*(BN24/VLOOKUP(BO24,Fundamentus!A:U,3,FALSE))*(BN24/VLOOKUP(BO24,Fundamentus!A:U,4,FALSE)))</f>
        <v>6.0633906259083243</v>
      </c>
      <c r="CA24" s="62">
        <f t="shared" ca="1" si="24"/>
        <v>0</v>
      </c>
      <c r="CB24" s="8"/>
      <c r="CC24" s="61">
        <f t="shared" si="25"/>
        <v>10.19</v>
      </c>
      <c r="CD24" s="61">
        <f t="shared" si="26"/>
        <v>17.649999999999999</v>
      </c>
      <c r="CE24" s="61">
        <f t="shared" si="27"/>
        <v>14.036384615384616</v>
      </c>
      <c r="CF24" s="14"/>
      <c r="CG24" s="35">
        <f t="shared" si="1"/>
        <v>14.465494470350123</v>
      </c>
      <c r="CH24" s="15">
        <f t="shared" si="28"/>
        <v>14.895000000000209</v>
      </c>
      <c r="CI24" s="35">
        <f t="shared" si="2"/>
        <v>15.324505529650295</v>
      </c>
      <c r="CK24" s="14"/>
      <c r="CL24" s="17">
        <f t="shared" si="3"/>
        <v>3.6166666666666654</v>
      </c>
      <c r="CM24" s="17">
        <f t="shared" si="4"/>
        <v>6.9033333333333324</v>
      </c>
      <c r="CN24" s="17">
        <f t="shared" si="5"/>
        <v>11.076666666666664</v>
      </c>
      <c r="CO24" s="38">
        <f t="shared" si="29"/>
        <v>14.363333333333332</v>
      </c>
      <c r="CP24" s="17">
        <f t="shared" si="6"/>
        <v>18.536666666666662</v>
      </c>
      <c r="CQ24" s="17">
        <f t="shared" si="7"/>
        <v>21.823333333333331</v>
      </c>
      <c r="CR24" s="17">
        <f t="shared" si="8"/>
        <v>25.996666666666663</v>
      </c>
      <c r="CS24" s="2" cm="1">
        <f t="array" aca="1" ref="CS24" ca="1">MAX(_xlfn._xlws.FILTER(CL24:CR24,CL24:CR24&lt;BN24))</f>
        <v>14.363333333333332</v>
      </c>
      <c r="CT24" s="2" cm="1">
        <f t="array" aca="1" ref="CT24" ca="1">MIN(_xlfn._xlws.FILTER($CL24:$CR24,$CL24:$CR24&gt;BN24))</f>
        <v>18.536666666666662</v>
      </c>
      <c r="CU24" s="16">
        <f t="shared" ca="1" si="63"/>
        <v>0.29055465305175199</v>
      </c>
      <c r="CV24" s="20">
        <f t="shared" ca="1" si="64"/>
        <v>-0.14527732652587599</v>
      </c>
      <c r="CW24" s="20">
        <f t="shared" ca="1" si="65"/>
        <v>-9.6851551017250667E-2</v>
      </c>
      <c r="CX24" s="20">
        <f t="shared" ca="1" si="66"/>
        <v>-5.81109306103504E-2</v>
      </c>
      <c r="CY24" s="20">
        <f t="shared" ca="1" si="67"/>
        <v>-3.2283850339083556E-2</v>
      </c>
      <c r="CZ24" s="20">
        <f t="shared" ca="1" si="68"/>
        <v>-1.7091450179514824E-2</v>
      </c>
      <c r="DA24" s="20">
        <f t="shared" ca="1" si="69"/>
        <v>-8.8046864561136962E-3</v>
      </c>
      <c r="DB24" s="20">
        <f t="shared" ca="1" si="70"/>
        <v>-4.470071585411569E-3</v>
      </c>
      <c r="DC24" s="21">
        <f t="shared" ca="1" si="71"/>
        <v>4.470071585411569E-3</v>
      </c>
      <c r="DD24" s="21">
        <f t="shared" ca="1" si="72"/>
        <v>8.8046864561136962E-3</v>
      </c>
      <c r="DE24" s="21">
        <f t="shared" ca="1" si="73"/>
        <v>1.7091450179514824E-2</v>
      </c>
      <c r="DF24" s="21">
        <f t="shared" ca="1" si="74"/>
        <v>3.2283850339083556E-2</v>
      </c>
      <c r="DG24" s="21">
        <f t="shared" ca="1" si="75"/>
        <v>5.81109306103504E-2</v>
      </c>
      <c r="DH24" s="21">
        <f t="shared" ca="1" si="76"/>
        <v>9.6851551017250667E-2</v>
      </c>
      <c r="DI24" s="21">
        <f t="shared" ca="1" si="77"/>
        <v>0.14527732652587599</v>
      </c>
      <c r="DK24" s="16" cm="1">
        <f t="array" aca="1" ref="DK24" ca="1">MAX(_xlfn._xlws.FILTER(CV24:DI24,CV24:DI24&lt;BT24))</f>
        <v>-4.470071585411569E-3</v>
      </c>
      <c r="DL24" s="16" cm="1">
        <f t="array" aca="1" ref="DL24" ca="1">MIN(_xlfn._xlws.FILTER(CV24:DI24,CV24:DI24&gt;BT24))</f>
        <v>4.470071585411569E-3</v>
      </c>
      <c r="DM24" s="2" cm="1">
        <f t="array" aca="1" ref="DM24" ca="1">_FV(EB24,"Fechamento anterior",TRUE)</f>
        <v>15</v>
      </c>
      <c r="DN24" s="28">
        <f t="shared" ca="1" si="15"/>
        <v>0.5</v>
      </c>
      <c r="DO24" s="15">
        <f t="shared" ca="1" si="78"/>
        <v>14.932948926218826</v>
      </c>
      <c r="DP24" s="15">
        <f t="shared" ca="1" si="79"/>
        <v>15.067051073781174</v>
      </c>
      <c r="DQ24" s="9"/>
      <c r="DR24" s="9"/>
      <c r="DS24" s="9"/>
      <c r="DT24" s="89">
        <v>8.940143170823138E-3</v>
      </c>
      <c r="DU24" s="89">
        <f t="shared" ca="1" si="18"/>
        <v>8.940143170823138E-3</v>
      </c>
      <c r="DV24" s="72">
        <f t="shared" ca="1" si="19"/>
        <v>0.24446716689615902</v>
      </c>
      <c r="DW24" s="37"/>
      <c r="DX24" s="35">
        <f t="shared" si="39"/>
        <v>0.21475276482504277</v>
      </c>
      <c r="DY24" s="56"/>
      <c r="DZ24" s="56"/>
      <c r="EB24" s="2" t="e" vm="24">
        <v>#VALUE!</v>
      </c>
      <c r="ED24" s="10" cm="1">
        <f t="array" aca="1" ref="ED24" ca="1">_FV(EB24,"Ações em circulação",TRUE)</f>
        <v>56720760</v>
      </c>
      <c r="EE24" s="18">
        <f>VLOOKUP(BO24,Fundamentus!A:U,5,FALSE)</f>
        <v>0.55900000000000005</v>
      </c>
      <c r="EF24" s="2">
        <f t="shared" ca="1" si="20"/>
        <v>1522023971.3774595</v>
      </c>
      <c r="EG24" s="17">
        <v>35158753.738819316</v>
      </c>
      <c r="EH24" s="17">
        <f t="shared" ca="1" si="21"/>
        <v>35158753.738819316</v>
      </c>
      <c r="EJ24" s="16">
        <f t="shared" ca="1" si="22"/>
        <v>0</v>
      </c>
      <c r="EK24" s="32" t="str">
        <f>IF(VLOOKUP(BO24,Fundamentus!A:U,3,FALSE)&lt;15,"Bom",IF(VLOOKUP(BO24,Fundamentus!A:U,3,FALSE)&gt;15,"Ruim","n/a"))</f>
        <v>Ruim</v>
      </c>
      <c r="EL24" s="28" t="str">
        <f>IF(VLOOKUP(BO24,Fundamentus!A:U,4,FALSE)&lt;1,"Baixo",IF(VLOOKUP(BO24,Fundamentus!A:U,4,FALSE)&lt;1.5,"Moderado",IF(VLOOKUP(BO24,Fundamentus!A:U,4,FALSE)&gt;1.5,"Alto","n/a")))</f>
        <v>Alto</v>
      </c>
      <c r="EM24" s="17" t="str">
        <f>IF(VLOOKUP(BO24,Fundamentus!A:U,8,FALSE)&lt;0,"Risco elevado",IF(VLOOKUP(BO24,Fundamentus!A:U,8,FALSE)&lt;1,"Saudável",IF(VLOOKUP(BO24,Fundamentus!A:U,8,FALSE)&lt;3,"Estável",IF(VLOOKUP(BO24,Fundamentus!A:U,8,FALSE)&gt;3,"Alerta","n/a"))))</f>
        <v>Estável</v>
      </c>
      <c r="EN24" s="28" t="str">
        <f t="shared" si="23"/>
        <v>Ruim</v>
      </c>
      <c r="EO24" s="17" t="str">
        <f>IF(VLOOKUP(BO24,Fundamentus!A:U,12,FALSE)&lt;2,"Subvalorizada",IF(VLOOKUP(BO24,Fundamentus!A:U,12,FALSE)&lt;6,"Muita barata",IF(VLOOKUP(BO24,Fundamentus!A:U,12,FALSE)&lt;6,"Barata",IF(VLOOKUP(BO24,Fundamentus!A:U,12,FALSE)&lt;8,"Atrativa",IF(VLOOKUP(BO24,Fundamentus!A:U,12,FALSE)&gt;8,"Supervalorizada","n/a")))))</f>
        <v>Atrativa</v>
      </c>
      <c r="EQ24" s="17" t="str">
        <f>IF(VLOOKUP(BO24,Fundamentus!A:U,17,FALSE)&lt;0.1,"Fraco retorno",IF(VLOOKUP(BO24,Fundamentus!A:U,17,FALSE)&gt;0.1,"Bom retorno","n/a"))</f>
        <v>Fraco retorno</v>
      </c>
      <c r="ER24" s="17" t="str">
        <f>IF(VLOOKUP(BO24,Fundamentus!A:U,16,FALSE)&lt;0.1,"Ineficiente",IF(VLOOKUP(BO24,Fundamentus!A:U,16,FALSE)&gt;0.1,"Eficiente","n/a"))</f>
        <v>Ineficiente</v>
      </c>
      <c r="ES24" s="33" t="str">
        <f>IF(VLOOKUP(BO24,Fundamentus!A:U,16,FALSE)&lt;0.1,"Oper. Ineficiente",IF(VLOOKUP(BO24,Fundamentus!A:U,16,FALSE)&gt;0.1,"Oper.Eficiente","n/a"))</f>
        <v>Oper. Ineficiente</v>
      </c>
      <c r="ET24" s="34">
        <f>VLOOKUP(BO24,Fundamentus!A:U,14,FALSE)</f>
        <v>2.3099999999999999E-2</v>
      </c>
      <c r="EU24" s="17" t="str">
        <f>IF(VLOOKUP(BO24,Fundamentus!A:U,21,FALSE)&lt;0,"Negativo",IF(VLOOKUP(BO24,Fundamentus!A:U,21,FALSE)&lt;0.05,"Fraco",IF(VLOOKUP(BO24,Fundamentus!A:U,21,FALSE)&lt;0.1,"Bom",IF(VLOOKUP(BO24,Fundamentus!A:U,21,FALSE)&gt;0.1,"Muito bom","n/a"))))</f>
        <v>Muito bom</v>
      </c>
      <c r="EW24" s="29" t="str">
        <f>IF(VLOOKUP(BO24,Fundamentus!A:U,15,FALSE)&gt;1,"Bom",IF(VLOOKUP(BO24,Fundamentus!A:U,15,FALSE)&lt;1,"Ruim","n/a"))</f>
        <v>Bom</v>
      </c>
      <c r="EX24" s="17" t="str">
        <f>IF(VLOOKUP(BO24,Fundamentus!A:U,20,FALSE)&lt;0.5,"Baixa",IF(VLOOKUP(BO24,Fundamentus!A:U,20,FALSE)&lt;1,"Moderada",IF(VLOOKUP(BO24,Fundamentus!A:U,20,FALSE)&lt;2,"Alerta",IF(VLOOKUP(BO24,Fundamentus!A:U,20,FALSE)&gt;2,"Alta","n/a"))))</f>
        <v>Alerta</v>
      </c>
    </row>
    <row r="25" spans="1:155" s="2" customFormat="1" ht="11.25"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5">
        <v>10.41</v>
      </c>
      <c r="BC25" s="52">
        <v>10.53</v>
      </c>
      <c r="BD25" s="52">
        <v>10.7</v>
      </c>
      <c r="BE25" s="52">
        <v>10.84</v>
      </c>
      <c r="BF25" s="52">
        <v>10.48</v>
      </c>
      <c r="BG25" s="67">
        <v>10.57</v>
      </c>
      <c r="BH25" s="52">
        <v>10.75</v>
      </c>
      <c r="BI25" s="52">
        <v>10.48</v>
      </c>
      <c r="BJ25" s="52">
        <v>11.18</v>
      </c>
      <c r="BK25" s="52">
        <v>10.8</v>
      </c>
      <c r="BL25" s="52">
        <v>10.38</v>
      </c>
      <c r="BM25" s="52">
        <v>10.48</v>
      </c>
      <c r="BN25" s="52" cm="1">
        <f t="array" aca="1" ref="BN25" ca="1">_FV(EB25,"Preço")</f>
        <v>10.48</v>
      </c>
      <c r="BO25" s="69" t="s">
        <v>22</v>
      </c>
      <c r="BP25" s="36" cm="1">
        <f t="array" aca="1" ref="BP25" ca="1">_FV(EB25,"Média de volume",TRUE)</f>
        <v>8570610</v>
      </c>
      <c r="BQ25" s="36">
        <v>6455600</v>
      </c>
      <c r="BR25" s="36" cm="1">
        <f t="array" aca="1" ref="BR25" ca="1">_FV(EB25,"Volume")</f>
        <v>6455600</v>
      </c>
      <c r="BS25" s="24" cm="1">
        <f t="array" aca="1" ref="BS25" ca="1">_FV(EB25,"Beta")</f>
        <v>0.81740000000000002</v>
      </c>
      <c r="BT25" s="71" cm="1">
        <f t="array" aca="1" ref="BT25" ca="1">_FV(EB25,"Variação (%)",TRUE)</f>
        <v>-4.7479999999999996E-3</v>
      </c>
      <c r="BV25" s="17" cm="1">
        <f t="array" aca="1" ref="BV25" ca="1">_FV(EB25,"Baixo")</f>
        <v>10.46</v>
      </c>
      <c r="BW25" s="17" cm="1">
        <f t="array" aca="1" ref="BW25" ca="1">_FV(EB25,"Alto")</f>
        <v>10.6</v>
      </c>
      <c r="BX25" s="24"/>
      <c r="BY25" s="63">
        <f ca="1">SQRT(22.5*(BN25/VLOOKUP(BO25,Fundamentus!A:U,3,FALSE))*(BN25/VLOOKUP(BO25,Fundamentus!A:U,4,FALSE)))</f>
        <v>23.014354082336538</v>
      </c>
      <c r="CA25" s="62">
        <f t="shared" ca="1" si="24"/>
        <v>0</v>
      </c>
      <c r="CB25" s="8"/>
      <c r="CC25" s="61">
        <f t="shared" si="25"/>
        <v>9.9</v>
      </c>
      <c r="CD25" s="61">
        <f t="shared" si="26"/>
        <v>12.09</v>
      </c>
      <c r="CE25" s="61">
        <f t="shared" si="27"/>
        <v>10.879769230769231</v>
      </c>
      <c r="CF25" s="14"/>
      <c r="CG25" s="35">
        <f t="shared" si="1"/>
        <v>9.454860015676644</v>
      </c>
      <c r="CH25" s="15">
        <f t="shared" si="28"/>
        <v>10.080000000000155</v>
      </c>
      <c r="CI25" s="35">
        <f t="shared" si="2"/>
        <v>10.705139984323665</v>
      </c>
      <c r="CK25" s="14"/>
      <c r="CL25" s="17">
        <f t="shared" si="3"/>
        <v>7.3000000000000025</v>
      </c>
      <c r="CM25" s="17">
        <f t="shared" si="4"/>
        <v>8.6000000000000014</v>
      </c>
      <c r="CN25" s="17">
        <f t="shared" si="5"/>
        <v>9.490000000000002</v>
      </c>
      <c r="CO25" s="38">
        <f t="shared" si="29"/>
        <v>10.790000000000001</v>
      </c>
      <c r="CP25" s="17">
        <f t="shared" si="6"/>
        <v>11.680000000000001</v>
      </c>
      <c r="CQ25" s="17">
        <f t="shared" si="7"/>
        <v>12.98</v>
      </c>
      <c r="CR25" s="17">
        <f t="shared" si="8"/>
        <v>13.870000000000001</v>
      </c>
      <c r="CS25" s="2" cm="1">
        <f t="array" aca="1" ref="CS25" ca="1">MAX(_xlfn._xlws.FILTER(CL25:CR25,CL25:CR25&lt;BN25))</f>
        <v>9.490000000000002</v>
      </c>
      <c r="CT25" s="2" cm="1">
        <f t="array" aca="1" ref="CT25" ca="1">MIN(_xlfn._xlws.FILTER($CL25:$CR25,$CL25:$CR25&gt;BN25))</f>
        <v>10.790000000000001</v>
      </c>
      <c r="CU25" s="16">
        <f t="shared" ca="1" si="63"/>
        <v>0.1369863013698629</v>
      </c>
      <c r="CV25" s="20">
        <f t="shared" ca="1" si="64"/>
        <v>-6.8493150684931448E-2</v>
      </c>
      <c r="CW25" s="20">
        <f t="shared" ca="1" si="65"/>
        <v>-4.5662100456620967E-2</v>
      </c>
      <c r="CX25" s="20">
        <f t="shared" ca="1" si="66"/>
        <v>-2.739726027397258E-2</v>
      </c>
      <c r="CY25" s="20">
        <f t="shared" ca="1" si="67"/>
        <v>-1.5220700152206989E-2</v>
      </c>
      <c r="CZ25" s="20">
        <f t="shared" ca="1" si="68"/>
        <v>-8.0580177276389931E-3</v>
      </c>
      <c r="DA25" s="20">
        <f t="shared" ca="1" si="69"/>
        <v>-4.1511000415109965E-3</v>
      </c>
      <c r="DB25" s="20">
        <f t="shared" ca="1" si="70"/>
        <v>-2.1074815595363522E-3</v>
      </c>
      <c r="DC25" s="21">
        <f t="shared" ca="1" si="71"/>
        <v>2.1074815595363522E-3</v>
      </c>
      <c r="DD25" s="21">
        <f t="shared" ca="1" si="72"/>
        <v>4.1511000415109965E-3</v>
      </c>
      <c r="DE25" s="21">
        <f t="shared" ca="1" si="73"/>
        <v>8.0580177276389931E-3</v>
      </c>
      <c r="DF25" s="21">
        <f t="shared" ca="1" si="74"/>
        <v>1.5220700152206989E-2</v>
      </c>
      <c r="DG25" s="21">
        <f t="shared" ca="1" si="75"/>
        <v>2.739726027397258E-2</v>
      </c>
      <c r="DH25" s="21">
        <f t="shared" ca="1" si="76"/>
        <v>4.5662100456620967E-2</v>
      </c>
      <c r="DI25" s="21">
        <f t="shared" ca="1" si="77"/>
        <v>6.8493150684931448E-2</v>
      </c>
      <c r="DK25" s="16" cm="1">
        <f t="array" aca="1" ref="DK25" ca="1">MAX(_xlfn._xlws.FILTER(CV25:DI25,CV25:DI25&lt;BT25))</f>
        <v>-8.0580177276389931E-3</v>
      </c>
      <c r="DL25" s="16" cm="1">
        <f t="array" aca="1" ref="DL25" ca="1">MIN(_xlfn._xlws.FILTER(CV25:DI25,CV25:DI25&gt;BT25))</f>
        <v>-4.1511000415109965E-3</v>
      </c>
      <c r="DM25" s="2" cm="1">
        <f t="array" aca="1" ref="DM25" ca="1">_FV(EB25,"Fechamento anterior",TRUE)</f>
        <v>10.53</v>
      </c>
      <c r="DN25" s="28">
        <f t="shared" ca="1" si="15"/>
        <v>0.84713319088322825</v>
      </c>
      <c r="DO25" s="15">
        <f t="shared" ca="1" si="78"/>
        <v>10.445149073327961</v>
      </c>
      <c r="DP25" s="15">
        <f t="shared" ca="1" si="79"/>
        <v>10.486288916562888</v>
      </c>
      <c r="DQ25" s="9"/>
      <c r="DR25" s="9"/>
      <c r="DS25" s="9"/>
      <c r="DT25" s="89">
        <v>3.9069176861279966E-3</v>
      </c>
      <c r="DU25" s="89">
        <f t="shared" ca="1" si="18"/>
        <v>3.9069176861279966E-3</v>
      </c>
      <c r="DV25" s="72">
        <f t="shared" ca="1" si="19"/>
        <v>0.63985668815073804</v>
      </c>
      <c r="DW25" s="37"/>
      <c r="DX25" s="35">
        <f t="shared" si="39"/>
        <v>0.31256999216175535</v>
      </c>
      <c r="DY25" s="56"/>
      <c r="DZ25" s="56"/>
      <c r="EB25" s="2" t="e" vm="25">
        <v>#VALUE!</v>
      </c>
      <c r="ED25" s="10" cm="1">
        <f t="array" aca="1" ref="ED25" ca="1">_FV(EB25,"Ações em circulação",TRUE)</f>
        <v>2861782000</v>
      </c>
      <c r="EE25" s="18">
        <f>VLOOKUP(BO25,Fundamentus!A:U,5,FALSE)</f>
        <v>0.746</v>
      </c>
      <c r="EF25" s="2">
        <f t="shared" ca="1" si="20"/>
        <v>40203050080.428955</v>
      </c>
      <c r="EG25" s="17">
        <v>6935026138.8739939</v>
      </c>
      <c r="EH25" s="17">
        <f t="shared" ca="1" si="21"/>
        <v>6935026138.8739939</v>
      </c>
      <c r="EJ25" s="16">
        <f t="shared" ca="1" si="22"/>
        <v>0</v>
      </c>
      <c r="EK25" s="32" t="str">
        <f>IF(VLOOKUP(BO25,Fundamentus!A:U,3,FALSE)&lt;15,"Bom",IF(VLOOKUP(BO25,Fundamentus!A:U,3,FALSE)&gt;15,"Ruim","n/a"))</f>
        <v>Bom</v>
      </c>
      <c r="EL25" s="28" t="str">
        <f>IF(VLOOKUP(BO25,Fundamentus!A:U,4,FALSE)&lt;1,"Baixo",IF(VLOOKUP(BO25,Fundamentus!A:U,4,FALSE)&lt;1.5,"Moderado",IF(VLOOKUP(BO25,Fundamentus!A:U,4,FALSE)&gt;1.5,"Alto","n/a")))</f>
        <v>Moderado</v>
      </c>
      <c r="EM25" s="17" t="str">
        <f>IF(VLOOKUP(BO25,Fundamentus!A:U,8,FALSE)&lt;0,"Risco elevado",IF(VLOOKUP(BO25,Fundamentus!A:U,8,FALSE)&lt;1,"Saudável",IF(VLOOKUP(BO25,Fundamentus!A:U,8,FALSE)&lt;3,"Estável",IF(VLOOKUP(BO25,Fundamentus!A:U,8,FALSE)&gt;3,"Alerta","n/a"))))</f>
        <v>Alerta</v>
      </c>
      <c r="EN25" s="28" t="str">
        <f t="shared" si="23"/>
        <v>Ruim</v>
      </c>
      <c r="EO25" s="17" t="str">
        <f>IF(VLOOKUP(BO25,Fundamentus!A:U,12,FALSE)&lt;2,"Subvalorizada",IF(VLOOKUP(BO25,Fundamentus!A:U,12,FALSE)&lt;6,"Muita barata",IF(VLOOKUP(BO25,Fundamentus!A:U,12,FALSE)&lt;6,"Barata",IF(VLOOKUP(BO25,Fundamentus!A:U,12,FALSE)&lt;8,"Atrativa",IF(VLOOKUP(BO25,Fundamentus!A:U,12,FALSE)&gt;8,"Supervalorizada","n/a")))))</f>
        <v>Muita barata</v>
      </c>
      <c r="EQ25" s="17" t="str">
        <f>IF(VLOOKUP(BO25,Fundamentus!A:U,17,FALSE)&lt;0.1,"Fraco retorno",IF(VLOOKUP(BO25,Fundamentus!A:U,17,FALSE)&gt;0.1,"Bom retorno","n/a"))</f>
        <v>Bom retorno</v>
      </c>
      <c r="ER25" s="17" t="str">
        <f>IF(VLOOKUP(BO25,Fundamentus!A:U,16,FALSE)&lt;0.1,"Ineficiente",IF(VLOOKUP(BO25,Fundamentus!A:U,16,FALSE)&gt;0.1,"Eficiente","n/a"))</f>
        <v>Eficiente</v>
      </c>
      <c r="ES25" s="33" t="str">
        <f>IF(VLOOKUP(BO25,Fundamentus!A:U,16,FALSE)&lt;0.1,"Oper. Ineficiente",IF(VLOOKUP(BO25,Fundamentus!A:U,16,FALSE)&gt;0.1,"Oper.Eficiente","n/a"))</f>
        <v>Oper.Eficiente</v>
      </c>
      <c r="ET25" s="34">
        <f>VLOOKUP(BO25,Fundamentus!A:U,14,FALSE)</f>
        <v>0.17249999999999999</v>
      </c>
      <c r="EU25" s="17" t="str">
        <f>IF(VLOOKUP(BO25,Fundamentus!A:U,21,FALSE)&lt;0,"Negativo",IF(VLOOKUP(BO25,Fundamentus!A:U,21,FALSE)&lt;0.05,"Fraco",IF(VLOOKUP(BO25,Fundamentus!A:U,21,FALSE)&lt;0.1,"Bom",IF(VLOOKUP(BO25,Fundamentus!A:U,21,FALSE)&gt;0.1,"Muito bom","n/a"))))</f>
        <v>Bom</v>
      </c>
      <c r="EW25" s="29" t="str">
        <f>IF(VLOOKUP(BO25,Fundamentus!A:U,15,FALSE)&gt;1,"Bom",IF(VLOOKUP(BO25,Fundamentus!A:U,15,FALSE)&lt;1,"Ruim","n/a"))</f>
        <v>Bom</v>
      </c>
      <c r="EX25" s="17" t="str">
        <f>IF(VLOOKUP(BO25,Fundamentus!A:U,20,FALSE)&lt;0.5,"Baixa",IF(VLOOKUP(BO25,Fundamentus!A:U,20,FALSE)&lt;1,"Moderada",IF(VLOOKUP(BO25,Fundamentus!A:U,20,FALSE)&lt;2,"Alerta",IF(VLOOKUP(BO25,Fundamentus!A:U,20,FALSE)&gt;2,"Alta","n/a"))))</f>
        <v>Moderada</v>
      </c>
    </row>
    <row r="26" spans="1:155" s="2" customFormat="1" ht="11.25"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5">
        <v>8.85</v>
      </c>
      <c r="BC26" s="52">
        <v>8.73</v>
      </c>
      <c r="BD26" s="52">
        <v>8.7899999999999991</v>
      </c>
      <c r="BE26" s="52">
        <v>8.73</v>
      </c>
      <c r="BF26" s="52">
        <v>8.68</v>
      </c>
      <c r="BG26" s="67">
        <v>8.65</v>
      </c>
      <c r="BH26" s="52">
        <v>8.65</v>
      </c>
      <c r="BI26" s="52">
        <v>8.4700000000000006</v>
      </c>
      <c r="BJ26" s="52">
        <v>8.59</v>
      </c>
      <c r="BK26" s="52">
        <v>8.52</v>
      </c>
      <c r="BL26" s="52">
        <v>8.42</v>
      </c>
      <c r="BM26" s="52">
        <v>8.39</v>
      </c>
      <c r="BN26" s="52" cm="1">
        <f t="array" aca="1" ref="BN26" ca="1">_FV(EB26,"Preço")</f>
        <v>8.39</v>
      </c>
      <c r="BO26" s="69" t="s">
        <v>23</v>
      </c>
      <c r="BP26" s="36" cm="1">
        <f t="array" aca="1" ref="BP26" ca="1">_FV(EB26,"Média de volume",TRUE)</f>
        <v>7090</v>
      </c>
      <c r="BQ26" s="36">
        <v>900</v>
      </c>
      <c r="BR26" s="36" cm="1">
        <f t="array" aca="1" ref="BR26" ca="1">_FV(EB26,"Volume")</f>
        <v>900</v>
      </c>
      <c r="BS26" s="24" cm="1">
        <f t="array" aca="1" ref="BS26" ca="1">_FV(EB26,"Beta")</f>
        <v>0.45240000000000002</v>
      </c>
      <c r="BT26" s="71" cm="1">
        <f t="array" aca="1" ref="BT26" ca="1">_FV(EB26,"Variação (%)",TRUE)</f>
        <v>-1.1899999999999999E-3</v>
      </c>
      <c r="BV26" s="17" cm="1">
        <f t="array" aca="1" ref="BV26" ca="1">_FV(EB26,"Baixo")</f>
        <v>8.36</v>
      </c>
      <c r="BW26" s="17" cm="1">
        <f t="array" aca="1" ref="BW26" ca="1">_FV(EB26,"Alto")</f>
        <v>8.4</v>
      </c>
      <c r="BX26" s="24"/>
      <c r="BY26" s="63">
        <f ca="1">SQRT(22.5*(BN26/VLOOKUP(BO26,Fundamentus!A:U,3,FALSE))*(BN26/VLOOKUP(BO26,Fundamentus!A:U,4,FALSE)))</f>
        <v>13.986096291932386</v>
      </c>
      <c r="CA26" s="62">
        <f t="shared" ca="1" si="24"/>
        <v>0</v>
      </c>
      <c r="CB26" s="8"/>
      <c r="CC26" s="61">
        <f t="shared" si="25"/>
        <v>8.33</v>
      </c>
      <c r="CD26" s="61">
        <f t="shared" si="26"/>
        <v>9.86</v>
      </c>
      <c r="CE26" s="61">
        <f t="shared" si="27"/>
        <v>8.9676153846153834</v>
      </c>
      <c r="CF26" s="14"/>
      <c r="CG26" s="35">
        <f t="shared" si="1"/>
        <v>8.1456262254949152</v>
      </c>
      <c r="CH26" s="15">
        <f t="shared" si="28"/>
        <v>8.3050000000000068</v>
      </c>
      <c r="CI26" s="35">
        <f t="shared" si="2"/>
        <v>8.4643737745050984</v>
      </c>
      <c r="CK26" s="14"/>
      <c r="CL26" s="17">
        <f t="shared" si="3"/>
        <v>6.35</v>
      </c>
      <c r="CM26" s="17">
        <f t="shared" si="4"/>
        <v>7.34</v>
      </c>
      <c r="CN26" s="17">
        <f t="shared" si="5"/>
        <v>7.879999999999999</v>
      </c>
      <c r="CO26" s="38">
        <f t="shared" si="29"/>
        <v>8.8699999999999992</v>
      </c>
      <c r="CP26" s="17">
        <f t="shared" si="6"/>
        <v>9.4099999999999984</v>
      </c>
      <c r="CQ26" s="17">
        <f t="shared" si="7"/>
        <v>10.399999999999999</v>
      </c>
      <c r="CR26" s="17">
        <f t="shared" si="8"/>
        <v>10.939999999999998</v>
      </c>
      <c r="CS26" s="2" cm="1">
        <f t="array" aca="1" ref="CS26" ca="1">MAX(_xlfn._xlws.FILTER(CL26:CR26,CL26:CR26&lt;BN26))</f>
        <v>7.879999999999999</v>
      </c>
      <c r="CT26" s="2" cm="1">
        <f t="array" aca="1" ref="CT26" ca="1">MIN(_xlfn._xlws.FILTER($CL26:$CR26,$CL26:$CR26&gt;BN26))</f>
        <v>8.8699999999999992</v>
      </c>
      <c r="CU26" s="16">
        <f t="shared" ca="1" si="63"/>
        <v>0.12563451776649748</v>
      </c>
      <c r="CV26" s="20">
        <f t="shared" ca="1" si="64"/>
        <v>-6.2817258883248739E-2</v>
      </c>
      <c r="CW26" s="20">
        <f t="shared" ca="1" si="65"/>
        <v>-4.1878172588832495E-2</v>
      </c>
      <c r="CX26" s="20">
        <f t="shared" ca="1" si="66"/>
        <v>-2.5126903553299496E-2</v>
      </c>
      <c r="CY26" s="20">
        <f t="shared" ca="1" si="67"/>
        <v>-1.3959390862944164E-2</v>
      </c>
      <c r="CZ26" s="20">
        <f t="shared" ca="1" si="68"/>
        <v>-7.3902657509704395E-3</v>
      </c>
      <c r="DA26" s="20">
        <f t="shared" ca="1" si="69"/>
        <v>-3.8071065989847721E-3</v>
      </c>
      <c r="DB26" s="20">
        <f t="shared" ca="1" si="70"/>
        <v>-1.9328387348691921E-3</v>
      </c>
      <c r="DC26" s="21">
        <f t="shared" ca="1" si="71"/>
        <v>1.9328387348691921E-3</v>
      </c>
      <c r="DD26" s="21">
        <f t="shared" ca="1" si="72"/>
        <v>3.8071065989847721E-3</v>
      </c>
      <c r="DE26" s="21">
        <f t="shared" ca="1" si="73"/>
        <v>7.3902657509704395E-3</v>
      </c>
      <c r="DF26" s="21">
        <f t="shared" ca="1" si="74"/>
        <v>1.3959390862944164E-2</v>
      </c>
      <c r="DG26" s="21">
        <f t="shared" ca="1" si="75"/>
        <v>2.5126903553299496E-2</v>
      </c>
      <c r="DH26" s="21">
        <f t="shared" ca="1" si="76"/>
        <v>4.1878172588832495E-2</v>
      </c>
      <c r="DI26" s="21">
        <f t="shared" ca="1" si="77"/>
        <v>6.2817258883248739E-2</v>
      </c>
      <c r="DK26" s="16" cm="1">
        <f t="array" aca="1" ref="DK26" ca="1">MAX(_xlfn._xlws.FILTER(CV26:DI26,CV26:DI26&lt;BT26))</f>
        <v>-1.9328387348691921E-3</v>
      </c>
      <c r="DL26" s="16" cm="1">
        <f t="array" aca="1" ref="DL26" ca="1">MIN(_xlfn._xlws.FILTER(CV26:DI26,CV26:DI26&gt;BT26))</f>
        <v>1.9328387348691921E-3</v>
      </c>
      <c r="DM26" s="2" cm="1">
        <f t="array" aca="1" ref="DM26" ca="1">_FV(EB26,"Fechamento anterior",TRUE)</f>
        <v>8.4</v>
      </c>
      <c r="DN26" s="28">
        <f t="shared" ca="1" si="15"/>
        <v>0.19203944203943646</v>
      </c>
      <c r="DO26" s="15">
        <f t="shared" ca="1" si="78"/>
        <v>8.3837641546270998</v>
      </c>
      <c r="DP26" s="15">
        <f t="shared" ca="1" si="79"/>
        <v>8.4162358453729009</v>
      </c>
      <c r="DQ26" s="9"/>
      <c r="DR26" s="9"/>
      <c r="DS26" s="9"/>
      <c r="DT26" s="89">
        <v>3.8656774697383841E-3</v>
      </c>
      <c r="DU26" s="89">
        <f t="shared" ca="1" si="18"/>
        <v>3.8656774697383841E-3</v>
      </c>
      <c r="DV26" s="72">
        <f t="shared" ca="1" si="19"/>
        <v>0.53333743436739778</v>
      </c>
      <c r="DW26" s="37"/>
      <c r="DX26" s="35">
        <f t="shared" si="39"/>
        <v>7.9686887252545885E-2</v>
      </c>
      <c r="DY26" s="56"/>
      <c r="DZ26" s="56"/>
      <c r="EB26" s="2" t="e" vm="26">
        <v>#VALUE!</v>
      </c>
      <c r="ED26" s="10" cm="1">
        <f t="array" aca="1" ref="ED26" ca="1">_FV(EB26,"Ações em circulação",TRUE)</f>
        <v>315912900</v>
      </c>
      <c r="EE26" s="18">
        <f>VLOOKUP(BO26,Fundamentus!A:U,5,FALSE)</f>
        <v>0</v>
      </c>
      <c r="EF26" s="2" t="e">
        <f t="shared" ca="1" si="20"/>
        <v>#DIV/0!</v>
      </c>
      <c r="EG26" s="17" t="e">
        <v>#DIV/0!</v>
      </c>
      <c r="EH26" s="17" t="e">
        <f t="shared" ca="1" si="21"/>
        <v>#DIV/0!</v>
      </c>
      <c r="EJ26" s="16" t="e">
        <f t="shared" ca="1" si="22"/>
        <v>#DIV/0!</v>
      </c>
      <c r="EK26" s="32" t="str">
        <f>IF(VLOOKUP(BO26,Fundamentus!A:U,3,FALSE)&lt;15,"Bom",IF(VLOOKUP(BO26,Fundamentus!A:U,3,FALSE)&gt;15,"Ruim","n/a"))</f>
        <v>Bom</v>
      </c>
      <c r="EL26" s="28" t="str">
        <f>IF(VLOOKUP(BO26,Fundamentus!A:U,4,FALSE)&lt;1,"Baixo",IF(VLOOKUP(BO26,Fundamentus!A:U,4,FALSE)&lt;1.5,"Moderado",IF(VLOOKUP(BO26,Fundamentus!A:U,4,FALSE)&gt;1.5,"Alto","n/a")))</f>
        <v>Moderado</v>
      </c>
      <c r="EM26" s="17" t="str">
        <f>IF(VLOOKUP(BO26,Fundamentus!A:U,8,FALSE)&lt;0,"Risco elevado",IF(VLOOKUP(BO26,Fundamentus!A:U,8,FALSE)&lt;1,"Saudável",IF(VLOOKUP(BO26,Fundamentus!A:U,8,FALSE)&lt;3,"Estável",IF(VLOOKUP(BO26,Fundamentus!A:U,8,FALSE)&gt;3,"Alerta","n/a"))))</f>
        <v>Saudável</v>
      </c>
      <c r="EN26" s="28" t="str">
        <f t="shared" si="23"/>
        <v>Ruim</v>
      </c>
      <c r="EO26" s="17" t="str">
        <f>IF(VLOOKUP(BO26,Fundamentus!A:U,12,FALSE)&lt;2,"Subvalorizada",IF(VLOOKUP(BO26,Fundamentus!A:U,12,FALSE)&lt;6,"Muita barata",IF(VLOOKUP(BO26,Fundamentus!A:U,12,FALSE)&lt;6,"Barata",IF(VLOOKUP(BO26,Fundamentus!A:U,12,FALSE)&lt;8,"Atrativa",IF(VLOOKUP(BO26,Fundamentus!A:U,12,FALSE)&gt;8,"Supervalorizada","n/a")))))</f>
        <v>Subvalorizada</v>
      </c>
      <c r="EQ26" s="17" t="str">
        <f>IF(VLOOKUP(BO26,Fundamentus!A:U,17,FALSE)&lt;0.1,"Fraco retorno",IF(VLOOKUP(BO26,Fundamentus!A:U,17,FALSE)&gt;0.1,"Bom retorno","n/a"))</f>
        <v>Bom retorno</v>
      </c>
      <c r="ER26" s="17" t="str">
        <f>IF(VLOOKUP(BO26,Fundamentus!A:U,16,FALSE)&lt;0.1,"Ineficiente",IF(VLOOKUP(BO26,Fundamentus!A:U,16,FALSE)&gt;0.1,"Eficiente","n/a"))</f>
        <v>Ineficiente</v>
      </c>
      <c r="ES26" s="33" t="str">
        <f>IF(VLOOKUP(BO26,Fundamentus!A:U,16,FALSE)&lt;0.1,"Oper. Ineficiente",IF(VLOOKUP(BO26,Fundamentus!A:U,16,FALSE)&gt;0.1,"Oper.Eficiente","n/a"))</f>
        <v>Oper. Ineficiente</v>
      </c>
      <c r="ET26" s="34">
        <f>VLOOKUP(BO26,Fundamentus!A:U,14,FALSE)</f>
        <v>0</v>
      </c>
      <c r="EU26" s="17" t="str">
        <f>IF(VLOOKUP(BO26,Fundamentus!A:U,21,FALSE)&lt;0,"Negativo",IF(VLOOKUP(BO26,Fundamentus!A:U,21,FALSE)&lt;0.05,"Fraco",IF(VLOOKUP(BO26,Fundamentus!A:U,21,FALSE)&lt;0.1,"Bom",IF(VLOOKUP(BO26,Fundamentus!A:U,21,FALSE)&gt;0.1,"Muito bom","n/a"))))</f>
        <v>Muito bom</v>
      </c>
      <c r="EW26" s="29" t="str">
        <f>IF(VLOOKUP(BO26,Fundamentus!A:U,15,FALSE)&gt;1,"Bom",IF(VLOOKUP(BO26,Fundamentus!A:U,15,FALSE)&lt;1,"Ruim","n/a"))</f>
        <v>Ruim</v>
      </c>
      <c r="EX26" s="17" t="str">
        <f>IF(VLOOKUP(BO26,Fundamentus!A:U,20,FALSE)&lt;0.5,"Baixa",IF(VLOOKUP(BO26,Fundamentus!A:U,20,FALSE)&lt;1,"Moderada",IF(VLOOKUP(BO26,Fundamentus!A:U,20,FALSE)&lt;2,"Alerta",IF(VLOOKUP(BO26,Fundamentus!A:U,20,FALSE)&gt;2,"Alta","n/a"))))</f>
        <v>Baixa</v>
      </c>
    </row>
    <row r="27" spans="1:155" s="5" customFormat="1" ht="11.25"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5">
        <v>5.34</v>
      </c>
      <c r="BC27" s="52">
        <v>5.68</v>
      </c>
      <c r="BD27" s="52">
        <v>5.56</v>
      </c>
      <c r="BE27" s="52">
        <v>5.84</v>
      </c>
      <c r="BF27" s="52">
        <v>6.03</v>
      </c>
      <c r="BG27" s="67">
        <v>6.2</v>
      </c>
      <c r="BH27" s="52">
        <v>6.25</v>
      </c>
      <c r="BI27" s="52">
        <v>6.46</v>
      </c>
      <c r="BJ27" s="52">
        <v>6.53</v>
      </c>
      <c r="BK27" s="52">
        <v>6.44</v>
      </c>
      <c r="BL27" s="52">
        <v>6.44</v>
      </c>
      <c r="BM27" s="52">
        <v>6.71</v>
      </c>
      <c r="BN27" s="52" cm="1">
        <f t="array" aca="1" ref="BN27" ca="1">_FV(EB27,"Preço")</f>
        <v>6.71</v>
      </c>
      <c r="BO27" s="69" t="s">
        <v>24</v>
      </c>
      <c r="BP27" s="36" cm="1">
        <f t="array" aca="1" ref="BP27" ca="1">_FV(EB27,"Média de volume",TRUE)</f>
        <v>7143500</v>
      </c>
      <c r="BQ27" s="36">
        <v>347300</v>
      </c>
      <c r="BR27" s="36" cm="1">
        <f t="array" aca="1" ref="BR27" ca="1">_FV(EB27,"Volume")</f>
        <v>347300</v>
      </c>
      <c r="BS27" s="24" cm="1">
        <f t="array" aca="1" ref="BS27" ca="1">_FV(EB27,"Beta")</f>
        <v>0.80769999999999997</v>
      </c>
      <c r="BT27" s="71" cm="1">
        <f t="array" aca="1" ref="BT27" ca="1">_FV(EB27,"Variação (%)",TRUE)</f>
        <v>1.0542000000000001E-2</v>
      </c>
      <c r="BV27" s="17" cm="1">
        <f t="array" aca="1" ref="BV27" ca="1">_FV(EB27,"Baixo")</f>
        <v>6.59</v>
      </c>
      <c r="BW27" s="17" cm="1">
        <f t="array" aca="1" ref="BW27" ca="1">_FV(EB27,"Alto")</f>
        <v>6.8</v>
      </c>
      <c r="BX27" s="24"/>
      <c r="BY27" s="63">
        <f ca="1">SQRT(22.5*(BN27/VLOOKUP(BO27,Fundamentus!A:U,3,FALSE))*(BN27/VLOOKUP(BO27,Fundamentus!A:U,4,FALSE)))</f>
        <v>8.9173164471441453</v>
      </c>
      <c r="CA27" s="62">
        <f t="shared" ca="1" si="24"/>
        <v>0</v>
      </c>
      <c r="CB27" s="8"/>
      <c r="CC27" s="61">
        <f t="shared" si="25"/>
        <v>4.68</v>
      </c>
      <c r="CD27" s="61">
        <f t="shared" si="26"/>
        <v>7.28</v>
      </c>
      <c r="CE27" s="61">
        <f t="shared" si="27"/>
        <v>5.7779999999999978</v>
      </c>
      <c r="CF27" s="14"/>
      <c r="CG27" s="35">
        <f t="shared" si="1"/>
        <v>6.4445459231494784</v>
      </c>
      <c r="CH27" s="15">
        <f t="shared" si="28"/>
        <v>6.6649999999999636</v>
      </c>
      <c r="CI27" s="35">
        <f t="shared" si="2"/>
        <v>6.8854540768504489</v>
      </c>
      <c r="CK27" s="14"/>
      <c r="CL27" s="17">
        <f t="shared" si="3"/>
        <v>2.3866666666666667</v>
      </c>
      <c r="CM27" s="17">
        <f t="shared" si="4"/>
        <v>3.5333333333333332</v>
      </c>
      <c r="CN27" s="17">
        <f t="shared" si="5"/>
        <v>4.9866666666666672</v>
      </c>
      <c r="CO27" s="38">
        <f t="shared" si="29"/>
        <v>6.1333333333333337</v>
      </c>
      <c r="CP27" s="17">
        <f t="shared" si="6"/>
        <v>7.5866666666666678</v>
      </c>
      <c r="CQ27" s="17">
        <f t="shared" si="7"/>
        <v>8.7333333333333343</v>
      </c>
      <c r="CR27" s="17">
        <f t="shared" si="8"/>
        <v>10.186666666666667</v>
      </c>
      <c r="CS27" s="2" cm="1">
        <f t="array" aca="1" ref="CS27" ca="1">MAX(_xlfn._xlws.FILTER(CL27:CR27,CL27:CR27&lt;BN27))</f>
        <v>6.1333333333333337</v>
      </c>
      <c r="CT27" s="2" cm="1">
        <f t="array" aca="1" ref="CT27" ca="1">MIN(_xlfn._xlws.FILTER($CL27:$CR27,$CL27:$CR27&gt;BN27))</f>
        <v>7.5866666666666678</v>
      </c>
      <c r="CU27" s="16">
        <f t="shared" ca="1" si="63"/>
        <v>0.23695652173913051</v>
      </c>
      <c r="CV27" s="20">
        <f t="shared" ca="1" si="64"/>
        <v>-0.11847826086956526</v>
      </c>
      <c r="CW27" s="20">
        <f t="shared" ca="1" si="65"/>
        <v>-7.8985507246376832E-2</v>
      </c>
      <c r="CX27" s="20">
        <f t="shared" ca="1" si="66"/>
        <v>-4.7391304347826103E-2</v>
      </c>
      <c r="CY27" s="20">
        <f t="shared" ca="1" si="67"/>
        <v>-2.6328502415458945E-2</v>
      </c>
      <c r="CZ27" s="20">
        <f t="shared" ca="1" si="68"/>
        <v>-1.3938618925831207E-2</v>
      </c>
      <c r="DA27" s="20">
        <f t="shared" ca="1" si="69"/>
        <v>-7.1805006587615308E-3</v>
      </c>
      <c r="DB27" s="20">
        <f t="shared" ca="1" si="70"/>
        <v>-3.6454849498327772E-3</v>
      </c>
      <c r="DC27" s="21">
        <f t="shared" ca="1" si="71"/>
        <v>3.6454849498327772E-3</v>
      </c>
      <c r="DD27" s="21">
        <f t="shared" ca="1" si="72"/>
        <v>7.1805006587615308E-3</v>
      </c>
      <c r="DE27" s="21">
        <f t="shared" ca="1" si="73"/>
        <v>1.3938618925831207E-2</v>
      </c>
      <c r="DF27" s="21">
        <f t="shared" ca="1" si="74"/>
        <v>2.6328502415458945E-2</v>
      </c>
      <c r="DG27" s="21">
        <f t="shared" ca="1" si="75"/>
        <v>4.7391304347826103E-2</v>
      </c>
      <c r="DH27" s="21">
        <f t="shared" ca="1" si="76"/>
        <v>7.8985507246376832E-2</v>
      </c>
      <c r="DI27" s="21">
        <f t="shared" ca="1" si="77"/>
        <v>0.11847826086956526</v>
      </c>
      <c r="DK27" s="16" cm="1">
        <f t="array" aca="1" ref="DK27" ca="1">MAX(_xlfn._xlws.FILTER(CV27:DI27,CV27:DI27&lt;BT27))</f>
        <v>7.1805006587615308E-3</v>
      </c>
      <c r="DL27" s="16" cm="1">
        <f t="array" aca="1" ref="DL27" ca="1">MIN(_xlfn._xlws.FILTER(CV27:DI27,CV27:DI27&gt;BT27))</f>
        <v>1.3938618925831207E-2</v>
      </c>
      <c r="DM27" s="2" cm="1">
        <f t="array" aca="1" ref="DM27" ca="1">_FV(EB27,"Fechamento anterior",TRUE)</f>
        <v>6.64</v>
      </c>
      <c r="DN27" s="28">
        <f t="shared" ca="1" si="15"/>
        <v>0.49742663313806817</v>
      </c>
      <c r="DO27" s="15">
        <f t="shared" ca="1" si="78"/>
        <v>6.6876785243741761</v>
      </c>
      <c r="DP27" s="15">
        <f t="shared" ca="1" si="79"/>
        <v>6.7325524296675185</v>
      </c>
      <c r="DQ27" s="9"/>
      <c r="DR27" s="9"/>
      <c r="DS27" s="9"/>
      <c r="DT27" s="89">
        <v>6.7581182670696759E-3</v>
      </c>
      <c r="DU27" s="89">
        <f t="shared" ca="1" si="18"/>
        <v>6.7581182670696759E-3</v>
      </c>
      <c r="DV27" s="72">
        <f t="shared" ca="1" si="19"/>
        <v>0.2041241452320971</v>
      </c>
      <c r="DW27" s="37"/>
      <c r="DX27" s="35">
        <f t="shared" si="39"/>
        <v>0.11022703842524284</v>
      </c>
      <c r="DY27" s="56"/>
      <c r="DZ27" s="56"/>
      <c r="EB27" s="5" t="e" vm="27">
        <v>#VALUE!</v>
      </c>
      <c r="ED27" s="10" cm="1">
        <f t="array" aca="1" ref="ED27" ca="1">_FV(EB27,"Ações em circulação",TRUE)</f>
        <v>1136271000</v>
      </c>
      <c r="EE27" s="18">
        <f>VLOOKUP(BO27,Fundamentus!A:U,5,FALSE)</f>
        <v>0.877</v>
      </c>
      <c r="EF27" s="2">
        <f t="shared" ca="1" si="20"/>
        <v>8693704002.2805023</v>
      </c>
      <c r="EG27" s="17">
        <v>1158870743.5039909</v>
      </c>
      <c r="EH27" s="17">
        <f t="shared" ca="1" si="21"/>
        <v>1158870743.5039909</v>
      </c>
      <c r="EI27" s="2"/>
      <c r="EJ27" s="16">
        <f t="shared" ca="1" si="22"/>
        <v>0</v>
      </c>
      <c r="EK27" s="32" t="str">
        <f>IF(VLOOKUP(BO27,Fundamentus!A:U,3,FALSE)&lt;15,"Bom",IF(VLOOKUP(BO27,Fundamentus!A:U,3,FALSE)&gt;15,"Ruim","n/a"))</f>
        <v>Bom</v>
      </c>
      <c r="EL27" s="28" t="str">
        <f>IF(VLOOKUP(BO27,Fundamentus!A:U,4,FALSE)&lt;1,"Baixo",IF(VLOOKUP(BO27,Fundamentus!A:U,4,FALSE)&lt;1.5,"Moderado",IF(VLOOKUP(BO27,Fundamentus!A:U,4,FALSE)&gt;1.5,"Alto","n/a")))</f>
        <v>Alto</v>
      </c>
      <c r="EM27" s="17" t="str">
        <f>IF(VLOOKUP(BO27,Fundamentus!A:U,8,FALSE)&lt;0,"Risco elevado",IF(VLOOKUP(BO27,Fundamentus!A:U,8,FALSE)&lt;1,"Saudável",IF(VLOOKUP(BO27,Fundamentus!A:U,8,FALSE)&lt;3,"Estável",IF(VLOOKUP(BO27,Fundamentus!A:U,8,FALSE)&gt;3,"Alerta","n/a"))))</f>
        <v>Alerta</v>
      </c>
      <c r="EN27" s="28" t="str">
        <f t="shared" si="23"/>
        <v>Ruim</v>
      </c>
      <c r="EO27" s="17" t="str">
        <f>IF(VLOOKUP(BO27,Fundamentus!A:U,12,FALSE)&lt;2,"Subvalorizada",IF(VLOOKUP(BO27,Fundamentus!A:U,12,FALSE)&lt;6,"Muita barata",IF(VLOOKUP(BO27,Fundamentus!A:U,12,FALSE)&lt;6,"Barata",IF(VLOOKUP(BO27,Fundamentus!A:U,12,FALSE)&lt;8,"Atrativa",IF(VLOOKUP(BO27,Fundamentus!A:U,12,FALSE)&gt;8,"Supervalorizada","n/a")))))</f>
        <v>Muita barata</v>
      </c>
      <c r="EP27" s="2"/>
      <c r="EQ27" s="17" t="str">
        <f>IF(VLOOKUP(BO27,Fundamentus!A:U,17,FALSE)&lt;0.1,"Fraco retorno",IF(VLOOKUP(BO27,Fundamentus!A:U,17,FALSE)&gt;0.1,"Bom retorno","n/a"))</f>
        <v>Bom retorno</v>
      </c>
      <c r="ER27" s="17" t="str">
        <f>IF(VLOOKUP(BO27,Fundamentus!A:U,16,FALSE)&lt;0.1,"Ineficiente",IF(VLOOKUP(BO27,Fundamentus!A:U,16,FALSE)&gt;0.1,"Eficiente","n/a"))</f>
        <v>Eficiente</v>
      </c>
      <c r="ES27" s="33" t="str">
        <f>IF(VLOOKUP(BO27,Fundamentus!A:U,16,FALSE)&lt;0.1,"Oper. Ineficiente",IF(VLOOKUP(BO27,Fundamentus!A:U,16,FALSE)&gt;0.1,"Oper.Eficiente","n/a"))</f>
        <v>Oper.Eficiente</v>
      </c>
      <c r="ET27" s="34">
        <f>VLOOKUP(BO27,Fundamentus!A:U,14,FALSE)</f>
        <v>0.1333</v>
      </c>
      <c r="EU27" s="17" t="str">
        <f>IF(VLOOKUP(BO27,Fundamentus!A:U,21,FALSE)&lt;0,"Negativo",IF(VLOOKUP(BO27,Fundamentus!A:U,21,FALSE)&lt;0.05,"Fraco",IF(VLOOKUP(BO27,Fundamentus!A:U,21,FALSE)&lt;0.1,"Bom",IF(VLOOKUP(BO27,Fundamentus!A:U,21,FALSE)&gt;0.1,"Muito bom","n/a"))))</f>
        <v>Muito bom</v>
      </c>
      <c r="EW27" s="29" t="str">
        <f>IF(VLOOKUP(BO27,Fundamentus!A:U,15,FALSE)&gt;1,"Bom",IF(VLOOKUP(BO27,Fundamentus!A:U,15,FALSE)&lt;1,"Ruim","n/a"))</f>
        <v>Bom</v>
      </c>
      <c r="EX27" s="17" t="str">
        <f>IF(VLOOKUP(BO27,Fundamentus!A:U,20,FALSE)&lt;0.5,"Baixa",IF(VLOOKUP(BO27,Fundamentus!A:U,20,FALSE)&lt;1,"Moderada",IF(VLOOKUP(BO27,Fundamentus!A:U,20,FALSE)&lt;2,"Alerta",IF(VLOOKUP(BO27,Fundamentus!A:U,20,FALSE)&gt;2,"Alta","n/a"))))</f>
        <v>Moderada</v>
      </c>
    </row>
    <row r="28" spans="1:155" s="2" customFormat="1" ht="11.25"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5">
        <v>19.079999999999998</v>
      </c>
      <c r="BC28" s="52">
        <v>19.37</v>
      </c>
      <c r="BD28" s="52">
        <v>19.149999999999999</v>
      </c>
      <c r="BE28" s="52">
        <v>19.059999999999999</v>
      </c>
      <c r="BF28" s="52">
        <v>20.059999999999999</v>
      </c>
      <c r="BG28" s="67">
        <v>19.100000000000001</v>
      </c>
      <c r="BH28" s="52">
        <v>19.45</v>
      </c>
      <c r="BI28" s="52">
        <v>19.690000000000001</v>
      </c>
      <c r="BJ28" s="52">
        <v>22.08</v>
      </c>
      <c r="BK28" s="52">
        <v>21.89</v>
      </c>
      <c r="BL28" s="52">
        <v>21.6</v>
      </c>
      <c r="BM28" s="52">
        <v>20.36</v>
      </c>
      <c r="BN28" s="52" cm="1">
        <f t="array" aca="1" ref="BN28" ca="1">_FV(EB28,"Preço")</f>
        <v>20.36</v>
      </c>
      <c r="BO28" s="69" t="s">
        <v>25</v>
      </c>
      <c r="BP28" s="36" cm="1">
        <f t="array" aca="1" ref="BP28" ca="1">_FV(EB28,"Média de volume",TRUE)</f>
        <v>269110</v>
      </c>
      <c r="BQ28" s="36">
        <v>111300</v>
      </c>
      <c r="BR28" s="36" cm="1">
        <f t="array" aca="1" ref="BR28" ca="1">_FV(EB28,"Volume")</f>
        <v>111300</v>
      </c>
      <c r="BS28" s="24" cm="1">
        <f t="array" aca="1" ref="BS28" ca="1">_FV(EB28,"Beta")</f>
        <v>1.2290000000000001</v>
      </c>
      <c r="BT28" s="71" cm="1">
        <f t="array" aca="1" ref="BT28" ca="1">_FV(EB28,"Variação (%)",TRUE)</f>
        <v>-1.6425000000000002E-2</v>
      </c>
      <c r="BV28" s="17" cm="1">
        <f t="array" aca="1" ref="BV28" ca="1">_FV(EB28,"Baixo")</f>
        <v>20.36</v>
      </c>
      <c r="BW28" s="17" cm="1">
        <f t="array" aca="1" ref="BW28" ca="1">_FV(EB28,"Alto")</f>
        <v>20.8</v>
      </c>
      <c r="BX28" s="24"/>
      <c r="BY28" s="63">
        <f ca="1">SQRT(22.5*(BN28/VLOOKUP(BO28,Fundamentus!A:U,3,FALSE))*(BN28/VLOOKUP(BO28,Fundamentus!A:U,4,FALSE)))</f>
        <v>20.702349195204043</v>
      </c>
      <c r="CA28" s="62">
        <f t="shared" ca="1" si="24"/>
        <v>0</v>
      </c>
      <c r="CB28" s="8"/>
      <c r="CC28" s="61">
        <f t="shared" si="25"/>
        <v>11.86</v>
      </c>
      <c r="CD28" s="61">
        <f t="shared" si="26"/>
        <v>22.08</v>
      </c>
      <c r="CE28" s="61">
        <f t="shared" si="27"/>
        <v>15.592307692307692</v>
      </c>
      <c r="CF28" s="14"/>
      <c r="CG28" s="35">
        <f t="shared" si="1"/>
        <v>18.779524338154893</v>
      </c>
      <c r="CH28" s="15">
        <f t="shared" si="28"/>
        <v>20.120000000000346</v>
      </c>
      <c r="CI28" s="35">
        <f t="shared" si="2"/>
        <v>21.460475661845798</v>
      </c>
      <c r="CK28" s="14"/>
      <c r="CL28" s="17">
        <f t="shared" si="3"/>
        <v>4.7266666666666666</v>
      </c>
      <c r="CM28" s="17">
        <f t="shared" si="4"/>
        <v>8.293333333333333</v>
      </c>
      <c r="CN28" s="17">
        <f t="shared" si="5"/>
        <v>14.946666666666665</v>
      </c>
      <c r="CO28" s="38">
        <f t="shared" si="29"/>
        <v>18.513333333333332</v>
      </c>
      <c r="CP28" s="17">
        <f t="shared" si="6"/>
        <v>25.166666666666664</v>
      </c>
      <c r="CQ28" s="17">
        <f t="shared" si="7"/>
        <v>28.733333333333331</v>
      </c>
      <c r="CR28" s="17">
        <f t="shared" si="8"/>
        <v>35.386666666666663</v>
      </c>
      <c r="CS28" s="2" cm="1">
        <f t="array" aca="1" ref="CS28" ca="1">MAX(_xlfn._xlws.FILTER(CL28:CR28,CL28:CR28&lt;BN28))</f>
        <v>18.513333333333332</v>
      </c>
      <c r="CT28" s="2" cm="1">
        <f t="array" aca="1" ref="CT28" ca="1">MIN(_xlfn._xlws.FILTER($CL28:$CR28,$CL28:$CR28&gt;BN28))</f>
        <v>25.166666666666664</v>
      </c>
      <c r="CU28" s="16">
        <f t="shared" ca="1" si="63"/>
        <v>0.35938062657544112</v>
      </c>
      <c r="CV28" s="20">
        <f t="shared" ca="1" si="64"/>
        <v>-0.17969031328772056</v>
      </c>
      <c r="CW28" s="20">
        <f t="shared" ca="1" si="65"/>
        <v>-0.11979354219181371</v>
      </c>
      <c r="CX28" s="20">
        <f t="shared" ca="1" si="66"/>
        <v>-7.1876125315088218E-2</v>
      </c>
      <c r="CY28" s="20">
        <f t="shared" ca="1" si="67"/>
        <v>-3.9931180730604567E-2</v>
      </c>
      <c r="CZ28" s="20">
        <f t="shared" ca="1" si="68"/>
        <v>-2.1140036857378891E-2</v>
      </c>
      <c r="DA28" s="20">
        <f t="shared" ca="1" si="69"/>
        <v>-1.089032201743761E-2</v>
      </c>
      <c r="DB28" s="20">
        <f t="shared" ca="1" si="70"/>
        <v>-5.5289327165452479E-3</v>
      </c>
      <c r="DC28" s="21">
        <f t="shared" ca="1" si="71"/>
        <v>5.5289327165452479E-3</v>
      </c>
      <c r="DD28" s="21">
        <f t="shared" ca="1" si="72"/>
        <v>1.089032201743761E-2</v>
      </c>
      <c r="DE28" s="21">
        <f t="shared" ca="1" si="73"/>
        <v>2.1140036857378891E-2</v>
      </c>
      <c r="DF28" s="21">
        <f t="shared" ca="1" si="74"/>
        <v>3.9931180730604567E-2</v>
      </c>
      <c r="DG28" s="21">
        <f t="shared" ca="1" si="75"/>
        <v>7.1876125315088218E-2</v>
      </c>
      <c r="DH28" s="21">
        <f t="shared" ca="1" si="76"/>
        <v>0.11979354219181371</v>
      </c>
      <c r="DI28" s="21">
        <f t="shared" ca="1" si="77"/>
        <v>0.17969031328772056</v>
      </c>
      <c r="DK28" s="16" cm="1">
        <f t="array" aca="1" ref="DK28" ca="1">MAX(_xlfn._xlws.FILTER(CV28:DI28,CV28:DI28&lt;BT28))</f>
        <v>-2.1140036857378891E-2</v>
      </c>
      <c r="DL28" s="16" cm="1">
        <f t="array" aca="1" ref="DL28" ca="1">MIN(_xlfn._xlws.FILTER(CV28:DI28,CV28:DI28&gt;BT28))</f>
        <v>-1.089032201743761E-2</v>
      </c>
      <c r="DM28" s="2" cm="1">
        <f t="array" aca="1" ref="DM28" ca="1">_FV(EB28,"Fechamento anterior",TRUE)</f>
        <v>20.7</v>
      </c>
      <c r="DN28" s="28">
        <f t="shared" ca="1" si="15"/>
        <v>0.46000461067062048</v>
      </c>
      <c r="DO28" s="15">
        <f t="shared" ca="1" si="78"/>
        <v>20.262401237052256</v>
      </c>
      <c r="DP28" s="15">
        <f t="shared" ca="1" si="79"/>
        <v>20.47457033423904</v>
      </c>
      <c r="DQ28" s="9"/>
      <c r="DR28" s="9"/>
      <c r="DS28" s="9"/>
      <c r="DT28" s="89">
        <v>1.0249714839941282E-2</v>
      </c>
      <c r="DU28" s="89">
        <f t="shared" ca="1" si="18"/>
        <v>1.0249714839941282E-2</v>
      </c>
      <c r="DV28" s="72">
        <f t="shared" ca="1" si="19"/>
        <v>0.17904092318188178</v>
      </c>
      <c r="DW28" s="37"/>
      <c r="DX28" s="35">
        <f t="shared" si="39"/>
        <v>0.67023783092272549</v>
      </c>
      <c r="DY28" s="56"/>
      <c r="DZ28" s="56"/>
      <c r="EB28" s="2" t="e" vm="28">
        <v>#VALUE!</v>
      </c>
      <c r="ED28" s="10" cm="1">
        <f t="array" aca="1" ref="ED28" ca="1">_FV(EB28,"Ações em circulação",TRUE)</f>
        <v>85608390</v>
      </c>
      <c r="EE28" s="18">
        <f>VLOOKUP(BO28,Fundamentus!A:U,5,FALSE)</f>
        <v>1.179</v>
      </c>
      <c r="EF28" s="2">
        <f t="shared" ca="1" si="20"/>
        <v>1478360322.6463103</v>
      </c>
      <c r="EG28" s="17">
        <v>124921447.26361322</v>
      </c>
      <c r="EH28" s="17">
        <f t="shared" ca="1" si="21"/>
        <v>124921447.26361322</v>
      </c>
      <c r="EJ28" s="16">
        <f t="shared" ca="1" si="22"/>
        <v>0</v>
      </c>
      <c r="EK28" s="32" t="str">
        <f>IF(VLOOKUP(BO28,Fundamentus!A:U,3,FALSE)&lt;15,"Bom",IF(VLOOKUP(BO28,Fundamentus!A:U,3,FALSE)&gt;15,"Ruim","n/a"))</f>
        <v>Bom</v>
      </c>
      <c r="EL28" s="28" t="str">
        <f>IF(VLOOKUP(BO28,Fundamentus!A:U,4,FALSE)&lt;1,"Baixo",IF(VLOOKUP(BO28,Fundamentus!A:U,4,FALSE)&lt;1.5,"Moderado",IF(VLOOKUP(BO28,Fundamentus!A:U,4,FALSE)&gt;1.5,"Alto","n/a")))</f>
        <v>Alto</v>
      </c>
      <c r="EM28" s="17" t="str">
        <f>IF(VLOOKUP(BO28,Fundamentus!A:U,8,FALSE)&lt;0,"Risco elevado",IF(VLOOKUP(BO28,Fundamentus!A:U,8,FALSE)&lt;1,"Saudável",IF(VLOOKUP(BO28,Fundamentus!A:U,8,FALSE)&lt;3,"Estável",IF(VLOOKUP(BO28,Fundamentus!A:U,8,FALSE)&gt;3,"Alerta","n/a"))))</f>
        <v>Estável</v>
      </c>
      <c r="EN28" s="28" t="str">
        <f t="shared" si="23"/>
        <v>Bom</v>
      </c>
      <c r="EO28" s="17" t="str">
        <f>IF(VLOOKUP(BO28,Fundamentus!A:U,12,FALSE)&lt;2,"Subvalorizada",IF(VLOOKUP(BO28,Fundamentus!A:U,12,FALSE)&lt;6,"Muita barata",IF(VLOOKUP(BO28,Fundamentus!A:U,12,FALSE)&lt;6,"Barata",IF(VLOOKUP(BO28,Fundamentus!A:U,12,FALSE)&lt;8,"Atrativa",IF(VLOOKUP(BO28,Fundamentus!A:U,12,FALSE)&gt;8,"Supervalorizada","n/a")))))</f>
        <v>Atrativa</v>
      </c>
      <c r="EQ28" s="17" t="str">
        <f>IF(VLOOKUP(BO28,Fundamentus!A:U,17,FALSE)&lt;0.1,"Fraco retorno",IF(VLOOKUP(BO28,Fundamentus!A:U,17,FALSE)&gt;0.1,"Bom retorno","n/a"))</f>
        <v>Bom retorno</v>
      </c>
      <c r="ER28" s="17" t="str">
        <f>IF(VLOOKUP(BO28,Fundamentus!A:U,16,FALSE)&lt;0.1,"Ineficiente",IF(VLOOKUP(BO28,Fundamentus!A:U,16,FALSE)&gt;0.1,"Eficiente","n/a"))</f>
        <v>Eficiente</v>
      </c>
      <c r="ES28" s="33" t="str">
        <f>IF(VLOOKUP(BO28,Fundamentus!A:U,16,FALSE)&lt;0.1,"Oper. Ineficiente",IF(VLOOKUP(BO28,Fundamentus!A:U,16,FALSE)&gt;0.1,"Oper.Eficiente","n/a"))</f>
        <v>Oper.Eficiente</v>
      </c>
      <c r="ET28" s="34">
        <f>VLOOKUP(BO28,Fundamentus!A:U,14,FALSE)</f>
        <v>8.4500000000000006E-2</v>
      </c>
      <c r="EU28" s="17" t="str">
        <f>IF(VLOOKUP(BO28,Fundamentus!A:U,21,FALSE)&lt;0,"Negativo",IF(VLOOKUP(BO28,Fundamentus!A:U,21,FALSE)&lt;0.05,"Fraco",IF(VLOOKUP(BO28,Fundamentus!A:U,21,FALSE)&lt;0.1,"Bom",IF(VLOOKUP(BO28,Fundamentus!A:U,21,FALSE)&gt;0.1,"Muito bom","n/a"))))</f>
        <v>Muito bom</v>
      </c>
      <c r="EW28" s="29" t="str">
        <f>IF(VLOOKUP(BO28,Fundamentus!A:U,15,FALSE)&gt;1,"Bom",IF(VLOOKUP(BO28,Fundamentus!A:U,15,FALSE)&lt;1,"Ruim","n/a"))</f>
        <v>Bom</v>
      </c>
      <c r="EX28" s="17" t="str">
        <f>IF(VLOOKUP(BO28,Fundamentus!A:U,20,FALSE)&lt;0.5,"Baixa",IF(VLOOKUP(BO28,Fundamentus!A:U,20,FALSE)&lt;1,"Moderada",IF(VLOOKUP(BO28,Fundamentus!A:U,20,FALSE)&lt;2,"Alerta",IF(VLOOKUP(BO28,Fundamentus!A:U,20,FALSE)&gt;2,"Alta","n/a"))))</f>
        <v>Baixa</v>
      </c>
    </row>
    <row r="29" spans="1:155" s="2" customFormat="1" ht="11.25"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5">
        <v>41.32</v>
      </c>
      <c r="BC29" s="52">
        <v>42.19</v>
      </c>
      <c r="BD29" s="52">
        <v>41.6</v>
      </c>
      <c r="BE29" s="52">
        <v>43.96</v>
      </c>
      <c r="BF29" s="52">
        <v>40.89</v>
      </c>
      <c r="BG29" s="67">
        <v>42.15</v>
      </c>
      <c r="BH29" s="52">
        <v>43.2</v>
      </c>
      <c r="BI29" s="52">
        <v>42.23</v>
      </c>
      <c r="BJ29" s="52">
        <v>43.87</v>
      </c>
      <c r="BK29" s="52">
        <v>43.16</v>
      </c>
      <c r="BL29" s="52">
        <v>43.67</v>
      </c>
      <c r="BM29" s="52">
        <v>42.49</v>
      </c>
      <c r="BN29" s="52" cm="1">
        <f t="array" aca="1" ref="BN29" ca="1">_FV(EB29,"Preço")</f>
        <v>42.49</v>
      </c>
      <c r="BO29" s="69" t="s">
        <v>26</v>
      </c>
      <c r="BP29" s="36" cm="1">
        <f t="array" aca="1" ref="BP29" ca="1">_FV(EB29,"Média de volume",TRUE)</f>
        <v>1010</v>
      </c>
      <c r="BQ29" s="36">
        <v>900</v>
      </c>
      <c r="BR29" s="36" cm="1">
        <f t="array" aca="1" ref="BR29" ca="1">_FV(EB29,"Volume")</f>
        <v>900</v>
      </c>
      <c r="BS29" s="24" cm="1">
        <f t="array" aca="1" ref="BS29" ca="1">_FV(EB29,"Beta")</f>
        <v>0.43459999999999999</v>
      </c>
      <c r="BT29" s="71" cm="1">
        <f t="array" aca="1" ref="BT29" ca="1">_FV(EB29,"Variação (%)",TRUE)</f>
        <v>9.4229999999999997E-4</v>
      </c>
      <c r="BV29" s="17" cm="1">
        <f t="array" aca="1" ref="BV29" ca="1">_FV(EB29,"Baixo")</f>
        <v>42.46</v>
      </c>
      <c r="BW29" s="17" cm="1">
        <f t="array" aca="1" ref="BW29" ca="1">_FV(EB29,"Alto")</f>
        <v>42.49</v>
      </c>
      <c r="BX29" s="24"/>
      <c r="BY29" s="63">
        <f ca="1">SQRT(22.5*(BN29/VLOOKUP(BO29,Fundamentus!A:U,3,FALSE))*(BN29/VLOOKUP(BO29,Fundamentus!A:U,4,FALSE)))</f>
        <v>69.845579240726082</v>
      </c>
      <c r="CA29" s="62">
        <f t="shared" ca="1" si="24"/>
        <v>0</v>
      </c>
      <c r="CB29" s="8"/>
      <c r="CC29" s="61">
        <f t="shared" si="25"/>
        <v>33</v>
      </c>
      <c r="CD29" s="61">
        <f t="shared" si="26"/>
        <v>48.25</v>
      </c>
      <c r="CE29" s="61">
        <f t="shared" si="27"/>
        <v>41.07961538461538</v>
      </c>
      <c r="CF29" s="14"/>
      <c r="CG29" s="35">
        <f t="shared" si="1"/>
        <v>41.323475269860424</v>
      </c>
      <c r="CH29" s="15">
        <f t="shared" si="28"/>
        <v>42.390000000000327</v>
      </c>
      <c r="CI29" s="35">
        <f t="shared" si="2"/>
        <v>43.456524730140231</v>
      </c>
      <c r="CK29" s="14"/>
      <c r="CL29" s="17">
        <f t="shared" si="3"/>
        <v>19.78</v>
      </c>
      <c r="CM29" s="17">
        <f t="shared" si="4"/>
        <v>26.39</v>
      </c>
      <c r="CN29" s="17">
        <f t="shared" si="5"/>
        <v>35.03</v>
      </c>
      <c r="CO29" s="38">
        <f t="shared" si="29"/>
        <v>41.64</v>
      </c>
      <c r="CP29" s="17">
        <f t="shared" si="6"/>
        <v>50.28</v>
      </c>
      <c r="CQ29" s="17">
        <f t="shared" si="7"/>
        <v>56.89</v>
      </c>
      <c r="CR29" s="17">
        <f t="shared" si="8"/>
        <v>65.53</v>
      </c>
      <c r="CS29" s="2" cm="1">
        <f t="array" aca="1" ref="CS29" ca="1">MAX(_xlfn._xlws.FILTER(CL29:CR29,CL29:CR29&lt;BN29))</f>
        <v>41.64</v>
      </c>
      <c r="CT29" s="2" cm="1">
        <f t="array" aca="1" ref="CT29" ca="1">MIN(_xlfn._xlws.FILTER($CL29:$CR29,$CL29:$CR29&gt;BN29))</f>
        <v>50.28</v>
      </c>
      <c r="CU29" s="16">
        <f t="shared" ca="1" si="63"/>
        <v>0.20749279538904908</v>
      </c>
      <c r="CV29" s="20">
        <f t="shared" ca="1" si="64"/>
        <v>-0.10374639769452454</v>
      </c>
      <c r="CW29" s="20">
        <f t="shared" ca="1" si="65"/>
        <v>-6.9164265129683031E-2</v>
      </c>
      <c r="CX29" s="20">
        <f t="shared" ca="1" si="66"/>
        <v>-4.1498559077809818E-2</v>
      </c>
      <c r="CY29" s="20">
        <f t="shared" ca="1" si="67"/>
        <v>-2.3054755043227675E-2</v>
      </c>
      <c r="CZ29" s="20">
        <f t="shared" ca="1" si="68"/>
        <v>-1.2205458552297004E-2</v>
      </c>
      <c r="DA29" s="20">
        <f t="shared" ca="1" si="69"/>
        <v>-6.2876604663348202E-3</v>
      </c>
      <c r="DB29" s="20">
        <f t="shared" ca="1" si="70"/>
        <v>-3.1921968521392164E-3</v>
      </c>
      <c r="DC29" s="21">
        <f t="shared" ca="1" si="71"/>
        <v>3.1921968521392164E-3</v>
      </c>
      <c r="DD29" s="21">
        <f t="shared" ca="1" si="72"/>
        <v>6.2876604663348202E-3</v>
      </c>
      <c r="DE29" s="21">
        <f t="shared" ca="1" si="73"/>
        <v>1.2205458552297004E-2</v>
      </c>
      <c r="DF29" s="21">
        <f t="shared" ca="1" si="74"/>
        <v>2.3054755043227675E-2</v>
      </c>
      <c r="DG29" s="21">
        <f t="shared" ca="1" si="75"/>
        <v>4.1498559077809818E-2</v>
      </c>
      <c r="DH29" s="21">
        <f t="shared" ca="1" si="76"/>
        <v>6.9164265129683031E-2</v>
      </c>
      <c r="DI29" s="21">
        <f t="shared" ca="1" si="77"/>
        <v>0.10374639769452454</v>
      </c>
      <c r="DK29" s="16" cm="1">
        <f t="array" aca="1" ref="DK29" ca="1">MAX(_xlfn._xlws.FILTER(CV29:DI29,CV29:DI29&lt;BT29))</f>
        <v>-3.1921968521392164E-3</v>
      </c>
      <c r="DL29" s="16" cm="1">
        <f t="array" aca="1" ref="DL29" ca="1">MIN(_xlfn._xlws.FILTER(CV29:DI29,CV29:DI29&gt;BT29))</f>
        <v>3.1921968521392164E-3</v>
      </c>
      <c r="DM29" s="2" cm="1">
        <f t="array" aca="1" ref="DM29" ca="1">_FV(EB29,"Fechamento anterior",TRUE)</f>
        <v>42.45</v>
      </c>
      <c r="DN29" s="28">
        <f t="shared" ca="1" si="15"/>
        <v>0.64759193822797478</v>
      </c>
      <c r="DO29" s="15">
        <f t="shared" ca="1" si="78"/>
        <v>42.314491243626691</v>
      </c>
      <c r="DP29" s="15">
        <f t="shared" ca="1" si="79"/>
        <v>42.585508756373315</v>
      </c>
      <c r="DQ29" s="9"/>
      <c r="DR29" s="9"/>
      <c r="DS29" s="9"/>
      <c r="DT29" s="89">
        <v>6.3843937042784328E-3</v>
      </c>
      <c r="DU29" s="89">
        <f t="shared" ca="1" si="18"/>
        <v>6.3843937042784328E-3</v>
      </c>
      <c r="DV29" s="72">
        <f t="shared" ca="1" si="19"/>
        <v>9.3762476549940743E-2</v>
      </c>
      <c r="DW29" s="37"/>
      <c r="DX29" s="35">
        <f t="shared" si="39"/>
        <v>0.53326236506995217</v>
      </c>
      <c r="DY29" s="56"/>
      <c r="DZ29" s="56"/>
      <c r="EB29" s="2" t="e" vm="29">
        <v>#VALUE!</v>
      </c>
      <c r="ED29" s="10" cm="1">
        <f t="array" aca="1" ref="ED29" ca="1">_FV(EB29,"Ações em circulação",TRUE)</f>
        <v>9137260</v>
      </c>
      <c r="EE29" s="18">
        <f>VLOOKUP(BO29,Fundamentus!A:U,5,FALSE)</f>
        <v>0.72599999999999998</v>
      </c>
      <c r="EF29" s="2">
        <f t="shared" ca="1" si="20"/>
        <v>534768839.39393944</v>
      </c>
      <c r="EG29" s="17">
        <v>37754680.061212122</v>
      </c>
      <c r="EH29" s="17">
        <f t="shared" ca="1" si="21"/>
        <v>37754680.061212122</v>
      </c>
      <c r="EJ29" s="16">
        <f t="shared" ca="1" si="22"/>
        <v>0</v>
      </c>
      <c r="EK29" s="32" t="str">
        <f>IF(VLOOKUP(BO29,Fundamentus!A:U,3,FALSE)&lt;15,"Bom",IF(VLOOKUP(BO29,Fundamentus!A:U,3,FALSE)&gt;15,"Ruim","n/a"))</f>
        <v>Bom</v>
      </c>
      <c r="EL29" s="28" t="str">
        <f>IF(VLOOKUP(BO29,Fundamentus!A:U,4,FALSE)&lt;1,"Baixo",IF(VLOOKUP(BO29,Fundamentus!A:U,4,FALSE)&lt;1.5,"Moderado",IF(VLOOKUP(BO29,Fundamentus!A:U,4,FALSE)&gt;1.5,"Alto","n/a")))</f>
        <v>Baixo</v>
      </c>
      <c r="EM29" s="17" t="str">
        <f>IF(VLOOKUP(BO29,Fundamentus!A:U,8,FALSE)&lt;0,"Risco elevado",IF(VLOOKUP(BO29,Fundamentus!A:U,8,FALSE)&lt;1,"Saudável",IF(VLOOKUP(BO29,Fundamentus!A:U,8,FALSE)&lt;3,"Estável",IF(VLOOKUP(BO29,Fundamentus!A:U,8,FALSE)&gt;3,"Alerta","n/a"))))</f>
        <v>Estável</v>
      </c>
      <c r="EN29" s="28" t="str">
        <f t="shared" si="23"/>
        <v>Ruim</v>
      </c>
      <c r="EO29" s="17" t="str">
        <f>IF(VLOOKUP(BO29,Fundamentus!A:U,12,FALSE)&lt;2,"Subvalorizada",IF(VLOOKUP(BO29,Fundamentus!A:U,12,FALSE)&lt;6,"Muita barata",IF(VLOOKUP(BO29,Fundamentus!A:U,12,FALSE)&lt;6,"Barata",IF(VLOOKUP(BO29,Fundamentus!A:U,12,FALSE)&lt;8,"Atrativa",IF(VLOOKUP(BO29,Fundamentus!A:U,12,FALSE)&gt;8,"Supervalorizada","n/a")))))</f>
        <v>Muita barata</v>
      </c>
      <c r="EQ29" s="17" t="str">
        <f>IF(VLOOKUP(BO29,Fundamentus!A:U,17,FALSE)&lt;0.1,"Fraco retorno",IF(VLOOKUP(BO29,Fundamentus!A:U,17,FALSE)&gt;0.1,"Bom retorno","n/a"))</f>
        <v>Fraco retorno</v>
      </c>
      <c r="ER29" s="17" t="str">
        <f>IF(VLOOKUP(BO29,Fundamentus!A:U,16,FALSE)&lt;0.1,"Ineficiente",IF(VLOOKUP(BO29,Fundamentus!A:U,16,FALSE)&gt;0.1,"Eficiente","n/a"))</f>
        <v>Eficiente</v>
      </c>
      <c r="ES29" s="33" t="str">
        <f>IF(VLOOKUP(BO29,Fundamentus!A:U,16,FALSE)&lt;0.1,"Oper. Ineficiente",IF(VLOOKUP(BO29,Fundamentus!A:U,16,FALSE)&gt;0.1,"Oper.Eficiente","n/a"))</f>
        <v>Oper.Eficiente</v>
      </c>
      <c r="ET29" s="34">
        <f>VLOOKUP(BO29,Fundamentus!A:U,14,FALSE)</f>
        <v>7.0599999999999996E-2</v>
      </c>
      <c r="EU29" s="17" t="str">
        <f>IF(VLOOKUP(BO29,Fundamentus!A:U,21,FALSE)&lt;0,"Negativo",IF(VLOOKUP(BO29,Fundamentus!A:U,21,FALSE)&lt;0.05,"Fraco",IF(VLOOKUP(BO29,Fundamentus!A:U,21,FALSE)&lt;0.1,"Bom",IF(VLOOKUP(BO29,Fundamentus!A:U,21,FALSE)&gt;0.1,"Muito bom","n/a"))))</f>
        <v>Fraco</v>
      </c>
      <c r="EW29" s="29" t="str">
        <f>IF(VLOOKUP(BO29,Fundamentus!A:U,15,FALSE)&gt;1,"Bom",IF(VLOOKUP(BO29,Fundamentus!A:U,15,FALSE)&lt;1,"Ruim","n/a"))</f>
        <v>Bom</v>
      </c>
      <c r="EX29" s="17" t="str">
        <f>IF(VLOOKUP(BO29,Fundamentus!A:U,20,FALSE)&lt;0.5,"Baixa",IF(VLOOKUP(BO29,Fundamentus!A:U,20,FALSE)&lt;1,"Moderada",IF(VLOOKUP(BO29,Fundamentus!A:U,20,FALSE)&lt;2,"Alerta",IF(VLOOKUP(BO29,Fundamentus!A:U,20,FALSE)&gt;2,"Alta","n/a"))))</f>
        <v>Baixa</v>
      </c>
    </row>
    <row r="30" spans="1:155" s="2" customFormat="1" ht="11.25"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5">
        <v>9.84</v>
      </c>
      <c r="BC30" s="52">
        <v>10.1</v>
      </c>
      <c r="BD30" s="52">
        <v>9.7100000000000009</v>
      </c>
      <c r="BE30" s="52">
        <v>9.75</v>
      </c>
      <c r="BF30" s="52">
        <v>9.6</v>
      </c>
      <c r="BG30" s="67">
        <v>9.7200000000000006</v>
      </c>
      <c r="BH30" s="52">
        <v>9.58</v>
      </c>
      <c r="BI30" s="52">
        <v>10.06</v>
      </c>
      <c r="BJ30" s="52">
        <v>10.17</v>
      </c>
      <c r="BK30" s="52">
        <v>9.91</v>
      </c>
      <c r="BL30" s="52">
        <v>9.5500000000000007</v>
      </c>
      <c r="BM30" s="52">
        <v>9.42</v>
      </c>
      <c r="BN30" s="52" cm="1">
        <f t="array" aca="1" ref="BN30" ca="1">_FV(EB30,"Preço")</f>
        <v>9.42</v>
      </c>
      <c r="BO30" s="69" t="s">
        <v>27</v>
      </c>
      <c r="BP30" s="36" cm="1">
        <f t="array" aca="1" ref="BP30" ca="1">_FV(EB30,"Média de volume",TRUE)</f>
        <v>87500</v>
      </c>
      <c r="BQ30" s="36">
        <v>1800</v>
      </c>
      <c r="BR30" s="36" cm="1">
        <f t="array" aca="1" ref="BR30" ca="1">_FV(EB30,"Volume")</f>
        <v>1800</v>
      </c>
      <c r="BS30" s="24" cm="1">
        <f t="array" aca="1" ref="BS30" ca="1">_FV(EB30,"Beta")</f>
        <v>0.14099999999999999</v>
      </c>
      <c r="BT30" s="71" cm="1">
        <f t="array" aca="1" ref="BT30" ca="1">_FV(EB30,"Variação (%)",TRUE)</f>
        <v>7.4870000000000006E-3</v>
      </c>
      <c r="BV30" s="17" cm="1">
        <f t="array" aca="1" ref="BV30" ca="1">_FV(EB30,"Baixo")</f>
        <v>9.36</v>
      </c>
      <c r="BW30" s="17" cm="1">
        <f t="array" aca="1" ref="BW30" ca="1">_FV(EB30,"Alto")</f>
        <v>9.49</v>
      </c>
      <c r="BX30" s="24"/>
      <c r="BY30" s="63">
        <f ca="1">SQRT(22.5*(BN30/VLOOKUP(BO30,Fundamentus!A:U,3,FALSE))*(BN30/VLOOKUP(BO30,Fundamentus!A:U,4,FALSE)))</f>
        <v>16.610889253469988</v>
      </c>
      <c r="CA30" s="62">
        <f t="shared" ca="1" si="24"/>
        <v>0</v>
      </c>
      <c r="CB30" s="8"/>
      <c r="CC30" s="61">
        <f t="shared" si="25"/>
        <v>9.42</v>
      </c>
      <c r="CD30" s="61">
        <f t="shared" si="26"/>
        <v>12.68</v>
      </c>
      <c r="CE30" s="61">
        <f t="shared" si="27"/>
        <v>10.752000000000002</v>
      </c>
      <c r="CF30" s="14"/>
      <c r="CG30" s="35">
        <f t="shared" si="1"/>
        <v>8.5181596499056109</v>
      </c>
      <c r="CH30" s="15">
        <f t="shared" si="28"/>
        <v>9.1100000000001273</v>
      </c>
      <c r="CI30" s="35">
        <f t="shared" si="2"/>
        <v>9.7018403500946437</v>
      </c>
      <c r="CK30" s="14"/>
      <c r="CL30" s="17">
        <f t="shared" si="3"/>
        <v>5.1600000000000019</v>
      </c>
      <c r="CM30" s="17">
        <f t="shared" si="4"/>
        <v>7.2900000000000009</v>
      </c>
      <c r="CN30" s="17">
        <f t="shared" si="5"/>
        <v>8.4200000000000017</v>
      </c>
      <c r="CO30" s="38">
        <f t="shared" si="29"/>
        <v>10.55</v>
      </c>
      <c r="CP30" s="17">
        <f t="shared" si="6"/>
        <v>11.680000000000001</v>
      </c>
      <c r="CQ30" s="17">
        <f t="shared" si="7"/>
        <v>13.81</v>
      </c>
      <c r="CR30" s="17">
        <f t="shared" si="8"/>
        <v>14.940000000000001</v>
      </c>
      <c r="CS30" s="2" cm="1">
        <f t="array" aca="1" ref="CS30" ca="1">MAX(_xlfn._xlws.FILTER(CL30:CR30,CL30:CR30&lt;BN30))</f>
        <v>8.4200000000000017</v>
      </c>
      <c r="CT30" s="2" cm="1">
        <f t="array" aca="1" ref="CT30" ca="1">MIN(_xlfn._xlws.FILTER($CL30:$CR30,$CL30:$CR30&gt;BN30))</f>
        <v>10.55</v>
      </c>
      <c r="CU30" s="16">
        <f t="shared" ca="1" si="63"/>
        <v>0.25296912114014236</v>
      </c>
      <c r="CV30" s="20">
        <f t="shared" ca="1" si="64"/>
        <v>-0.12648456057007118</v>
      </c>
      <c r="CW30" s="20">
        <f t="shared" ca="1" si="65"/>
        <v>-8.4323040380047454E-2</v>
      </c>
      <c r="CX30" s="20">
        <f t="shared" ca="1" si="66"/>
        <v>-5.0593824228028474E-2</v>
      </c>
      <c r="CY30" s="20">
        <f t="shared" ca="1" si="67"/>
        <v>-2.8107680126682483E-2</v>
      </c>
      <c r="CZ30" s="20">
        <f t="shared" ca="1" si="68"/>
        <v>-1.4880536537655434E-2</v>
      </c>
      <c r="DA30" s="20">
        <f t="shared" ca="1" si="69"/>
        <v>-7.6657309436406777E-3</v>
      </c>
      <c r="DB30" s="20">
        <f t="shared" ca="1" si="70"/>
        <v>-3.8918326329252669E-3</v>
      </c>
      <c r="DC30" s="21">
        <f t="shared" ca="1" si="71"/>
        <v>3.8918326329252669E-3</v>
      </c>
      <c r="DD30" s="21">
        <f t="shared" ca="1" si="72"/>
        <v>7.6657309436406777E-3</v>
      </c>
      <c r="DE30" s="21">
        <f t="shared" ca="1" si="73"/>
        <v>1.4880536537655434E-2</v>
      </c>
      <c r="DF30" s="21">
        <f t="shared" ca="1" si="74"/>
        <v>2.8107680126682483E-2</v>
      </c>
      <c r="DG30" s="21">
        <f t="shared" ca="1" si="75"/>
        <v>5.0593824228028474E-2</v>
      </c>
      <c r="DH30" s="21">
        <f t="shared" ca="1" si="76"/>
        <v>8.4323040380047454E-2</v>
      </c>
      <c r="DI30" s="21">
        <f t="shared" ca="1" si="77"/>
        <v>0.12648456057007118</v>
      </c>
      <c r="DK30" s="16" cm="1">
        <f t="array" aca="1" ref="DK30" ca="1">MAX(_xlfn._xlws.FILTER(CV30:DI30,CV30:DI30&lt;BT30))</f>
        <v>3.8918326329252669E-3</v>
      </c>
      <c r="DL30" s="16" cm="1">
        <f t="array" aca="1" ref="DL30" ca="1">MIN(_xlfn._xlws.FILTER(CV30:DI30,CV30:DI30&gt;BT30))</f>
        <v>7.6657309436406777E-3</v>
      </c>
      <c r="DM30" s="2" cm="1">
        <f t="array" aca="1" ref="DM30" ca="1">_FV(EB30,"Fechamento anterior",TRUE)</f>
        <v>9.35</v>
      </c>
      <c r="DN30" s="28">
        <f t="shared" ca="1" si="15"/>
        <v>0.95254246064626258</v>
      </c>
      <c r="DO30" s="15">
        <f t="shared" ca="1" si="78"/>
        <v>9.38638863511785</v>
      </c>
      <c r="DP30" s="15">
        <f t="shared" ca="1" si="79"/>
        <v>9.4216745843230392</v>
      </c>
      <c r="DQ30" s="9"/>
      <c r="DR30" s="9"/>
      <c r="DS30" s="9"/>
      <c r="DT30" s="89">
        <v>3.7738983107154108E-3</v>
      </c>
      <c r="DU30" s="89">
        <f t="shared" ca="1" si="18"/>
        <v>3.7738983107154108E-3</v>
      </c>
      <c r="DV30" s="72">
        <f t="shared" ca="1" si="19"/>
        <v>0.52378990373056833</v>
      </c>
      <c r="DW30" s="37"/>
      <c r="DX30" s="35">
        <f t="shared" si="39"/>
        <v>0.2959201750472582</v>
      </c>
      <c r="DY30" s="56"/>
      <c r="DZ30" s="56"/>
      <c r="EB30" s="2" t="e" vm="30">
        <v>#VALUE!</v>
      </c>
      <c r="ED30" s="10" cm="1">
        <f t="array" aca="1" ref="ED30" ca="1">_FV(EB30,"Ações em circulação",TRUE)</f>
        <v>42275080</v>
      </c>
      <c r="EE30" s="18">
        <f>VLOOKUP(BO30,Fundamentus!A:U,5,FALSE)</f>
        <v>0.94299999999999995</v>
      </c>
      <c r="EF30" s="2">
        <f t="shared" ca="1" si="20"/>
        <v>422302495.86426306</v>
      </c>
      <c r="EG30" s="17">
        <v>74283009.022523865</v>
      </c>
      <c r="EH30" s="17">
        <f t="shared" ca="1" si="21"/>
        <v>74283009.022523865</v>
      </c>
      <c r="EJ30" s="16">
        <f t="shared" ca="1" si="22"/>
        <v>0</v>
      </c>
      <c r="EK30" s="32" t="str">
        <f>IF(VLOOKUP(BO30,Fundamentus!A:U,3,FALSE)&lt;15,"Bom",IF(VLOOKUP(BO30,Fundamentus!A:U,3,FALSE)&gt;15,"Ruim","n/a"))</f>
        <v>Bom</v>
      </c>
      <c r="EL30" s="28" t="str">
        <f>IF(VLOOKUP(BO30,Fundamentus!A:U,4,FALSE)&lt;1,"Baixo",IF(VLOOKUP(BO30,Fundamentus!A:U,4,FALSE)&lt;1.5,"Moderado",IF(VLOOKUP(BO30,Fundamentus!A:U,4,FALSE)&gt;1.5,"Alto","n/a")))</f>
        <v>Moderado</v>
      </c>
      <c r="EM30" s="17" t="str">
        <f>IF(VLOOKUP(BO30,Fundamentus!A:U,8,FALSE)&lt;0,"Risco elevado",IF(VLOOKUP(BO30,Fundamentus!A:U,8,FALSE)&lt;1,"Saudável",IF(VLOOKUP(BO30,Fundamentus!A:U,8,FALSE)&lt;3,"Estável",IF(VLOOKUP(BO30,Fundamentus!A:U,8,FALSE)&gt;3,"Alerta","n/a"))))</f>
        <v>Alerta</v>
      </c>
      <c r="EN30" s="28" t="str">
        <f t="shared" si="23"/>
        <v>Ruim</v>
      </c>
      <c r="EO30" s="17" t="str">
        <f>IF(VLOOKUP(BO30,Fundamentus!A:U,12,FALSE)&lt;2,"Subvalorizada",IF(VLOOKUP(BO30,Fundamentus!A:U,12,FALSE)&lt;6,"Muita barata",IF(VLOOKUP(BO30,Fundamentus!A:U,12,FALSE)&lt;6,"Barata",IF(VLOOKUP(BO30,Fundamentus!A:U,12,FALSE)&lt;8,"Atrativa",IF(VLOOKUP(BO30,Fundamentus!A:U,12,FALSE)&gt;8,"Supervalorizada","n/a")))))</f>
        <v>Muita barata</v>
      </c>
      <c r="EQ30" s="17" t="str">
        <f>IF(VLOOKUP(BO30,Fundamentus!A:U,17,FALSE)&lt;0.1,"Fraco retorno",IF(VLOOKUP(BO30,Fundamentus!A:U,17,FALSE)&gt;0.1,"Bom retorno","n/a"))</f>
        <v>Bom retorno</v>
      </c>
      <c r="ER30" s="17" t="str">
        <f>IF(VLOOKUP(BO30,Fundamentus!A:U,16,FALSE)&lt;0.1,"Ineficiente",IF(VLOOKUP(BO30,Fundamentus!A:U,16,FALSE)&gt;0.1,"Eficiente","n/a"))</f>
        <v>Eficiente</v>
      </c>
      <c r="ES30" s="33" t="str">
        <f>IF(VLOOKUP(BO30,Fundamentus!A:U,16,FALSE)&lt;0.1,"Oper. Ineficiente",IF(VLOOKUP(BO30,Fundamentus!A:U,16,FALSE)&gt;0.1,"Oper.Eficiente","n/a"))</f>
        <v>Oper.Eficiente</v>
      </c>
      <c r="ET30" s="34">
        <f>VLOOKUP(BO30,Fundamentus!A:U,14,FALSE)</f>
        <v>0.1759</v>
      </c>
      <c r="EU30" s="17" t="str">
        <f>IF(VLOOKUP(BO30,Fundamentus!A:U,21,FALSE)&lt;0,"Negativo",IF(VLOOKUP(BO30,Fundamentus!A:U,21,FALSE)&lt;0.05,"Fraco",IF(VLOOKUP(BO30,Fundamentus!A:U,21,FALSE)&lt;0.1,"Bom",IF(VLOOKUP(BO30,Fundamentus!A:U,21,FALSE)&gt;0.1,"Muito bom","n/a"))))</f>
        <v>Muito bom</v>
      </c>
      <c r="EW30" s="29" t="str">
        <f>IF(VLOOKUP(BO30,Fundamentus!A:U,15,FALSE)&gt;1,"Bom",IF(VLOOKUP(BO30,Fundamentus!A:U,15,FALSE)&lt;1,"Ruim","n/a"))</f>
        <v>Bom</v>
      </c>
      <c r="EX30" s="17" t="str">
        <f>IF(VLOOKUP(BO30,Fundamentus!A:U,20,FALSE)&lt;0.5,"Baixa",IF(VLOOKUP(BO30,Fundamentus!A:U,20,FALSE)&lt;1,"Moderada",IF(VLOOKUP(BO30,Fundamentus!A:U,20,FALSE)&lt;2,"Alerta",IF(VLOOKUP(BO30,Fundamentus!A:U,20,FALSE)&gt;2,"Alta","n/a"))))</f>
        <v>Baixa</v>
      </c>
    </row>
    <row r="31" spans="1:155" s="2" customFormat="1" ht="11.25"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5">
        <v>15.28</v>
      </c>
      <c r="BC31" s="52">
        <v>15.81</v>
      </c>
      <c r="BD31" s="52">
        <v>15.14</v>
      </c>
      <c r="BE31" s="52">
        <v>14.69</v>
      </c>
      <c r="BF31" s="52">
        <v>14.74</v>
      </c>
      <c r="BG31" s="67">
        <v>14.5</v>
      </c>
      <c r="BH31" s="52">
        <v>14.49</v>
      </c>
      <c r="BI31" s="52">
        <v>14.59</v>
      </c>
      <c r="BJ31" s="52">
        <v>15.4</v>
      </c>
      <c r="BK31" s="52">
        <v>15.4</v>
      </c>
      <c r="BL31" s="52">
        <v>14.99</v>
      </c>
      <c r="BM31" s="52">
        <v>15.05</v>
      </c>
      <c r="BN31" s="52" cm="1">
        <f t="array" aca="1" ref="BN31" ca="1">_FV(EB31,"Preço")</f>
        <v>15.05</v>
      </c>
      <c r="BO31" s="69" t="s">
        <v>28</v>
      </c>
      <c r="BP31" s="36" cm="1">
        <f t="array" aca="1" ref="BP31" ca="1">_FV(EB31,"Média de volume",TRUE)</f>
        <v>3303960</v>
      </c>
      <c r="BQ31" s="36">
        <v>23500</v>
      </c>
      <c r="BR31" s="36" cm="1">
        <f t="array" aca="1" ref="BR31" ca="1">_FV(EB31,"Volume")</f>
        <v>23500</v>
      </c>
      <c r="BS31" s="24" cm="1">
        <f t="array" aca="1" ref="BS31" ca="1">_FV(EB31,"Beta")</f>
        <v>0.90049999999999997</v>
      </c>
      <c r="BT31" s="71" cm="1">
        <f t="array" aca="1" ref="BT31" ca="1">_FV(EB31,"Variação (%)",TRUE)</f>
        <v>-1.2466999999999999E-2</v>
      </c>
      <c r="BV31" s="17" cm="1">
        <f t="array" aca="1" ref="BV31" ca="1">_FV(EB31,"Baixo")</f>
        <v>14.93</v>
      </c>
      <c r="BW31" s="17" cm="1">
        <f t="array" aca="1" ref="BW31" ca="1">_FV(EB31,"Alto")</f>
        <v>15.3</v>
      </c>
      <c r="BX31" s="24"/>
      <c r="BY31" s="63">
        <f ca="1">SQRT(22.5*(BN31/VLOOKUP(BO31,Fundamentus!A:U,3,FALSE))*(BN31/VLOOKUP(BO31,Fundamentus!A:U,4,FALSE)))</f>
        <v>37.453728678297367</v>
      </c>
      <c r="CA31" s="62">
        <f t="shared" ca="1" si="24"/>
        <v>0</v>
      </c>
      <c r="CB31" s="8"/>
      <c r="CC31" s="61">
        <f t="shared" si="25"/>
        <v>14.49</v>
      </c>
      <c r="CD31" s="61">
        <f t="shared" si="26"/>
        <v>19.52</v>
      </c>
      <c r="CE31" s="61">
        <f t="shared" si="27"/>
        <v>16.749153846153845</v>
      </c>
      <c r="CF31" s="14"/>
      <c r="CG31" s="35">
        <f t="shared" si="1"/>
        <v>14.462638914113924</v>
      </c>
      <c r="CH31" s="15">
        <f t="shared" si="28"/>
        <v>14.845000000000027</v>
      </c>
      <c r="CI31" s="35">
        <f t="shared" si="2"/>
        <v>15.22736108588613</v>
      </c>
      <c r="CK31" s="14"/>
      <c r="CL31" s="17">
        <f t="shared" si="3"/>
        <v>8.1166666666666654</v>
      </c>
      <c r="CM31" s="17">
        <f t="shared" si="4"/>
        <v>11.303333333333333</v>
      </c>
      <c r="CN31" s="17">
        <f t="shared" si="5"/>
        <v>13.146666666666665</v>
      </c>
      <c r="CO31" s="38">
        <f t="shared" si="29"/>
        <v>16.333333333333332</v>
      </c>
      <c r="CP31" s="17">
        <f t="shared" si="6"/>
        <v>18.176666666666662</v>
      </c>
      <c r="CQ31" s="17">
        <f t="shared" si="7"/>
        <v>21.36333333333333</v>
      </c>
      <c r="CR31" s="17">
        <f t="shared" si="8"/>
        <v>23.206666666666663</v>
      </c>
      <c r="CS31" s="2" cm="1">
        <f t="array" aca="1" ref="CS31" ca="1">MAX(_xlfn._xlws.FILTER(CL31:CR31,CL31:CR31&lt;BN31))</f>
        <v>13.146666666666665</v>
      </c>
      <c r="CT31" s="2" cm="1">
        <f t="array" aca="1" ref="CT31" ca="1">MIN(_xlfn._xlws.FILTER($CL31:$CR31,$CL31:$CR31&gt;BN31))</f>
        <v>16.333333333333332</v>
      </c>
      <c r="CU31" s="16">
        <f t="shared" ca="1" si="63"/>
        <v>0.24239350912778912</v>
      </c>
      <c r="CV31" s="20">
        <f t="shared" ca="1" si="64"/>
        <v>-0.12119675456389456</v>
      </c>
      <c r="CW31" s="20">
        <f t="shared" ca="1" si="65"/>
        <v>-8.0797836375929702E-2</v>
      </c>
      <c r="CX31" s="20">
        <f t="shared" ca="1" si="66"/>
        <v>-4.8478701825557823E-2</v>
      </c>
      <c r="CY31" s="20">
        <f t="shared" ca="1" si="67"/>
        <v>-2.6932612125309903E-2</v>
      </c>
      <c r="CZ31" s="20">
        <f t="shared" ca="1" si="68"/>
        <v>-1.4258441713399361E-2</v>
      </c>
      <c r="DA31" s="20">
        <f t="shared" ca="1" si="69"/>
        <v>-7.3452578523572464E-3</v>
      </c>
      <c r="DB31" s="20">
        <f t="shared" ca="1" si="70"/>
        <v>-3.7291309096582942E-3</v>
      </c>
      <c r="DC31" s="21">
        <f t="shared" ca="1" si="71"/>
        <v>3.7291309096582942E-3</v>
      </c>
      <c r="DD31" s="21">
        <f t="shared" ca="1" si="72"/>
        <v>7.3452578523572464E-3</v>
      </c>
      <c r="DE31" s="21">
        <f t="shared" ca="1" si="73"/>
        <v>1.4258441713399361E-2</v>
      </c>
      <c r="DF31" s="21">
        <f t="shared" ca="1" si="74"/>
        <v>2.6932612125309903E-2</v>
      </c>
      <c r="DG31" s="21">
        <f t="shared" ca="1" si="75"/>
        <v>4.8478701825557823E-2</v>
      </c>
      <c r="DH31" s="21">
        <f t="shared" ca="1" si="76"/>
        <v>8.0797836375929702E-2</v>
      </c>
      <c r="DI31" s="21">
        <f t="shared" ca="1" si="77"/>
        <v>0.12119675456389456</v>
      </c>
      <c r="DK31" s="16" cm="1">
        <f t="array" aca="1" ref="DK31" ca="1">MAX(_xlfn._xlws.FILTER(CV31:DI31,CV31:DI31&lt;BT31))</f>
        <v>-1.4258441713399361E-2</v>
      </c>
      <c r="DL31" s="16" cm="1">
        <f t="array" aca="1" ref="DL31" ca="1">MIN(_xlfn._xlws.FILTER(CV31:DI31,CV31:DI31&gt;BT31))</f>
        <v>-7.3452578523572464E-3</v>
      </c>
      <c r="DM31" s="2" cm="1">
        <f t="array" aca="1" ref="DM31" ca="1">_FV(EB31,"Fechamento anterior",TRUE)</f>
        <v>15.24</v>
      </c>
      <c r="DN31" s="28">
        <f t="shared" ca="1" si="15"/>
        <v>0.259106389813198</v>
      </c>
      <c r="DO31" s="15">
        <f t="shared" ca="1" si="78"/>
        <v>15.022701348287795</v>
      </c>
      <c r="DP31" s="15">
        <f t="shared" ca="1" si="79"/>
        <v>15.128058270330076</v>
      </c>
      <c r="DQ31" s="9"/>
      <c r="DR31" s="9"/>
      <c r="DS31" s="9"/>
      <c r="DT31" s="89">
        <v>6.9131838610421142E-3</v>
      </c>
      <c r="DU31" s="89">
        <f t="shared" ca="1" si="18"/>
        <v>6.9131838610421142E-3</v>
      </c>
      <c r="DV31" s="72">
        <f t="shared" ca="1" si="19"/>
        <v>0.53614242549002067</v>
      </c>
      <c r="DW31" s="37"/>
      <c r="DX31" s="35">
        <f t="shared" si="39"/>
        <v>0.19118054294305156</v>
      </c>
      <c r="DY31" s="56"/>
      <c r="DZ31" s="56"/>
      <c r="EB31" s="2" t="e" vm="31">
        <v>#VALUE!</v>
      </c>
      <c r="ED31" s="10" cm="1">
        <f t="array" aca="1" ref="ED31" ca="1">_FV(EB31,"Ações em circulação",TRUE)</f>
        <v>393096600</v>
      </c>
      <c r="EE31" s="18">
        <f>VLOOKUP(BO31,Fundamentus!A:U,5,FALSE)</f>
        <v>0</v>
      </c>
      <c r="EF31" s="2" t="e">
        <f t="shared" ca="1" si="20"/>
        <v>#DIV/0!</v>
      </c>
      <c r="EG31" s="17" t="e">
        <v>#DIV/0!</v>
      </c>
      <c r="EH31" s="17" t="e">
        <f t="shared" ca="1" si="21"/>
        <v>#DIV/0!</v>
      </c>
      <c r="EJ31" s="16" t="e">
        <f t="shared" ca="1" si="22"/>
        <v>#DIV/0!</v>
      </c>
      <c r="EK31" s="32" t="str">
        <f>IF(VLOOKUP(BO31,Fundamentus!A:U,3,FALSE)&lt;15,"Bom",IF(VLOOKUP(BO31,Fundamentus!A:U,3,FALSE)&gt;15,"Ruim","n/a"))</f>
        <v>Bom</v>
      </c>
      <c r="EL31" s="28" t="str">
        <f>IF(VLOOKUP(BO31,Fundamentus!A:U,4,FALSE)&lt;1,"Baixo",IF(VLOOKUP(BO31,Fundamentus!A:U,4,FALSE)&lt;1.5,"Moderado",IF(VLOOKUP(BO31,Fundamentus!A:U,4,FALSE)&gt;1.5,"Alto","n/a")))</f>
        <v>Baixo</v>
      </c>
      <c r="EM31" s="17" t="str">
        <f>IF(VLOOKUP(BO31,Fundamentus!A:U,8,FALSE)&lt;0,"Risco elevado",IF(VLOOKUP(BO31,Fundamentus!A:U,8,FALSE)&lt;1,"Saudável",IF(VLOOKUP(BO31,Fundamentus!A:U,8,FALSE)&lt;3,"Estável",IF(VLOOKUP(BO31,Fundamentus!A:U,8,FALSE)&gt;3,"Alerta","n/a"))))</f>
        <v>Alerta</v>
      </c>
      <c r="EN31" s="28" t="str">
        <f t="shared" si="23"/>
        <v>Ruim</v>
      </c>
      <c r="EO31" s="17" t="str">
        <f>IF(VLOOKUP(BO31,Fundamentus!A:U,12,FALSE)&lt;2,"Subvalorizada",IF(VLOOKUP(BO31,Fundamentus!A:U,12,FALSE)&lt;6,"Muita barata",IF(VLOOKUP(BO31,Fundamentus!A:U,12,FALSE)&lt;6,"Barata",IF(VLOOKUP(BO31,Fundamentus!A:U,12,FALSE)&lt;8,"Atrativa",IF(VLOOKUP(BO31,Fundamentus!A:U,12,FALSE)&gt;8,"Supervalorizada","n/a")))))</f>
        <v>Subvalorizada</v>
      </c>
      <c r="EQ31" s="17" t="str">
        <f>IF(VLOOKUP(BO31,Fundamentus!A:U,17,FALSE)&lt;0.1,"Fraco retorno",IF(VLOOKUP(BO31,Fundamentus!A:U,17,FALSE)&gt;0.1,"Bom retorno","n/a"))</f>
        <v>Bom retorno</v>
      </c>
      <c r="ER31" s="17" t="str">
        <f>IF(VLOOKUP(BO31,Fundamentus!A:U,16,FALSE)&lt;0.1,"Ineficiente",IF(VLOOKUP(BO31,Fundamentus!A:U,16,FALSE)&gt;0.1,"Eficiente","n/a"))</f>
        <v>Ineficiente</v>
      </c>
      <c r="ES31" s="33" t="str">
        <f>IF(VLOOKUP(BO31,Fundamentus!A:U,16,FALSE)&lt;0.1,"Oper. Ineficiente",IF(VLOOKUP(BO31,Fundamentus!A:U,16,FALSE)&gt;0.1,"Oper.Eficiente","n/a"))</f>
        <v>Oper. Ineficiente</v>
      </c>
      <c r="ET31" s="34">
        <f>VLOOKUP(BO31,Fundamentus!A:U,14,FALSE)</f>
        <v>0</v>
      </c>
      <c r="EU31" s="17" t="str">
        <f>IF(VLOOKUP(BO31,Fundamentus!A:U,21,FALSE)&lt;0,"Negativo",IF(VLOOKUP(BO31,Fundamentus!A:U,21,FALSE)&lt;0.05,"Fraco",IF(VLOOKUP(BO31,Fundamentus!A:U,21,FALSE)&lt;0.1,"Bom",IF(VLOOKUP(BO31,Fundamentus!A:U,21,FALSE)&gt;0.1,"Muito bom","n/a"))))</f>
        <v>Fraco</v>
      </c>
      <c r="EW31" s="29" t="str">
        <f>IF(VLOOKUP(BO31,Fundamentus!A:U,15,FALSE)&gt;1,"Bom",IF(VLOOKUP(BO31,Fundamentus!A:U,15,FALSE)&lt;1,"Ruim","n/a"))</f>
        <v>Bom</v>
      </c>
      <c r="EX31" s="17" t="str">
        <f>IF(VLOOKUP(BO31,Fundamentus!A:U,20,FALSE)&lt;0.5,"Baixa",IF(VLOOKUP(BO31,Fundamentus!A:U,20,FALSE)&lt;1,"Moderada",IF(VLOOKUP(BO31,Fundamentus!A:U,20,FALSE)&lt;2,"Alerta",IF(VLOOKUP(BO31,Fundamentus!A:U,20,FALSE)&gt;2,"Alta","n/a"))))</f>
        <v>Baixa</v>
      </c>
    </row>
    <row r="32" spans="1:155" s="2" customFormat="1" ht="11.25"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5">
        <v>1.23</v>
      </c>
      <c r="BC32" s="52">
        <v>1.24</v>
      </c>
      <c r="BD32" s="52">
        <v>1.23</v>
      </c>
      <c r="BE32" s="52">
        <v>1.24</v>
      </c>
      <c r="BF32" s="52">
        <v>1.22</v>
      </c>
      <c r="BG32" s="67">
        <v>1.23</v>
      </c>
      <c r="BH32" s="52">
        <v>1.23</v>
      </c>
      <c r="BI32" s="52">
        <v>1.21</v>
      </c>
      <c r="BJ32" s="52">
        <v>1.21</v>
      </c>
      <c r="BK32" s="52">
        <v>1.17</v>
      </c>
      <c r="BL32" s="52">
        <v>1.19</v>
      </c>
      <c r="BM32" s="52">
        <v>1.17</v>
      </c>
      <c r="BN32" s="52" cm="1">
        <f t="array" aca="1" ref="BN32" ca="1">_FV(EB32,"Preço")</f>
        <v>1.17</v>
      </c>
      <c r="BO32" s="69" t="s">
        <v>29</v>
      </c>
      <c r="BP32" s="36" cm="1">
        <f t="array" aca="1" ref="BP32" ca="1">_FV(EB32,"Média de volume",TRUE)</f>
        <v>11400</v>
      </c>
      <c r="BQ32" s="36">
        <v>500</v>
      </c>
      <c r="BR32" s="36" cm="1">
        <f t="array" aca="1" ref="BR32" ca="1">_FV(EB32,"Volume")</f>
        <v>500</v>
      </c>
      <c r="BS32" s="24" cm="1">
        <f t="array" aca="1" ref="BS32" ca="1">_FV(EB32,"Beta")</f>
        <v>1.0044</v>
      </c>
      <c r="BT32" s="71" cm="1">
        <f t="array" aca="1" ref="BT32" ca="1">_FV(EB32,"Variação (%)",TRUE)</f>
        <v>8.6210000000000002E-3</v>
      </c>
      <c r="BV32" s="17" cm="1">
        <f t="array" aca="1" ref="BV32" ca="1">_FV(EB32,"Baixo")</f>
        <v>1.1499999999999999</v>
      </c>
      <c r="BW32" s="17" cm="1">
        <f t="array" aca="1" ref="BW32" ca="1">_FV(EB32,"Alto")</f>
        <v>1.18</v>
      </c>
      <c r="BX32" s="24"/>
      <c r="BY32" s="63" t="e">
        <f ca="1">SQRT(22.5*(BN32/VLOOKUP(BO32,Fundamentus!A:U,3,FALSE))*(BN32/VLOOKUP(BO32,Fundamentus!A:U,4,FALSE)))</f>
        <v>#NUM!</v>
      </c>
      <c r="CA32" s="62">
        <f t="shared" ca="1" si="24"/>
        <v>0</v>
      </c>
      <c r="CB32" s="8"/>
      <c r="CC32" s="61">
        <f t="shared" si="25"/>
        <v>1.1399999999999999</v>
      </c>
      <c r="CD32" s="61">
        <f t="shared" si="26"/>
        <v>1.4</v>
      </c>
      <c r="CE32" s="61">
        <f t="shared" si="27"/>
        <v>1.2127692307692308</v>
      </c>
      <c r="CF32" s="14"/>
      <c r="CG32" s="35">
        <f t="shared" si="1"/>
        <v>1.1268337520964569</v>
      </c>
      <c r="CH32" s="15">
        <f t="shared" si="28"/>
        <v>1.1600000000000108</v>
      </c>
      <c r="CI32" s="35">
        <f t="shared" si="2"/>
        <v>1.1931662479035647</v>
      </c>
      <c r="CK32" s="14"/>
      <c r="CL32" s="17">
        <f t="shared" si="3"/>
        <v>0.82666666666666688</v>
      </c>
      <c r="CM32" s="17">
        <f t="shared" si="4"/>
        <v>0.98333333333333339</v>
      </c>
      <c r="CN32" s="17">
        <f t="shared" si="5"/>
        <v>1.0866666666666669</v>
      </c>
      <c r="CO32" s="38">
        <f t="shared" si="29"/>
        <v>1.2433333333333334</v>
      </c>
      <c r="CP32" s="17">
        <f t="shared" si="6"/>
        <v>1.3466666666666669</v>
      </c>
      <c r="CQ32" s="17">
        <f t="shared" si="7"/>
        <v>1.5033333333333334</v>
      </c>
      <c r="CR32" s="17">
        <f t="shared" si="8"/>
        <v>1.6066666666666669</v>
      </c>
      <c r="CS32" s="2" cm="1">
        <f t="array" aca="1" ref="CS32" ca="1">MAX(_xlfn._xlws.FILTER(CL32:CR32,CL32:CR32&lt;BN32))</f>
        <v>1.0866666666666669</v>
      </c>
      <c r="CT32" s="2" cm="1">
        <f t="array" aca="1" ref="CT32" ca="1">MIN(_xlfn._xlws.FILTER($CL32:$CR32,$CL32:$CR32&gt;BN32))</f>
        <v>1.2433333333333334</v>
      </c>
      <c r="CU32" s="16">
        <f t="shared" ca="1" si="63"/>
        <v>0.14417177914110413</v>
      </c>
      <c r="CV32" s="20">
        <f t="shared" ca="1" si="64"/>
        <v>-7.2085889570552064E-2</v>
      </c>
      <c r="CW32" s="20">
        <f t="shared" ca="1" si="65"/>
        <v>-4.8057259713701374E-2</v>
      </c>
      <c r="CX32" s="20">
        <f t="shared" ca="1" si="66"/>
        <v>-2.8834355828220824E-2</v>
      </c>
      <c r="CY32" s="20">
        <f t="shared" ca="1" si="67"/>
        <v>-1.6019086571233791E-2</v>
      </c>
      <c r="CZ32" s="20">
        <f t="shared" ca="1" si="68"/>
        <v>-8.4806928906531846E-3</v>
      </c>
      <c r="DA32" s="20">
        <f t="shared" ca="1" si="69"/>
        <v>-4.3688417921546709E-3</v>
      </c>
      <c r="DB32" s="20">
        <f t="shared" ca="1" si="70"/>
        <v>-2.2180273714016018E-3</v>
      </c>
      <c r="DC32" s="21">
        <f t="shared" ca="1" si="71"/>
        <v>2.2180273714016018E-3</v>
      </c>
      <c r="DD32" s="21">
        <f t="shared" ca="1" si="72"/>
        <v>4.3688417921546709E-3</v>
      </c>
      <c r="DE32" s="21">
        <f t="shared" ca="1" si="73"/>
        <v>8.4806928906531846E-3</v>
      </c>
      <c r="DF32" s="21">
        <f t="shared" ca="1" si="74"/>
        <v>1.6019086571233791E-2</v>
      </c>
      <c r="DG32" s="21">
        <f t="shared" ca="1" si="75"/>
        <v>2.8834355828220824E-2</v>
      </c>
      <c r="DH32" s="21">
        <f t="shared" ca="1" si="76"/>
        <v>4.8057259713701374E-2</v>
      </c>
      <c r="DI32" s="21">
        <f t="shared" ca="1" si="77"/>
        <v>7.2085889570552064E-2</v>
      </c>
      <c r="DK32" s="16" cm="1">
        <f t="array" aca="1" ref="DK32" ca="1">MAX(_xlfn._xlws.FILTER(CV32:DI32,CV32:DI32&lt;BT32))</f>
        <v>8.4806928906531846E-3</v>
      </c>
      <c r="DL32" s="16" cm="1">
        <f t="array" aca="1" ref="DL32" ca="1">MIN(_xlfn._xlws.FILTER(CV32:DI32,CV32:DI32&gt;BT32))</f>
        <v>1.6019086571233791E-2</v>
      </c>
      <c r="DM32" s="2" cm="1">
        <f t="array" aca="1" ref="DM32" ca="1">_FV(EB32,"Fechamento anterior",TRUE)</f>
        <v>1.1599999999999999</v>
      </c>
      <c r="DN32" s="28">
        <f t="shared" ca="1" si="15"/>
        <v>1.8571166544379323E-2</v>
      </c>
      <c r="DO32" s="15">
        <f t="shared" ca="1" si="78"/>
        <v>1.1698376037531577</v>
      </c>
      <c r="DP32" s="15">
        <f t="shared" ca="1" si="79"/>
        <v>1.1785821404226311</v>
      </c>
      <c r="DQ32" s="9"/>
      <c r="DR32" s="9"/>
      <c r="DS32" s="9"/>
      <c r="DT32" s="89">
        <v>7.5383936805806066E-3</v>
      </c>
      <c r="DU32" s="89">
        <f t="shared" ca="1" si="18"/>
        <v>7.5383936805806066E-3</v>
      </c>
      <c r="DV32" s="72">
        <f t="shared" ca="1" si="19"/>
        <v>0.30151134457743639</v>
      </c>
      <c r="DW32" s="37"/>
      <c r="DX32" s="35">
        <f t="shared" si="39"/>
        <v>1.6583123951777013E-2</v>
      </c>
      <c r="DY32" s="56"/>
      <c r="DZ32" s="56"/>
      <c r="EB32" s="2" t="e" vm="32">
        <v>#VALUE!</v>
      </c>
      <c r="ED32" s="10" cm="1">
        <f t="array" aca="1" ref="ED32" ca="1">_FV(EB32,"Ações em circulação",TRUE)</f>
        <v>11900000</v>
      </c>
      <c r="EE32" s="18">
        <f>VLOOKUP(BO32,Fundamentus!A:U,5,FALSE)</f>
        <v>0.45500000000000002</v>
      </c>
      <c r="EF32" s="2">
        <f t="shared" ca="1" si="20"/>
        <v>30600000</v>
      </c>
      <c r="EG32" s="17">
        <v>1998180</v>
      </c>
      <c r="EH32" s="17">
        <f t="shared" ca="1" si="21"/>
        <v>1998180</v>
      </c>
      <c r="EJ32" s="16">
        <f t="shared" ca="1" si="22"/>
        <v>0</v>
      </c>
      <c r="EK32" s="32" t="str">
        <f>IF(VLOOKUP(BO32,Fundamentus!A:U,3,FALSE)&lt;15,"Bom",IF(VLOOKUP(BO32,Fundamentus!A:U,3,FALSE)&gt;15,"Ruim","n/a"))</f>
        <v>Bom</v>
      </c>
      <c r="EL32" s="28" t="str">
        <f>IF(VLOOKUP(BO32,Fundamentus!A:U,4,FALSE)&lt;1,"Baixo",IF(VLOOKUP(BO32,Fundamentus!A:U,4,FALSE)&lt;1.5,"Moderado",IF(VLOOKUP(BO32,Fundamentus!A:U,4,FALSE)&gt;1.5,"Alto","n/a")))</f>
        <v>Baixo</v>
      </c>
      <c r="EM32" s="17" t="str">
        <f>IF(VLOOKUP(BO32,Fundamentus!A:U,8,FALSE)&lt;0,"Risco elevado",IF(VLOOKUP(BO32,Fundamentus!A:U,8,FALSE)&lt;1,"Saudável",IF(VLOOKUP(BO32,Fundamentus!A:U,8,FALSE)&lt;3,"Estável",IF(VLOOKUP(BO32,Fundamentus!A:U,8,FALSE)&gt;3,"Alerta","n/a"))))</f>
        <v>Saudável</v>
      </c>
      <c r="EN32" s="28" t="str">
        <f t="shared" si="23"/>
        <v>Ruim</v>
      </c>
      <c r="EO32" s="17" t="str">
        <f>IF(VLOOKUP(BO32,Fundamentus!A:U,12,FALSE)&lt;2,"Subvalorizada",IF(VLOOKUP(BO32,Fundamentus!A:U,12,FALSE)&lt;6,"Muita barata",IF(VLOOKUP(BO32,Fundamentus!A:U,12,FALSE)&lt;6,"Barata",IF(VLOOKUP(BO32,Fundamentus!A:U,12,FALSE)&lt;8,"Atrativa",IF(VLOOKUP(BO32,Fundamentus!A:U,12,FALSE)&gt;8,"Supervalorizada","n/a")))))</f>
        <v>Supervalorizada</v>
      </c>
      <c r="EQ32" s="17" t="str">
        <f>IF(VLOOKUP(BO32,Fundamentus!A:U,17,FALSE)&lt;0.1,"Fraco retorno",IF(VLOOKUP(BO32,Fundamentus!A:U,17,FALSE)&gt;0.1,"Bom retorno","n/a"))</f>
        <v>Fraco retorno</v>
      </c>
      <c r="ER32" s="17" t="str">
        <f>IF(VLOOKUP(BO32,Fundamentus!A:U,16,FALSE)&lt;0.1,"Ineficiente",IF(VLOOKUP(BO32,Fundamentus!A:U,16,FALSE)&gt;0.1,"Eficiente","n/a"))</f>
        <v>Ineficiente</v>
      </c>
      <c r="ES32" s="33" t="str">
        <f>IF(VLOOKUP(BO32,Fundamentus!A:U,16,FALSE)&lt;0.1,"Oper. Ineficiente",IF(VLOOKUP(BO32,Fundamentus!A:U,16,FALSE)&gt;0.1,"Oper.Eficiente","n/a"))</f>
        <v>Oper. Ineficiente</v>
      </c>
      <c r="ET32" s="34">
        <f>VLOOKUP(BO32,Fundamentus!A:U,14,FALSE)</f>
        <v>6.5299999999999997E-2</v>
      </c>
      <c r="EU32" s="17" t="str">
        <f>IF(VLOOKUP(BO32,Fundamentus!A:U,21,FALSE)&lt;0,"Negativo",IF(VLOOKUP(BO32,Fundamentus!A:U,21,FALSE)&lt;0.05,"Fraco",IF(VLOOKUP(BO32,Fundamentus!A:U,21,FALSE)&lt;0.1,"Bom",IF(VLOOKUP(BO32,Fundamentus!A:U,21,FALSE)&gt;0.1,"Muito bom","n/a"))))</f>
        <v>Negativo</v>
      </c>
      <c r="EW32" s="29" t="str">
        <f>IF(VLOOKUP(BO32,Fundamentus!A:U,15,FALSE)&gt;1,"Bom",IF(VLOOKUP(BO32,Fundamentus!A:U,15,FALSE)&lt;1,"Ruim","n/a"))</f>
        <v>Bom</v>
      </c>
      <c r="EX32" s="17" t="str">
        <f>IF(VLOOKUP(BO32,Fundamentus!A:U,20,FALSE)&lt;0.5,"Baixa",IF(VLOOKUP(BO32,Fundamentus!A:U,20,FALSE)&lt;1,"Moderada",IF(VLOOKUP(BO32,Fundamentus!A:U,20,FALSE)&lt;2,"Alerta",IF(VLOOKUP(BO32,Fundamentus!A:U,20,FALSE)&gt;2,"Alta","n/a"))))</f>
        <v>Baixa</v>
      </c>
    </row>
    <row r="33" spans="1:154" s="2" customFormat="1" ht="11.25"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5">
        <v>14.2</v>
      </c>
      <c r="BC33" s="52">
        <v>14.47</v>
      </c>
      <c r="BD33" s="52">
        <v>14.22</v>
      </c>
      <c r="BE33" s="52">
        <v>14.07</v>
      </c>
      <c r="BF33" s="52">
        <v>13.55</v>
      </c>
      <c r="BG33" s="67">
        <v>14.13</v>
      </c>
      <c r="BH33" s="52">
        <v>13.99</v>
      </c>
      <c r="BI33" s="52">
        <v>13.79</v>
      </c>
      <c r="BJ33" s="52">
        <v>13.92</v>
      </c>
      <c r="BK33" s="52">
        <v>13.3</v>
      </c>
      <c r="BL33" s="52">
        <v>12.5</v>
      </c>
      <c r="BM33" s="52">
        <v>12.52</v>
      </c>
      <c r="BN33" s="52" cm="1">
        <f t="array" aca="1" ref="BN33" ca="1">_FV(EB33,"Preço")</f>
        <v>12.52</v>
      </c>
      <c r="BO33" s="69" t="s">
        <v>30</v>
      </c>
      <c r="BP33" s="36" cm="1">
        <f t="array" aca="1" ref="BP33" ca="1">_FV(EB33,"Média de volume",TRUE)</f>
        <v>71530</v>
      </c>
      <c r="BQ33" s="36">
        <v>25300</v>
      </c>
      <c r="BR33" s="36" cm="1">
        <f t="array" aca="1" ref="BR33" ca="1">_FV(EB33,"Volume")</f>
        <v>25300</v>
      </c>
      <c r="BS33" s="24" cm="1">
        <f t="array" aca="1" ref="BS33" ca="1">_FV(EB33,"Beta")</f>
        <v>1.1056999999999999</v>
      </c>
      <c r="BT33" s="71" cm="1">
        <f t="array" aca="1" ref="BT33" ca="1">_FV(EB33,"Variação (%)",TRUE)</f>
        <v>4.0100000000000005E-3</v>
      </c>
      <c r="BV33" s="17" cm="1">
        <f t="array" aca="1" ref="BV33" ca="1">_FV(EB33,"Baixo")</f>
        <v>12.42</v>
      </c>
      <c r="BW33" s="17" cm="1">
        <f t="array" aca="1" ref="BW33" ca="1">_FV(EB33,"Alto")</f>
        <v>12.59</v>
      </c>
      <c r="BX33" s="24"/>
      <c r="BY33" s="63">
        <f ca="1">SQRT(22.5*(BN33/VLOOKUP(BO33,Fundamentus!A:U,3,FALSE))*(BN33/VLOOKUP(BO33,Fundamentus!A:U,4,FALSE)))</f>
        <v>22.160159785169885</v>
      </c>
      <c r="CA33" s="62">
        <f t="shared" ca="1" si="24"/>
        <v>0</v>
      </c>
      <c r="CB33" s="8"/>
      <c r="CC33" s="61">
        <f t="shared" si="25"/>
        <v>11.11</v>
      </c>
      <c r="CD33" s="61">
        <f t="shared" si="26"/>
        <v>14.94</v>
      </c>
      <c r="CE33" s="61">
        <f t="shared" si="27"/>
        <v>13.096384615384615</v>
      </c>
      <c r="CF33" s="14"/>
      <c r="CG33" s="35">
        <f t="shared" si="1"/>
        <v>10.625770292552948</v>
      </c>
      <c r="CH33" s="15">
        <f t="shared" si="28"/>
        <v>11.809999999999945</v>
      </c>
      <c r="CI33" s="35">
        <f t="shared" si="2"/>
        <v>12.994229707446943</v>
      </c>
      <c r="CK33" s="14"/>
      <c r="CL33" s="17">
        <f t="shared" si="3"/>
        <v>6.93</v>
      </c>
      <c r="CM33" s="17">
        <f t="shared" si="4"/>
        <v>9.02</v>
      </c>
      <c r="CN33" s="17">
        <f t="shared" si="5"/>
        <v>10.76</v>
      </c>
      <c r="CO33" s="38">
        <f t="shared" si="29"/>
        <v>12.85</v>
      </c>
      <c r="CP33" s="17">
        <f t="shared" si="6"/>
        <v>14.59</v>
      </c>
      <c r="CQ33" s="17">
        <f t="shared" si="7"/>
        <v>16.68</v>
      </c>
      <c r="CR33" s="17">
        <f t="shared" si="8"/>
        <v>18.420000000000002</v>
      </c>
      <c r="CS33" s="2" cm="1">
        <f t="array" aca="1" ref="CS33" ca="1">MAX(_xlfn._xlws.FILTER(CL33:CR33,CL33:CR33&lt;BN33))</f>
        <v>10.76</v>
      </c>
      <c r="CT33" s="2" cm="1">
        <f t="array" aca="1" ref="CT33" ca="1">MIN(_xlfn._xlws.FILTER($CL33:$CR33,$CL33:$CR33&gt;BN33))</f>
        <v>12.85</v>
      </c>
      <c r="CU33" s="16">
        <f t="shared" ca="1" si="63"/>
        <v>0.19423791821561331</v>
      </c>
      <c r="CV33" s="20">
        <f t="shared" ca="1" si="64"/>
        <v>-9.7118959107806657E-2</v>
      </c>
      <c r="CW33" s="20">
        <f t="shared" ca="1" si="65"/>
        <v>-6.4745972738537771E-2</v>
      </c>
      <c r="CX33" s="20">
        <f t="shared" ca="1" si="66"/>
        <v>-3.8847583643122664E-2</v>
      </c>
      <c r="CY33" s="20">
        <f t="shared" ca="1" si="67"/>
        <v>-2.1581990912845923E-2</v>
      </c>
      <c r="CZ33" s="20">
        <f t="shared" ca="1" si="68"/>
        <v>-1.1425759895036077E-2</v>
      </c>
      <c r="DA33" s="20">
        <f t="shared" ca="1" si="69"/>
        <v>-5.8859975216852519E-3</v>
      </c>
      <c r="DB33" s="20">
        <f t="shared" ca="1" si="70"/>
        <v>-2.9882756648555893E-3</v>
      </c>
      <c r="DC33" s="21">
        <f t="shared" ca="1" si="71"/>
        <v>2.9882756648555893E-3</v>
      </c>
      <c r="DD33" s="21">
        <f t="shared" ca="1" si="72"/>
        <v>5.8859975216852519E-3</v>
      </c>
      <c r="DE33" s="21">
        <f t="shared" ca="1" si="73"/>
        <v>1.1425759895036077E-2</v>
      </c>
      <c r="DF33" s="21">
        <f t="shared" ca="1" si="74"/>
        <v>2.1581990912845923E-2</v>
      </c>
      <c r="DG33" s="21">
        <f t="shared" ca="1" si="75"/>
        <v>3.8847583643122664E-2</v>
      </c>
      <c r="DH33" s="21">
        <f t="shared" ca="1" si="76"/>
        <v>6.4745972738537771E-2</v>
      </c>
      <c r="DI33" s="21">
        <f t="shared" ca="1" si="77"/>
        <v>9.7118959107806657E-2</v>
      </c>
      <c r="DK33" s="16" cm="1">
        <f t="array" aca="1" ref="DK33" ca="1">MAX(_xlfn._xlws.FILTER(CV33:DI33,CV33:DI33&lt;BT33))</f>
        <v>2.9882756648555893E-3</v>
      </c>
      <c r="DL33" s="16" cm="1">
        <f t="array" aca="1" ref="DL33" ca="1">MIN(_xlfn._xlws.FILTER(CV33:DI33,CV33:DI33&gt;BT33))</f>
        <v>5.8859975216852519E-3</v>
      </c>
      <c r="DM33" s="2" cm="1">
        <f t="array" aca="1" ref="DM33" ca="1">_FV(EB33,"Fechamento anterior",TRUE)</f>
        <v>12.47</v>
      </c>
      <c r="DN33" s="28">
        <f t="shared" ca="1" si="15"/>
        <v>0.35246565441267008</v>
      </c>
      <c r="DO33" s="15">
        <f t="shared" ca="1" si="78"/>
        <v>12.50726379754075</v>
      </c>
      <c r="DP33" s="15">
        <f t="shared" ca="1" si="79"/>
        <v>12.543398389095415</v>
      </c>
      <c r="DQ33" s="9"/>
      <c r="DR33" s="9"/>
      <c r="DS33" s="9"/>
      <c r="DT33" s="89">
        <v>2.8977218568296626E-3</v>
      </c>
      <c r="DU33" s="89">
        <f t="shared" ca="1" si="18"/>
        <v>2.8977218568296626E-3</v>
      </c>
      <c r="DV33" s="72">
        <f t="shared" ca="1" si="19"/>
        <v>0.59954584447192794</v>
      </c>
      <c r="DW33" s="37"/>
      <c r="DX33" s="35">
        <f t="shared" si="39"/>
        <v>0.59211485372349859</v>
      </c>
      <c r="DY33" s="56"/>
      <c r="DZ33" s="56"/>
      <c r="EB33" s="2" t="e" vm="33">
        <v>#VALUE!</v>
      </c>
      <c r="ED33" s="10" cm="1">
        <f t="array" aca="1" ref="ED33" ca="1">_FV(EB33,"Ações em circulação",TRUE)</f>
        <v>3749266000</v>
      </c>
      <c r="EE33" s="18">
        <f>VLOOKUP(BO33,Fundamentus!A:U,5,FALSE)</f>
        <v>0</v>
      </c>
      <c r="EF33" s="2" t="e">
        <f t="shared" ca="1" si="20"/>
        <v>#DIV/0!</v>
      </c>
      <c r="EG33" s="17" t="e">
        <v>#DIV/0!</v>
      </c>
      <c r="EH33" s="17" t="e">
        <f t="shared" ca="1" si="21"/>
        <v>#DIV/0!</v>
      </c>
      <c r="EJ33" s="16" t="e">
        <f t="shared" ca="1" si="22"/>
        <v>#DIV/0!</v>
      </c>
      <c r="EK33" s="32" t="str">
        <f>IF(VLOOKUP(BO33,Fundamentus!A:U,3,FALSE)&lt;15,"Bom",IF(VLOOKUP(BO33,Fundamentus!A:U,3,FALSE)&gt;15,"Ruim","n/a"))</f>
        <v>Bom</v>
      </c>
      <c r="EL33" s="28" t="str">
        <f>IF(VLOOKUP(BO33,Fundamentus!A:U,4,FALSE)&lt;1,"Baixo",IF(VLOOKUP(BO33,Fundamentus!A:U,4,FALSE)&lt;1.5,"Moderado",IF(VLOOKUP(BO33,Fundamentus!A:U,4,FALSE)&gt;1.5,"Alto","n/a")))</f>
        <v>Moderado</v>
      </c>
      <c r="EM33" s="17" t="str">
        <f>IF(VLOOKUP(BO33,Fundamentus!A:U,8,FALSE)&lt;0,"Risco elevado",IF(VLOOKUP(BO33,Fundamentus!A:U,8,FALSE)&lt;1,"Saudável",IF(VLOOKUP(BO33,Fundamentus!A:U,8,FALSE)&lt;3,"Estável",IF(VLOOKUP(BO33,Fundamentus!A:U,8,FALSE)&gt;3,"Alerta","n/a"))))</f>
        <v>Saudável</v>
      </c>
      <c r="EN33" s="28" t="str">
        <f t="shared" si="23"/>
        <v>Ruim</v>
      </c>
      <c r="EO33" s="17" t="str">
        <f>IF(VLOOKUP(BO33,Fundamentus!A:U,12,FALSE)&lt;2,"Subvalorizada",IF(VLOOKUP(BO33,Fundamentus!A:U,12,FALSE)&lt;6,"Muita barata",IF(VLOOKUP(BO33,Fundamentus!A:U,12,FALSE)&lt;6,"Barata",IF(VLOOKUP(BO33,Fundamentus!A:U,12,FALSE)&lt;8,"Atrativa",IF(VLOOKUP(BO33,Fundamentus!A:U,12,FALSE)&gt;8,"Supervalorizada","n/a")))))</f>
        <v>Subvalorizada</v>
      </c>
      <c r="EQ33" s="17" t="str">
        <f>IF(VLOOKUP(BO33,Fundamentus!A:U,17,FALSE)&lt;0.1,"Fraco retorno",IF(VLOOKUP(BO33,Fundamentus!A:U,17,FALSE)&gt;0.1,"Bom retorno","n/a"))</f>
        <v>Bom retorno</v>
      </c>
      <c r="ER33" s="17" t="str">
        <f>IF(VLOOKUP(BO33,Fundamentus!A:U,16,FALSE)&lt;0.1,"Ineficiente",IF(VLOOKUP(BO33,Fundamentus!A:U,16,FALSE)&gt;0.1,"Eficiente","n/a"))</f>
        <v>Ineficiente</v>
      </c>
      <c r="ES33" s="33" t="str">
        <f>IF(VLOOKUP(BO33,Fundamentus!A:U,16,FALSE)&lt;0.1,"Oper. Ineficiente",IF(VLOOKUP(BO33,Fundamentus!A:U,16,FALSE)&gt;0.1,"Oper.Eficiente","n/a"))</f>
        <v>Oper. Ineficiente</v>
      </c>
      <c r="ET33" s="34">
        <f>VLOOKUP(BO33,Fundamentus!A:U,14,FALSE)</f>
        <v>0</v>
      </c>
      <c r="EU33" s="17" t="str">
        <f>IF(VLOOKUP(BO33,Fundamentus!A:U,21,FALSE)&lt;0,"Negativo",IF(VLOOKUP(BO33,Fundamentus!A:U,21,FALSE)&lt;0.05,"Fraco",IF(VLOOKUP(BO33,Fundamentus!A:U,21,FALSE)&lt;0.1,"Bom",IF(VLOOKUP(BO33,Fundamentus!A:U,21,FALSE)&gt;0.1,"Muito bom","n/a"))))</f>
        <v>Negativo</v>
      </c>
      <c r="EW33" s="29" t="str">
        <f>IF(VLOOKUP(BO33,Fundamentus!A:U,15,FALSE)&gt;1,"Bom",IF(VLOOKUP(BO33,Fundamentus!A:U,15,FALSE)&lt;1,"Ruim","n/a"))</f>
        <v>Ruim</v>
      </c>
      <c r="EX33" s="17" t="str">
        <f>IF(VLOOKUP(BO33,Fundamentus!A:U,20,FALSE)&lt;0.5,"Baixa",IF(VLOOKUP(BO33,Fundamentus!A:U,20,FALSE)&lt;1,"Moderada",IF(VLOOKUP(BO33,Fundamentus!A:U,20,FALSE)&lt;2,"Alerta",IF(VLOOKUP(BO33,Fundamentus!A:U,20,FALSE)&gt;2,"Alta","n/a"))))</f>
        <v>Baixa</v>
      </c>
    </row>
    <row r="34" spans="1:154" s="5" customFormat="1" ht="11.25"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5">
        <v>17.329999999999998</v>
      </c>
      <c r="BC34" s="52">
        <v>18.02</v>
      </c>
      <c r="BD34" s="52">
        <v>17.97</v>
      </c>
      <c r="BE34" s="52">
        <v>18.100000000000001</v>
      </c>
      <c r="BF34" s="52">
        <v>18.190000000000001</v>
      </c>
      <c r="BG34" s="67">
        <v>17.850000000000001</v>
      </c>
      <c r="BH34" s="52">
        <v>18.239999999999998</v>
      </c>
      <c r="BI34" s="52">
        <v>18.34</v>
      </c>
      <c r="BJ34" s="52">
        <v>18.579999999999998</v>
      </c>
      <c r="BK34" s="52">
        <v>18.39</v>
      </c>
      <c r="BL34" s="52">
        <v>17.5</v>
      </c>
      <c r="BM34" s="52">
        <v>17.399999999999999</v>
      </c>
      <c r="BN34" s="52" cm="1">
        <f t="array" aca="1" ref="BN34" ca="1">_FV(EB34,"Preço")</f>
        <v>17.399999999999999</v>
      </c>
      <c r="BO34" s="69" t="s">
        <v>31</v>
      </c>
      <c r="BP34" s="36" cm="1">
        <f t="array" aca="1" ref="BP34" ca="1">_FV(EB34,"Média de volume",TRUE)</f>
        <v>24460</v>
      </c>
      <c r="BQ34" s="36">
        <v>20800</v>
      </c>
      <c r="BR34" s="36" cm="1">
        <f t="array" aca="1" ref="BR34" ca="1">_FV(EB34,"Volume")</f>
        <v>20800</v>
      </c>
      <c r="BS34" s="24" cm="1">
        <f t="array" aca="1" ref="BS34" ca="1">_FV(EB34,"Beta")</f>
        <v>0.92549999999999999</v>
      </c>
      <c r="BT34" s="71" cm="1">
        <f t="array" aca="1" ref="BT34" ca="1">_FV(EB34,"Variação (%)",TRUE)</f>
        <v>0</v>
      </c>
      <c r="BV34" s="17" cm="1">
        <f t="array" aca="1" ref="BV34" ca="1">_FV(EB34,"Baixo")</f>
        <v>17.190000000000001</v>
      </c>
      <c r="BW34" s="17" cm="1">
        <f t="array" aca="1" ref="BW34" ca="1">_FV(EB34,"Alto")</f>
        <v>17.399999999999999</v>
      </c>
      <c r="BX34" s="24"/>
      <c r="BY34" s="63">
        <f ca="1">SQRT(22.5*(BN34/VLOOKUP(BO34,Fundamentus!A:U,3,FALSE))*(BN34/VLOOKUP(BO34,Fundamentus!A:U,4,FALSE)))</f>
        <v>24.12822122284453</v>
      </c>
      <c r="CA34" s="62">
        <f t="shared" ca="1" si="24"/>
        <v>0</v>
      </c>
      <c r="CB34" s="8"/>
      <c r="CC34" s="61">
        <f t="shared" si="25"/>
        <v>14.4</v>
      </c>
      <c r="CD34" s="61">
        <f t="shared" si="26"/>
        <v>20.18</v>
      </c>
      <c r="CE34" s="61">
        <f t="shared" si="27"/>
        <v>17.428076923076926</v>
      </c>
      <c r="CF34" s="14"/>
      <c r="CG34" s="35">
        <f t="shared" si="1"/>
        <v>15.813923998937106</v>
      </c>
      <c r="CH34" s="15">
        <f t="shared" si="28"/>
        <v>16.860000000000127</v>
      </c>
      <c r="CI34" s="35">
        <f t="shared" si="2"/>
        <v>17.906076001063148</v>
      </c>
      <c r="CK34" s="14"/>
      <c r="CL34" s="17">
        <f t="shared" si="3"/>
        <v>8.76</v>
      </c>
      <c r="CM34" s="17">
        <f t="shared" si="4"/>
        <v>11.58</v>
      </c>
      <c r="CN34" s="17">
        <f t="shared" si="5"/>
        <v>14.54</v>
      </c>
      <c r="CO34" s="38">
        <f t="shared" si="29"/>
        <v>17.36</v>
      </c>
      <c r="CP34" s="17">
        <f t="shared" si="6"/>
        <v>20.32</v>
      </c>
      <c r="CQ34" s="17">
        <f t="shared" si="7"/>
        <v>23.14</v>
      </c>
      <c r="CR34" s="17">
        <f t="shared" si="8"/>
        <v>26.099999999999998</v>
      </c>
      <c r="CS34" s="2" cm="1">
        <f t="array" aca="1" ref="CS34" ca="1">MAX(_xlfn._xlws.FILTER(CL34:CR34,CL34:CR34&lt;BN34))</f>
        <v>17.36</v>
      </c>
      <c r="CT34" s="2" cm="1">
        <f t="array" aca="1" ref="CT34" ca="1">MIN(_xlfn._xlws.FILTER($CL34:$CR34,$CL34:$CR34&gt;BN34))</f>
        <v>20.32</v>
      </c>
      <c r="CU34" s="16">
        <f t="shared" ca="1" si="63"/>
        <v>0.17050691244239635</v>
      </c>
      <c r="CV34" s="20">
        <f t="shared" ca="1" si="64"/>
        <v>-8.5253456221198176E-2</v>
      </c>
      <c r="CW34" s="20">
        <f t="shared" ca="1" si="65"/>
        <v>-5.6835637480798784E-2</v>
      </c>
      <c r="CX34" s="20">
        <f t="shared" ca="1" si="66"/>
        <v>-3.410138248847927E-2</v>
      </c>
      <c r="CY34" s="20">
        <f t="shared" ca="1" si="67"/>
        <v>-1.8945212493599595E-2</v>
      </c>
      <c r="CZ34" s="20">
        <f t="shared" ca="1" si="68"/>
        <v>-1.0029818378964491E-2</v>
      </c>
      <c r="DA34" s="20">
        <f t="shared" ca="1" si="69"/>
        <v>-5.166876134618071E-3</v>
      </c>
      <c r="DB34" s="20">
        <f t="shared" ca="1" si="70"/>
        <v>-2.6231832683445591E-3</v>
      </c>
      <c r="DC34" s="21">
        <f t="shared" ca="1" si="71"/>
        <v>2.6231832683445591E-3</v>
      </c>
      <c r="DD34" s="21">
        <f t="shared" ca="1" si="72"/>
        <v>5.166876134618071E-3</v>
      </c>
      <c r="DE34" s="21">
        <f t="shared" ca="1" si="73"/>
        <v>1.0029818378964491E-2</v>
      </c>
      <c r="DF34" s="21">
        <f t="shared" ca="1" si="74"/>
        <v>1.8945212493599595E-2</v>
      </c>
      <c r="DG34" s="21">
        <f t="shared" ca="1" si="75"/>
        <v>3.410138248847927E-2</v>
      </c>
      <c r="DH34" s="21">
        <f t="shared" ca="1" si="76"/>
        <v>5.6835637480798784E-2</v>
      </c>
      <c r="DI34" s="21">
        <f t="shared" ca="1" si="77"/>
        <v>8.5253456221198176E-2</v>
      </c>
      <c r="DK34" s="16" cm="1">
        <f t="array" aca="1" ref="DK34" ca="1">MAX(_xlfn._xlws.FILTER(CV34:DI34,CV34:DI34&lt;BT34))</f>
        <v>-2.6231832683445591E-3</v>
      </c>
      <c r="DL34" s="16" cm="1">
        <f t="array" aca="1" ref="DL34" ca="1">MIN(_xlfn._xlws.FILTER(CV34:DI34,CV34:DI34&gt;BT34))</f>
        <v>2.6231832683445591E-3</v>
      </c>
      <c r="DM34" s="2" cm="1">
        <f t="array" aca="1" ref="DM34" ca="1">_FV(EB34,"Fechamento anterior",TRUE)</f>
        <v>17.399999999999999</v>
      </c>
      <c r="DN34" s="28">
        <f t="shared" ca="1" si="15"/>
        <v>0.5</v>
      </c>
      <c r="DO34" s="15">
        <f t="shared" ca="1" si="78"/>
        <v>17.354356611130804</v>
      </c>
      <c r="DP34" s="15">
        <f t="shared" ca="1" si="79"/>
        <v>17.445643388869193</v>
      </c>
      <c r="DQ34" s="9"/>
      <c r="DR34" s="9"/>
      <c r="DS34" s="9"/>
      <c r="DT34" s="89">
        <v>5.2463665366891182E-3</v>
      </c>
      <c r="DU34" s="89">
        <f t="shared" ca="1" si="18"/>
        <v>5.2463665366891182E-3</v>
      </c>
      <c r="DV34" s="72">
        <f t="shared" ca="1" si="19"/>
        <v>0.51621488252395042</v>
      </c>
      <c r="DW34" s="37"/>
      <c r="DX34" s="35">
        <f t="shared" si="39"/>
        <v>0.52303800053151017</v>
      </c>
      <c r="DY34" s="56"/>
      <c r="DZ34" s="56"/>
      <c r="EB34" s="5" t="e" vm="34">
        <v>#VALUE!</v>
      </c>
      <c r="ED34" s="10" cm="1">
        <f t="array" aca="1" ref="ED34" ca="1">_FV(EB34,"Ações em circulação",TRUE)</f>
        <v>41800000</v>
      </c>
      <c r="EE34" s="18">
        <f>VLOOKUP(BO34,Fundamentus!A:U,5,FALSE)</f>
        <v>1.256</v>
      </c>
      <c r="EF34" s="2">
        <f t="shared" ca="1" si="20"/>
        <v>579076433.12101912</v>
      </c>
      <c r="EG34" s="17">
        <v>91378261.146496817</v>
      </c>
      <c r="EH34" s="17">
        <f t="shared" ca="1" si="21"/>
        <v>91378261.146496817</v>
      </c>
      <c r="EI34" s="2"/>
      <c r="EJ34" s="16">
        <f t="shared" ca="1" si="22"/>
        <v>0</v>
      </c>
      <c r="EK34" s="32" t="str">
        <f>IF(VLOOKUP(BO34,Fundamentus!A:U,3,FALSE)&lt;15,"Bom",IF(VLOOKUP(BO34,Fundamentus!A:U,3,FALSE)&gt;15,"Ruim","n/a"))</f>
        <v>Bom</v>
      </c>
      <c r="EL34" s="28" t="str">
        <f>IF(VLOOKUP(BO34,Fundamentus!A:U,4,FALSE)&lt;1,"Baixo",IF(VLOOKUP(BO34,Fundamentus!A:U,4,FALSE)&lt;1.5,"Moderado",IF(VLOOKUP(BO34,Fundamentus!A:U,4,FALSE)&gt;1.5,"Alto","n/a")))</f>
        <v>Moderado</v>
      </c>
      <c r="EM34" s="17" t="str">
        <f>IF(VLOOKUP(BO34,Fundamentus!A:U,8,FALSE)&lt;0,"Risco elevado",IF(VLOOKUP(BO34,Fundamentus!A:U,8,FALSE)&lt;1,"Saudável",IF(VLOOKUP(BO34,Fundamentus!A:U,8,FALSE)&lt;3,"Estável",IF(VLOOKUP(BO34,Fundamentus!A:U,8,FALSE)&gt;3,"Alerta","n/a"))))</f>
        <v>Alerta</v>
      </c>
      <c r="EN34" s="28" t="str">
        <f t="shared" si="23"/>
        <v>Bom</v>
      </c>
      <c r="EO34" s="17" t="str">
        <f>IF(VLOOKUP(BO34,Fundamentus!A:U,12,FALSE)&lt;2,"Subvalorizada",IF(VLOOKUP(BO34,Fundamentus!A:U,12,FALSE)&lt;6,"Muita barata",IF(VLOOKUP(BO34,Fundamentus!A:U,12,FALSE)&lt;6,"Barata",IF(VLOOKUP(BO34,Fundamentus!A:U,12,FALSE)&lt;8,"Atrativa",IF(VLOOKUP(BO34,Fundamentus!A:U,12,FALSE)&gt;8,"Supervalorizada","n/a")))))</f>
        <v>Muita barata</v>
      </c>
      <c r="EP34" s="2"/>
      <c r="EQ34" s="17" t="str">
        <f>IF(VLOOKUP(BO34,Fundamentus!A:U,17,FALSE)&lt;0.1,"Fraco retorno",IF(VLOOKUP(BO34,Fundamentus!A:U,17,FALSE)&gt;0.1,"Bom retorno","n/a"))</f>
        <v>Bom retorno</v>
      </c>
      <c r="ER34" s="17" t="str">
        <f>IF(VLOOKUP(BO34,Fundamentus!A:U,16,FALSE)&lt;0.1,"Ineficiente",IF(VLOOKUP(BO34,Fundamentus!A:U,16,FALSE)&gt;0.1,"Eficiente","n/a"))</f>
        <v>Eficiente</v>
      </c>
      <c r="ES34" s="33" t="str">
        <f>IF(VLOOKUP(BO34,Fundamentus!A:U,16,FALSE)&lt;0.1,"Oper. Ineficiente",IF(VLOOKUP(BO34,Fundamentus!A:U,16,FALSE)&gt;0.1,"Oper.Eficiente","n/a"))</f>
        <v>Oper.Eficiente</v>
      </c>
      <c r="ET34" s="34">
        <f>VLOOKUP(BO34,Fundamentus!A:U,14,FALSE)</f>
        <v>0.1578</v>
      </c>
      <c r="EU34" s="17" t="str">
        <f>IF(VLOOKUP(BO34,Fundamentus!A:U,21,FALSE)&lt;0,"Negativo",IF(VLOOKUP(BO34,Fundamentus!A:U,21,FALSE)&lt;0.05,"Fraco",IF(VLOOKUP(BO34,Fundamentus!A:U,21,FALSE)&lt;0.1,"Bom",IF(VLOOKUP(BO34,Fundamentus!A:U,21,FALSE)&gt;0.1,"Muito bom","n/a"))))</f>
        <v>Fraco</v>
      </c>
      <c r="EW34" s="29" t="str">
        <f>IF(VLOOKUP(BO34,Fundamentus!A:U,15,FALSE)&gt;1,"Bom",IF(VLOOKUP(BO34,Fundamentus!A:U,15,FALSE)&lt;1,"Ruim","n/a"))</f>
        <v>Bom</v>
      </c>
      <c r="EX34" s="17" t="str">
        <f>IF(VLOOKUP(BO34,Fundamentus!A:U,20,FALSE)&lt;0.5,"Baixa",IF(VLOOKUP(BO34,Fundamentus!A:U,20,FALSE)&lt;1,"Moderada",IF(VLOOKUP(BO34,Fundamentus!A:U,20,FALSE)&lt;2,"Alerta",IF(VLOOKUP(BO34,Fundamentus!A:U,20,FALSE)&gt;2,"Alta","n/a"))))</f>
        <v>Baixa</v>
      </c>
    </row>
    <row r="35" spans="1:154" s="2" customFormat="1" ht="11.25"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5">
        <v>12.92</v>
      </c>
      <c r="BC35" s="52">
        <v>13.9</v>
      </c>
      <c r="BD35" s="52">
        <v>14.33</v>
      </c>
      <c r="BE35" s="52">
        <v>14</v>
      </c>
      <c r="BF35" s="52">
        <v>13.9</v>
      </c>
      <c r="BG35" s="67">
        <v>13.7</v>
      </c>
      <c r="BH35" s="52">
        <v>13.67</v>
      </c>
      <c r="BI35" s="52">
        <v>13.43</v>
      </c>
      <c r="BJ35" s="52">
        <v>12.84</v>
      </c>
      <c r="BK35" s="52">
        <v>13.01</v>
      </c>
      <c r="BL35" s="52">
        <v>12.18</v>
      </c>
      <c r="BM35" s="52">
        <v>12.24</v>
      </c>
      <c r="BN35" s="52" cm="1">
        <f t="array" aca="1" ref="BN35" ca="1">_FV(EB35,"Preço")</f>
        <v>12.24</v>
      </c>
      <c r="BO35" s="69" t="s">
        <v>187</v>
      </c>
      <c r="BP35" s="36" cm="1">
        <f t="array" aca="1" ref="BP35" ca="1">_FV(EB35,"Média de volume",TRUE)</f>
        <v>288170</v>
      </c>
      <c r="BQ35" s="36">
        <v>226500</v>
      </c>
      <c r="BR35" s="36" cm="1">
        <f t="array" aca="1" ref="BR35" ca="1">_FV(EB35,"Volume")</f>
        <v>226500</v>
      </c>
      <c r="BS35" s="24" cm="1">
        <f t="array" aca="1" ref="BS35" ca="1">_FV(EB35,"Beta")</f>
        <v>1.0232000000000001</v>
      </c>
      <c r="BT35" s="71" cm="1">
        <f t="array" aca="1" ref="BT35" ca="1">_FV(EB35,"Variação (%)",TRUE)</f>
        <v>-1.1309E-2</v>
      </c>
      <c r="BV35" s="17" cm="1">
        <f t="array" aca="1" ref="BV35" ca="1">_FV(EB35,"Baixo")</f>
        <v>12.24</v>
      </c>
      <c r="BW35" s="17" cm="1">
        <f t="array" aca="1" ref="BW35" ca="1">_FV(EB35,"Alto")</f>
        <v>12.46</v>
      </c>
      <c r="BX35" s="24"/>
      <c r="BY35" s="63">
        <f ca="1">SQRT(22.5*(BN35/VLOOKUP(BO35,Fundamentus!A:U,3,FALSE))*(BN35/VLOOKUP(BO35,Fundamentus!A:U,4,FALSE)))</f>
        <v>20.040634989733277</v>
      </c>
      <c r="CA35" s="62">
        <f t="shared" ca="1" si="24"/>
        <v>0</v>
      </c>
      <c r="CB35" s="8"/>
      <c r="CC35" s="61">
        <f t="shared" si="25"/>
        <v>9.64</v>
      </c>
      <c r="CD35" s="61">
        <f t="shared" si="26"/>
        <v>15.23</v>
      </c>
      <c r="CE35" s="61">
        <f t="shared" si="27"/>
        <v>12.698923076923078</v>
      </c>
      <c r="CF35" s="14"/>
      <c r="CG35" s="35">
        <f t="shared" si="1"/>
        <v>11.183725258597306</v>
      </c>
      <c r="CH35" s="15">
        <f t="shared" si="28"/>
        <v>11.910000000000309</v>
      </c>
      <c r="CI35" s="35">
        <f t="shared" si="2"/>
        <v>12.636274741403312</v>
      </c>
      <c r="CK35" s="14"/>
      <c r="CL35" s="17">
        <f t="shared" si="3"/>
        <v>3.879999999999999</v>
      </c>
      <c r="CM35" s="17">
        <f t="shared" si="4"/>
        <v>6.76</v>
      </c>
      <c r="CN35" s="17">
        <f t="shared" si="5"/>
        <v>9.4699999999999989</v>
      </c>
      <c r="CO35" s="38">
        <f t="shared" si="29"/>
        <v>12.35</v>
      </c>
      <c r="CP35" s="17">
        <f t="shared" si="6"/>
        <v>15.059999999999999</v>
      </c>
      <c r="CQ35" s="17">
        <f t="shared" si="7"/>
        <v>17.939999999999998</v>
      </c>
      <c r="CR35" s="17">
        <f t="shared" si="8"/>
        <v>20.65</v>
      </c>
      <c r="CS35" s="2" cm="1">
        <f t="array" aca="1" ref="CS35" ca="1">MAX(_xlfn._xlws.FILTER(CL35:CR35,CL35:CR35&lt;BN35))</f>
        <v>9.4699999999999989</v>
      </c>
      <c r="CT35" s="2" cm="1">
        <f t="array" aca="1" ref="CT35" ca="1">MIN(_xlfn._xlws.FILTER($CL35:$CR35,$CL35:$CR35&gt;BN35))</f>
        <v>12.35</v>
      </c>
      <c r="CU35" s="16">
        <f t="shared" ca="1" si="63"/>
        <v>0.30411826821541732</v>
      </c>
      <c r="CV35" s="20">
        <f t="shared" ca="1" si="64"/>
        <v>-0.15205913410770866</v>
      </c>
      <c r="CW35" s="20">
        <f t="shared" ca="1" si="65"/>
        <v>-0.10137275607180578</v>
      </c>
      <c r="CX35" s="20">
        <f t="shared" ca="1" si="66"/>
        <v>-6.0823653643083467E-2</v>
      </c>
      <c r="CY35" s="20">
        <f t="shared" ca="1" si="67"/>
        <v>-3.3790918690601926E-2</v>
      </c>
      <c r="CZ35" s="20">
        <f t="shared" ca="1" si="68"/>
        <v>-1.7889309895024547E-2</v>
      </c>
      <c r="DA35" s="20">
        <f t="shared" ca="1" si="69"/>
        <v>-9.2157050974368878E-3</v>
      </c>
      <c r="DB35" s="20">
        <f t="shared" ca="1" si="70"/>
        <v>-4.6787425879294972E-3</v>
      </c>
      <c r="DC35" s="21">
        <f t="shared" ca="1" si="71"/>
        <v>4.6787425879294972E-3</v>
      </c>
      <c r="DD35" s="21">
        <f t="shared" ca="1" si="72"/>
        <v>9.2157050974368878E-3</v>
      </c>
      <c r="DE35" s="21">
        <f t="shared" ca="1" si="73"/>
        <v>1.7889309895024547E-2</v>
      </c>
      <c r="DF35" s="21">
        <f t="shared" ca="1" si="74"/>
        <v>3.3790918690601926E-2</v>
      </c>
      <c r="DG35" s="21">
        <f t="shared" ca="1" si="75"/>
        <v>6.0823653643083467E-2</v>
      </c>
      <c r="DH35" s="21">
        <f t="shared" ca="1" si="76"/>
        <v>0.10137275607180578</v>
      </c>
      <c r="DI35" s="21">
        <f t="shared" ca="1" si="77"/>
        <v>0.15205913410770866</v>
      </c>
      <c r="DK35" s="16" cm="1">
        <f t="array" aca="1" ref="DK35" ca="1">MAX(_xlfn._xlws.FILTER(CV35:DI35,CV35:DI35&lt;BT35))</f>
        <v>-1.7889309895024547E-2</v>
      </c>
      <c r="DL35" s="16" cm="1">
        <f t="array" aca="1" ref="DL35" ca="1">MIN(_xlfn._xlws.FILTER(CV35:DI35,CV35:DI35&gt;BT35))</f>
        <v>-9.2157050974368878E-3</v>
      </c>
      <c r="DM35" s="2" cm="1">
        <f t="array" aca="1" ref="DM35" ca="1">_FV(EB35,"Fechamento anterior",TRUE)</f>
        <v>12.38</v>
      </c>
      <c r="DN35" s="28">
        <f t="shared" ca="1" si="15"/>
        <v>0.75870965434839999</v>
      </c>
      <c r="DO35" s="15">
        <f t="shared" ca="1" si="78"/>
        <v>12.158530343499597</v>
      </c>
      <c r="DP35" s="15">
        <f t="shared" ca="1" si="79"/>
        <v>12.265909570893733</v>
      </c>
      <c r="DQ35" s="9"/>
      <c r="DR35" s="9"/>
      <c r="DS35" s="9"/>
      <c r="DT35" s="89">
        <v>8.6736047975876588E-3</v>
      </c>
      <c r="DU35" s="89">
        <f t="shared" ca="1" si="18"/>
        <v>8.6736047975876588E-3</v>
      </c>
      <c r="DV35" s="72">
        <f t="shared" ca="1" si="19"/>
        <v>0.45437350521402348</v>
      </c>
      <c r="DW35" s="37"/>
      <c r="DX35" s="35">
        <f t="shared" si="39"/>
        <v>0.36313737070150182</v>
      </c>
      <c r="DY35" s="56"/>
      <c r="DZ35" s="56"/>
      <c r="EB35" s="2" t="e" vm="35">
        <v>#VALUE!</v>
      </c>
      <c r="ED35" s="10" cm="1">
        <f t="array" aca="1" ref="ED35" ca="1">_FV(EB35,"Ações em circulação",TRUE)</f>
        <v>179393900</v>
      </c>
      <c r="EE35" s="18">
        <f>VLOOKUP(BO35,Fundamentus!A:U,5,FALSE)</f>
        <v>1.2589999999999999</v>
      </c>
      <c r="EF35" s="2">
        <f t="shared" ca="1" si="20"/>
        <v>1744067780.7783957</v>
      </c>
      <c r="EG35" s="17">
        <v>261086946.78252584</v>
      </c>
      <c r="EH35" s="17">
        <f t="shared" ca="1" si="21"/>
        <v>261086946.78252584</v>
      </c>
      <c r="EJ35" s="16">
        <f t="shared" ca="1" si="22"/>
        <v>0</v>
      </c>
      <c r="EK35" s="32" t="str">
        <f>IF(VLOOKUP(BO35,Fundamentus!A:U,3,FALSE)&lt;15,"Bom",IF(VLOOKUP(BO35,Fundamentus!A:U,3,FALSE)&gt;15,"Ruim","n/a"))</f>
        <v>Bom</v>
      </c>
      <c r="EL35" s="28" t="str">
        <f>IF(VLOOKUP(BO35,Fundamentus!A:U,4,FALSE)&lt;1,"Baixo",IF(VLOOKUP(BO35,Fundamentus!A:U,4,FALSE)&lt;1.5,"Moderado",IF(VLOOKUP(BO35,Fundamentus!A:U,4,FALSE)&gt;1.5,"Alto","n/a")))</f>
        <v>Moderado</v>
      </c>
      <c r="EM35" s="17" t="str">
        <f>IF(VLOOKUP(BO35,Fundamentus!A:U,8,FALSE)&lt;0,"Risco elevado",IF(VLOOKUP(BO35,Fundamentus!A:U,8,FALSE)&lt;1,"Saudável",IF(VLOOKUP(BO35,Fundamentus!A:U,8,FALSE)&lt;3,"Estável",IF(VLOOKUP(BO35,Fundamentus!A:U,8,FALSE)&gt;3,"Alerta","n/a"))))</f>
        <v>Estável</v>
      </c>
      <c r="EN35" s="28" t="str">
        <f t="shared" si="23"/>
        <v>Bom</v>
      </c>
      <c r="EO35" s="17" t="str">
        <f>IF(VLOOKUP(BO35,Fundamentus!A:U,12,FALSE)&lt;2,"Subvalorizada",IF(VLOOKUP(BO35,Fundamentus!A:U,12,FALSE)&lt;6,"Muita barata",IF(VLOOKUP(BO35,Fundamentus!A:U,12,FALSE)&lt;6,"Barata",IF(VLOOKUP(BO35,Fundamentus!A:U,12,FALSE)&lt;8,"Atrativa",IF(VLOOKUP(BO35,Fundamentus!A:U,12,FALSE)&gt;8,"Supervalorizada","n/a")))))</f>
        <v>Muita barata</v>
      </c>
      <c r="EQ35" s="17" t="str">
        <f>IF(VLOOKUP(BO35,Fundamentus!A:U,17,FALSE)&lt;0.1,"Fraco retorno",IF(VLOOKUP(BO35,Fundamentus!A:U,17,FALSE)&gt;0.1,"Bom retorno","n/a"))</f>
        <v>Bom retorno</v>
      </c>
      <c r="ER35" s="17" t="str">
        <f>IF(VLOOKUP(BO35,Fundamentus!A:U,16,FALSE)&lt;0.1,"Ineficiente",IF(VLOOKUP(BO35,Fundamentus!A:U,16,FALSE)&gt;0.1,"Eficiente","n/a"))</f>
        <v>Eficiente</v>
      </c>
      <c r="ES35" s="33" t="str">
        <f>IF(VLOOKUP(BO35,Fundamentus!A:U,16,FALSE)&lt;0.1,"Oper. Ineficiente",IF(VLOOKUP(BO35,Fundamentus!A:U,16,FALSE)&gt;0.1,"Oper.Eficiente","n/a"))</f>
        <v>Oper.Eficiente</v>
      </c>
      <c r="ET35" s="34">
        <f>VLOOKUP(BO35,Fundamentus!A:U,14,FALSE)</f>
        <v>0.1497</v>
      </c>
      <c r="EU35" s="17" t="str">
        <f>IF(VLOOKUP(BO35,Fundamentus!A:U,21,FALSE)&lt;0,"Negativo",IF(VLOOKUP(BO35,Fundamentus!A:U,21,FALSE)&lt;0.05,"Fraco",IF(VLOOKUP(BO35,Fundamentus!A:U,21,FALSE)&lt;0.1,"Bom",IF(VLOOKUP(BO35,Fundamentus!A:U,21,FALSE)&gt;0.1,"Muito bom","n/a"))))</f>
        <v>Bom</v>
      </c>
      <c r="EW35" s="29" t="str">
        <f>IF(VLOOKUP(BO35,Fundamentus!A:U,15,FALSE)&gt;1,"Bom",IF(VLOOKUP(BO35,Fundamentus!A:U,15,FALSE)&lt;1,"Ruim","n/a"))</f>
        <v>Bom</v>
      </c>
      <c r="EX35" s="17" t="str">
        <f>IF(VLOOKUP(BO35,Fundamentus!A:U,20,FALSE)&lt;0.5,"Baixa",IF(VLOOKUP(BO35,Fundamentus!A:U,20,FALSE)&lt;1,"Moderada",IF(VLOOKUP(BO35,Fundamentus!A:U,20,FALSE)&lt;2,"Alerta",IF(VLOOKUP(BO35,Fundamentus!A:U,20,FALSE)&gt;2,"Alta","n/a"))))</f>
        <v>Baixa</v>
      </c>
    </row>
    <row r="36" spans="1:154" s="2" customFormat="1" ht="11.25"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5">
        <v>14.5</v>
      </c>
      <c r="BC36" s="52">
        <v>15.2</v>
      </c>
      <c r="BD36" s="52">
        <v>14.96</v>
      </c>
      <c r="BE36" s="52">
        <v>14.54</v>
      </c>
      <c r="BF36" s="52">
        <v>15.01</v>
      </c>
      <c r="BG36" s="67">
        <v>14.96</v>
      </c>
      <c r="BH36" s="52">
        <v>14.27</v>
      </c>
      <c r="BI36" s="52">
        <v>14.55</v>
      </c>
      <c r="BJ36" s="52">
        <v>15.16</v>
      </c>
      <c r="BK36" s="52">
        <v>14.94</v>
      </c>
      <c r="BL36" s="52">
        <v>14.65</v>
      </c>
      <c r="BM36" s="52">
        <v>15.04</v>
      </c>
      <c r="BN36" s="52" cm="1">
        <f t="array" aca="1" ref="BN36" ca="1">_FV(EB36,"Preço")</f>
        <v>15.04</v>
      </c>
      <c r="BO36" s="69" t="s">
        <v>33</v>
      </c>
      <c r="BP36" s="36" cm="1">
        <f t="array" aca="1" ref="BP36" ca="1">_FV(EB36,"Média de volume",TRUE)</f>
        <v>10163760</v>
      </c>
      <c r="BQ36" s="36">
        <v>6200</v>
      </c>
      <c r="BR36" s="36" cm="1">
        <f t="array" aca="1" ref="BR36" ca="1">_FV(EB36,"Volume")</f>
        <v>6200</v>
      </c>
      <c r="BS36" s="24" cm="1">
        <f t="array" aca="1" ref="BS36" ca="1">_FV(EB36,"Beta")</f>
        <v>0.61729999999999996</v>
      </c>
      <c r="BT36" s="71" cm="1">
        <f t="array" aca="1" ref="BT36" ca="1">_FV(EB36,"Variação (%)",TRUE)</f>
        <v>-1.1176999999999999E-2</v>
      </c>
      <c r="BV36" s="17" cm="1">
        <f t="array" aca="1" ref="BV36" ca="1">_FV(EB36,"Baixo")</f>
        <v>15.04</v>
      </c>
      <c r="BW36" s="17" cm="1">
        <f t="array" aca="1" ref="BW36" ca="1">_FV(EB36,"Alto")</f>
        <v>15.3</v>
      </c>
      <c r="BX36" s="24"/>
      <c r="BY36" s="63">
        <f ca="1">SQRT(22.5*(BN36/VLOOKUP(BO36,Fundamentus!A:U,3,FALSE))*(BN36/VLOOKUP(BO36,Fundamentus!A:U,4,FALSE)))</f>
        <v>31.243061370077886</v>
      </c>
      <c r="CA36" s="62">
        <f t="shared" ca="1" si="24"/>
        <v>0</v>
      </c>
      <c r="CB36" s="8"/>
      <c r="CC36" s="61">
        <f t="shared" si="25"/>
        <v>14.27</v>
      </c>
      <c r="CD36" s="61">
        <f t="shared" si="26"/>
        <v>19.600000000000001</v>
      </c>
      <c r="CE36" s="61">
        <f t="shared" si="27"/>
        <v>16.163615384615387</v>
      </c>
      <c r="CF36" s="14"/>
      <c r="CG36" s="35">
        <f t="shared" si="1"/>
        <v>14.407806415749123</v>
      </c>
      <c r="CH36" s="15">
        <f t="shared" si="28"/>
        <v>14.784999999999968</v>
      </c>
      <c r="CI36" s="35">
        <f t="shared" si="2"/>
        <v>15.162193584250813</v>
      </c>
      <c r="CK36" s="14"/>
      <c r="CL36" s="17">
        <f t="shared" si="3"/>
        <v>7.4166666666666679</v>
      </c>
      <c r="CM36" s="17">
        <f t="shared" si="4"/>
        <v>10.843333333333334</v>
      </c>
      <c r="CN36" s="17">
        <f t="shared" si="5"/>
        <v>12.74666666666667</v>
      </c>
      <c r="CO36" s="38">
        <f t="shared" si="29"/>
        <v>16.173333333333336</v>
      </c>
      <c r="CP36" s="17">
        <f t="shared" si="6"/>
        <v>18.076666666666672</v>
      </c>
      <c r="CQ36" s="17">
        <f t="shared" si="7"/>
        <v>21.503333333333337</v>
      </c>
      <c r="CR36" s="17">
        <f t="shared" si="8"/>
        <v>23.406666666666673</v>
      </c>
      <c r="CS36" s="2" cm="1">
        <f t="array" aca="1" ref="CS36" ca="1">MAX(_xlfn._xlws.FILTER(CL36:CR36,CL36:CR36&lt;BN36))</f>
        <v>12.74666666666667</v>
      </c>
      <c r="CT36" s="2" cm="1">
        <f t="array" aca="1" ref="CT36" ca="1">MIN(_xlfn._xlws.FILTER($CL36:$CR36,$CL36:$CR36&gt;BN36))</f>
        <v>16.173333333333336</v>
      </c>
      <c r="CU36" s="16">
        <f t="shared" ca="1" si="63"/>
        <v>0.26882845188284499</v>
      </c>
      <c r="CV36" s="20">
        <f t="shared" ca="1" si="64"/>
        <v>-0.13441422594142249</v>
      </c>
      <c r="CW36" s="20">
        <f t="shared" ca="1" si="65"/>
        <v>-8.9609483960948325E-2</v>
      </c>
      <c r="CX36" s="20">
        <f t="shared" ca="1" si="66"/>
        <v>-5.3765690376568996E-2</v>
      </c>
      <c r="CY36" s="20">
        <f t="shared" ca="1" si="67"/>
        <v>-2.9869827986982775E-2</v>
      </c>
      <c r="CZ36" s="20">
        <f t="shared" ca="1" si="68"/>
        <v>-1.5813438346049705E-2</v>
      </c>
      <c r="DA36" s="20">
        <f t="shared" ca="1" si="69"/>
        <v>-8.1463167237225756E-3</v>
      </c>
      <c r="DB36" s="20">
        <f t="shared" ca="1" si="70"/>
        <v>-4.1358223366591536E-3</v>
      </c>
      <c r="DC36" s="21">
        <f t="shared" ca="1" si="71"/>
        <v>4.1358223366591536E-3</v>
      </c>
      <c r="DD36" s="21">
        <f t="shared" ca="1" si="72"/>
        <v>8.1463167237225756E-3</v>
      </c>
      <c r="DE36" s="21">
        <f t="shared" ca="1" si="73"/>
        <v>1.5813438346049705E-2</v>
      </c>
      <c r="DF36" s="21">
        <f t="shared" ca="1" si="74"/>
        <v>2.9869827986982775E-2</v>
      </c>
      <c r="DG36" s="21">
        <f t="shared" ca="1" si="75"/>
        <v>5.3765690376568996E-2</v>
      </c>
      <c r="DH36" s="21">
        <f t="shared" ca="1" si="76"/>
        <v>8.9609483960948325E-2</v>
      </c>
      <c r="DI36" s="21">
        <f t="shared" ca="1" si="77"/>
        <v>0.13441422594142249</v>
      </c>
      <c r="DK36" s="16" cm="1">
        <f t="array" aca="1" ref="DK36" ca="1">MAX(_xlfn._xlws.FILTER(CV36:DI36,CV36:DI36&lt;BT36))</f>
        <v>-1.5813438346049705E-2</v>
      </c>
      <c r="DL36" s="16" cm="1">
        <f t="array" aca="1" ref="DL36" ca="1">MIN(_xlfn._xlws.FILTER(CV36:DI36,CV36:DI36&gt;BT36))</f>
        <v>-8.1463167237225756E-3</v>
      </c>
      <c r="DM36" s="2" cm="1">
        <f t="array" aca="1" ref="DM36" ca="1">_FV(EB36,"Fechamento anterior",TRUE)</f>
        <v>15.21</v>
      </c>
      <c r="DN36" s="28">
        <f t="shared" ca="1" si="15"/>
        <v>0.60473555054143002</v>
      </c>
      <c r="DO36" s="15">
        <f t="shared" ca="1" si="78"/>
        <v>14.969477602756585</v>
      </c>
      <c r="DP36" s="15">
        <f t="shared" ca="1" si="79"/>
        <v>15.08609452263218</v>
      </c>
      <c r="DQ36" s="9"/>
      <c r="DR36" s="9"/>
      <c r="DS36" s="9"/>
      <c r="DT36" s="89">
        <v>7.6671216223271298E-3</v>
      </c>
      <c r="DU36" s="89">
        <f t="shared" ca="1" si="18"/>
        <v>7.6671216223271298E-3</v>
      </c>
      <c r="DV36" s="72">
        <f t="shared" ca="1" si="19"/>
        <v>0.67604543302742992</v>
      </c>
      <c r="DW36" s="37"/>
      <c r="DX36" s="35">
        <f t="shared" si="39"/>
        <v>0.18859679212542277</v>
      </c>
      <c r="DY36" s="56"/>
      <c r="DZ36" s="56"/>
      <c r="EB36" s="2" t="e" vm="36">
        <v>#VALUE!</v>
      </c>
      <c r="ED36" s="10" cm="1">
        <f t="array" aca="1" ref="ED36" ca="1">_FV(EB36,"Ações em circulação",TRUE)</f>
        <v>2028195000</v>
      </c>
      <c r="EE36" s="18">
        <f>VLOOKUP(BO36,Fundamentus!A:U,5,FALSE)</f>
        <v>0.45500000000000002</v>
      </c>
      <c r="EF36" s="2">
        <f t="shared" ca="1" si="20"/>
        <v>67041874285.714287</v>
      </c>
      <c r="EG36" s="17">
        <v>3251530902.8571429</v>
      </c>
      <c r="EH36" s="17">
        <f t="shared" ca="1" si="21"/>
        <v>3251530902.8571429</v>
      </c>
      <c r="EJ36" s="16">
        <f t="shared" ca="1" si="22"/>
        <v>0</v>
      </c>
      <c r="EK36" s="32" t="str">
        <f>IF(VLOOKUP(BO36,Fundamentus!A:U,3,FALSE)&lt;15,"Bom",IF(VLOOKUP(BO36,Fundamentus!A:U,3,FALSE)&gt;15,"Ruim","n/a"))</f>
        <v>Bom</v>
      </c>
      <c r="EL36" s="28" t="str">
        <f>IF(VLOOKUP(BO36,Fundamentus!A:U,4,FALSE)&lt;1,"Baixo",IF(VLOOKUP(BO36,Fundamentus!A:U,4,FALSE)&lt;1.5,"Moderado",IF(VLOOKUP(BO36,Fundamentus!A:U,4,FALSE)&gt;1.5,"Alto","n/a")))</f>
        <v>Baixo</v>
      </c>
      <c r="EM36" s="17" t="str">
        <f>IF(VLOOKUP(BO36,Fundamentus!A:U,8,FALSE)&lt;0,"Risco elevado",IF(VLOOKUP(BO36,Fundamentus!A:U,8,FALSE)&lt;1,"Saudável",IF(VLOOKUP(BO36,Fundamentus!A:U,8,FALSE)&lt;3,"Estável",IF(VLOOKUP(BO36,Fundamentus!A:U,8,FALSE)&gt;3,"Alerta","n/a"))))</f>
        <v>Estável</v>
      </c>
      <c r="EN36" s="28" t="str">
        <f t="shared" si="23"/>
        <v>Ruim</v>
      </c>
      <c r="EO36" s="17" t="str">
        <f>IF(VLOOKUP(BO36,Fundamentus!A:U,12,FALSE)&lt;2,"Subvalorizada",IF(VLOOKUP(BO36,Fundamentus!A:U,12,FALSE)&lt;6,"Muita barata",IF(VLOOKUP(BO36,Fundamentus!A:U,12,FALSE)&lt;6,"Barata",IF(VLOOKUP(BO36,Fundamentus!A:U,12,FALSE)&lt;8,"Atrativa",IF(VLOOKUP(BO36,Fundamentus!A:U,12,FALSE)&gt;8,"Supervalorizada","n/a")))))</f>
        <v>Muita barata</v>
      </c>
      <c r="EQ36" s="17" t="str">
        <f>IF(VLOOKUP(BO36,Fundamentus!A:U,17,FALSE)&lt;0.1,"Fraco retorno",IF(VLOOKUP(BO36,Fundamentus!A:U,17,FALSE)&gt;0.1,"Bom retorno","n/a"))</f>
        <v>Fraco retorno</v>
      </c>
      <c r="ER36" s="17" t="str">
        <f>IF(VLOOKUP(BO36,Fundamentus!A:U,16,FALSE)&lt;0.1,"Ineficiente",IF(VLOOKUP(BO36,Fundamentus!A:U,16,FALSE)&gt;0.1,"Eficiente","n/a"))</f>
        <v>Ineficiente</v>
      </c>
      <c r="ES36" s="33" t="str">
        <f>IF(VLOOKUP(BO36,Fundamentus!A:U,16,FALSE)&lt;0.1,"Oper. Ineficiente",IF(VLOOKUP(BO36,Fundamentus!A:U,16,FALSE)&gt;0.1,"Oper.Eficiente","n/a"))</f>
        <v>Oper. Ineficiente</v>
      </c>
      <c r="ET36" s="34">
        <f>VLOOKUP(BO36,Fundamentus!A:U,14,FALSE)</f>
        <v>4.8500000000000001E-2</v>
      </c>
      <c r="EU36" s="17" t="str">
        <f>IF(VLOOKUP(BO36,Fundamentus!A:U,21,FALSE)&lt;0,"Negativo",IF(VLOOKUP(BO36,Fundamentus!A:U,21,FALSE)&lt;0.05,"Fraco",IF(VLOOKUP(BO36,Fundamentus!A:U,21,FALSE)&lt;0.1,"Bom",IF(VLOOKUP(BO36,Fundamentus!A:U,21,FALSE)&gt;0.1,"Muito bom","n/a"))))</f>
        <v>Fraco</v>
      </c>
      <c r="EW36" s="29" t="str">
        <f>IF(VLOOKUP(BO36,Fundamentus!A:U,15,FALSE)&gt;1,"Bom",IF(VLOOKUP(BO36,Fundamentus!A:U,15,FALSE)&lt;1,"Ruim","n/a"))</f>
        <v>Bom</v>
      </c>
      <c r="EX36" s="17" t="str">
        <f>IF(VLOOKUP(BO36,Fundamentus!A:U,20,FALSE)&lt;0.5,"Baixa",IF(VLOOKUP(BO36,Fundamentus!A:U,20,FALSE)&lt;1,"Moderada",IF(VLOOKUP(BO36,Fundamentus!A:U,20,FALSE)&lt;2,"Alerta",IF(VLOOKUP(BO36,Fundamentus!A:U,20,FALSE)&gt;2,"Alta","n/a"))))</f>
        <v>Baixa</v>
      </c>
    </row>
    <row r="37" spans="1:154" s="5" customFormat="1" ht="11.25"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5">
        <v>8.4700000000000006</v>
      </c>
      <c r="BC37" s="52">
        <v>8.48</v>
      </c>
      <c r="BD37" s="52">
        <v>8.4499999999999993</v>
      </c>
      <c r="BE37" s="52">
        <v>8.48</v>
      </c>
      <c r="BF37" s="52">
        <v>8.48</v>
      </c>
      <c r="BG37" s="67">
        <v>8.48</v>
      </c>
      <c r="BH37" s="52">
        <v>8.48</v>
      </c>
      <c r="BI37" s="52">
        <v>8.48</v>
      </c>
      <c r="BJ37" s="52">
        <v>8.48</v>
      </c>
      <c r="BK37" s="52">
        <v>8.48</v>
      </c>
      <c r="BL37" s="52">
        <v>8.48</v>
      </c>
      <c r="BM37" s="52">
        <v>8.48</v>
      </c>
      <c r="BN37" s="52" cm="1">
        <f t="array" aca="1" ref="BN37" ca="1">_FV(EB37,"Preço")</f>
        <v>8.48</v>
      </c>
      <c r="BO37" s="69" t="s">
        <v>34</v>
      </c>
      <c r="BP37" s="36" cm="1">
        <f t="array" aca="1" ref="BP37" ca="1">_FV(EB37,"Média de volume",TRUE)</f>
        <v>3276280</v>
      </c>
      <c r="BQ37" s="36">
        <v>14418400</v>
      </c>
      <c r="BR37" s="36" cm="1">
        <f t="array" aca="1" ref="BR37" ca="1">_FV(EB37,"Volume")</f>
        <v>14418400</v>
      </c>
      <c r="BS37" s="24" cm="1">
        <f t="array" aca="1" ref="BS37" ca="1">_FV(EB37,"Beta")</f>
        <v>1.3414999999999999</v>
      </c>
      <c r="BT37" s="71" cm="1">
        <f t="array" aca="1" ref="BT37" ca="1">_FV(EB37,"Variação (%)",TRUE)</f>
        <v>0</v>
      </c>
      <c r="BV37" s="17" cm="1">
        <f t="array" aca="1" ref="BV37" ca="1">_FV(EB37,"Baixo")</f>
        <v>8.44</v>
      </c>
      <c r="BW37" s="17" cm="1">
        <f t="array" aca="1" ref="BW37" ca="1">_FV(EB37,"Alto")</f>
        <v>8.5399999999999991</v>
      </c>
      <c r="BX37" s="24"/>
      <c r="BY37" s="63">
        <f ca="1">SQRT(22.5*(BN37/VLOOKUP(BO37,Fundamentus!A:U,3,FALSE))*(BN37/VLOOKUP(BO37,Fundamentus!A:U,4,FALSE)))</f>
        <v>14.694846067956021</v>
      </c>
      <c r="CA37" s="62">
        <f t="shared" ca="1" si="24"/>
        <v>0</v>
      </c>
      <c r="CB37" s="8"/>
      <c r="CC37" s="61">
        <f t="shared" si="25"/>
        <v>5.31</v>
      </c>
      <c r="CD37" s="61">
        <f t="shared" si="26"/>
        <v>11.53</v>
      </c>
      <c r="CE37" s="61">
        <f t="shared" si="27"/>
        <v>8.1668461538461568</v>
      </c>
      <c r="CF37" s="14"/>
      <c r="CG37" s="35">
        <f t="shared" si="1"/>
        <v>8.48</v>
      </c>
      <c r="CH37" s="15">
        <f t="shared" si="28"/>
        <v>8.48</v>
      </c>
      <c r="CI37" s="35">
        <f t="shared" si="2"/>
        <v>8.48</v>
      </c>
      <c r="CK37" s="14"/>
      <c r="CL37" s="17">
        <f t="shared" si="3"/>
        <v>-0.87000000000000011</v>
      </c>
      <c r="CM37" s="17">
        <f t="shared" si="4"/>
        <v>2.2199999999999998</v>
      </c>
      <c r="CN37" s="17">
        <f t="shared" si="5"/>
        <v>5.35</v>
      </c>
      <c r="CO37" s="38">
        <f t="shared" si="29"/>
        <v>8.44</v>
      </c>
      <c r="CP37" s="17">
        <f t="shared" si="6"/>
        <v>11.57</v>
      </c>
      <c r="CQ37" s="17">
        <f t="shared" si="7"/>
        <v>14.66</v>
      </c>
      <c r="CR37" s="17">
        <f t="shared" si="8"/>
        <v>17.79</v>
      </c>
      <c r="CS37" s="2" cm="1">
        <f t="array" aca="1" ref="CS37" ca="1">MAX(_xlfn._xlws.FILTER(CL37:CR37,CL37:CR37&lt;BN37))</f>
        <v>8.44</v>
      </c>
      <c r="CT37" s="2" cm="1">
        <f t="array" aca="1" ref="CT37" ca="1">MIN(_xlfn._xlws.FILTER($CL37:$CR37,$CL37:$CR37&gt;BN37))</f>
        <v>11.57</v>
      </c>
      <c r="CU37" s="16">
        <f t="shared" ca="1" si="63"/>
        <v>0.37085308056872046</v>
      </c>
      <c r="CV37" s="20">
        <f t="shared" ca="1" si="64"/>
        <v>-0.18542654028436023</v>
      </c>
      <c r="CW37" s="20">
        <f t="shared" ca="1" si="65"/>
        <v>-0.12361769352290682</v>
      </c>
      <c r="CX37" s="20">
        <f t="shared" ca="1" si="66"/>
        <v>-7.4170616113744092E-2</v>
      </c>
      <c r="CY37" s="20">
        <f t="shared" ca="1" si="67"/>
        <v>-4.1205897840968939E-2</v>
      </c>
      <c r="CZ37" s="20">
        <f t="shared" ca="1" si="68"/>
        <v>-2.1814887092277673E-2</v>
      </c>
      <c r="DA37" s="20">
        <f t="shared" ca="1" si="69"/>
        <v>-1.1237972138446075E-2</v>
      </c>
      <c r="DB37" s="20">
        <f t="shared" ca="1" si="70"/>
        <v>-5.7054320087495452E-3</v>
      </c>
      <c r="DC37" s="21">
        <f t="shared" ca="1" si="71"/>
        <v>5.7054320087495452E-3</v>
      </c>
      <c r="DD37" s="21">
        <f t="shared" ca="1" si="72"/>
        <v>1.1237972138446075E-2</v>
      </c>
      <c r="DE37" s="21">
        <f t="shared" ca="1" si="73"/>
        <v>2.1814887092277673E-2</v>
      </c>
      <c r="DF37" s="21">
        <f t="shared" ca="1" si="74"/>
        <v>4.1205897840968939E-2</v>
      </c>
      <c r="DG37" s="21">
        <f t="shared" ca="1" si="75"/>
        <v>7.4170616113744092E-2</v>
      </c>
      <c r="DH37" s="21">
        <f t="shared" ca="1" si="76"/>
        <v>0.12361769352290682</v>
      </c>
      <c r="DI37" s="21">
        <f t="shared" ca="1" si="77"/>
        <v>0.18542654028436023</v>
      </c>
      <c r="DK37" s="16" cm="1">
        <f t="array" aca="1" ref="DK37" ca="1">MAX(_xlfn._xlws.FILTER(CV37:DI37,CV37:DI37&lt;BT37))</f>
        <v>-5.7054320087495452E-3</v>
      </c>
      <c r="DL37" s="16" cm="1">
        <f t="array" aca="1" ref="DL37" ca="1">MIN(_xlfn._xlws.FILTER(CV37:DI37,CV37:DI37&gt;BT37))</f>
        <v>5.7054320087495452E-3</v>
      </c>
      <c r="DM37" s="2" cm="1">
        <f t="array" aca="1" ref="DM37" ca="1">_FV(EB37,"Fechamento anterior",TRUE)</f>
        <v>8.4499999999999993</v>
      </c>
      <c r="DN37" s="28">
        <f t="shared" ca="1" si="15"/>
        <v>0.81113295650038564</v>
      </c>
      <c r="DO37" s="15">
        <f t="shared" ca="1" si="78"/>
        <v>8.4017890995260665</v>
      </c>
      <c r="DP37" s="15">
        <f t="shared" ca="1" si="79"/>
        <v>8.4982109004739321</v>
      </c>
      <c r="DQ37" s="9"/>
      <c r="DR37" s="9"/>
      <c r="DS37" s="9"/>
      <c r="DT37" s="89">
        <v>1.141086401749909E-2</v>
      </c>
      <c r="DU37" s="89">
        <f t="shared" ca="1" si="18"/>
        <v>1.141086401749909E-2</v>
      </c>
      <c r="DV37" s="72" t="e">
        <f t="shared" ca="1" si="19"/>
        <v>#DIV/0!</v>
      </c>
      <c r="DW37" s="37"/>
      <c r="DX37" s="35">
        <f t="shared" si="39"/>
        <v>0</v>
      </c>
      <c r="DY37" s="56"/>
      <c r="DZ37" s="56"/>
      <c r="EB37" s="5" t="e" vm="37">
        <v>#VALUE!</v>
      </c>
      <c r="ED37" s="10" cm="1">
        <f t="array" aca="1" ref="ED37" ca="1">_FV(EB37,"Ações em circulação",TRUE)</f>
        <v>2109057000</v>
      </c>
      <c r="EE37" s="18">
        <f>VLOOKUP(BO37,Fundamentus!A:U,5,FALSE)</f>
        <v>0.15</v>
      </c>
      <c r="EF37" s="2">
        <f t="shared" ca="1" si="20"/>
        <v>119232022400</v>
      </c>
      <c r="EG37" s="17">
        <v>2217715616.6399999</v>
      </c>
      <c r="EH37" s="17">
        <f t="shared" ca="1" si="21"/>
        <v>2217715616.6399999</v>
      </c>
      <c r="EI37" s="2"/>
      <c r="EJ37" s="16">
        <f t="shared" ca="1" si="22"/>
        <v>0</v>
      </c>
      <c r="EK37" s="32" t="str">
        <f>IF(VLOOKUP(BO37,Fundamentus!A:U,3,FALSE)&lt;15,"Bom",IF(VLOOKUP(BO37,Fundamentus!A:U,3,FALSE)&gt;15,"Ruim","n/a"))</f>
        <v>Bom</v>
      </c>
      <c r="EL37" s="28" t="str">
        <f>IF(VLOOKUP(BO37,Fundamentus!A:U,4,FALSE)&lt;1,"Baixo",IF(VLOOKUP(BO37,Fundamentus!A:U,4,FALSE)&lt;1.5,"Moderado",IF(VLOOKUP(BO37,Fundamentus!A:U,4,FALSE)&gt;1.5,"Alto","n/a")))</f>
        <v>Baixo</v>
      </c>
      <c r="EM37" s="17" t="str">
        <f>IF(VLOOKUP(BO37,Fundamentus!A:U,8,FALSE)&lt;0,"Risco elevado",IF(VLOOKUP(BO37,Fundamentus!A:U,8,FALSE)&lt;1,"Saudável",IF(VLOOKUP(BO37,Fundamentus!A:U,8,FALSE)&lt;3,"Estável",IF(VLOOKUP(BO37,Fundamentus!A:U,8,FALSE)&gt;3,"Alerta","n/a"))))</f>
        <v>Risco elevado</v>
      </c>
      <c r="EN37" s="28" t="str">
        <f t="shared" si="23"/>
        <v>Ruim</v>
      </c>
      <c r="EO37" s="17" t="str">
        <f>IF(VLOOKUP(BO37,Fundamentus!A:U,12,FALSE)&lt;2,"Subvalorizada",IF(VLOOKUP(BO37,Fundamentus!A:U,12,FALSE)&lt;6,"Muita barata",IF(VLOOKUP(BO37,Fundamentus!A:U,12,FALSE)&lt;6,"Barata",IF(VLOOKUP(BO37,Fundamentus!A:U,12,FALSE)&lt;8,"Atrativa",IF(VLOOKUP(BO37,Fundamentus!A:U,12,FALSE)&gt;8,"Supervalorizada","n/a")))))</f>
        <v>Muita barata</v>
      </c>
      <c r="EP37" s="2"/>
      <c r="EQ37" s="17" t="str">
        <f>IF(VLOOKUP(BO37,Fundamentus!A:U,17,FALSE)&lt;0.1,"Fraco retorno",IF(VLOOKUP(BO37,Fundamentus!A:U,17,FALSE)&gt;0.1,"Bom retorno","n/a"))</f>
        <v>Fraco retorno</v>
      </c>
      <c r="ER37" s="17" t="str">
        <f>IF(VLOOKUP(BO37,Fundamentus!A:U,16,FALSE)&lt;0.1,"Ineficiente",IF(VLOOKUP(BO37,Fundamentus!A:U,16,FALSE)&gt;0.1,"Eficiente","n/a"))</f>
        <v>Ineficiente</v>
      </c>
      <c r="ES37" s="33" t="str">
        <f>IF(VLOOKUP(BO37,Fundamentus!A:U,16,FALSE)&lt;0.1,"Oper. Ineficiente",IF(VLOOKUP(BO37,Fundamentus!A:U,16,FALSE)&gt;0.1,"Oper.Eficiente","n/a"))</f>
        <v>Oper. Ineficiente</v>
      </c>
      <c r="ET37" s="34">
        <f>VLOOKUP(BO37,Fundamentus!A:U,14,FALSE)</f>
        <v>1.8599999999999998E-2</v>
      </c>
      <c r="EU37" s="17" t="str">
        <f>IF(VLOOKUP(BO37,Fundamentus!A:U,21,FALSE)&lt;0,"Negativo",IF(VLOOKUP(BO37,Fundamentus!A:U,21,FALSE)&lt;0.05,"Fraco",IF(VLOOKUP(BO37,Fundamentus!A:U,21,FALSE)&lt;0.1,"Bom",IF(VLOOKUP(BO37,Fundamentus!A:U,21,FALSE)&gt;0.1,"Muito bom","n/a"))))</f>
        <v>Muito bom</v>
      </c>
      <c r="EW37" s="29" t="str">
        <f>IF(VLOOKUP(BO37,Fundamentus!A:U,15,FALSE)&gt;1,"Bom",IF(VLOOKUP(BO37,Fundamentus!A:U,15,FALSE)&lt;1,"Ruim","n/a"))</f>
        <v>Ruim</v>
      </c>
      <c r="EX37" s="17" t="str">
        <f>IF(VLOOKUP(BO37,Fundamentus!A:U,20,FALSE)&lt;0.5,"Baixa",IF(VLOOKUP(BO37,Fundamentus!A:U,20,FALSE)&lt;1,"Moderada",IF(VLOOKUP(BO37,Fundamentus!A:U,20,FALSE)&lt;2,"Alerta",IF(VLOOKUP(BO37,Fundamentus!A:U,20,FALSE)&gt;2,"Alta","n/a"))))</f>
        <v>Alerta</v>
      </c>
    </row>
    <row r="38" spans="1:154" s="2" customFormat="1" ht="11.25"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5">
        <v>6.3</v>
      </c>
      <c r="BC38" s="52">
        <v>6.08</v>
      </c>
      <c r="BD38" s="52">
        <v>6.35</v>
      </c>
      <c r="BE38" s="52">
        <v>6.55</v>
      </c>
      <c r="BF38" s="52">
        <v>6.69</v>
      </c>
      <c r="BG38" s="67">
        <v>7.19</v>
      </c>
      <c r="BH38" s="52" t="s">
        <v>503</v>
      </c>
      <c r="BI38" s="52">
        <v>7.7</v>
      </c>
      <c r="BJ38" s="52">
        <v>7.97</v>
      </c>
      <c r="BK38" s="52">
        <v>7.89</v>
      </c>
      <c r="BL38" s="52">
        <v>7.83</v>
      </c>
      <c r="BM38" s="52">
        <v>7.62</v>
      </c>
      <c r="BN38" s="52" cm="1">
        <f t="array" aca="1" ref="BN38" ca="1">_FV(EB38,"Preço")</f>
        <v>7.62</v>
      </c>
      <c r="BO38" s="69" t="s">
        <v>35</v>
      </c>
      <c r="BP38" s="36" cm="1">
        <f t="array" aca="1" ref="BP38" ca="1">_FV(EB38,"Média de volume",TRUE)</f>
        <v>950110</v>
      </c>
      <c r="BQ38" s="36">
        <v>100900</v>
      </c>
      <c r="BR38" s="36" cm="1">
        <f t="array" aca="1" ref="BR38" ca="1">_FV(EB38,"Volume")</f>
        <v>100900</v>
      </c>
      <c r="BS38" s="24" cm="1">
        <f t="array" aca="1" ref="BS38" ca="1">_FV(EB38,"Beta")</f>
        <v>0.63619999999999999</v>
      </c>
      <c r="BT38" s="71" cm="1">
        <f t="array" aca="1" ref="BT38" ca="1">_FV(EB38,"Variação (%)",TRUE)</f>
        <v>-1.3109999999999999E-3</v>
      </c>
      <c r="BV38" s="17" cm="1">
        <f t="array" aca="1" ref="BV38" ca="1">_FV(EB38,"Baixo")</f>
        <v>7.5</v>
      </c>
      <c r="BW38" s="17" cm="1">
        <f t="array" aca="1" ref="BW38" ca="1">_FV(EB38,"Alto")</f>
        <v>7.65</v>
      </c>
      <c r="BX38" s="24"/>
      <c r="BY38" s="63">
        <f ca="1">SQRT(22.5*(BN38/VLOOKUP(BO38,Fundamentus!A:U,3,FALSE))*(BN38/VLOOKUP(BO38,Fundamentus!A:U,4,FALSE)))</f>
        <v>16.579152382110379</v>
      </c>
      <c r="CA38" s="62">
        <f t="shared" ca="1" si="24"/>
        <v>0</v>
      </c>
      <c r="CB38" s="8"/>
      <c r="CC38" s="61">
        <f t="shared" si="25"/>
        <v>4.97</v>
      </c>
      <c r="CD38" s="61">
        <f t="shared" si="26"/>
        <v>7.97</v>
      </c>
      <c r="CE38" s="61">
        <f t="shared" si="27"/>
        <v>5.7092968750000006</v>
      </c>
      <c r="CF38" s="14"/>
      <c r="CG38" s="35">
        <f t="shared" si="1"/>
        <v>7.2906257530130958</v>
      </c>
      <c r="CH38" s="15">
        <f t="shared" si="28"/>
        <v>7.5499999999999545</v>
      </c>
      <c r="CI38" s="35">
        <f t="shared" si="2"/>
        <v>7.8093742469868133</v>
      </c>
      <c r="CK38" s="14"/>
      <c r="CL38" s="17">
        <f t="shared" si="3"/>
        <v>2.876666666666666</v>
      </c>
      <c r="CM38" s="17">
        <f t="shared" si="4"/>
        <v>3.9233333333333329</v>
      </c>
      <c r="CN38" s="17">
        <f t="shared" si="5"/>
        <v>5.876666666666666</v>
      </c>
      <c r="CO38" s="38">
        <f t="shared" si="29"/>
        <v>6.9233333333333329</v>
      </c>
      <c r="CP38" s="17">
        <f t="shared" si="6"/>
        <v>8.8766666666666652</v>
      </c>
      <c r="CQ38" s="17">
        <f t="shared" si="7"/>
        <v>9.923333333333332</v>
      </c>
      <c r="CR38" s="17">
        <f t="shared" si="8"/>
        <v>11.876666666666665</v>
      </c>
      <c r="CS38" s="2" cm="1">
        <f t="array" aca="1" ref="CS38" ca="1">MAX(_xlfn._xlws.FILTER(CL38:CR38,CL38:CR38&lt;BN38))</f>
        <v>6.9233333333333329</v>
      </c>
      <c r="CT38" s="2" cm="1">
        <f t="array" aca="1" ref="CT38" ca="1">MIN(_xlfn._xlws.FILTER($CL38:$CR38,$CL38:$CR38&gt;BN38))</f>
        <v>8.8766666666666652</v>
      </c>
      <c r="CU38" s="16">
        <f t="shared" ca="1" si="63"/>
        <v>0.28213769860375537</v>
      </c>
      <c r="CV38" s="20">
        <f t="shared" ca="1" si="64"/>
        <v>-0.14106884930187769</v>
      </c>
      <c r="CW38" s="20">
        <f t="shared" ca="1" si="65"/>
        <v>-9.4045899534585128E-2</v>
      </c>
      <c r="CX38" s="20">
        <f t="shared" ca="1" si="66"/>
        <v>-5.6427539720751076E-2</v>
      </c>
      <c r="CY38" s="20">
        <f t="shared" ca="1" si="67"/>
        <v>-3.1348633178195043E-2</v>
      </c>
      <c r="CZ38" s="20">
        <f t="shared" ca="1" si="68"/>
        <v>-1.659633521198561E-2</v>
      </c>
      <c r="DA38" s="20">
        <f t="shared" ca="1" si="69"/>
        <v>-8.5496272304168286E-3</v>
      </c>
      <c r="DB38" s="20">
        <f t="shared" ca="1" si="70"/>
        <v>-4.3405799785193131E-3</v>
      </c>
      <c r="DC38" s="21">
        <f t="shared" ca="1" si="71"/>
        <v>4.3405799785193131E-3</v>
      </c>
      <c r="DD38" s="21">
        <f t="shared" ca="1" si="72"/>
        <v>8.5496272304168286E-3</v>
      </c>
      <c r="DE38" s="21">
        <f t="shared" ca="1" si="73"/>
        <v>1.659633521198561E-2</v>
      </c>
      <c r="DF38" s="21">
        <f t="shared" ca="1" si="74"/>
        <v>3.1348633178195043E-2</v>
      </c>
      <c r="DG38" s="21">
        <f t="shared" ca="1" si="75"/>
        <v>5.6427539720751076E-2</v>
      </c>
      <c r="DH38" s="21">
        <f t="shared" ca="1" si="76"/>
        <v>9.4045899534585128E-2</v>
      </c>
      <c r="DI38" s="21">
        <f t="shared" ca="1" si="77"/>
        <v>0.14106884930187769</v>
      </c>
      <c r="DK38" s="16" cm="1">
        <f t="array" aca="1" ref="DK38" ca="1">MAX(_xlfn._xlws.FILTER(CV38:DI38,CV38:DI38&lt;BT38))</f>
        <v>-4.3405799785193131E-3</v>
      </c>
      <c r="DL38" s="16" cm="1">
        <f t="array" aca="1" ref="DL38" ca="1">MIN(_xlfn._xlws.FILTER(CV38:DI38,CV38:DI38&gt;BT38))</f>
        <v>4.3405799785193131E-3</v>
      </c>
      <c r="DM38" s="2" cm="1">
        <f t="array" aca="1" ref="DM38" ca="1">_FV(EB38,"Fechamento anterior",TRUE)</f>
        <v>7.63</v>
      </c>
      <c r="DN38" s="28">
        <f t="shared" ca="1" si="15"/>
        <v>0.34902754977433398</v>
      </c>
      <c r="DO38" s="15">
        <f t="shared" ca="1" si="78"/>
        <v>7.5968813747638979</v>
      </c>
      <c r="DP38" s="15">
        <f t="shared" ca="1" si="79"/>
        <v>7.6631186252361019</v>
      </c>
      <c r="DQ38" s="9"/>
      <c r="DR38" s="9"/>
      <c r="DS38" s="9"/>
      <c r="DT38" s="89">
        <v>8.6811599570386262E-3</v>
      </c>
      <c r="DU38" s="89">
        <f t="shared" ca="1" si="18"/>
        <v>8.6811599570386262E-3</v>
      </c>
      <c r="DV38" s="72">
        <f t="shared" ca="1" si="19"/>
        <v>0.26988030158442117</v>
      </c>
      <c r="DW38" s="37"/>
      <c r="DX38" s="35">
        <f t="shared" si="39"/>
        <v>0.12968712349342923</v>
      </c>
      <c r="DY38" s="56"/>
      <c r="DZ38" s="56"/>
      <c r="EB38" s="2" t="e" vm="38">
        <v>#VALUE!</v>
      </c>
      <c r="ED38" s="10" cm="1">
        <f t="array" aca="1" ref="ED38" ca="1">_FV(EB38,"Ações em circulação",TRUE)</f>
        <v>1511206000</v>
      </c>
      <c r="EE38" s="18">
        <f>VLOOKUP(BO38,Fundamentus!A:U,5,FALSE)</f>
        <v>1.671</v>
      </c>
      <c r="EF38" s="2">
        <f t="shared" ca="1" si="20"/>
        <v>6891316409.3357267</v>
      </c>
      <c r="EG38" s="17">
        <v>2352006290.5062833</v>
      </c>
      <c r="EH38" s="17">
        <f t="shared" ca="1" si="21"/>
        <v>2352006290.5062833</v>
      </c>
      <c r="EJ38" s="16">
        <f t="shared" ca="1" si="22"/>
        <v>0</v>
      </c>
      <c r="EK38" s="32" t="str">
        <f>IF(VLOOKUP(BO38,Fundamentus!A:U,3,FALSE)&lt;15,"Bom",IF(VLOOKUP(BO38,Fundamentus!A:U,3,FALSE)&gt;15,"Ruim","n/a"))</f>
        <v>Bom</v>
      </c>
      <c r="EL38" s="28" t="str">
        <f>IF(VLOOKUP(BO38,Fundamentus!A:U,4,FALSE)&lt;1,"Baixo",IF(VLOOKUP(BO38,Fundamentus!A:U,4,FALSE)&lt;1.5,"Moderado",IF(VLOOKUP(BO38,Fundamentus!A:U,4,FALSE)&gt;1.5,"Alto","n/a")))</f>
        <v>Baixo</v>
      </c>
      <c r="EM38" s="17" t="str">
        <f>IF(VLOOKUP(BO38,Fundamentus!A:U,8,FALSE)&lt;0,"Risco elevado",IF(VLOOKUP(BO38,Fundamentus!A:U,8,FALSE)&lt;1,"Saudável",IF(VLOOKUP(BO38,Fundamentus!A:U,8,FALSE)&lt;3,"Estável",IF(VLOOKUP(BO38,Fundamentus!A:U,8,FALSE)&gt;3,"Alerta","n/a"))))</f>
        <v>Alerta</v>
      </c>
      <c r="EN38" s="28" t="str">
        <f t="shared" si="23"/>
        <v>Bom</v>
      </c>
      <c r="EO38" s="17" t="str">
        <f>IF(VLOOKUP(BO38,Fundamentus!A:U,12,FALSE)&lt;2,"Subvalorizada",IF(VLOOKUP(BO38,Fundamentus!A:U,12,FALSE)&lt;6,"Muita barata",IF(VLOOKUP(BO38,Fundamentus!A:U,12,FALSE)&lt;6,"Barata",IF(VLOOKUP(BO38,Fundamentus!A:U,12,FALSE)&lt;8,"Atrativa",IF(VLOOKUP(BO38,Fundamentus!A:U,12,FALSE)&gt;8,"Supervalorizada","n/a")))))</f>
        <v>Atrativa</v>
      </c>
      <c r="EQ38" s="17" t="str">
        <f>IF(VLOOKUP(BO38,Fundamentus!A:U,17,FALSE)&lt;0.1,"Fraco retorno",IF(VLOOKUP(BO38,Fundamentus!A:U,17,FALSE)&gt;0.1,"Bom retorno","n/a"))</f>
        <v>Bom retorno</v>
      </c>
      <c r="ER38" s="17" t="str">
        <f>IF(VLOOKUP(BO38,Fundamentus!A:U,16,FALSE)&lt;0.1,"Ineficiente",IF(VLOOKUP(BO38,Fundamentus!A:U,16,FALSE)&gt;0.1,"Eficiente","n/a"))</f>
        <v>Ineficiente</v>
      </c>
      <c r="ES38" s="33" t="str">
        <f>IF(VLOOKUP(BO38,Fundamentus!A:U,16,FALSE)&lt;0.1,"Oper. Ineficiente",IF(VLOOKUP(BO38,Fundamentus!A:U,16,FALSE)&gt;0.1,"Oper.Eficiente","n/a"))</f>
        <v>Oper. Ineficiente</v>
      </c>
      <c r="ET38" s="34">
        <f>VLOOKUP(BO38,Fundamentus!A:U,14,FALSE)</f>
        <v>0.34129999999999999</v>
      </c>
      <c r="EU38" s="17" t="str">
        <f>IF(VLOOKUP(BO38,Fundamentus!A:U,21,FALSE)&lt;0,"Negativo",IF(VLOOKUP(BO38,Fundamentus!A:U,21,FALSE)&lt;0.05,"Fraco",IF(VLOOKUP(BO38,Fundamentus!A:U,21,FALSE)&lt;0.1,"Bom",IF(VLOOKUP(BO38,Fundamentus!A:U,21,FALSE)&gt;0.1,"Muito bom","n/a"))))</f>
        <v>Bom</v>
      </c>
      <c r="EW38" s="29" t="str">
        <f>IF(VLOOKUP(BO38,Fundamentus!A:U,15,FALSE)&gt;1,"Bom",IF(VLOOKUP(BO38,Fundamentus!A:U,15,FALSE)&lt;1,"Ruim","n/a"))</f>
        <v>Bom</v>
      </c>
      <c r="EX38" s="17" t="str">
        <f>IF(VLOOKUP(BO38,Fundamentus!A:U,20,FALSE)&lt;0.5,"Baixa",IF(VLOOKUP(BO38,Fundamentus!A:U,20,FALSE)&lt;1,"Moderada",IF(VLOOKUP(BO38,Fundamentus!A:U,20,FALSE)&lt;2,"Alerta",IF(VLOOKUP(BO38,Fundamentus!A:U,20,FALSE)&gt;2,"Alta","n/a"))))</f>
        <v>Moderada</v>
      </c>
    </row>
    <row r="39" spans="1:154" s="2" customFormat="1" ht="11.25"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5">
        <v>21.49</v>
      </c>
      <c r="BC39" s="52">
        <v>21.68</v>
      </c>
      <c r="BD39" s="52">
        <v>21.41</v>
      </c>
      <c r="BE39" s="52">
        <v>20.95</v>
      </c>
      <c r="BF39" s="52">
        <v>21.44</v>
      </c>
      <c r="BG39" s="67">
        <v>21.06</v>
      </c>
      <c r="BH39" s="52">
        <v>21.36</v>
      </c>
      <c r="BI39" s="52">
        <v>22.2</v>
      </c>
      <c r="BJ39" s="52">
        <v>21.64</v>
      </c>
      <c r="BK39" s="52">
        <v>20.98</v>
      </c>
      <c r="BL39" s="52">
        <v>20.8</v>
      </c>
      <c r="BM39" s="52">
        <v>20.6</v>
      </c>
      <c r="BN39" s="52" cm="1">
        <f t="array" aca="1" ref="BN39" ca="1">_FV(EB39,"Preço")</f>
        <v>20.6</v>
      </c>
      <c r="BO39" s="69" t="s">
        <v>36</v>
      </c>
      <c r="BP39" s="36" cm="1">
        <f t="array" aca="1" ref="BP39" ca="1">_FV(EB39,"Média de volume",TRUE)</f>
        <v>705950</v>
      </c>
      <c r="BQ39" s="36">
        <v>316200</v>
      </c>
      <c r="BR39" s="36" cm="1">
        <f t="array" aca="1" ref="BR39" ca="1">_FV(EB39,"Volume")</f>
        <v>316200</v>
      </c>
      <c r="BS39" s="24" cm="1">
        <f t="array" aca="1" ref="BS39" ca="1">_FV(EB39,"Beta")</f>
        <v>0.92200000000000004</v>
      </c>
      <c r="BT39" s="71" cm="1">
        <f t="array" aca="1" ref="BT39" ca="1">_FV(EB39,"Variação (%)",TRUE)</f>
        <v>1.4580000000000001E-3</v>
      </c>
      <c r="BV39" s="17" cm="1">
        <f t="array" aca="1" ref="BV39" ca="1">_FV(EB39,"Baixo")</f>
        <v>20.46</v>
      </c>
      <c r="BW39" s="17" cm="1">
        <f t="array" aca="1" ref="BW39" ca="1">_FV(EB39,"Alto")</f>
        <v>20.68</v>
      </c>
      <c r="BX39" s="24"/>
      <c r="BY39" s="63">
        <f ca="1">SQRT(22.5*(BN39/VLOOKUP(BO39,Fundamentus!A:U,3,FALSE))*(BN39/VLOOKUP(BO39,Fundamentus!A:U,4,FALSE)))</f>
        <v>48.118234274169936</v>
      </c>
      <c r="CA39" s="62">
        <f t="shared" ca="1" si="24"/>
        <v>0</v>
      </c>
      <c r="CB39" s="8"/>
      <c r="CC39" s="61">
        <f t="shared" si="25"/>
        <v>18.989999999999998</v>
      </c>
      <c r="CD39" s="61">
        <f t="shared" si="26"/>
        <v>23.55</v>
      </c>
      <c r="CE39" s="61">
        <f t="shared" si="27"/>
        <v>21.245230769230769</v>
      </c>
      <c r="CF39" s="14"/>
      <c r="CG39" s="35">
        <f t="shared" si="1"/>
        <v>19.399039053473516</v>
      </c>
      <c r="CH39" s="15">
        <f t="shared" si="28"/>
        <v>20.180000000000291</v>
      </c>
      <c r="CI39" s="35">
        <f t="shared" si="2"/>
        <v>20.960960946527067</v>
      </c>
      <c r="CK39" s="14"/>
      <c r="CL39" s="17">
        <f t="shared" si="3"/>
        <v>14.116666666666664</v>
      </c>
      <c r="CM39" s="17">
        <f t="shared" si="4"/>
        <v>16.553333333333331</v>
      </c>
      <c r="CN39" s="17">
        <f t="shared" si="5"/>
        <v>18.676666666666666</v>
      </c>
      <c r="CO39" s="38">
        <f t="shared" si="29"/>
        <v>21.113333333333333</v>
      </c>
      <c r="CP39" s="17">
        <f t="shared" si="6"/>
        <v>23.236666666666668</v>
      </c>
      <c r="CQ39" s="17">
        <f t="shared" si="7"/>
        <v>25.673333333333336</v>
      </c>
      <c r="CR39" s="17">
        <f t="shared" si="8"/>
        <v>27.79666666666667</v>
      </c>
      <c r="CS39" s="2" cm="1">
        <f t="array" aca="1" ref="CS39" ca="1">MAX(_xlfn._xlws.FILTER(CL39:CR39,CL39:CR39&lt;BN39))</f>
        <v>18.676666666666666</v>
      </c>
      <c r="CT39" s="2" cm="1">
        <f t="array" aca="1" ref="CT39" ca="1">MIN(_xlfn._xlws.FILTER($CL39:$CR39,$CL39:$CR39&gt;BN39))</f>
        <v>21.113333333333333</v>
      </c>
      <c r="CU39" s="16">
        <f t="shared" ca="1" si="63"/>
        <v>0.1304658218811352</v>
      </c>
      <c r="CV39" s="20">
        <f t="shared" ca="1" si="64"/>
        <v>-6.5232910940567601E-2</v>
      </c>
      <c r="CW39" s="20">
        <f t="shared" ca="1" si="65"/>
        <v>-4.3488607293711734E-2</v>
      </c>
      <c r="CX39" s="20">
        <f t="shared" ca="1" si="66"/>
        <v>-2.6093164376227041E-2</v>
      </c>
      <c r="CY39" s="20">
        <f t="shared" ca="1" si="67"/>
        <v>-1.4496202431237245E-2</v>
      </c>
      <c r="CZ39" s="20">
        <f t="shared" ca="1" si="68"/>
        <v>-7.6744601106550122E-3</v>
      </c>
      <c r="DA39" s="20">
        <f t="shared" ca="1" si="69"/>
        <v>-3.953509753973794E-3</v>
      </c>
      <c r="DB39" s="20">
        <f t="shared" ca="1" si="70"/>
        <v>-2.0071664904790032E-3</v>
      </c>
      <c r="DC39" s="21">
        <f t="shared" ca="1" si="71"/>
        <v>2.0071664904790032E-3</v>
      </c>
      <c r="DD39" s="21">
        <f t="shared" ca="1" si="72"/>
        <v>3.953509753973794E-3</v>
      </c>
      <c r="DE39" s="21">
        <f t="shared" ca="1" si="73"/>
        <v>7.6744601106550122E-3</v>
      </c>
      <c r="DF39" s="21">
        <f t="shared" ca="1" si="74"/>
        <v>1.4496202431237245E-2</v>
      </c>
      <c r="DG39" s="21">
        <f t="shared" ca="1" si="75"/>
        <v>2.6093164376227041E-2</v>
      </c>
      <c r="DH39" s="21">
        <f t="shared" ca="1" si="76"/>
        <v>4.3488607293711734E-2</v>
      </c>
      <c r="DI39" s="21">
        <f t="shared" ca="1" si="77"/>
        <v>6.5232910940567601E-2</v>
      </c>
      <c r="DK39" s="16" cm="1">
        <f t="array" aca="1" ref="DK39" ca="1">MAX(_xlfn._xlws.FILTER(CV39:DI39,CV39:DI39&lt;BT39))</f>
        <v>-2.0071664904790032E-3</v>
      </c>
      <c r="DL39" s="16" cm="1">
        <f t="array" aca="1" ref="DL39" ca="1">MIN(_xlfn._xlws.FILTER(CV39:DI39,CV39:DI39&gt;BT39))</f>
        <v>2.0071664904790032E-3</v>
      </c>
      <c r="DM39" s="2" cm="1">
        <f t="array" aca="1" ref="DM39" ca="1">_FV(EB39,"Fechamento anterior",TRUE)</f>
        <v>20.57</v>
      </c>
      <c r="DN39" s="28">
        <f t="shared" ca="1" si="15"/>
        <v>0.86330683588854662</v>
      </c>
      <c r="DO39" s="15">
        <f t="shared" ca="1" si="78"/>
        <v>20.528712585290847</v>
      </c>
      <c r="DP39" s="15">
        <f t="shared" ca="1" si="79"/>
        <v>20.611287414709153</v>
      </c>
      <c r="DQ39" s="9"/>
      <c r="DR39" s="9"/>
      <c r="DS39" s="9"/>
      <c r="DT39" s="89">
        <v>4.0143329809580065E-3</v>
      </c>
      <c r="DU39" s="89">
        <f t="shared" ca="1" si="18"/>
        <v>4.0143329809580065E-3</v>
      </c>
      <c r="DV39" s="72">
        <f t="shared" ca="1" si="19"/>
        <v>0.53779897940813426</v>
      </c>
      <c r="DW39" s="37"/>
      <c r="DX39" s="35">
        <f t="shared" si="39"/>
        <v>0.39048047326338842</v>
      </c>
      <c r="DY39" s="56"/>
      <c r="DZ39" s="56"/>
      <c r="EB39" s="2" t="e" vm="39">
        <v>#VALUE!</v>
      </c>
      <c r="ED39" s="10" cm="1">
        <f t="array" aca="1" ref="ED39" ca="1">_FV(EB39,"Ações em circulação",TRUE)</f>
        <v>121695200</v>
      </c>
      <c r="EE39" s="18">
        <f>VLOOKUP(BO39,Fundamentus!A:U,5,FALSE)</f>
        <v>0</v>
      </c>
      <c r="EF39" s="2" t="e">
        <f t="shared" ca="1" si="20"/>
        <v>#DIV/0!</v>
      </c>
      <c r="EG39" s="17" t="e">
        <v>#DIV/0!</v>
      </c>
      <c r="EH39" s="17" t="e">
        <f t="shared" ca="1" si="21"/>
        <v>#DIV/0!</v>
      </c>
      <c r="EJ39" s="16" t="e">
        <f t="shared" ca="1" si="22"/>
        <v>#DIV/0!</v>
      </c>
      <c r="EK39" s="32" t="str">
        <f>IF(VLOOKUP(BO39,Fundamentus!A:U,3,FALSE)&lt;15,"Bom",IF(VLOOKUP(BO39,Fundamentus!A:U,3,FALSE)&gt;15,"Ruim","n/a"))</f>
        <v>Bom</v>
      </c>
      <c r="EL39" s="28" t="str">
        <f>IF(VLOOKUP(BO39,Fundamentus!A:U,4,FALSE)&lt;1,"Baixo",IF(VLOOKUP(BO39,Fundamentus!A:U,4,FALSE)&lt;1.5,"Moderado",IF(VLOOKUP(BO39,Fundamentus!A:U,4,FALSE)&gt;1.5,"Alto","n/a")))</f>
        <v>Baixo</v>
      </c>
      <c r="EM39" s="17" t="str">
        <f>IF(VLOOKUP(BO39,Fundamentus!A:U,8,FALSE)&lt;0,"Risco elevado",IF(VLOOKUP(BO39,Fundamentus!A:U,8,FALSE)&lt;1,"Saudável",IF(VLOOKUP(BO39,Fundamentus!A:U,8,FALSE)&lt;3,"Estável",IF(VLOOKUP(BO39,Fundamentus!A:U,8,FALSE)&gt;3,"Alerta","n/a"))))</f>
        <v>Saudável</v>
      </c>
      <c r="EN39" s="28" t="str">
        <f t="shared" si="23"/>
        <v>Ruim</v>
      </c>
      <c r="EO39" s="17" t="str">
        <f>IF(VLOOKUP(BO39,Fundamentus!A:U,12,FALSE)&lt;2,"Subvalorizada",IF(VLOOKUP(BO39,Fundamentus!A:U,12,FALSE)&lt;6,"Muita barata",IF(VLOOKUP(BO39,Fundamentus!A:U,12,FALSE)&lt;6,"Barata",IF(VLOOKUP(BO39,Fundamentus!A:U,12,FALSE)&lt;8,"Atrativa",IF(VLOOKUP(BO39,Fundamentus!A:U,12,FALSE)&gt;8,"Supervalorizada","n/a")))))</f>
        <v>Subvalorizada</v>
      </c>
      <c r="EQ39" s="17" t="str">
        <f>IF(VLOOKUP(BO39,Fundamentus!A:U,17,FALSE)&lt;0.1,"Fraco retorno",IF(VLOOKUP(BO39,Fundamentus!A:U,17,FALSE)&gt;0.1,"Bom retorno","n/a"))</f>
        <v>Bom retorno</v>
      </c>
      <c r="ER39" s="17" t="str">
        <f>IF(VLOOKUP(BO39,Fundamentus!A:U,16,FALSE)&lt;0.1,"Ineficiente",IF(VLOOKUP(BO39,Fundamentus!A:U,16,FALSE)&gt;0.1,"Eficiente","n/a"))</f>
        <v>Ineficiente</v>
      </c>
      <c r="ES39" s="33" t="str">
        <f>IF(VLOOKUP(BO39,Fundamentus!A:U,16,FALSE)&lt;0.1,"Oper. Ineficiente",IF(VLOOKUP(BO39,Fundamentus!A:U,16,FALSE)&gt;0.1,"Oper.Eficiente","n/a"))</f>
        <v>Oper. Ineficiente</v>
      </c>
      <c r="ET39" s="34">
        <f>VLOOKUP(BO39,Fundamentus!A:U,14,FALSE)</f>
        <v>0</v>
      </c>
      <c r="EU39" s="17" t="str">
        <f>IF(VLOOKUP(BO39,Fundamentus!A:U,21,FALSE)&lt;0,"Negativo",IF(VLOOKUP(BO39,Fundamentus!A:U,21,FALSE)&lt;0.05,"Fraco",IF(VLOOKUP(BO39,Fundamentus!A:U,21,FALSE)&lt;0.1,"Bom",IF(VLOOKUP(BO39,Fundamentus!A:U,21,FALSE)&gt;0.1,"Muito bom","n/a"))))</f>
        <v>Muito bom</v>
      </c>
      <c r="EW39" s="29" t="str">
        <f>IF(VLOOKUP(BO39,Fundamentus!A:U,15,FALSE)&gt;1,"Bom",IF(VLOOKUP(BO39,Fundamentus!A:U,15,FALSE)&lt;1,"Ruim","n/a"))</f>
        <v>Ruim</v>
      </c>
      <c r="EX39" s="17" t="str">
        <f>IF(VLOOKUP(BO39,Fundamentus!A:U,20,FALSE)&lt;0.5,"Baixa",IF(VLOOKUP(BO39,Fundamentus!A:U,20,FALSE)&lt;1,"Moderada",IF(VLOOKUP(BO39,Fundamentus!A:U,20,FALSE)&lt;2,"Alerta",IF(VLOOKUP(BO39,Fundamentus!A:U,20,FALSE)&gt;2,"Alta","n/a"))))</f>
        <v>Baixa</v>
      </c>
    </row>
    <row r="40" spans="1:154" s="2" customFormat="1" ht="11.25"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5">
        <v>11.76</v>
      </c>
      <c r="BC40" s="52">
        <v>13</v>
      </c>
      <c r="BD40" s="52">
        <v>12.22</v>
      </c>
      <c r="BE40" s="52">
        <v>12.01</v>
      </c>
      <c r="BF40" s="52">
        <v>11.76</v>
      </c>
      <c r="BG40" s="67">
        <v>11.44</v>
      </c>
      <c r="BH40" s="52">
        <v>11.63</v>
      </c>
      <c r="BI40" s="52">
        <v>11.4</v>
      </c>
      <c r="BJ40" s="52">
        <v>11.67</v>
      </c>
      <c r="BK40" s="52">
        <v>11.18</v>
      </c>
      <c r="BL40" s="52">
        <v>10.61</v>
      </c>
      <c r="BM40" s="52">
        <v>10.97</v>
      </c>
      <c r="BN40" s="52" cm="1">
        <f t="array" aca="1" ref="BN40" ca="1">_FV(EB40,"Preço")</f>
        <v>10.97</v>
      </c>
      <c r="BO40" s="69" t="s">
        <v>37</v>
      </c>
      <c r="BP40" s="36" cm="1">
        <f t="array" aca="1" ref="BP40" ca="1">_FV(EB40,"Média de volume",TRUE)</f>
        <v>1512340</v>
      </c>
      <c r="BQ40" s="36">
        <v>1063300</v>
      </c>
      <c r="BR40" s="36" cm="1">
        <f t="array" aca="1" ref="BR40" ca="1">_FV(EB40,"Volume")</f>
        <v>1063300</v>
      </c>
      <c r="BS40" s="24" cm="1">
        <f t="array" aca="1" ref="BS40" ca="1">_FV(EB40,"Beta")</f>
        <v>1.0906</v>
      </c>
      <c r="BT40" s="71" cm="1">
        <f t="array" aca="1" ref="BT40" ca="1">_FV(EB40,"Variação (%)",TRUE)</f>
        <v>1.9517E-2</v>
      </c>
      <c r="BV40" s="17" cm="1">
        <f t="array" aca="1" ref="BV40" ca="1">_FV(EB40,"Baixo")</f>
        <v>10.7</v>
      </c>
      <c r="BW40" s="17" cm="1">
        <f t="array" aca="1" ref="BW40" ca="1">_FV(EB40,"Alto")</f>
        <v>10.97</v>
      </c>
      <c r="BX40" s="24"/>
      <c r="BY40" s="63">
        <f ca="1">SQRT(22.5*(BN40/VLOOKUP(BO40,Fundamentus!A:U,3,FALSE))*(BN40/VLOOKUP(BO40,Fundamentus!A:U,4,FALSE)))</f>
        <v>37.038834822355305</v>
      </c>
      <c r="CA40" s="62">
        <f t="shared" ca="1" si="24"/>
        <v>0</v>
      </c>
      <c r="CB40" s="8"/>
      <c r="CC40" s="61">
        <f t="shared" si="25"/>
        <v>9.57</v>
      </c>
      <c r="CD40" s="61">
        <f t="shared" si="26"/>
        <v>13</v>
      </c>
      <c r="CE40" s="61">
        <f t="shared" si="27"/>
        <v>11.169153846153847</v>
      </c>
      <c r="CF40" s="14"/>
      <c r="CG40" s="35">
        <f t="shared" si="1"/>
        <v>9.6731395172523769</v>
      </c>
      <c r="CH40" s="15">
        <f t="shared" si="28"/>
        <v>10.440000000000055</v>
      </c>
      <c r="CI40" s="35">
        <f t="shared" si="2"/>
        <v>11.206860482747732</v>
      </c>
      <c r="CK40" s="14"/>
      <c r="CL40" s="17">
        <f t="shared" si="3"/>
        <v>5.6900000000000013</v>
      </c>
      <c r="CM40" s="17">
        <f t="shared" si="4"/>
        <v>7.6300000000000008</v>
      </c>
      <c r="CN40" s="17">
        <f t="shared" si="5"/>
        <v>9.120000000000001</v>
      </c>
      <c r="CO40" s="38">
        <f t="shared" si="29"/>
        <v>11.06</v>
      </c>
      <c r="CP40" s="17">
        <f t="shared" si="6"/>
        <v>12.55</v>
      </c>
      <c r="CQ40" s="17">
        <f t="shared" si="7"/>
        <v>14.49</v>
      </c>
      <c r="CR40" s="17">
        <f t="shared" si="8"/>
        <v>15.98</v>
      </c>
      <c r="CS40" s="2" cm="1">
        <f t="array" aca="1" ref="CS40" ca="1">MAX(_xlfn._xlws.FILTER(CL40:CR40,CL40:CR40&lt;BN40))</f>
        <v>9.120000000000001</v>
      </c>
      <c r="CT40" s="2" cm="1">
        <f t="array" aca="1" ref="CT40" ca="1">MIN(_xlfn._xlws.FILTER($CL40:$CR40,$CL40:$CR40&gt;BN40))</f>
        <v>11.06</v>
      </c>
      <c r="CU40" s="16">
        <f t="shared" ca="1" si="63"/>
        <v>0.21271929824561386</v>
      </c>
      <c r="CV40" s="20">
        <f t="shared" ca="1" si="64"/>
        <v>-0.10635964912280693</v>
      </c>
      <c r="CW40" s="20">
        <f t="shared" ca="1" si="65"/>
        <v>-7.0906432748537959E-2</v>
      </c>
      <c r="CX40" s="20">
        <f t="shared" ca="1" si="66"/>
        <v>-4.2543859649122773E-2</v>
      </c>
      <c r="CY40" s="20">
        <f t="shared" ca="1" si="67"/>
        <v>-2.3635477582845985E-2</v>
      </c>
      <c r="CZ40" s="20">
        <f t="shared" ca="1" si="68"/>
        <v>-1.2512899896800815E-2</v>
      </c>
      <c r="DA40" s="20">
        <f t="shared" ca="1" si="69"/>
        <v>-6.4460393407761779E-3</v>
      </c>
      <c r="DB40" s="20">
        <f t="shared" ca="1" si="70"/>
        <v>-3.2726045883940593E-3</v>
      </c>
      <c r="DC40" s="21">
        <f t="shared" ca="1" si="71"/>
        <v>3.2726045883940593E-3</v>
      </c>
      <c r="DD40" s="21">
        <f t="shared" ca="1" si="72"/>
        <v>6.4460393407761779E-3</v>
      </c>
      <c r="DE40" s="21">
        <f t="shared" ca="1" si="73"/>
        <v>1.2512899896800815E-2</v>
      </c>
      <c r="DF40" s="21">
        <f t="shared" ca="1" si="74"/>
        <v>2.3635477582845985E-2</v>
      </c>
      <c r="DG40" s="21">
        <f t="shared" ca="1" si="75"/>
        <v>4.2543859649122773E-2</v>
      </c>
      <c r="DH40" s="21">
        <f t="shared" ca="1" si="76"/>
        <v>7.0906432748537959E-2</v>
      </c>
      <c r="DI40" s="21">
        <f t="shared" ca="1" si="77"/>
        <v>0.10635964912280693</v>
      </c>
      <c r="DK40" s="16" cm="1">
        <f t="array" aca="1" ref="DK40" ca="1">MAX(_xlfn._xlws.FILTER(CV40:DI40,CV40:DI40&lt;BT40))</f>
        <v>1.2512899896800815E-2</v>
      </c>
      <c r="DL40" s="16" cm="1">
        <f t="array" aca="1" ref="DL40" ca="1">MIN(_xlfn._xlws.FILTER(CV40:DI40,CV40:DI40&gt;BT40))</f>
        <v>2.3635477582845985E-2</v>
      </c>
      <c r="DM40" s="2" cm="1">
        <f t="array" aca="1" ref="DM40" ca="1">_FV(EB40,"Fechamento anterior",TRUE)</f>
        <v>10.76</v>
      </c>
      <c r="DN40" s="28">
        <f t="shared" ca="1" si="15"/>
        <v>0.62969474571725181</v>
      </c>
      <c r="DO40" s="15">
        <f t="shared" ca="1" si="78"/>
        <v>10.894638802889576</v>
      </c>
      <c r="DP40" s="15">
        <f t="shared" ca="1" si="79"/>
        <v>11.014317738791423</v>
      </c>
      <c r="DQ40" s="9"/>
      <c r="DR40" s="9"/>
      <c r="DS40" s="9"/>
      <c r="DT40" s="89">
        <v>1.112257768604517E-2</v>
      </c>
      <c r="DU40" s="89">
        <f t="shared" ca="1" si="18"/>
        <v>1.112257768604517E-2</v>
      </c>
      <c r="DV40" s="72">
        <f t="shared" ca="1" si="19"/>
        <v>0.69112962777915565</v>
      </c>
      <c r="DW40" s="37"/>
      <c r="DX40" s="35">
        <f t="shared" si="39"/>
        <v>0.38343024137383852</v>
      </c>
      <c r="DY40" s="56"/>
      <c r="DZ40" s="56"/>
      <c r="EB40" s="2" t="e" vm="40">
        <v>#VALUE!</v>
      </c>
      <c r="ED40" s="10" cm="1">
        <f t="array" aca="1" ref="ED40" ca="1">_FV(EB40,"Ações em circulação",TRUE)</f>
        <v>408974500</v>
      </c>
      <c r="EE40" s="18">
        <f>VLOOKUP(BO40,Fundamentus!A:U,5,FALSE)</f>
        <v>0</v>
      </c>
      <c r="EF40" s="2" t="e">
        <f t="shared" ca="1" si="20"/>
        <v>#DIV/0!</v>
      </c>
      <c r="EG40" s="17" t="e">
        <v>#DIV/0!</v>
      </c>
      <c r="EH40" s="17" t="e">
        <f t="shared" ca="1" si="21"/>
        <v>#DIV/0!</v>
      </c>
      <c r="EJ40" s="16" t="e">
        <f t="shared" ca="1" si="22"/>
        <v>#DIV/0!</v>
      </c>
      <c r="EK40" s="32" t="str">
        <f>IF(VLOOKUP(BO40,Fundamentus!A:U,3,FALSE)&lt;15,"Bom",IF(VLOOKUP(BO40,Fundamentus!A:U,3,FALSE)&gt;15,"Ruim","n/a"))</f>
        <v>Bom</v>
      </c>
      <c r="EL40" s="28" t="str">
        <f>IF(VLOOKUP(BO40,Fundamentus!A:U,4,FALSE)&lt;1,"Baixo",IF(VLOOKUP(BO40,Fundamentus!A:U,4,FALSE)&lt;1.5,"Moderado",IF(VLOOKUP(BO40,Fundamentus!A:U,4,FALSE)&gt;1.5,"Alto","n/a")))</f>
        <v>Baixo</v>
      </c>
      <c r="EM40" s="17" t="str">
        <f>IF(VLOOKUP(BO40,Fundamentus!A:U,8,FALSE)&lt;0,"Risco elevado",IF(VLOOKUP(BO40,Fundamentus!A:U,8,FALSE)&lt;1,"Saudável",IF(VLOOKUP(BO40,Fundamentus!A:U,8,FALSE)&lt;3,"Estável",IF(VLOOKUP(BO40,Fundamentus!A:U,8,FALSE)&gt;3,"Alerta","n/a"))))</f>
        <v>Saudável</v>
      </c>
      <c r="EN40" s="28" t="str">
        <f t="shared" si="23"/>
        <v>Ruim</v>
      </c>
      <c r="EO40" s="17" t="str">
        <f>IF(VLOOKUP(BO40,Fundamentus!A:U,12,FALSE)&lt;2,"Subvalorizada",IF(VLOOKUP(BO40,Fundamentus!A:U,12,FALSE)&lt;6,"Muita barata",IF(VLOOKUP(BO40,Fundamentus!A:U,12,FALSE)&lt;6,"Barata",IF(VLOOKUP(BO40,Fundamentus!A:U,12,FALSE)&lt;8,"Atrativa",IF(VLOOKUP(BO40,Fundamentus!A:U,12,FALSE)&gt;8,"Supervalorizada","n/a")))))</f>
        <v>Subvalorizada</v>
      </c>
      <c r="EQ40" s="17" t="str">
        <f>IF(VLOOKUP(BO40,Fundamentus!A:U,17,FALSE)&lt;0.1,"Fraco retorno",IF(VLOOKUP(BO40,Fundamentus!A:U,17,FALSE)&gt;0.1,"Bom retorno","n/a"))</f>
        <v>Fraco retorno</v>
      </c>
      <c r="ER40" s="17" t="str">
        <f>IF(VLOOKUP(BO40,Fundamentus!A:U,16,FALSE)&lt;0.1,"Ineficiente",IF(VLOOKUP(BO40,Fundamentus!A:U,16,FALSE)&gt;0.1,"Eficiente","n/a"))</f>
        <v>Ineficiente</v>
      </c>
      <c r="ES40" s="33" t="str">
        <f>IF(VLOOKUP(BO40,Fundamentus!A:U,16,FALSE)&lt;0.1,"Oper. Ineficiente",IF(VLOOKUP(BO40,Fundamentus!A:U,16,FALSE)&gt;0.1,"Oper.Eficiente","n/a"))</f>
        <v>Oper. Ineficiente</v>
      </c>
      <c r="ET40" s="34">
        <f>VLOOKUP(BO40,Fundamentus!A:U,14,FALSE)</f>
        <v>0</v>
      </c>
      <c r="EU40" s="17" t="str">
        <f>IF(VLOOKUP(BO40,Fundamentus!A:U,21,FALSE)&lt;0,"Negativo",IF(VLOOKUP(BO40,Fundamentus!A:U,21,FALSE)&lt;0.05,"Fraco",IF(VLOOKUP(BO40,Fundamentus!A:U,21,FALSE)&lt;0.1,"Bom",IF(VLOOKUP(BO40,Fundamentus!A:U,21,FALSE)&gt;0.1,"Muito bom","n/a"))))</f>
        <v>Fraco</v>
      </c>
      <c r="EW40" s="29" t="str">
        <f>IF(VLOOKUP(BO40,Fundamentus!A:U,15,FALSE)&gt;1,"Bom",IF(VLOOKUP(BO40,Fundamentus!A:U,15,FALSE)&lt;1,"Ruim","n/a"))</f>
        <v>Ruim</v>
      </c>
      <c r="EX40" s="17" t="str">
        <f>IF(VLOOKUP(BO40,Fundamentus!A:U,20,FALSE)&lt;0.5,"Baixa",IF(VLOOKUP(BO40,Fundamentus!A:U,20,FALSE)&lt;1,"Moderada",IF(VLOOKUP(BO40,Fundamentus!A:U,20,FALSE)&lt;2,"Alerta",IF(VLOOKUP(BO40,Fundamentus!A:U,20,FALSE)&gt;2,"Alta","n/a"))))</f>
        <v>Baixa</v>
      </c>
    </row>
    <row r="41" spans="1:154" s="2" customFormat="1" ht="11.25"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5">
        <v>17.440000000000001</v>
      </c>
      <c r="BC41" s="52">
        <v>17.309999999999999</v>
      </c>
      <c r="BD41" s="52">
        <v>17.489999999999998</v>
      </c>
      <c r="BE41" s="52">
        <v>17.37</v>
      </c>
      <c r="BF41" s="52">
        <v>17.37</v>
      </c>
      <c r="BG41" s="67">
        <v>17.440000000000001</v>
      </c>
      <c r="BH41" s="52">
        <v>17.5</v>
      </c>
      <c r="BI41" s="52">
        <v>17.45</v>
      </c>
      <c r="BJ41" s="52">
        <v>17.5</v>
      </c>
      <c r="BK41" s="52">
        <v>17.5</v>
      </c>
      <c r="BL41" s="52">
        <v>17.53</v>
      </c>
      <c r="BM41" s="52">
        <v>17.559999999999999</v>
      </c>
      <c r="BN41" s="52" cm="1">
        <f t="array" aca="1" ref="BN41" ca="1">_FV(EB41,"Preço")</f>
        <v>17.559999999999999</v>
      </c>
      <c r="BO41" s="69" t="s">
        <v>38</v>
      </c>
      <c r="BP41" s="36" cm="1">
        <f t="array" aca="1" ref="BP41" ca="1">_FV(EB41,"Média de volume",TRUE)</f>
        <v>1100000</v>
      </c>
      <c r="BQ41" s="36">
        <v>1058700</v>
      </c>
      <c r="BR41" s="36" cm="1">
        <f t="array" aca="1" ref="BR41" ca="1">_FV(EB41,"Volume")</f>
        <v>1058700</v>
      </c>
      <c r="BS41" s="24" cm="1">
        <f t="array" aca="1" ref="BS41" ca="1">_FV(EB41,"Beta")</f>
        <v>1.0643</v>
      </c>
      <c r="BT41" s="71" cm="1">
        <f t="array" aca="1" ref="BT41" ca="1">_FV(EB41,"Variação (%)",TRUE)</f>
        <v>-2.8389999999999999E-3</v>
      </c>
      <c r="BV41" s="17" cm="1">
        <f t="array" aca="1" ref="BV41" ca="1">_FV(EB41,"Baixo")</f>
        <v>17.559999999999999</v>
      </c>
      <c r="BW41" s="17" cm="1">
        <f t="array" aca="1" ref="BW41" ca="1">_FV(EB41,"Alto")</f>
        <v>17.66</v>
      </c>
      <c r="BX41" s="24"/>
      <c r="BY41" s="63">
        <f ca="1">SQRT(22.5*(BN41/VLOOKUP(BO41,Fundamentus!A:U,3,FALSE))*(BN41/VLOOKUP(BO41,Fundamentus!A:U,4,FALSE)))</f>
        <v>13.38778325702703</v>
      </c>
      <c r="CA41" s="62">
        <f t="shared" ca="1" si="24"/>
        <v>0</v>
      </c>
      <c r="CB41" s="8"/>
      <c r="CC41" s="61">
        <f t="shared" si="25"/>
        <v>14.55</v>
      </c>
      <c r="CD41" s="61">
        <f t="shared" si="26"/>
        <v>17.559999999999999</v>
      </c>
      <c r="CE41" s="61">
        <f t="shared" si="27"/>
        <v>16.587076923076925</v>
      </c>
      <c r="CF41" s="14"/>
      <c r="CG41" s="35">
        <f t="shared" si="1"/>
        <v>17.525250628144658</v>
      </c>
      <c r="CH41" s="15">
        <f t="shared" si="28"/>
        <v>17.574999999999989</v>
      </c>
      <c r="CI41" s="35">
        <f t="shared" si="2"/>
        <v>17.624749371855319</v>
      </c>
      <c r="CK41" s="14"/>
      <c r="CL41" s="17">
        <f t="shared" si="3"/>
        <v>12.523333333333337</v>
      </c>
      <c r="CM41" s="17">
        <f t="shared" si="4"/>
        <v>13.536666666666669</v>
      </c>
      <c r="CN41" s="17">
        <f t="shared" si="5"/>
        <v>15.533333333333335</v>
      </c>
      <c r="CO41" s="38">
        <f t="shared" si="29"/>
        <v>16.546666666666667</v>
      </c>
      <c r="CP41" s="17">
        <f t="shared" si="6"/>
        <v>18.543333333333333</v>
      </c>
      <c r="CQ41" s="17">
        <f t="shared" si="7"/>
        <v>19.556666666666665</v>
      </c>
      <c r="CR41" s="17">
        <f t="shared" si="8"/>
        <v>21.553333333333331</v>
      </c>
      <c r="CS41" s="2" cm="1">
        <f t="array" aca="1" ref="CS41" ca="1">MAX(_xlfn._xlws.FILTER(CL41:CR41,CL41:CR41&lt;BN41))</f>
        <v>16.546666666666667</v>
      </c>
      <c r="CT41" s="2" cm="1">
        <f t="array" aca="1" ref="CT41" ca="1">MIN(_xlfn._xlws.FILTER($CL41:$CR41,$CL41:$CR41&gt;BN41))</f>
        <v>18.543333333333333</v>
      </c>
      <c r="CU41" s="16">
        <f t="shared" ca="1" si="63"/>
        <v>0.12066881547139396</v>
      </c>
      <c r="CV41" s="20">
        <f t="shared" ca="1" si="64"/>
        <v>-6.0334407735696982E-2</v>
      </c>
      <c r="CW41" s="20">
        <f t="shared" ca="1" si="65"/>
        <v>-4.0222938490464655E-2</v>
      </c>
      <c r="CX41" s="20">
        <f t="shared" ca="1" si="66"/>
        <v>-2.4133763094278792E-2</v>
      </c>
      <c r="CY41" s="20">
        <f t="shared" ca="1" si="67"/>
        <v>-1.3407646163488218E-2</v>
      </c>
      <c r="CZ41" s="20">
        <f t="shared" ca="1" si="68"/>
        <v>-7.0981656159643507E-3</v>
      </c>
      <c r="DA41" s="20">
        <f t="shared" ca="1" si="69"/>
        <v>-3.6566307718604234E-3</v>
      </c>
      <c r="DB41" s="20">
        <f t="shared" ca="1" si="70"/>
        <v>-1.8564433149445224E-3</v>
      </c>
      <c r="DC41" s="21">
        <f t="shared" ca="1" si="71"/>
        <v>1.8564433149445224E-3</v>
      </c>
      <c r="DD41" s="21">
        <f t="shared" ca="1" si="72"/>
        <v>3.6566307718604234E-3</v>
      </c>
      <c r="DE41" s="21">
        <f t="shared" ca="1" si="73"/>
        <v>7.0981656159643507E-3</v>
      </c>
      <c r="DF41" s="21">
        <f t="shared" ca="1" si="74"/>
        <v>1.3407646163488218E-2</v>
      </c>
      <c r="DG41" s="21">
        <f t="shared" ca="1" si="75"/>
        <v>2.4133763094278792E-2</v>
      </c>
      <c r="DH41" s="21">
        <f t="shared" ca="1" si="76"/>
        <v>4.0222938490464655E-2</v>
      </c>
      <c r="DI41" s="21">
        <f t="shared" ca="1" si="77"/>
        <v>6.0334407735696982E-2</v>
      </c>
      <c r="DK41" s="16" cm="1">
        <f t="array" aca="1" ref="DK41" ca="1">MAX(_xlfn._xlws.FILTER(CV41:DI41,CV41:DI41&lt;BT41))</f>
        <v>-3.6566307718604234E-3</v>
      </c>
      <c r="DL41" s="16" cm="1">
        <f t="array" aca="1" ref="DL41" ca="1">MIN(_xlfn._xlws.FILTER(CV41:DI41,CV41:DI41&gt;BT41))</f>
        <v>-1.8564433149445224E-3</v>
      </c>
      <c r="DM41" s="2" cm="1">
        <f t="array" aca="1" ref="DM41" ca="1">_FV(EB41,"Fechamento anterior",TRUE)</f>
        <v>17.61</v>
      </c>
      <c r="DN41" s="28">
        <f t="shared" ca="1" si="15"/>
        <v>0.45402767033641839</v>
      </c>
      <c r="DO41" s="15">
        <f t="shared" ca="1" si="78"/>
        <v>17.545606732107537</v>
      </c>
      <c r="DP41" s="15">
        <f t="shared" ca="1" si="79"/>
        <v>17.577308033223826</v>
      </c>
      <c r="DQ41" s="9"/>
      <c r="DR41" s="9"/>
      <c r="DS41" s="9"/>
      <c r="DT41" s="89">
        <v>1.8001874569159009E-3</v>
      </c>
      <c r="DU41" s="89">
        <f t="shared" ca="1" si="18"/>
        <v>1.8001874569159009E-3</v>
      </c>
      <c r="DV41" s="72">
        <f t="shared" ca="1" si="19"/>
        <v>-0.30151134457756207</v>
      </c>
      <c r="DW41" s="37"/>
      <c r="DX41" s="35">
        <f t="shared" si="39"/>
        <v>2.4874685927665102E-2</v>
      </c>
      <c r="DY41" s="56"/>
      <c r="DZ41" s="56"/>
      <c r="EB41" s="2" t="e" vm="41">
        <v>#VALUE!</v>
      </c>
      <c r="ED41" s="10" cm="1">
        <f t="array" aca="1" ref="ED41" ca="1">_FV(EB41,"Ações em circulação",TRUE)</f>
        <v>440977900</v>
      </c>
      <c r="EE41" s="18">
        <f>VLOOKUP(BO41,Fundamentus!A:U,5,FALSE)</f>
        <v>2.5529999999999999</v>
      </c>
      <c r="EF41" s="2">
        <f t="shared" ca="1" si="20"/>
        <v>3033126488.0532703</v>
      </c>
      <c r="EG41" s="17">
        <v>574474156.83728945</v>
      </c>
      <c r="EH41" s="17">
        <f t="shared" ca="1" si="21"/>
        <v>574474156.83728945</v>
      </c>
      <c r="EJ41" s="16">
        <f t="shared" ca="1" si="22"/>
        <v>0</v>
      </c>
      <c r="EK41" s="32" t="str">
        <f>IF(VLOOKUP(BO41,Fundamentus!A:U,3,FALSE)&lt;15,"Bom",IF(VLOOKUP(BO41,Fundamentus!A:U,3,FALSE)&gt;15,"Ruim","n/a"))</f>
        <v>Bom</v>
      </c>
      <c r="EL41" s="28" t="str">
        <f>IF(VLOOKUP(BO41,Fundamentus!A:U,4,FALSE)&lt;1,"Baixo",IF(VLOOKUP(BO41,Fundamentus!A:U,4,FALSE)&lt;1.5,"Moderado",IF(VLOOKUP(BO41,Fundamentus!A:U,4,FALSE)&gt;1.5,"Alto","n/a")))</f>
        <v>Alto</v>
      </c>
      <c r="EM41" s="17" t="str">
        <f>IF(VLOOKUP(BO41,Fundamentus!A:U,8,FALSE)&lt;0,"Risco elevado",IF(VLOOKUP(BO41,Fundamentus!A:U,8,FALSE)&lt;1,"Saudável",IF(VLOOKUP(BO41,Fundamentus!A:U,8,FALSE)&lt;3,"Estável",IF(VLOOKUP(BO41,Fundamentus!A:U,8,FALSE)&gt;3,"Alerta","n/a"))))</f>
        <v>Alerta</v>
      </c>
      <c r="EN41" s="28" t="str">
        <f t="shared" si="23"/>
        <v>Bom</v>
      </c>
      <c r="EO41" s="17" t="str">
        <f>IF(VLOOKUP(BO41,Fundamentus!A:U,12,FALSE)&lt;2,"Subvalorizada",IF(VLOOKUP(BO41,Fundamentus!A:U,12,FALSE)&lt;6,"Muita barata",IF(VLOOKUP(BO41,Fundamentus!A:U,12,FALSE)&lt;6,"Barata",IF(VLOOKUP(BO41,Fundamentus!A:U,12,FALSE)&lt;8,"Atrativa",IF(VLOOKUP(BO41,Fundamentus!A:U,12,FALSE)&gt;8,"Supervalorizada","n/a")))))</f>
        <v>Atrativa</v>
      </c>
      <c r="EQ41" s="17" t="str">
        <f>IF(VLOOKUP(BO41,Fundamentus!A:U,17,FALSE)&lt;0.1,"Fraco retorno",IF(VLOOKUP(BO41,Fundamentus!A:U,17,FALSE)&gt;0.1,"Bom retorno","n/a"))</f>
        <v>Bom retorno</v>
      </c>
      <c r="ER41" s="17" t="str">
        <f>IF(VLOOKUP(BO41,Fundamentus!A:U,16,FALSE)&lt;0.1,"Ineficiente",IF(VLOOKUP(BO41,Fundamentus!A:U,16,FALSE)&gt;0.1,"Eficiente","n/a"))</f>
        <v>Eficiente</v>
      </c>
      <c r="ES41" s="33" t="str">
        <f>IF(VLOOKUP(BO41,Fundamentus!A:U,16,FALSE)&lt;0.1,"Oper. Ineficiente",IF(VLOOKUP(BO41,Fundamentus!A:U,16,FALSE)&gt;0.1,"Oper.Eficiente","n/a"))</f>
        <v>Oper.Eficiente</v>
      </c>
      <c r="ET41" s="34">
        <f>VLOOKUP(BO41,Fundamentus!A:U,14,FALSE)</f>
        <v>0.18940000000000001</v>
      </c>
      <c r="EU41" s="17" t="str">
        <f>IF(VLOOKUP(BO41,Fundamentus!A:U,21,FALSE)&lt;0,"Negativo",IF(VLOOKUP(BO41,Fundamentus!A:U,21,FALSE)&lt;0.05,"Fraco",IF(VLOOKUP(BO41,Fundamentus!A:U,21,FALSE)&lt;0.1,"Bom",IF(VLOOKUP(BO41,Fundamentus!A:U,21,FALSE)&gt;0.1,"Muito bom","n/a"))))</f>
        <v>Fraco</v>
      </c>
      <c r="EW41" s="29" t="str">
        <f>IF(VLOOKUP(BO41,Fundamentus!A:U,15,FALSE)&gt;1,"Bom",IF(VLOOKUP(BO41,Fundamentus!A:U,15,FALSE)&lt;1,"Ruim","n/a"))</f>
        <v>Bom</v>
      </c>
      <c r="EX41" s="17" t="str">
        <f>IF(VLOOKUP(BO41,Fundamentus!A:U,20,FALSE)&lt;0.5,"Baixa",IF(VLOOKUP(BO41,Fundamentus!A:U,20,FALSE)&lt;1,"Moderada",IF(VLOOKUP(BO41,Fundamentus!A:U,20,FALSE)&lt;2,"Alerta",IF(VLOOKUP(BO41,Fundamentus!A:U,20,FALSE)&gt;2,"Alta","n/a"))))</f>
        <v>Moderada</v>
      </c>
    </row>
    <row r="42" spans="1:154" s="2" customFormat="1" ht="11.25"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5">
        <v>4.95</v>
      </c>
      <c r="BC42" s="52">
        <v>5.3</v>
      </c>
      <c r="BD42" s="52">
        <v>5.3</v>
      </c>
      <c r="BE42" s="52">
        <v>5.3</v>
      </c>
      <c r="BF42" s="52">
        <v>5.18</v>
      </c>
      <c r="BG42" s="67">
        <v>5.68</v>
      </c>
      <c r="BH42" s="52">
        <v>6</v>
      </c>
      <c r="BI42" s="52">
        <v>5.86</v>
      </c>
      <c r="BJ42" s="52">
        <v>5.9</v>
      </c>
      <c r="BK42" s="52">
        <v>6.07</v>
      </c>
      <c r="BL42" s="52">
        <v>5.74</v>
      </c>
      <c r="BM42" s="52">
        <v>5.96</v>
      </c>
      <c r="BN42" s="52" cm="1">
        <f t="array" aca="1" ref="BN42" ca="1">_FV(EB42,"Preço")</f>
        <v>5.96</v>
      </c>
      <c r="BO42" s="69" t="s">
        <v>39</v>
      </c>
      <c r="BP42" s="36" cm="1">
        <f t="array" aca="1" ref="BP42" ca="1">_FV(EB42,"Média de volume",TRUE)</f>
        <v>279720</v>
      </c>
      <c r="BQ42" s="36">
        <v>249600</v>
      </c>
      <c r="BR42" s="36" cm="1">
        <f t="array" aca="1" ref="BR42" ca="1">_FV(EB42,"Volume")</f>
        <v>249600</v>
      </c>
      <c r="BS42" s="24" cm="1">
        <f t="array" aca="1" ref="BS42" ca="1">_FV(EB42,"Beta")</f>
        <v>1.2528999999999999</v>
      </c>
      <c r="BT42" s="71" cm="1">
        <f t="array" aca="1" ref="BT42" ca="1">_FV(EB42,"Variação (%)",TRUE)</f>
        <v>4.0140000000000002E-2</v>
      </c>
      <c r="BV42" s="17" cm="1">
        <f t="array" aca="1" ref="BV42" ca="1">_FV(EB42,"Baixo")</f>
        <v>5.73</v>
      </c>
      <c r="BW42" s="17" cm="1">
        <f t="array" aca="1" ref="BW42" ca="1">_FV(EB42,"Alto")</f>
        <v>5.97</v>
      </c>
      <c r="BX42" s="24"/>
      <c r="BY42" s="63">
        <f ca="1">SQRT(22.5*(BN42/VLOOKUP(BO42,Fundamentus!A:U,3,FALSE))*(BN42/VLOOKUP(BO42,Fundamentus!A:U,4,FALSE)))</f>
        <v>11.697523212485008</v>
      </c>
      <c r="CA42" s="62">
        <f t="shared" ca="1" si="24"/>
        <v>0</v>
      </c>
      <c r="CB42" s="8"/>
      <c r="CC42" s="61">
        <f t="shared" si="25"/>
        <v>4.05</v>
      </c>
      <c r="CD42" s="61">
        <f t="shared" si="26"/>
        <v>6.07</v>
      </c>
      <c r="CE42" s="61">
        <f t="shared" si="27"/>
        <v>4.6792307692307702</v>
      </c>
      <c r="CF42" s="14"/>
      <c r="CG42" s="35">
        <f t="shared" si="1"/>
        <v>5.6415151996457586</v>
      </c>
      <c r="CH42" s="15">
        <f t="shared" si="28"/>
        <v>5.8799999999999955</v>
      </c>
      <c r="CI42" s="35">
        <f t="shared" si="2"/>
        <v>6.1184848003542323</v>
      </c>
      <c r="CK42" s="14"/>
      <c r="CL42" s="17">
        <f t="shared" si="3"/>
        <v>2.4833333333333334</v>
      </c>
      <c r="CM42" s="17">
        <f t="shared" si="4"/>
        <v>3.2666666666666666</v>
      </c>
      <c r="CN42" s="17">
        <f t="shared" si="5"/>
        <v>4.5033333333333339</v>
      </c>
      <c r="CO42" s="38">
        <f t="shared" si="29"/>
        <v>5.2866666666666671</v>
      </c>
      <c r="CP42" s="17">
        <f t="shared" si="6"/>
        <v>6.5233333333333343</v>
      </c>
      <c r="CQ42" s="17">
        <f t="shared" si="7"/>
        <v>7.3066666666666675</v>
      </c>
      <c r="CR42" s="17">
        <f t="shared" si="8"/>
        <v>8.5433333333333348</v>
      </c>
      <c r="CS42" s="2" cm="1">
        <f t="array" aca="1" ref="CS42" ca="1">MAX(_xlfn._xlws.FILTER(CL42:CR42,CL42:CR42&lt;BN42))</f>
        <v>5.2866666666666671</v>
      </c>
      <c r="CT42" s="2" cm="1">
        <f t="array" aca="1" ref="CT42" ca="1">MIN(_xlfn._xlws.FILTER($CL42:$CR42,$CL42:$CR42&gt;BN42))</f>
        <v>6.5233333333333343</v>
      </c>
      <c r="CU42" s="16">
        <f t="shared" ca="1" si="63"/>
        <v>0.23392181588902905</v>
      </c>
      <c r="CV42" s="20">
        <f t="shared" ca="1" si="64"/>
        <v>-0.11696090794451452</v>
      </c>
      <c r="CW42" s="20">
        <f t="shared" ca="1" si="65"/>
        <v>-7.7973938629676345E-2</v>
      </c>
      <c r="CX42" s="20">
        <f t="shared" ca="1" si="66"/>
        <v>-4.6784363177805807E-2</v>
      </c>
      <c r="CY42" s="20">
        <f t="shared" ca="1" si="67"/>
        <v>-2.5991312876558783E-2</v>
      </c>
      <c r="CZ42" s="20">
        <f t="shared" ca="1" si="68"/>
        <v>-1.3760106817001709E-2</v>
      </c>
      <c r="DA42" s="20">
        <f t="shared" ca="1" si="69"/>
        <v>-7.0885398754251226E-3</v>
      </c>
      <c r="DB42" s="20">
        <f t="shared" ca="1" si="70"/>
        <v>-3.5987971675235236E-3</v>
      </c>
      <c r="DC42" s="21">
        <f t="shared" ca="1" si="71"/>
        <v>3.5987971675235236E-3</v>
      </c>
      <c r="DD42" s="21">
        <f t="shared" ca="1" si="72"/>
        <v>7.0885398754251226E-3</v>
      </c>
      <c r="DE42" s="21">
        <f t="shared" ca="1" si="73"/>
        <v>1.3760106817001709E-2</v>
      </c>
      <c r="DF42" s="21">
        <f t="shared" ca="1" si="74"/>
        <v>2.5991312876558783E-2</v>
      </c>
      <c r="DG42" s="21">
        <f t="shared" ca="1" si="75"/>
        <v>4.6784363177805807E-2</v>
      </c>
      <c r="DH42" s="21">
        <f t="shared" ca="1" si="76"/>
        <v>7.7973938629676345E-2</v>
      </c>
      <c r="DI42" s="21">
        <f t="shared" ca="1" si="77"/>
        <v>0.11696090794451452</v>
      </c>
      <c r="DK42" s="16" cm="1">
        <f t="array" aca="1" ref="DK42" ca="1">MAX(_xlfn._xlws.FILTER(CV42:DI42,CV42:DI42&lt;BT42))</f>
        <v>2.5991312876558783E-2</v>
      </c>
      <c r="DL42" s="16" cm="1">
        <f t="array" aca="1" ref="DL42" ca="1">MIN(_xlfn._xlws.FILTER(CV42:DI42,CV42:DI42&gt;BT42))</f>
        <v>4.6784363177805807E-2</v>
      </c>
      <c r="DM42" s="2" cm="1">
        <f t="array" aca="1" ref="DM42" ca="1">_FV(EB42,"Fechamento anterior",TRUE)</f>
        <v>5.73</v>
      </c>
      <c r="DN42" s="28">
        <f t="shared" ca="1" si="15"/>
        <v>0.68043423039471085</v>
      </c>
      <c r="DO42" s="15">
        <f t="shared" ca="1" si="78"/>
        <v>5.8789302227826825</v>
      </c>
      <c r="DP42" s="15">
        <f t="shared" ca="1" si="79"/>
        <v>5.9980744010088278</v>
      </c>
      <c r="DQ42" s="9"/>
      <c r="DR42" s="9"/>
      <c r="DS42" s="9"/>
      <c r="DT42" s="89">
        <v>2.0793050301247024E-2</v>
      </c>
      <c r="DU42" s="89">
        <f t="shared" ca="1" si="18"/>
        <v>2.0793050301247024E-2</v>
      </c>
      <c r="DV42" s="72">
        <f t="shared" ca="1" si="19"/>
        <v>0.33545114775103224</v>
      </c>
      <c r="DW42" s="37"/>
      <c r="DX42" s="35">
        <f t="shared" si="39"/>
        <v>0.11924240017711821</v>
      </c>
      <c r="DY42" s="56"/>
      <c r="DZ42" s="56"/>
      <c r="EB42" s="2" t="e" vm="42">
        <v>#VALUE!</v>
      </c>
      <c r="ED42" s="10" cm="1">
        <f t="array" aca="1" ref="ED42" ca="1">_FV(EB42,"Ações em circulação",TRUE)</f>
        <v>226739600</v>
      </c>
      <c r="EE42" s="18">
        <f>VLOOKUP(BO42,Fundamentus!A:U,5,FALSE)</f>
        <v>0</v>
      </c>
      <c r="EF42" s="2" t="e">
        <f t="shared" ca="1" si="20"/>
        <v>#DIV/0!</v>
      </c>
      <c r="EG42" s="17" t="e">
        <v>#DIV/0!</v>
      </c>
      <c r="EH42" s="17" t="e">
        <f t="shared" ca="1" si="21"/>
        <v>#DIV/0!</v>
      </c>
      <c r="EJ42" s="16" t="e">
        <f t="shared" ca="1" si="22"/>
        <v>#DIV/0!</v>
      </c>
      <c r="EK42" s="32" t="str">
        <f>IF(VLOOKUP(BO42,Fundamentus!A:U,3,FALSE)&lt;15,"Bom",IF(VLOOKUP(BO42,Fundamentus!A:U,3,FALSE)&gt;15,"Ruim","n/a"))</f>
        <v>Bom</v>
      </c>
      <c r="EL42" s="28" t="str">
        <f>IF(VLOOKUP(BO42,Fundamentus!A:U,4,FALSE)&lt;1,"Baixo",IF(VLOOKUP(BO42,Fundamentus!A:U,4,FALSE)&lt;1.5,"Moderado",IF(VLOOKUP(BO42,Fundamentus!A:U,4,FALSE)&gt;1.5,"Alto","n/a")))</f>
        <v>Moderado</v>
      </c>
      <c r="EM42" s="17" t="str">
        <f>IF(VLOOKUP(BO42,Fundamentus!A:U,8,FALSE)&lt;0,"Risco elevado",IF(VLOOKUP(BO42,Fundamentus!A:U,8,FALSE)&lt;1,"Saudável",IF(VLOOKUP(BO42,Fundamentus!A:U,8,FALSE)&lt;3,"Estável",IF(VLOOKUP(BO42,Fundamentus!A:U,8,FALSE)&gt;3,"Alerta","n/a"))))</f>
        <v>Saudável</v>
      </c>
      <c r="EN42" s="28" t="str">
        <f t="shared" si="23"/>
        <v>Ruim</v>
      </c>
      <c r="EO42" s="17" t="str">
        <f>IF(VLOOKUP(BO42,Fundamentus!A:U,12,FALSE)&lt;2,"Subvalorizada",IF(VLOOKUP(BO42,Fundamentus!A:U,12,FALSE)&lt;6,"Muita barata",IF(VLOOKUP(BO42,Fundamentus!A:U,12,FALSE)&lt;6,"Barata",IF(VLOOKUP(BO42,Fundamentus!A:U,12,FALSE)&lt;8,"Atrativa",IF(VLOOKUP(BO42,Fundamentus!A:U,12,FALSE)&gt;8,"Supervalorizada","n/a")))))</f>
        <v>Subvalorizada</v>
      </c>
      <c r="EQ42" s="17" t="str">
        <f>IF(VLOOKUP(BO42,Fundamentus!A:U,17,FALSE)&lt;0.1,"Fraco retorno",IF(VLOOKUP(BO42,Fundamentus!A:U,17,FALSE)&gt;0.1,"Bom retorno","n/a"))</f>
        <v>Bom retorno</v>
      </c>
      <c r="ER42" s="17" t="str">
        <f>IF(VLOOKUP(BO42,Fundamentus!A:U,16,FALSE)&lt;0.1,"Ineficiente",IF(VLOOKUP(BO42,Fundamentus!A:U,16,FALSE)&gt;0.1,"Eficiente","n/a"))</f>
        <v>Ineficiente</v>
      </c>
      <c r="ES42" s="33" t="str">
        <f>IF(VLOOKUP(BO42,Fundamentus!A:U,16,FALSE)&lt;0.1,"Oper. Ineficiente",IF(VLOOKUP(BO42,Fundamentus!A:U,16,FALSE)&gt;0.1,"Oper.Eficiente","n/a"))</f>
        <v>Oper. Ineficiente</v>
      </c>
      <c r="ET42" s="34">
        <f>VLOOKUP(BO42,Fundamentus!A:U,14,FALSE)</f>
        <v>0</v>
      </c>
      <c r="EU42" s="17" t="str">
        <f>IF(VLOOKUP(BO42,Fundamentus!A:U,21,FALSE)&lt;0,"Negativo",IF(VLOOKUP(BO42,Fundamentus!A:U,21,FALSE)&lt;0.05,"Fraco",IF(VLOOKUP(BO42,Fundamentus!A:U,21,FALSE)&lt;0.1,"Bom",IF(VLOOKUP(BO42,Fundamentus!A:U,21,FALSE)&gt;0.1,"Muito bom","n/a"))))</f>
        <v>Muito bom</v>
      </c>
      <c r="EW42" s="29" t="str">
        <f>IF(VLOOKUP(BO42,Fundamentus!A:U,15,FALSE)&gt;1,"Bom",IF(VLOOKUP(BO42,Fundamentus!A:U,15,FALSE)&lt;1,"Ruim","n/a"))</f>
        <v>Ruim</v>
      </c>
      <c r="EX42" s="17" t="str">
        <f>IF(VLOOKUP(BO42,Fundamentus!A:U,20,FALSE)&lt;0.5,"Baixa",IF(VLOOKUP(BO42,Fundamentus!A:U,20,FALSE)&lt;1,"Moderada",IF(VLOOKUP(BO42,Fundamentus!A:U,20,FALSE)&lt;2,"Alerta",IF(VLOOKUP(BO42,Fundamentus!A:U,20,FALSE)&gt;2,"Alta","n/a"))))</f>
        <v>Baixa</v>
      </c>
    </row>
    <row r="43" spans="1:154" s="2" customFormat="1" ht="11.25"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5">
        <v>10.61</v>
      </c>
      <c r="BC43" s="52">
        <v>11.12</v>
      </c>
      <c r="BD43" s="52">
        <v>11.08</v>
      </c>
      <c r="BE43" s="52">
        <v>11.07</v>
      </c>
      <c r="BF43" s="52">
        <v>10.87</v>
      </c>
      <c r="BG43" s="67">
        <v>10.73</v>
      </c>
      <c r="BH43" s="52">
        <v>10.87</v>
      </c>
      <c r="BI43" s="52">
        <v>10.8</v>
      </c>
      <c r="BJ43" s="52">
        <v>11.14</v>
      </c>
      <c r="BK43" s="52">
        <v>10.5</v>
      </c>
      <c r="BL43" s="52">
        <v>10.41</v>
      </c>
      <c r="BM43" s="52">
        <v>10.41</v>
      </c>
      <c r="BN43" s="52" cm="1">
        <f t="array" aca="1" ref="BN43" ca="1">_FV(EB43,"Preço")</f>
        <v>10.41</v>
      </c>
      <c r="BO43" s="69" t="s">
        <v>40</v>
      </c>
      <c r="BP43" s="36" cm="1">
        <f t="array" aca="1" ref="BP43" ca="1">_FV(EB43,"Média de volume",TRUE)</f>
        <v>20833220</v>
      </c>
      <c r="BQ43" s="36">
        <v>33800</v>
      </c>
      <c r="BR43" s="36" cm="1">
        <f t="array" aca="1" ref="BR43" ca="1">_FV(EB43,"Volume")</f>
        <v>33800</v>
      </c>
      <c r="BS43" s="24" cm="1">
        <f t="array" aca="1" ref="BS43" ca="1">_FV(EB43,"Beta")</f>
        <v>1.1893</v>
      </c>
      <c r="BT43" s="71" cm="1">
        <f t="array" aca="1" ref="BT43" ca="1">_FV(EB43,"Variação (%)",TRUE)</f>
        <v>-1.918E-3</v>
      </c>
      <c r="BV43" s="17" cm="1">
        <f t="array" aca="1" ref="BV43" ca="1">_FV(EB43,"Baixo")</f>
        <v>10.37</v>
      </c>
      <c r="BW43" s="17" cm="1">
        <f t="array" aca="1" ref="BW43" ca="1">_FV(EB43,"Alto")</f>
        <v>10.51</v>
      </c>
      <c r="BX43" s="24"/>
      <c r="BY43" s="63">
        <f ca="1">SQRT(22.5*(BN43/VLOOKUP(BO43,Fundamentus!A:U,3,FALSE))*(BN43/VLOOKUP(BO43,Fundamentus!A:U,4,FALSE)))</f>
        <v>15.405747515281405</v>
      </c>
      <c r="CA43" s="62">
        <f t="shared" ca="1" si="24"/>
        <v>0</v>
      </c>
      <c r="CB43" s="8"/>
      <c r="CC43" s="61">
        <f t="shared" si="25"/>
        <v>8.74</v>
      </c>
      <c r="CD43" s="61">
        <f t="shared" si="26"/>
        <v>11.18</v>
      </c>
      <c r="CE43" s="61">
        <f t="shared" si="27"/>
        <v>10.159230769230769</v>
      </c>
      <c r="CF43" s="14"/>
      <c r="CG43" s="35">
        <f t="shared" si="1"/>
        <v>9.4343446143691914</v>
      </c>
      <c r="CH43" s="15">
        <f t="shared" si="28"/>
        <v>10.045000000000073</v>
      </c>
      <c r="CI43" s="35">
        <f t="shared" si="2"/>
        <v>10.655655385630954</v>
      </c>
      <c r="CK43" s="14"/>
      <c r="CL43" s="17">
        <f t="shared" si="3"/>
        <v>6.6000000000000032</v>
      </c>
      <c r="CM43" s="17">
        <f t="shared" si="4"/>
        <v>7.6700000000000017</v>
      </c>
      <c r="CN43" s="17">
        <f t="shared" si="5"/>
        <v>9.0400000000000027</v>
      </c>
      <c r="CO43" s="38">
        <f t="shared" si="29"/>
        <v>10.110000000000001</v>
      </c>
      <c r="CP43" s="17">
        <f t="shared" si="6"/>
        <v>11.480000000000002</v>
      </c>
      <c r="CQ43" s="17">
        <f t="shared" si="7"/>
        <v>12.55</v>
      </c>
      <c r="CR43" s="17">
        <f t="shared" si="8"/>
        <v>13.920000000000002</v>
      </c>
      <c r="CS43" s="2" cm="1">
        <f t="array" aca="1" ref="CS43" ca="1">MAX(_xlfn._xlws.FILTER(CL43:CR43,CL43:CR43&lt;BN43))</f>
        <v>10.110000000000001</v>
      </c>
      <c r="CT43" s="2" cm="1">
        <f t="array" aca="1" ref="CT43" ca="1">MIN(_xlfn._xlws.FILTER($CL43:$CR43,$CL43:$CR43&gt;BN43))</f>
        <v>11.480000000000002</v>
      </c>
      <c r="CU43" s="16">
        <f t="shared" ca="1" si="63"/>
        <v>0.13550939663699313</v>
      </c>
      <c r="CV43" s="20">
        <f t="shared" ca="1" si="64"/>
        <v>-6.7754698318496565E-2</v>
      </c>
      <c r="CW43" s="20">
        <f t="shared" ca="1" si="65"/>
        <v>-4.5169798878997712E-2</v>
      </c>
      <c r="CX43" s="20">
        <f t="shared" ca="1" si="66"/>
        <v>-2.7101879327398624E-2</v>
      </c>
      <c r="CY43" s="20">
        <f t="shared" ca="1" si="67"/>
        <v>-1.505659962633257E-2</v>
      </c>
      <c r="CZ43" s="20">
        <f t="shared" ca="1" si="68"/>
        <v>-7.9711409786466549E-3</v>
      </c>
      <c r="DA43" s="20">
        <f t="shared" ca="1" si="69"/>
        <v>-4.1063453526361555E-3</v>
      </c>
      <c r="DB43" s="20">
        <f t="shared" ca="1" si="70"/>
        <v>-2.0847599482614327E-3</v>
      </c>
      <c r="DC43" s="21">
        <f t="shared" ca="1" si="71"/>
        <v>2.0847599482614327E-3</v>
      </c>
      <c r="DD43" s="21">
        <f t="shared" ca="1" si="72"/>
        <v>4.1063453526361555E-3</v>
      </c>
      <c r="DE43" s="21">
        <f t="shared" ca="1" si="73"/>
        <v>7.9711409786466549E-3</v>
      </c>
      <c r="DF43" s="21">
        <f t="shared" ca="1" si="74"/>
        <v>1.505659962633257E-2</v>
      </c>
      <c r="DG43" s="21">
        <f t="shared" ca="1" si="75"/>
        <v>2.7101879327398624E-2</v>
      </c>
      <c r="DH43" s="21">
        <f t="shared" ca="1" si="76"/>
        <v>4.5169798878997712E-2</v>
      </c>
      <c r="DI43" s="21">
        <f t="shared" ca="1" si="77"/>
        <v>6.7754698318496565E-2</v>
      </c>
      <c r="DK43" s="16" cm="1">
        <f t="array" aca="1" ref="DK43" ca="1">MAX(_xlfn._xlws.FILTER(CV43:DI43,CV43:DI43&lt;BT43))</f>
        <v>-2.0847599482614327E-3</v>
      </c>
      <c r="DL43" s="16" cm="1">
        <f t="array" aca="1" ref="DL43" ca="1">MIN(_xlfn._xlws.FILTER(CV43:DI43,CV43:DI43&gt;BT43))</f>
        <v>2.0847599482614327E-3</v>
      </c>
      <c r="DM43" s="2" cm="1">
        <f t="array" aca="1" ref="DM43" ca="1">_FV(EB43,"Fechamento anterior",TRUE)</f>
        <v>10.43</v>
      </c>
      <c r="DN43" s="28">
        <f t="shared" ca="1" si="15"/>
        <v>4.0103995353099588E-2</v>
      </c>
      <c r="DO43" s="15">
        <f t="shared" ca="1" si="78"/>
        <v>10.408255953739634</v>
      </c>
      <c r="DP43" s="15">
        <f t="shared" ca="1" si="79"/>
        <v>10.451744046260366</v>
      </c>
      <c r="DQ43" s="9"/>
      <c r="DR43" s="9"/>
      <c r="DS43" s="9"/>
      <c r="DT43" s="89">
        <v>4.1695198965228655E-3</v>
      </c>
      <c r="DU43" s="89">
        <f t="shared" ca="1" si="18"/>
        <v>4.1695198965228655E-3</v>
      </c>
      <c r="DV43" s="72">
        <f t="shared" ca="1" si="19"/>
        <v>0.5977184654202925</v>
      </c>
      <c r="DW43" s="37"/>
      <c r="DX43" s="35">
        <f t="shared" si="39"/>
        <v>0.3053276928154407</v>
      </c>
      <c r="DY43" s="56"/>
      <c r="DZ43" s="56"/>
      <c r="EB43" s="2" t="e" vm="43">
        <v>#VALUE!</v>
      </c>
      <c r="ED43" s="10" cm="1">
        <f t="array" aca="1" ref="ED43" ca="1">_FV(EB43,"Ações em circulação",TRUE)</f>
        <v>10993810000</v>
      </c>
      <c r="EE43" s="18">
        <f>VLOOKUP(BO43,Fundamentus!A:U,5,FALSE)</f>
        <v>14.114000000000001</v>
      </c>
      <c r="EF43" s="2">
        <f t="shared" ca="1" si="20"/>
        <v>8108655384.7243872</v>
      </c>
      <c r="EG43" s="17">
        <v>15211837501.742949</v>
      </c>
      <c r="EH43" s="17">
        <f t="shared" ca="1" si="21"/>
        <v>15211837501.742949</v>
      </c>
      <c r="EJ43" s="16">
        <f t="shared" ca="1" si="22"/>
        <v>0</v>
      </c>
      <c r="EK43" s="32" t="str">
        <f>IF(VLOOKUP(BO43,Fundamentus!A:U,3,FALSE)&lt;15,"Bom",IF(VLOOKUP(BO43,Fundamentus!A:U,3,FALSE)&gt;15,"Ruim","n/a"))</f>
        <v>Bom</v>
      </c>
      <c r="EL43" s="28" t="str">
        <f>IF(VLOOKUP(BO43,Fundamentus!A:U,4,FALSE)&lt;1,"Baixo",IF(VLOOKUP(BO43,Fundamentus!A:U,4,FALSE)&lt;1.5,"Moderado",IF(VLOOKUP(BO43,Fundamentus!A:U,4,FALSE)&gt;1.5,"Alto","n/a")))</f>
        <v>Moderado</v>
      </c>
      <c r="EM43" s="17" t="str">
        <f>IF(VLOOKUP(BO43,Fundamentus!A:U,8,FALSE)&lt;0,"Risco elevado",IF(VLOOKUP(BO43,Fundamentus!A:U,8,FALSE)&lt;1,"Saudável",IF(VLOOKUP(BO43,Fundamentus!A:U,8,FALSE)&lt;3,"Estável",IF(VLOOKUP(BO43,Fundamentus!A:U,8,FALSE)&gt;3,"Alerta","n/a"))))</f>
        <v>Alerta</v>
      </c>
      <c r="EN43" s="28" t="str">
        <f t="shared" si="23"/>
        <v>Bom</v>
      </c>
      <c r="EO43" s="17" t="str">
        <f>IF(VLOOKUP(BO43,Fundamentus!A:U,12,FALSE)&lt;2,"Subvalorizada",IF(VLOOKUP(BO43,Fundamentus!A:U,12,FALSE)&lt;6,"Muita barata",IF(VLOOKUP(BO43,Fundamentus!A:U,12,FALSE)&lt;6,"Barata",IF(VLOOKUP(BO43,Fundamentus!A:U,12,FALSE)&lt;8,"Atrativa",IF(VLOOKUP(BO43,Fundamentus!A:U,12,FALSE)&gt;8,"Supervalorizada","n/a")))))</f>
        <v>Supervalorizada</v>
      </c>
      <c r="EQ43" s="17" t="str">
        <f>IF(VLOOKUP(BO43,Fundamentus!A:U,17,FALSE)&lt;0.1,"Fraco retorno",IF(VLOOKUP(BO43,Fundamentus!A:U,17,FALSE)&gt;0.1,"Bom retorno","n/a"))</f>
        <v>Bom retorno</v>
      </c>
      <c r="ER43" s="17" t="str">
        <f>IF(VLOOKUP(BO43,Fundamentus!A:U,16,FALSE)&lt;0.1,"Ineficiente",IF(VLOOKUP(BO43,Fundamentus!A:U,16,FALSE)&gt;0.1,"Eficiente","n/a"))</f>
        <v>Ineficiente</v>
      </c>
      <c r="ES43" s="33" t="str">
        <f>IF(VLOOKUP(BO43,Fundamentus!A:U,16,FALSE)&lt;0.1,"Oper. Ineficiente",IF(VLOOKUP(BO43,Fundamentus!A:U,16,FALSE)&gt;0.1,"Oper.Eficiente","n/a"))</f>
        <v>Oper. Ineficiente</v>
      </c>
      <c r="ET43" s="34">
        <f>VLOOKUP(BO43,Fundamentus!A:U,14,FALSE)</f>
        <v>1.8759999999999999</v>
      </c>
      <c r="EU43" s="17" t="str">
        <f>IF(VLOOKUP(BO43,Fundamentus!A:U,21,FALSE)&lt;0,"Negativo",IF(VLOOKUP(BO43,Fundamentus!A:U,21,FALSE)&lt;0.05,"Fraco",IF(VLOOKUP(BO43,Fundamentus!A:U,21,FALSE)&lt;0.1,"Bom",IF(VLOOKUP(BO43,Fundamentus!A:U,21,FALSE)&gt;0.1,"Muito bom","n/a"))))</f>
        <v>Fraco</v>
      </c>
      <c r="EW43" s="29" t="str">
        <f>IF(VLOOKUP(BO43,Fundamentus!A:U,15,FALSE)&gt;1,"Bom",IF(VLOOKUP(BO43,Fundamentus!A:U,15,FALSE)&lt;1,"Ruim","n/a"))</f>
        <v>Bom</v>
      </c>
      <c r="EX43" s="17" t="str">
        <f>IF(VLOOKUP(BO43,Fundamentus!A:U,20,FALSE)&lt;0.5,"Baixa",IF(VLOOKUP(BO43,Fundamentus!A:U,20,FALSE)&lt;1,"Moderada",IF(VLOOKUP(BO43,Fundamentus!A:U,20,FALSE)&lt;2,"Alerta",IF(VLOOKUP(BO43,Fundamentus!A:U,20,FALSE)&gt;2,"Alta","n/a"))))</f>
        <v>Baixa</v>
      </c>
    </row>
    <row r="44" spans="1:154" s="2" customFormat="1" ht="11.25"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5">
        <v>1.44</v>
      </c>
      <c r="BC44" s="52">
        <v>1.36</v>
      </c>
      <c r="BD44" s="52">
        <v>1.2</v>
      </c>
      <c r="BE44" s="52">
        <v>1.19</v>
      </c>
      <c r="BF44" s="52">
        <v>1.1399999999999999</v>
      </c>
      <c r="BG44" s="67">
        <v>1.1299999999999999</v>
      </c>
      <c r="BH44" s="52">
        <v>1.1499999999999999</v>
      </c>
      <c r="BI44" s="52">
        <v>1.19</v>
      </c>
      <c r="BJ44" s="52">
        <v>1.23</v>
      </c>
      <c r="BK44" s="52">
        <v>1.21</v>
      </c>
      <c r="BL44" s="52">
        <v>1.35</v>
      </c>
      <c r="BM44" s="52">
        <v>1.34</v>
      </c>
      <c r="BN44" s="52" cm="1">
        <f t="array" aca="1" ref="BN44" ca="1">_FV(EB44,"Preço")</f>
        <v>1.34</v>
      </c>
      <c r="BO44" s="69" t="s">
        <v>41</v>
      </c>
      <c r="BP44" s="36" cm="1">
        <f t="array" aca="1" ref="BP44" ca="1">_FV(EB44,"Média de volume",TRUE)</f>
        <v>372450</v>
      </c>
      <c r="BQ44" s="36">
        <v>93400</v>
      </c>
      <c r="BR44" s="36" cm="1">
        <f t="array" aca="1" ref="BR44" ca="1">_FV(EB44,"Volume")</f>
        <v>93400</v>
      </c>
      <c r="BS44" s="24" cm="1">
        <f t="array" aca="1" ref="BS44" ca="1">_FV(EB44,"Beta")</f>
        <v>2.0710999999999999</v>
      </c>
      <c r="BT44" s="71" cm="1">
        <f t="array" aca="1" ref="BT44" ca="1">_FV(EB44,"Variação (%)",TRUE)</f>
        <v>7.5190000000000005E-3</v>
      </c>
      <c r="BV44" s="17" cm="1">
        <f t="array" aca="1" ref="BV44" ca="1">_FV(EB44,"Baixo")</f>
        <v>1.31</v>
      </c>
      <c r="BW44" s="17" cm="1">
        <f t="array" aca="1" ref="BW44" ca="1">_FV(EB44,"Alto")</f>
        <v>1.34</v>
      </c>
      <c r="BX44" s="24"/>
      <c r="BY44" s="63" t="e">
        <f ca="1">SQRT(22.5*(BN44/VLOOKUP(BO44,Fundamentus!A:U,3,FALSE))*(BN44/VLOOKUP(BO44,Fundamentus!A:U,4,FALSE)))</f>
        <v>#NUM!</v>
      </c>
      <c r="CA44" s="62">
        <f t="shared" ca="1" si="24"/>
        <v>0</v>
      </c>
      <c r="CB44" s="8"/>
      <c r="CC44" s="61">
        <f t="shared" si="25"/>
        <v>0.91</v>
      </c>
      <c r="CD44" s="61">
        <f t="shared" si="26"/>
        <v>1.74</v>
      </c>
      <c r="CE44" s="61">
        <f t="shared" si="27"/>
        <v>1.2683076923076921</v>
      </c>
      <c r="CF44" s="14"/>
      <c r="CG44" s="35">
        <f t="shared" si="1"/>
        <v>1.2740039683164357</v>
      </c>
      <c r="CH44" s="15">
        <f t="shared" si="28"/>
        <v>1.3999999999999773</v>
      </c>
      <c r="CI44" s="35">
        <f t="shared" si="2"/>
        <v>1.5259960316835188</v>
      </c>
      <c r="CK44" s="14"/>
      <c r="CL44" s="17">
        <f t="shared" si="3"/>
        <v>9.6666666666666567E-2</v>
      </c>
      <c r="CM44" s="17">
        <f t="shared" si="4"/>
        <v>0.5033333333333333</v>
      </c>
      <c r="CN44" s="17">
        <f t="shared" si="5"/>
        <v>0.92666666666666653</v>
      </c>
      <c r="CO44" s="38">
        <f t="shared" si="29"/>
        <v>1.3333333333333333</v>
      </c>
      <c r="CP44" s="17">
        <f t="shared" si="6"/>
        <v>1.7566666666666664</v>
      </c>
      <c r="CQ44" s="17">
        <f t="shared" si="7"/>
        <v>2.1633333333333331</v>
      </c>
      <c r="CR44" s="17">
        <f t="shared" si="8"/>
        <v>2.5866666666666664</v>
      </c>
      <c r="CS44" s="2" cm="1">
        <f t="array" aca="1" ref="CS44" ca="1">MAX(_xlfn._xlws.FILTER(CL44:CR44,CL44:CR44&lt;BN44))</f>
        <v>1.3333333333333333</v>
      </c>
      <c r="CT44" s="2" cm="1">
        <f t="array" aca="1" ref="CT44" ca="1">MIN(_xlfn._xlws.FILTER($CL44:$CR44,$CL44:$CR44&gt;BN44))</f>
        <v>1.7566666666666664</v>
      </c>
      <c r="CU44" s="16">
        <f t="shared" ca="1" si="63"/>
        <v>0.31749999999999989</v>
      </c>
      <c r="CV44" s="20">
        <f t="shared" ca="1" si="64"/>
        <v>-0.15874999999999995</v>
      </c>
      <c r="CW44" s="20">
        <f t="shared" ca="1" si="65"/>
        <v>-0.10583333333333329</v>
      </c>
      <c r="CX44" s="20">
        <f t="shared" ca="1" si="66"/>
        <v>-6.3499999999999973E-2</v>
      </c>
      <c r="CY44" s="20">
        <f t="shared" ca="1" si="67"/>
        <v>-3.5277777777777769E-2</v>
      </c>
      <c r="CZ44" s="20">
        <f t="shared" ca="1" si="68"/>
        <v>-1.8676470588235287E-2</v>
      </c>
      <c r="DA44" s="20">
        <f t="shared" ca="1" si="69"/>
        <v>-9.6212121212121172E-3</v>
      </c>
      <c r="DB44" s="20">
        <f t="shared" ca="1" si="70"/>
        <v>-4.8846153846153831E-3</v>
      </c>
      <c r="DC44" s="21">
        <f t="shared" ca="1" si="71"/>
        <v>4.8846153846153831E-3</v>
      </c>
      <c r="DD44" s="21">
        <f t="shared" ca="1" si="72"/>
        <v>9.6212121212121172E-3</v>
      </c>
      <c r="DE44" s="21">
        <f t="shared" ca="1" si="73"/>
        <v>1.8676470588235287E-2</v>
      </c>
      <c r="DF44" s="21">
        <f t="shared" ca="1" si="74"/>
        <v>3.5277777777777769E-2</v>
      </c>
      <c r="DG44" s="21">
        <f t="shared" ca="1" si="75"/>
        <v>6.3499999999999973E-2</v>
      </c>
      <c r="DH44" s="21">
        <f t="shared" ca="1" si="76"/>
        <v>0.10583333333333329</v>
      </c>
      <c r="DI44" s="21">
        <f t="shared" ca="1" si="77"/>
        <v>0.15874999999999995</v>
      </c>
      <c r="DK44" s="16" cm="1">
        <f t="array" aca="1" ref="DK44" ca="1">MAX(_xlfn._xlws.FILTER(CV44:DI44,CV44:DI44&lt;BT44))</f>
        <v>4.8846153846153831E-3</v>
      </c>
      <c r="DL44" s="16" cm="1">
        <f t="array" aca="1" ref="DL44" ca="1">MIN(_xlfn._xlws.FILTER(CV44:DI44,CV44:DI44&gt;BT44))</f>
        <v>9.6212121212121172E-3</v>
      </c>
      <c r="DM44" s="2" cm="1">
        <f t="array" aca="1" ref="DM44" ca="1">_FV(EB44,"Fechamento anterior",TRUE)</f>
        <v>1.33</v>
      </c>
      <c r="DN44" s="28">
        <f t="shared" ca="1" si="15"/>
        <v>0.55613381386536376</v>
      </c>
      <c r="DO44" s="15">
        <f t="shared" ca="1" si="78"/>
        <v>1.3364965384615386</v>
      </c>
      <c r="DP44" s="15">
        <f t="shared" ca="1" si="79"/>
        <v>1.3427962121212123</v>
      </c>
      <c r="DQ44" s="9"/>
      <c r="DR44" s="9"/>
      <c r="DS44" s="9"/>
      <c r="DT44" s="89">
        <v>4.7365967365967342E-3</v>
      </c>
      <c r="DU44" s="89">
        <f t="shared" ca="1" si="18"/>
        <v>4.7365967365967342E-3</v>
      </c>
      <c r="DV44" s="72">
        <f t="shared" ca="1" si="19"/>
        <v>-0.47620547407934577</v>
      </c>
      <c r="DW44" s="37"/>
      <c r="DX44" s="35">
        <f t="shared" si="39"/>
        <v>6.2998015841770824E-2</v>
      </c>
      <c r="DY44" s="56"/>
      <c r="DZ44" s="56"/>
      <c r="EB44" s="2" t="e" vm="44">
        <v>#VALUE!</v>
      </c>
      <c r="ED44" s="10" cm="1">
        <f t="array" aca="1" ref="ED44" ca="1">_FV(EB44,"Ações em circulação",TRUE)</f>
        <v>286676500</v>
      </c>
      <c r="EE44" s="18">
        <f>VLOOKUP(BO44,Fundamentus!A:U,5,FALSE)</f>
        <v>0.17499999999999999</v>
      </c>
      <c r="EF44" s="2">
        <f t="shared" ca="1" si="20"/>
        <v>2195122914.2857146</v>
      </c>
      <c r="EG44" s="17">
        <v>-86048818.24000001</v>
      </c>
      <c r="EH44" s="17">
        <f t="shared" ca="1" si="21"/>
        <v>-86048818.24000001</v>
      </c>
      <c r="EJ44" s="16">
        <f t="shared" ca="1" si="22"/>
        <v>0</v>
      </c>
      <c r="EK44" s="32" t="str">
        <f>IF(VLOOKUP(BO44,Fundamentus!A:U,3,FALSE)&lt;15,"Bom",IF(VLOOKUP(BO44,Fundamentus!A:U,3,FALSE)&gt;15,"Ruim","n/a"))</f>
        <v>Bom</v>
      </c>
      <c r="EL44" s="28" t="str">
        <f>IF(VLOOKUP(BO44,Fundamentus!A:U,4,FALSE)&lt;1,"Baixo",IF(VLOOKUP(BO44,Fundamentus!A:U,4,FALSE)&lt;1.5,"Moderado",IF(VLOOKUP(BO44,Fundamentus!A:U,4,FALSE)&gt;1.5,"Alto","n/a")))</f>
        <v>Baixo</v>
      </c>
      <c r="EM44" s="17" t="str">
        <f>IF(VLOOKUP(BO44,Fundamentus!A:U,8,FALSE)&lt;0,"Risco elevado",IF(VLOOKUP(BO44,Fundamentus!A:U,8,FALSE)&lt;1,"Saudável",IF(VLOOKUP(BO44,Fundamentus!A:U,8,FALSE)&lt;3,"Estável",IF(VLOOKUP(BO44,Fundamentus!A:U,8,FALSE)&gt;3,"Alerta","n/a"))))</f>
        <v>Risco elevado</v>
      </c>
      <c r="EN44" s="28" t="str">
        <f t="shared" si="23"/>
        <v>Ruim</v>
      </c>
      <c r="EO44" s="17" t="str">
        <f>IF(VLOOKUP(BO44,Fundamentus!A:U,12,FALSE)&lt;2,"Subvalorizada",IF(VLOOKUP(BO44,Fundamentus!A:U,12,FALSE)&lt;6,"Muita barata",IF(VLOOKUP(BO44,Fundamentus!A:U,12,FALSE)&lt;6,"Barata",IF(VLOOKUP(BO44,Fundamentus!A:U,12,FALSE)&lt;8,"Atrativa",IF(VLOOKUP(BO44,Fundamentus!A:U,12,FALSE)&gt;8,"Supervalorizada","n/a")))))</f>
        <v>Muita barata</v>
      </c>
      <c r="EQ44" s="17" t="str">
        <f>IF(VLOOKUP(BO44,Fundamentus!A:U,17,FALSE)&lt;0.1,"Fraco retorno",IF(VLOOKUP(BO44,Fundamentus!A:U,17,FALSE)&gt;0.1,"Bom retorno","n/a"))</f>
        <v>Fraco retorno</v>
      </c>
      <c r="ER44" s="17" t="str">
        <f>IF(VLOOKUP(BO44,Fundamentus!A:U,16,FALSE)&lt;0.1,"Ineficiente",IF(VLOOKUP(BO44,Fundamentus!A:U,16,FALSE)&gt;0.1,"Eficiente","n/a"))</f>
        <v>Ineficiente</v>
      </c>
      <c r="ES44" s="33" t="str">
        <f>IF(VLOOKUP(BO44,Fundamentus!A:U,16,FALSE)&lt;0.1,"Oper. Ineficiente",IF(VLOOKUP(BO44,Fundamentus!A:U,16,FALSE)&gt;0.1,"Oper.Eficiente","n/a"))</f>
        <v>Oper. Ineficiente</v>
      </c>
      <c r="ET44" s="34">
        <f>VLOOKUP(BO44,Fundamentus!A:U,14,FALSE)</f>
        <v>-3.9199999999999999E-2</v>
      </c>
      <c r="EU44" s="17" t="str">
        <f>IF(VLOOKUP(BO44,Fundamentus!A:U,21,FALSE)&lt;0,"Negativo",IF(VLOOKUP(BO44,Fundamentus!A:U,21,FALSE)&lt;0.05,"Fraco",IF(VLOOKUP(BO44,Fundamentus!A:U,21,FALSE)&lt;0.1,"Bom",IF(VLOOKUP(BO44,Fundamentus!A:U,21,FALSE)&gt;0.1,"Muito bom","n/a"))))</f>
        <v>Muito bom</v>
      </c>
      <c r="EW44" s="29" t="str">
        <f>IF(VLOOKUP(BO44,Fundamentus!A:U,15,FALSE)&gt;1,"Bom",IF(VLOOKUP(BO44,Fundamentus!A:U,15,FALSE)&lt;1,"Ruim","n/a"))</f>
        <v>Ruim</v>
      </c>
      <c r="EX44" s="17" t="str">
        <f>IF(VLOOKUP(BO44,Fundamentus!A:U,20,FALSE)&lt;0.5,"Baixa",IF(VLOOKUP(BO44,Fundamentus!A:U,20,FALSE)&lt;1,"Moderada",IF(VLOOKUP(BO44,Fundamentus!A:U,20,FALSE)&lt;2,"Alerta",IF(VLOOKUP(BO44,Fundamentus!A:U,20,FALSE)&gt;2,"Alta","n/a"))))</f>
        <v>Moderada</v>
      </c>
    </row>
    <row r="45" spans="1:154" s="2" customFormat="1" ht="11.25"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5">
        <v>38.19</v>
      </c>
      <c r="BC45" s="52">
        <v>38.51</v>
      </c>
      <c r="BD45" s="52">
        <v>38.1</v>
      </c>
      <c r="BE45" s="52">
        <v>37.51</v>
      </c>
      <c r="BF45" s="52">
        <v>36.44</v>
      </c>
      <c r="BG45" s="67">
        <v>35.51</v>
      </c>
      <c r="BH45" s="52">
        <v>35.19</v>
      </c>
      <c r="BI45" s="52">
        <v>35.229999999999997</v>
      </c>
      <c r="BJ45" s="52">
        <v>36.51</v>
      </c>
      <c r="BK45" s="52">
        <v>35.22</v>
      </c>
      <c r="BL45" s="52">
        <v>34.32</v>
      </c>
      <c r="BM45" s="52">
        <v>33.53</v>
      </c>
      <c r="BN45" s="52" cm="1">
        <f t="array" aca="1" ref="BN45" ca="1">_FV(EB45,"Preço")</f>
        <v>33.53</v>
      </c>
      <c r="BO45" s="69" t="s">
        <v>42</v>
      </c>
      <c r="BP45" s="36" cm="1">
        <f t="array" aca="1" ref="BP45" ca="1">_FV(EB45,"Média de volume",TRUE)</f>
        <v>4470460</v>
      </c>
      <c r="BQ45" s="36">
        <v>3599500</v>
      </c>
      <c r="BR45" s="36" cm="1">
        <f t="array" aca="1" ref="BR45" ca="1">_FV(EB45,"Volume")</f>
        <v>3599500</v>
      </c>
      <c r="BS45" s="24" cm="1">
        <f t="array" aca="1" ref="BS45" ca="1">_FV(EB45,"Beta")</f>
        <v>0.55889999999999995</v>
      </c>
      <c r="BT45" s="71" cm="1">
        <f t="array" aca="1" ref="BT45" ca="1">_FV(EB45,"Variação (%)",TRUE)</f>
        <v>-1.786E-3</v>
      </c>
      <c r="BV45" s="17" cm="1">
        <f t="array" aca="1" ref="BV45" ca="1">_FV(EB45,"Baixo")</f>
        <v>33.43</v>
      </c>
      <c r="BW45" s="17" cm="1">
        <f t="array" aca="1" ref="BW45" ca="1">_FV(EB45,"Alto")</f>
        <v>33.700000000000003</v>
      </c>
      <c r="BX45" s="24"/>
      <c r="BY45" s="63">
        <f ca="1">SQRT(22.5*(BN45/VLOOKUP(BO45,Fundamentus!A:U,3,FALSE))*(BN45/VLOOKUP(BO45,Fundamentus!A:U,4,FALSE)))</f>
        <v>23.636444798932747</v>
      </c>
      <c r="CA45" s="62">
        <f t="shared" ca="1" si="24"/>
        <v>0</v>
      </c>
      <c r="CB45" s="8"/>
      <c r="CC45" s="61">
        <f t="shared" si="25"/>
        <v>32.200000000000003</v>
      </c>
      <c r="CD45" s="61">
        <f t="shared" si="26"/>
        <v>42.77</v>
      </c>
      <c r="CE45" s="61">
        <f t="shared" si="27"/>
        <v>36.113846153846168</v>
      </c>
      <c r="CF45" s="14"/>
      <c r="CG45" s="35">
        <f t="shared" si="1"/>
        <v>30.219667067911871</v>
      </c>
      <c r="CH45" s="15">
        <f t="shared" si="28"/>
        <v>32.43500000000131</v>
      </c>
      <c r="CI45" s="35">
        <f t="shared" si="2"/>
        <v>34.650332932090748</v>
      </c>
      <c r="CK45" s="14"/>
      <c r="CL45" s="17">
        <f t="shared" si="3"/>
        <v>19.519999999999996</v>
      </c>
      <c r="CM45" s="17">
        <f t="shared" si="4"/>
        <v>25.86</v>
      </c>
      <c r="CN45" s="17">
        <f t="shared" si="5"/>
        <v>30.089999999999996</v>
      </c>
      <c r="CO45" s="38">
        <f t="shared" si="29"/>
        <v>36.43</v>
      </c>
      <c r="CP45" s="17">
        <f t="shared" si="6"/>
        <v>40.659999999999997</v>
      </c>
      <c r="CQ45" s="17">
        <f t="shared" si="7"/>
        <v>47</v>
      </c>
      <c r="CR45" s="17">
        <f t="shared" si="8"/>
        <v>51.23</v>
      </c>
      <c r="CS45" s="2" cm="1">
        <f t="array" aca="1" ref="CS45" ca="1">MAX(_xlfn._xlws.FILTER(CL45:CR45,CL45:CR45&lt;BN45))</f>
        <v>30.089999999999996</v>
      </c>
      <c r="CT45" s="2" cm="1">
        <f t="array" aca="1" ref="CT45" ca="1">MIN(_xlfn._xlws.FILTER($CL45:$CR45,$CL45:$CR45&gt;BN45))</f>
        <v>36.43</v>
      </c>
      <c r="CU45" s="16">
        <f t="shared" ca="1" si="63"/>
        <v>0.21070122964440019</v>
      </c>
      <c r="CV45" s="20">
        <f t="shared" ca="1" si="64"/>
        <v>-0.10535061482220009</v>
      </c>
      <c r="CW45" s="20">
        <f t="shared" ca="1" si="65"/>
        <v>-7.0233743214800068E-2</v>
      </c>
      <c r="CX45" s="20">
        <f t="shared" ca="1" si="66"/>
        <v>-4.2140245928880035E-2</v>
      </c>
      <c r="CY45" s="20">
        <f t="shared" ca="1" si="67"/>
        <v>-2.3411247738266687E-2</v>
      </c>
      <c r="CZ45" s="20">
        <f t="shared" ca="1" si="68"/>
        <v>-1.2394189979082364E-2</v>
      </c>
      <c r="DA45" s="20">
        <f t="shared" ca="1" si="69"/>
        <v>-6.3848857468000054E-3</v>
      </c>
      <c r="DB45" s="20">
        <f t="shared" ca="1" si="70"/>
        <v>-3.2415573791446184E-3</v>
      </c>
      <c r="DC45" s="21">
        <f t="shared" ca="1" si="71"/>
        <v>3.2415573791446184E-3</v>
      </c>
      <c r="DD45" s="21">
        <f t="shared" ca="1" si="72"/>
        <v>6.3848857468000054E-3</v>
      </c>
      <c r="DE45" s="21">
        <f t="shared" ca="1" si="73"/>
        <v>1.2394189979082364E-2</v>
      </c>
      <c r="DF45" s="21">
        <f t="shared" ca="1" si="74"/>
        <v>2.3411247738266687E-2</v>
      </c>
      <c r="DG45" s="21">
        <f t="shared" ca="1" si="75"/>
        <v>4.2140245928880035E-2</v>
      </c>
      <c r="DH45" s="21">
        <f t="shared" ca="1" si="76"/>
        <v>7.0233743214800068E-2</v>
      </c>
      <c r="DI45" s="21">
        <f t="shared" ca="1" si="77"/>
        <v>0.10535061482220009</v>
      </c>
      <c r="DK45" s="16" cm="1">
        <f t="array" aca="1" ref="DK45" ca="1">MAX(_xlfn._xlws.FILTER(CV45:DI45,CV45:DI45&lt;BT45))</f>
        <v>-3.2415573791446184E-3</v>
      </c>
      <c r="DL45" s="16" cm="1">
        <f t="array" aca="1" ref="DL45" ca="1">MIN(_xlfn._xlws.FILTER(CV45:DI45,CV45:DI45&gt;BT45))</f>
        <v>3.2415573791446184E-3</v>
      </c>
      <c r="DM45" s="2" cm="1">
        <f t="array" aca="1" ref="DM45" ca="1">_FV(EB45,"Fechamento anterior",TRUE)</f>
        <v>33.590000000000003</v>
      </c>
      <c r="DN45" s="28">
        <f t="shared" ca="1" si="15"/>
        <v>0.2244772037644496</v>
      </c>
      <c r="DO45" s="15">
        <f t="shared" ca="1" si="78"/>
        <v>33.481116087634533</v>
      </c>
      <c r="DP45" s="15">
        <f t="shared" ca="1" si="79"/>
        <v>33.698883912365474</v>
      </c>
      <c r="DQ45" s="9"/>
      <c r="DR45" s="9"/>
      <c r="DS45" s="9"/>
      <c r="DT45" s="89">
        <v>6.4831147582892368E-3</v>
      </c>
      <c r="DU45" s="89">
        <f t="shared" ca="1" si="18"/>
        <v>6.4831147582892368E-3</v>
      </c>
      <c r="DV45" s="72">
        <f t="shared" ca="1" si="19"/>
        <v>0.49428236457710167</v>
      </c>
      <c r="DW45" s="37"/>
      <c r="DX45" s="35">
        <f t="shared" si="39"/>
        <v>1.1076664660447193</v>
      </c>
      <c r="DY45" s="56"/>
      <c r="DZ45" s="56"/>
      <c r="EB45" s="2" t="e" vm="45">
        <v>#VALUE!</v>
      </c>
      <c r="ED45" s="10" cm="1">
        <f t="array" aca="1" ref="ED45" ca="1">_FV(EB45,"Ações em circulação",TRUE)</f>
        <v>2000000000</v>
      </c>
      <c r="EE45" s="18">
        <f>VLOOKUP(BO45,Fundamentus!A:U,5,FALSE)</f>
        <v>0</v>
      </c>
      <c r="EF45" s="2" t="e">
        <f t="shared" ca="1" si="20"/>
        <v>#DIV/0!</v>
      </c>
      <c r="EG45" s="17" t="e">
        <v>#DIV/0!</v>
      </c>
      <c r="EH45" s="17" t="e">
        <f t="shared" ca="1" si="21"/>
        <v>#DIV/0!</v>
      </c>
      <c r="EJ45" s="16" t="e">
        <f t="shared" ca="1" si="22"/>
        <v>#DIV/0!</v>
      </c>
      <c r="EK45" s="32" t="str">
        <f>IF(VLOOKUP(BO45,Fundamentus!A:U,3,FALSE)&lt;15,"Bom",IF(VLOOKUP(BO45,Fundamentus!A:U,3,FALSE)&gt;15,"Ruim","n/a"))</f>
        <v>Bom</v>
      </c>
      <c r="EL45" s="28" t="str">
        <f>IF(VLOOKUP(BO45,Fundamentus!A:U,4,FALSE)&lt;1,"Baixo",IF(VLOOKUP(BO45,Fundamentus!A:U,4,FALSE)&lt;1.5,"Moderado",IF(VLOOKUP(BO45,Fundamentus!A:U,4,FALSE)&gt;1.5,"Alto","n/a")))</f>
        <v>Alto</v>
      </c>
      <c r="EM45" s="17" t="str">
        <f>IF(VLOOKUP(BO45,Fundamentus!A:U,8,FALSE)&lt;0,"Risco elevado",IF(VLOOKUP(BO45,Fundamentus!A:U,8,FALSE)&lt;1,"Saudável",IF(VLOOKUP(BO45,Fundamentus!A:U,8,FALSE)&lt;3,"Estável",IF(VLOOKUP(BO45,Fundamentus!A:U,8,FALSE)&gt;3,"Alerta","n/a"))))</f>
        <v>Saudável</v>
      </c>
      <c r="EN45" s="28" t="str">
        <f t="shared" si="23"/>
        <v>Ruim</v>
      </c>
      <c r="EO45" s="17" t="str">
        <f>IF(VLOOKUP(BO45,Fundamentus!A:U,12,FALSE)&lt;2,"Subvalorizada",IF(VLOOKUP(BO45,Fundamentus!A:U,12,FALSE)&lt;6,"Muita barata",IF(VLOOKUP(BO45,Fundamentus!A:U,12,FALSE)&lt;6,"Barata",IF(VLOOKUP(BO45,Fundamentus!A:U,12,FALSE)&lt;8,"Atrativa",IF(VLOOKUP(BO45,Fundamentus!A:U,12,FALSE)&gt;8,"Supervalorizada","n/a")))))</f>
        <v>Subvalorizada</v>
      </c>
      <c r="EQ45" s="17" t="str">
        <f>IF(VLOOKUP(BO45,Fundamentus!A:U,17,FALSE)&lt;0.1,"Fraco retorno",IF(VLOOKUP(BO45,Fundamentus!A:U,17,FALSE)&gt;0.1,"Bom retorno","n/a"))</f>
        <v>Bom retorno</v>
      </c>
      <c r="ER45" s="17" t="str">
        <f>IF(VLOOKUP(BO45,Fundamentus!A:U,16,FALSE)&lt;0.1,"Ineficiente",IF(VLOOKUP(BO45,Fundamentus!A:U,16,FALSE)&gt;0.1,"Eficiente","n/a"))</f>
        <v>Ineficiente</v>
      </c>
      <c r="ES45" s="33" t="str">
        <f>IF(VLOOKUP(BO45,Fundamentus!A:U,16,FALSE)&lt;0.1,"Oper. Ineficiente",IF(VLOOKUP(BO45,Fundamentus!A:U,16,FALSE)&gt;0.1,"Oper.Eficiente","n/a"))</f>
        <v>Oper. Ineficiente</v>
      </c>
      <c r="ET45" s="34">
        <f>VLOOKUP(BO45,Fundamentus!A:U,14,FALSE)</f>
        <v>0</v>
      </c>
      <c r="EU45" s="17" t="str">
        <f>IF(VLOOKUP(BO45,Fundamentus!A:U,21,FALSE)&lt;0,"Negativo",IF(VLOOKUP(BO45,Fundamentus!A:U,21,FALSE)&lt;0.05,"Fraco",IF(VLOOKUP(BO45,Fundamentus!A:U,21,FALSE)&lt;0.1,"Bom",IF(VLOOKUP(BO45,Fundamentus!A:U,21,FALSE)&gt;0.1,"Muito bom","n/a"))))</f>
        <v>Fraco</v>
      </c>
      <c r="EW45" s="29" t="str">
        <f>IF(VLOOKUP(BO45,Fundamentus!A:U,15,FALSE)&gt;1,"Bom",IF(VLOOKUP(BO45,Fundamentus!A:U,15,FALSE)&lt;1,"Ruim","n/a"))</f>
        <v>Ruim</v>
      </c>
      <c r="EX45" s="17" t="str">
        <f>IF(VLOOKUP(BO45,Fundamentus!A:U,20,FALSE)&lt;0.5,"Baixa",IF(VLOOKUP(BO45,Fundamentus!A:U,20,FALSE)&lt;1,"Moderada",IF(VLOOKUP(BO45,Fundamentus!A:U,20,FALSE)&lt;2,"Alerta",IF(VLOOKUP(BO45,Fundamentus!A:U,20,FALSE)&gt;2,"Alta","n/a"))))</f>
        <v>Baixa</v>
      </c>
    </row>
    <row r="46" spans="1:154" s="2" customFormat="1" ht="11.25"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5">
        <v>8.6</v>
      </c>
      <c r="BC46" s="52">
        <v>8.81</v>
      </c>
      <c r="BD46" s="52">
        <v>8.7200000000000006</v>
      </c>
      <c r="BE46" s="52">
        <v>8.57</v>
      </c>
      <c r="BF46" s="52">
        <v>9.25</v>
      </c>
      <c r="BG46" s="67">
        <v>9.2200000000000006</v>
      </c>
      <c r="BH46" s="52">
        <v>9.2799999999999994</v>
      </c>
      <c r="BI46" s="52">
        <v>8.86</v>
      </c>
      <c r="BJ46" s="52">
        <v>9.39</v>
      </c>
      <c r="BK46" s="52">
        <v>9.31</v>
      </c>
      <c r="BL46" s="52">
        <v>9</v>
      </c>
      <c r="BM46" s="52">
        <v>9.52</v>
      </c>
      <c r="BN46" s="52" cm="1">
        <f t="array" aca="1" ref="BN46" ca="1">_FV(EB46,"Preço")</f>
        <v>9.52</v>
      </c>
      <c r="BO46" s="69" t="s">
        <v>43</v>
      </c>
      <c r="BP46" s="36" cm="1">
        <f t="array" aca="1" ref="BP46" ca="1">_FV(EB46,"Média de volume",TRUE)</f>
        <v>5615120</v>
      </c>
      <c r="BQ46" s="36">
        <v>5600</v>
      </c>
      <c r="BR46" s="36" cm="1">
        <f t="array" aca="1" ref="BR46" ca="1">_FV(EB46,"Volume")</f>
        <v>5600</v>
      </c>
      <c r="BS46" s="24" cm="1">
        <f t="array" aca="1" ref="BS46" ca="1">_FV(EB46,"Beta")</f>
        <v>0.66120000000000001</v>
      </c>
      <c r="BT46" s="71" cm="1">
        <f t="array" aca="1" ref="BT46" ca="1">_FV(EB46,"Variação (%)",TRUE)</f>
        <v>-1.4493000000000001E-2</v>
      </c>
      <c r="BV46" s="17" cm="1">
        <f t="array" aca="1" ref="BV46" ca="1">_FV(EB46,"Baixo")</f>
        <v>9.48</v>
      </c>
      <c r="BW46" s="17" cm="1">
        <f t="array" aca="1" ref="BW46" ca="1">_FV(EB46,"Alto")</f>
        <v>9.6</v>
      </c>
      <c r="BX46" s="24"/>
      <c r="BY46" s="63">
        <f ca="1">SQRT(22.5*(BN46/VLOOKUP(BO46,Fundamentus!A:U,3,FALSE))*(BN46/VLOOKUP(BO46,Fundamentus!A:U,4,FALSE)))</f>
        <v>21.997885733501437</v>
      </c>
      <c r="CA46" s="62">
        <f t="shared" ca="1" si="24"/>
        <v>0</v>
      </c>
      <c r="CB46" s="8"/>
      <c r="CC46" s="61">
        <f t="shared" si="25"/>
        <v>8.5</v>
      </c>
      <c r="CD46" s="61">
        <f t="shared" si="26"/>
        <v>11.46</v>
      </c>
      <c r="CE46" s="61">
        <f t="shared" si="27"/>
        <v>10.020384615384613</v>
      </c>
      <c r="CF46" s="14"/>
      <c r="CG46" s="35">
        <f t="shared" si="1"/>
        <v>8.9422468158199031</v>
      </c>
      <c r="CH46" s="15">
        <f t="shared" si="28"/>
        <v>9.3249999999999957</v>
      </c>
      <c r="CI46" s="35">
        <f t="shared" si="2"/>
        <v>9.7077531841800884</v>
      </c>
      <c r="CK46" s="14"/>
      <c r="CL46" s="17">
        <f t="shared" si="3"/>
        <v>4.8866666666666667</v>
      </c>
      <c r="CM46" s="17">
        <f t="shared" si="4"/>
        <v>6.6933333333333334</v>
      </c>
      <c r="CN46" s="17">
        <f t="shared" si="5"/>
        <v>7.8466666666666676</v>
      </c>
      <c r="CO46" s="38">
        <f t="shared" si="29"/>
        <v>9.6533333333333342</v>
      </c>
      <c r="CP46" s="17">
        <f t="shared" si="6"/>
        <v>10.806666666666668</v>
      </c>
      <c r="CQ46" s="17">
        <f t="shared" si="7"/>
        <v>12.613333333333335</v>
      </c>
      <c r="CR46" s="17">
        <f t="shared" si="8"/>
        <v>13.766666666666669</v>
      </c>
      <c r="CS46" s="2" cm="1">
        <f t="array" aca="1" ref="CS46" ca="1">MAX(_xlfn._xlws.FILTER(CL46:CR46,CL46:CR46&lt;BN46))</f>
        <v>7.8466666666666676</v>
      </c>
      <c r="CT46" s="2" cm="1">
        <f t="array" aca="1" ref="CT46" ca="1">MIN(_xlfn._xlws.FILTER($CL46:$CR46,$CL46:$CR46&gt;BN46))</f>
        <v>9.6533333333333342</v>
      </c>
      <c r="CU46" s="16">
        <f t="shared" ca="1" si="63"/>
        <v>0.23024638912489381</v>
      </c>
      <c r="CV46" s="20">
        <f t="shared" ca="1" si="64"/>
        <v>-0.11512319456244691</v>
      </c>
      <c r="CW46" s="20">
        <f t="shared" ca="1" si="65"/>
        <v>-7.6748796374964609E-2</v>
      </c>
      <c r="CX46" s="20">
        <f t="shared" ca="1" si="66"/>
        <v>-4.6049277824978765E-2</v>
      </c>
      <c r="CY46" s="20">
        <f t="shared" ca="1" si="67"/>
        <v>-2.5582932124988203E-2</v>
      </c>
      <c r="CZ46" s="20">
        <f t="shared" ca="1" si="68"/>
        <v>-1.3543905242640812E-2</v>
      </c>
      <c r="DA46" s="20">
        <f t="shared" ca="1" si="69"/>
        <v>-6.9771633068149638E-3</v>
      </c>
      <c r="DB46" s="20">
        <f t="shared" ca="1" si="70"/>
        <v>-3.5422521403829818E-3</v>
      </c>
      <c r="DC46" s="21">
        <f t="shared" ca="1" si="71"/>
        <v>3.5422521403829818E-3</v>
      </c>
      <c r="DD46" s="21">
        <f t="shared" ca="1" si="72"/>
        <v>6.9771633068149638E-3</v>
      </c>
      <c r="DE46" s="21">
        <f t="shared" ca="1" si="73"/>
        <v>1.3543905242640812E-2</v>
      </c>
      <c r="DF46" s="21">
        <f t="shared" ca="1" si="74"/>
        <v>2.5582932124988203E-2</v>
      </c>
      <c r="DG46" s="21">
        <f t="shared" ca="1" si="75"/>
        <v>4.6049277824978765E-2</v>
      </c>
      <c r="DH46" s="21">
        <f t="shared" ca="1" si="76"/>
        <v>7.6748796374964609E-2</v>
      </c>
      <c r="DI46" s="21">
        <f t="shared" ca="1" si="77"/>
        <v>0.11512319456244691</v>
      </c>
      <c r="DK46" s="16" cm="1">
        <f t="array" aca="1" ref="DK46" ca="1">MAX(_xlfn._xlws.FILTER(CV46:DI46,CV46:DI46&lt;BT46))</f>
        <v>-2.5582932124988203E-2</v>
      </c>
      <c r="DL46" s="16" cm="1">
        <f t="array" aca="1" ref="DL46" ca="1">MIN(_xlfn._xlws.FILTER(CV46:DI46,CV46:DI46&gt;BT46))</f>
        <v>-1.3543905242640812E-2</v>
      </c>
      <c r="DM46" s="2" cm="1">
        <f t="array" aca="1" ref="DM46" ca="1">_FV(EB46,"Fechamento anterior",TRUE)</f>
        <v>9.66</v>
      </c>
      <c r="DN46" s="28">
        <f t="shared" ca="1" si="15"/>
        <v>0.92118562489971623</v>
      </c>
      <c r="DO46" s="15">
        <f t="shared" ca="1" si="78"/>
        <v>9.4128688756726149</v>
      </c>
      <c r="DP46" s="15">
        <f t="shared" ca="1" si="79"/>
        <v>9.5291658753560906</v>
      </c>
      <c r="DQ46" s="9"/>
      <c r="DR46" s="9"/>
      <c r="DS46" s="9"/>
      <c r="DT46" s="89">
        <v>1.2039026882347391E-2</v>
      </c>
      <c r="DU46" s="89">
        <f t="shared" ca="1" si="18"/>
        <v>1.2039026882347391E-2</v>
      </c>
      <c r="DV46" s="72">
        <f t="shared" ca="1" si="19"/>
        <v>0.50946669566634528</v>
      </c>
      <c r="DW46" s="37"/>
      <c r="DX46" s="35">
        <f t="shared" si="39"/>
        <v>0.19137659209004634</v>
      </c>
      <c r="DY46" s="56"/>
      <c r="DZ46" s="56"/>
      <c r="EB46" s="2" t="e" vm="46">
        <v>#VALUE!</v>
      </c>
      <c r="ED46" s="10" cm="1">
        <f t="array" aca="1" ref="ED46" ca="1">_FV(EB46,"Ações em circulação",TRUE)</f>
        <v>993705800</v>
      </c>
      <c r="EE46" s="18">
        <f>VLOOKUP(BO46,Fundamentus!A:U,5,FALSE)</f>
        <v>0.14099999999999999</v>
      </c>
      <c r="EF46" s="2">
        <f t="shared" ca="1" si="20"/>
        <v>67092760397.163124</v>
      </c>
      <c r="EG46" s="17">
        <v>3260708155.3021278</v>
      </c>
      <c r="EH46" s="17">
        <f t="shared" ca="1" si="21"/>
        <v>3260708155.3021278</v>
      </c>
      <c r="EJ46" s="16">
        <f t="shared" ca="1" si="22"/>
        <v>0</v>
      </c>
      <c r="EK46" s="32" t="str">
        <f>IF(VLOOKUP(BO46,Fundamentus!A:U,3,FALSE)&lt;15,"Bom",IF(VLOOKUP(BO46,Fundamentus!A:U,3,FALSE)&gt;15,"Ruim","n/a"))</f>
        <v>Bom</v>
      </c>
      <c r="EL46" s="28" t="str">
        <f>IF(VLOOKUP(BO46,Fundamentus!A:U,4,FALSE)&lt;1,"Baixo",IF(VLOOKUP(BO46,Fundamentus!A:U,4,FALSE)&lt;1.5,"Moderado",IF(VLOOKUP(BO46,Fundamentus!A:U,4,FALSE)&gt;1.5,"Alto","n/a")))</f>
        <v>Baixo</v>
      </c>
      <c r="EM46" s="17" t="str">
        <f>IF(VLOOKUP(BO46,Fundamentus!A:U,8,FALSE)&lt;0,"Risco elevado",IF(VLOOKUP(BO46,Fundamentus!A:U,8,FALSE)&lt;1,"Saudável",IF(VLOOKUP(BO46,Fundamentus!A:U,8,FALSE)&lt;3,"Estável",IF(VLOOKUP(BO46,Fundamentus!A:U,8,FALSE)&gt;3,"Alerta","n/a"))))</f>
        <v>Saudável</v>
      </c>
      <c r="EN46" s="28" t="str">
        <f t="shared" si="23"/>
        <v>Ruim</v>
      </c>
      <c r="EO46" s="17" t="str">
        <f>IF(VLOOKUP(BO46,Fundamentus!A:U,12,FALSE)&lt;2,"Subvalorizada",IF(VLOOKUP(BO46,Fundamentus!A:U,12,FALSE)&lt;6,"Muita barata",IF(VLOOKUP(BO46,Fundamentus!A:U,12,FALSE)&lt;6,"Barata",IF(VLOOKUP(BO46,Fundamentus!A:U,12,FALSE)&lt;8,"Atrativa",IF(VLOOKUP(BO46,Fundamentus!A:U,12,FALSE)&gt;8,"Supervalorizada","n/a")))))</f>
        <v>Subvalorizada</v>
      </c>
      <c r="EQ46" s="17" t="str">
        <f>IF(VLOOKUP(BO46,Fundamentus!A:U,17,FALSE)&lt;0.1,"Fraco retorno",IF(VLOOKUP(BO46,Fundamentus!A:U,17,FALSE)&gt;0.1,"Bom retorno","n/a"))</f>
        <v>Fraco retorno</v>
      </c>
      <c r="ER46" s="17" t="str">
        <f>IF(VLOOKUP(BO46,Fundamentus!A:U,16,FALSE)&lt;0.1,"Ineficiente",IF(VLOOKUP(BO46,Fundamentus!A:U,16,FALSE)&gt;0.1,"Eficiente","n/a"))</f>
        <v>Ineficiente</v>
      </c>
      <c r="ES46" s="33" t="str">
        <f>IF(VLOOKUP(BO46,Fundamentus!A:U,16,FALSE)&lt;0.1,"Oper. Ineficiente",IF(VLOOKUP(BO46,Fundamentus!A:U,16,FALSE)&gt;0.1,"Oper.Eficiente","n/a"))</f>
        <v>Oper. Ineficiente</v>
      </c>
      <c r="ET46" s="34">
        <f>VLOOKUP(BO46,Fundamentus!A:U,14,FALSE)</f>
        <v>4.8599999999999997E-2</v>
      </c>
      <c r="EU46" s="17" t="str">
        <f>IF(VLOOKUP(BO46,Fundamentus!A:U,21,FALSE)&lt;0,"Negativo",IF(VLOOKUP(BO46,Fundamentus!A:U,21,FALSE)&lt;0.05,"Fraco",IF(VLOOKUP(BO46,Fundamentus!A:U,21,FALSE)&lt;0.1,"Bom",IF(VLOOKUP(BO46,Fundamentus!A:U,21,FALSE)&gt;0.1,"Muito bom","n/a"))))</f>
        <v>Fraco</v>
      </c>
      <c r="EW46" s="29" t="str">
        <f>IF(VLOOKUP(BO46,Fundamentus!A:U,15,FALSE)&gt;1,"Bom",IF(VLOOKUP(BO46,Fundamentus!A:U,15,FALSE)&lt;1,"Ruim","n/a"))</f>
        <v>Bom</v>
      </c>
      <c r="EX46" s="17" t="str">
        <f>IF(VLOOKUP(BO46,Fundamentus!A:U,20,FALSE)&lt;0.5,"Baixa",IF(VLOOKUP(BO46,Fundamentus!A:U,20,FALSE)&lt;1,"Moderada",IF(VLOOKUP(BO46,Fundamentus!A:U,20,FALSE)&lt;2,"Alerta",IF(VLOOKUP(BO46,Fundamentus!A:U,20,FALSE)&gt;2,"Alta","n/a"))))</f>
        <v>Moderada</v>
      </c>
    </row>
    <row r="47" spans="1:154" s="5" customFormat="1" ht="11.25"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5">
        <v>35.32</v>
      </c>
      <c r="BC47" s="52">
        <v>37.68</v>
      </c>
      <c r="BD47" s="52">
        <v>37.72</v>
      </c>
      <c r="BE47" s="52">
        <v>37.43</v>
      </c>
      <c r="BF47" s="52">
        <v>36.58</v>
      </c>
      <c r="BG47" s="67">
        <v>36.17</v>
      </c>
      <c r="BH47" s="52">
        <v>36.64</v>
      </c>
      <c r="BI47" s="52">
        <v>36.270000000000003</v>
      </c>
      <c r="BJ47" s="52">
        <v>37.729999999999997</v>
      </c>
      <c r="BK47" s="52">
        <v>34.96</v>
      </c>
      <c r="BL47" s="52">
        <v>35.07</v>
      </c>
      <c r="BM47" s="52">
        <v>35.21</v>
      </c>
      <c r="BN47" s="52" cm="1">
        <f t="array" aca="1" ref="BN47" ca="1">_FV(EB47,"Preço")</f>
        <v>35.21</v>
      </c>
      <c r="BO47" s="69" t="s">
        <v>44</v>
      </c>
      <c r="BP47" s="36" cm="1">
        <f t="array" aca="1" ref="BP47" ca="1">_FV(EB47,"Média de volume",TRUE)</f>
        <v>21185290</v>
      </c>
      <c r="BQ47" s="36">
        <v>17968700</v>
      </c>
      <c r="BR47" s="36" cm="1">
        <f t="array" aca="1" ref="BR47" ca="1">_FV(EB47,"Volume")</f>
        <v>17968700</v>
      </c>
      <c r="BS47" s="24" cm="1">
        <f t="array" aca="1" ref="BS47" ca="1">_FV(EB47,"Beta")</f>
        <v>1.2694000000000001</v>
      </c>
      <c r="BT47" s="71" cm="1">
        <f t="array" aca="1" ref="BT47" ca="1">_FV(EB47,"Variação (%)",TRUE)</f>
        <v>4.2780000000000006E-3</v>
      </c>
      <c r="BV47" s="17" cm="1">
        <f t="array" aca="1" ref="BV47" ca="1">_FV(EB47,"Baixo")</f>
        <v>35.03</v>
      </c>
      <c r="BW47" s="17" cm="1">
        <f t="array" aca="1" ref="BW47" ca="1">_FV(EB47,"Alto")</f>
        <v>35.49</v>
      </c>
      <c r="BX47" s="24"/>
      <c r="BY47" s="63">
        <f ca="1">SQRT(22.5*(BN47/VLOOKUP(BO47,Fundamentus!A:U,3,FALSE))*(BN47/VLOOKUP(BO47,Fundamentus!A:U,4,FALSE)))</f>
        <v>38.226301645746354</v>
      </c>
      <c r="CA47" s="62">
        <f t="shared" ca="1" si="24"/>
        <v>0</v>
      </c>
      <c r="CB47" s="8"/>
      <c r="CC47" s="61">
        <f t="shared" si="25"/>
        <v>29.82</v>
      </c>
      <c r="CD47" s="61">
        <f t="shared" si="26"/>
        <v>37.729999999999997</v>
      </c>
      <c r="CE47" s="61">
        <f t="shared" si="27"/>
        <v>33.989846153846159</v>
      </c>
      <c r="CF47" s="14"/>
      <c r="CG47" s="35">
        <f t="shared" si="1"/>
        <v>31.578201789904362</v>
      </c>
      <c r="CH47" s="15">
        <f t="shared" si="28"/>
        <v>33.880000000000109</v>
      </c>
      <c r="CI47" s="35">
        <f t="shared" si="2"/>
        <v>36.181798210095856</v>
      </c>
      <c r="CK47" s="14"/>
      <c r="CL47" s="17">
        <f t="shared" si="3"/>
        <v>22.773333333333348</v>
      </c>
      <c r="CM47" s="17">
        <f t="shared" si="4"/>
        <v>26.296666666666674</v>
      </c>
      <c r="CN47" s="17">
        <f t="shared" si="5"/>
        <v>30.683333333333344</v>
      </c>
      <c r="CO47" s="38">
        <f t="shared" si="29"/>
        <v>34.206666666666671</v>
      </c>
      <c r="CP47" s="17">
        <f t="shared" si="6"/>
        <v>38.593333333333341</v>
      </c>
      <c r="CQ47" s="17">
        <f t="shared" si="7"/>
        <v>42.116666666666667</v>
      </c>
      <c r="CR47" s="17">
        <f t="shared" si="8"/>
        <v>46.503333333333337</v>
      </c>
      <c r="CS47" s="2" cm="1">
        <f t="array" aca="1" ref="CS47" ca="1">MAX(_xlfn._xlws.FILTER(CL47:CR47,CL47:CR47&lt;BN47))</f>
        <v>34.206666666666671</v>
      </c>
      <c r="CT47" s="2" cm="1">
        <f t="array" aca="1" ref="CT47" ca="1">MIN(_xlfn._xlws.FILTER($CL47:$CR47,$CL47:$CR47&gt;BN47))</f>
        <v>38.593333333333341</v>
      </c>
      <c r="CU47" s="16">
        <f t="shared" ca="1" si="63"/>
        <v>0.12824010914051853</v>
      </c>
      <c r="CV47" s="20">
        <f t="shared" ca="1" si="64"/>
        <v>-6.4120054570259266E-2</v>
      </c>
      <c r="CW47" s="20">
        <f t="shared" ca="1" si="65"/>
        <v>-4.2746703046839508E-2</v>
      </c>
      <c r="CX47" s="20">
        <f t="shared" ca="1" si="66"/>
        <v>-2.5648021828103707E-2</v>
      </c>
      <c r="CY47" s="20">
        <f t="shared" ca="1" si="67"/>
        <v>-1.424890101561317E-2</v>
      </c>
      <c r="CZ47" s="20">
        <f t="shared" ca="1" si="68"/>
        <v>-7.5435358317952079E-3</v>
      </c>
      <c r="DA47" s="20">
        <f t="shared" ca="1" si="69"/>
        <v>-3.8860639133490465E-3</v>
      </c>
      <c r="DB47" s="20">
        <f t="shared" ca="1" si="70"/>
        <v>-1.9729247560079776E-3</v>
      </c>
      <c r="DC47" s="21">
        <f t="shared" ca="1" si="71"/>
        <v>1.9729247560079776E-3</v>
      </c>
      <c r="DD47" s="21">
        <f t="shared" ca="1" si="72"/>
        <v>3.8860639133490465E-3</v>
      </c>
      <c r="DE47" s="21">
        <f t="shared" ca="1" si="73"/>
        <v>7.5435358317952079E-3</v>
      </c>
      <c r="DF47" s="21">
        <f t="shared" ca="1" si="74"/>
        <v>1.424890101561317E-2</v>
      </c>
      <c r="DG47" s="21">
        <f t="shared" ca="1" si="75"/>
        <v>2.5648021828103707E-2</v>
      </c>
      <c r="DH47" s="21">
        <f t="shared" ca="1" si="76"/>
        <v>4.2746703046839508E-2</v>
      </c>
      <c r="DI47" s="21">
        <f t="shared" ca="1" si="77"/>
        <v>6.4120054570259266E-2</v>
      </c>
      <c r="DK47" s="16" cm="1">
        <f t="array" aca="1" ref="DK47" ca="1">MAX(_xlfn._xlws.FILTER(CV47:DI47,CV47:DI47&lt;BT47))</f>
        <v>3.8860639133490465E-3</v>
      </c>
      <c r="DL47" s="16" cm="1">
        <f t="array" aca="1" ref="DL47" ca="1">MIN(_xlfn._xlws.FILTER(CV47:DI47,CV47:DI47&gt;BT47))</f>
        <v>7.5435358317952079E-3</v>
      </c>
      <c r="DM47" s="2" cm="1">
        <f t="array" aca="1" ref="DM47" ca="1">_FV(EB47,"Fechamento anterior",TRUE)</f>
        <v>35.06</v>
      </c>
      <c r="DN47" s="28">
        <f t="shared" ca="1" si="15"/>
        <v>0.10726425671491653</v>
      </c>
      <c r="DO47" s="15">
        <f t="shared" ca="1" si="78"/>
        <v>35.19624540080202</v>
      </c>
      <c r="DP47" s="15">
        <f t="shared" ca="1" si="79"/>
        <v>35.324476366262743</v>
      </c>
      <c r="DQ47" s="9"/>
      <c r="DR47" s="9"/>
      <c r="DS47" s="9"/>
      <c r="DT47" s="89">
        <v>3.6574719184461614E-3</v>
      </c>
      <c r="DU47" s="89">
        <f t="shared" ca="1" si="18"/>
        <v>3.6574719184461614E-3</v>
      </c>
      <c r="DV47" s="72">
        <f t="shared" ca="1" si="19"/>
        <v>0.57780912078499203</v>
      </c>
      <c r="DW47" s="37"/>
      <c r="DX47" s="35">
        <f t="shared" si="39"/>
        <v>1.1508991050478734</v>
      </c>
      <c r="DY47" s="56"/>
      <c r="DZ47" s="56"/>
      <c r="EB47" s="5" t="e" vm="47">
        <v>#VALUE!</v>
      </c>
      <c r="ED47" s="10" cm="1">
        <f t="array" aca="1" ref="ED47" ca="1">_FV(EB47,"Ações em circulação",TRUE)</f>
        <v>10784550000</v>
      </c>
      <c r="EE47" s="18">
        <f>VLOOKUP(BO47,Fundamentus!A:U,5,FALSE)</f>
        <v>0</v>
      </c>
      <c r="EF47" s="2" t="e">
        <f t="shared" ca="1" si="20"/>
        <v>#DIV/0!</v>
      </c>
      <c r="EG47" s="17" t="e">
        <v>#DIV/0!</v>
      </c>
      <c r="EH47" s="17" t="e">
        <f t="shared" ca="1" si="21"/>
        <v>#DIV/0!</v>
      </c>
      <c r="EI47" s="2"/>
      <c r="EJ47" s="16" t="e">
        <f t="shared" ca="1" si="22"/>
        <v>#DIV/0!</v>
      </c>
      <c r="EK47" s="32" t="str">
        <f>IF(VLOOKUP(BO47,Fundamentus!A:U,3,FALSE)&lt;15,"Bom",IF(VLOOKUP(BO47,Fundamentus!A:U,3,FALSE)&gt;15,"Ruim","n/a"))</f>
        <v>Bom</v>
      </c>
      <c r="EL47" s="28" t="str">
        <f>IF(VLOOKUP(BO47,Fundamentus!A:U,4,FALSE)&lt;1,"Baixo",IF(VLOOKUP(BO47,Fundamentus!A:U,4,FALSE)&lt;1.5,"Moderado",IF(VLOOKUP(BO47,Fundamentus!A:U,4,FALSE)&gt;1.5,"Alto","n/a")))</f>
        <v>Alto</v>
      </c>
      <c r="EM47" s="17" t="str">
        <f>IF(VLOOKUP(BO47,Fundamentus!A:U,8,FALSE)&lt;0,"Risco elevado",IF(VLOOKUP(BO47,Fundamentus!A:U,8,FALSE)&lt;1,"Saudável",IF(VLOOKUP(BO47,Fundamentus!A:U,8,FALSE)&lt;3,"Estável",IF(VLOOKUP(BO47,Fundamentus!A:U,8,FALSE)&gt;3,"Alerta","n/a"))))</f>
        <v>Saudável</v>
      </c>
      <c r="EN47" s="28" t="str">
        <f t="shared" si="23"/>
        <v>Ruim</v>
      </c>
      <c r="EO47" s="17" t="str">
        <f>IF(VLOOKUP(BO47,Fundamentus!A:U,12,FALSE)&lt;2,"Subvalorizada",IF(VLOOKUP(BO47,Fundamentus!A:U,12,FALSE)&lt;6,"Muita barata",IF(VLOOKUP(BO47,Fundamentus!A:U,12,FALSE)&lt;6,"Barata",IF(VLOOKUP(BO47,Fundamentus!A:U,12,FALSE)&lt;8,"Atrativa",IF(VLOOKUP(BO47,Fundamentus!A:U,12,FALSE)&gt;8,"Supervalorizada","n/a")))))</f>
        <v>Subvalorizada</v>
      </c>
      <c r="EP47" s="2"/>
      <c r="EQ47" s="17" t="str">
        <f>IF(VLOOKUP(BO47,Fundamentus!A:U,17,FALSE)&lt;0.1,"Fraco retorno",IF(VLOOKUP(BO47,Fundamentus!A:U,17,FALSE)&gt;0.1,"Bom retorno","n/a"))</f>
        <v>Bom retorno</v>
      </c>
      <c r="ER47" s="17" t="str">
        <f>IF(VLOOKUP(BO47,Fundamentus!A:U,16,FALSE)&lt;0.1,"Ineficiente",IF(VLOOKUP(BO47,Fundamentus!A:U,16,FALSE)&gt;0.1,"Eficiente","n/a"))</f>
        <v>Ineficiente</v>
      </c>
      <c r="ES47" s="33" t="str">
        <f>IF(VLOOKUP(BO47,Fundamentus!A:U,16,FALSE)&lt;0.1,"Oper. Ineficiente",IF(VLOOKUP(BO47,Fundamentus!A:U,16,FALSE)&gt;0.1,"Oper.Eficiente","n/a"))</f>
        <v>Oper. Ineficiente</v>
      </c>
      <c r="ET47" s="34">
        <f>VLOOKUP(BO47,Fundamentus!A:U,14,FALSE)</f>
        <v>0</v>
      </c>
      <c r="EU47" s="17" t="str">
        <f>IF(VLOOKUP(BO47,Fundamentus!A:U,21,FALSE)&lt;0,"Negativo",IF(VLOOKUP(BO47,Fundamentus!A:U,21,FALSE)&lt;0.05,"Fraco",IF(VLOOKUP(BO47,Fundamentus!A:U,21,FALSE)&lt;0.1,"Bom",IF(VLOOKUP(BO47,Fundamentus!A:U,21,FALSE)&gt;0.1,"Muito bom","n/a"))))</f>
        <v>Muito bom</v>
      </c>
      <c r="EW47" s="29" t="str">
        <f>IF(VLOOKUP(BO47,Fundamentus!A:U,15,FALSE)&gt;1,"Bom",IF(VLOOKUP(BO47,Fundamentus!A:U,15,FALSE)&lt;1,"Ruim","n/a"))</f>
        <v>Ruim</v>
      </c>
      <c r="EX47" s="17" t="str">
        <f>IF(VLOOKUP(BO47,Fundamentus!A:U,20,FALSE)&lt;0.5,"Baixa",IF(VLOOKUP(BO47,Fundamentus!A:U,20,FALSE)&lt;1,"Moderada",IF(VLOOKUP(BO47,Fundamentus!A:U,20,FALSE)&lt;2,"Alerta",IF(VLOOKUP(BO47,Fundamentus!A:U,20,FALSE)&gt;2,"Alta","n/a"))))</f>
        <v>Baixa</v>
      </c>
    </row>
    <row r="48" spans="1:154" s="2" customFormat="1" ht="11.25"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5">
        <v>20.27</v>
      </c>
      <c r="BC48" s="52">
        <v>21.41</v>
      </c>
      <c r="BD48" s="52">
        <v>21.3</v>
      </c>
      <c r="BE48" s="52">
        <v>21.02</v>
      </c>
      <c r="BF48" s="52">
        <v>21.25</v>
      </c>
      <c r="BG48" s="67">
        <v>20.82</v>
      </c>
      <c r="BH48" s="52">
        <v>20.76</v>
      </c>
      <c r="BI48" s="52">
        <v>20.05</v>
      </c>
      <c r="BJ48" s="52">
        <v>20.68</v>
      </c>
      <c r="BK48" s="52">
        <v>20.8</v>
      </c>
      <c r="BL48" s="52">
        <v>20.49</v>
      </c>
      <c r="BM48" s="52">
        <v>20.32</v>
      </c>
      <c r="BN48" s="52" cm="1">
        <f t="array" aca="1" ref="BN48" ca="1">_FV(EB48,"Preço")</f>
        <v>20.32</v>
      </c>
      <c r="BO48" s="69" t="s">
        <v>45</v>
      </c>
      <c r="BP48" s="36" cm="1">
        <f t="array" aca="1" ref="BP48" ca="1">_FV(EB48,"Média de volume",TRUE)</f>
        <v>152820</v>
      </c>
      <c r="BQ48" s="36">
        <v>87100</v>
      </c>
      <c r="BR48" s="36" cm="1">
        <f t="array" aca="1" ref="BR48" ca="1">_FV(EB48,"Volume")</f>
        <v>87100</v>
      </c>
      <c r="BS48" s="24" cm="1">
        <f t="array" aca="1" ref="BS48" ca="1">_FV(EB48,"Beta")</f>
        <v>0.6845</v>
      </c>
      <c r="BT48" s="71" cm="1">
        <f t="array" aca="1" ref="BT48" ca="1">_FV(EB48,"Variação (%)",TRUE)</f>
        <v>9.8519999999999988E-4</v>
      </c>
      <c r="BV48" s="17" cm="1">
        <f t="array" aca="1" ref="BV48" ca="1">_FV(EB48,"Baixo")</f>
        <v>20.12</v>
      </c>
      <c r="BW48" s="17" cm="1">
        <f t="array" aca="1" ref="BW48" ca="1">_FV(EB48,"Alto")</f>
        <v>20.51</v>
      </c>
      <c r="BX48" s="24"/>
      <c r="BY48" s="63">
        <f ca="1">SQRT(22.5*(BN48/VLOOKUP(BO48,Fundamentus!A:U,3,FALSE))*(BN48/VLOOKUP(BO48,Fundamentus!A:U,4,FALSE)))</f>
        <v>37.584973519581709</v>
      </c>
      <c r="CA48" s="62">
        <f t="shared" ca="1" si="24"/>
        <v>0</v>
      </c>
      <c r="CB48" s="8"/>
      <c r="CC48" s="61">
        <f t="shared" si="25"/>
        <v>20.05</v>
      </c>
      <c r="CD48" s="61">
        <f t="shared" si="26"/>
        <v>27.87</v>
      </c>
      <c r="CE48" s="61">
        <f t="shared" si="27"/>
        <v>23.398769230769229</v>
      </c>
      <c r="CF48" s="14"/>
      <c r="CG48" s="35">
        <f t="shared" si="1"/>
        <v>19.859110672470393</v>
      </c>
      <c r="CH48" s="15">
        <f t="shared" si="28"/>
        <v>20.224999999999909</v>
      </c>
      <c r="CI48" s="35">
        <f t="shared" si="2"/>
        <v>20.590889327529425</v>
      </c>
      <c r="CK48" s="14"/>
      <c r="CL48" s="17">
        <f t="shared" si="3"/>
        <v>9.9166666666666607</v>
      </c>
      <c r="CM48" s="17">
        <f t="shared" si="4"/>
        <v>14.983333333333331</v>
      </c>
      <c r="CN48" s="17">
        <f t="shared" si="5"/>
        <v>17.736666666666661</v>
      </c>
      <c r="CO48" s="38">
        <f t="shared" si="29"/>
        <v>22.803333333333331</v>
      </c>
      <c r="CP48" s="17">
        <f t="shared" si="6"/>
        <v>25.556666666666661</v>
      </c>
      <c r="CQ48" s="17">
        <f t="shared" si="7"/>
        <v>30.623333333333331</v>
      </c>
      <c r="CR48" s="17">
        <f t="shared" si="8"/>
        <v>33.376666666666665</v>
      </c>
      <c r="CS48" s="2" cm="1">
        <f t="array" aca="1" ref="CS48" ca="1">MAX(_xlfn._xlws.FILTER(CL48:CR48,CL48:CR48&lt;BN48))</f>
        <v>17.736666666666661</v>
      </c>
      <c r="CT48" s="2" cm="1">
        <f t="array" aca="1" ref="CT48" ca="1">MIN(_xlfn._xlws.FILTER($CL48:$CR48,$CL48:$CR48&gt;BN48))</f>
        <v>22.803333333333331</v>
      </c>
      <c r="CU48" s="16">
        <f t="shared" ca="1" si="63"/>
        <v>0.28566059011464029</v>
      </c>
      <c r="CV48" s="20">
        <f t="shared" ca="1" si="64"/>
        <v>-0.14283029505732014</v>
      </c>
      <c r="CW48" s="20">
        <f t="shared" ca="1" si="65"/>
        <v>-9.5220196704880092E-2</v>
      </c>
      <c r="CX48" s="20">
        <f t="shared" ca="1" si="66"/>
        <v>-5.7132118022928058E-2</v>
      </c>
      <c r="CY48" s="20">
        <f t="shared" ca="1" si="67"/>
        <v>-3.1740065568293369E-2</v>
      </c>
      <c r="CZ48" s="20">
        <f t="shared" ca="1" si="68"/>
        <v>-1.6803564124390605E-2</v>
      </c>
      <c r="DA48" s="20">
        <f t="shared" ca="1" si="69"/>
        <v>-8.6563815186254632E-3</v>
      </c>
      <c r="DB48" s="20">
        <f t="shared" ca="1" si="70"/>
        <v>-4.3947783094560045E-3</v>
      </c>
      <c r="DC48" s="21">
        <f t="shared" ca="1" si="71"/>
        <v>4.3947783094560045E-3</v>
      </c>
      <c r="DD48" s="21">
        <f t="shared" ca="1" si="72"/>
        <v>8.6563815186254632E-3</v>
      </c>
      <c r="DE48" s="21">
        <f t="shared" ca="1" si="73"/>
        <v>1.6803564124390605E-2</v>
      </c>
      <c r="DF48" s="21">
        <f t="shared" ca="1" si="74"/>
        <v>3.1740065568293369E-2</v>
      </c>
      <c r="DG48" s="21">
        <f t="shared" ca="1" si="75"/>
        <v>5.7132118022928058E-2</v>
      </c>
      <c r="DH48" s="21">
        <f t="shared" ca="1" si="76"/>
        <v>9.5220196704880092E-2</v>
      </c>
      <c r="DI48" s="21">
        <f t="shared" ca="1" si="77"/>
        <v>0.14283029505732014</v>
      </c>
      <c r="DK48" s="16" cm="1">
        <f t="array" aca="1" ref="DK48" ca="1">MAX(_xlfn._xlws.FILTER(CV48:DI48,CV48:DI48&lt;BT48))</f>
        <v>-4.3947783094560045E-3</v>
      </c>
      <c r="DL48" s="16" cm="1">
        <f t="array" aca="1" ref="DL48" ca="1">MIN(_xlfn._xlws.FILTER(CV48:DI48,CV48:DI48&gt;BT48))</f>
        <v>4.3947783094560045E-3</v>
      </c>
      <c r="DM48" s="2" cm="1">
        <f t="array" aca="1" ref="DM48" ca="1">_FV(EB48,"Fechamento anterior",TRUE)</f>
        <v>20.3</v>
      </c>
      <c r="DN48" s="28">
        <f t="shared" ca="1" si="15"/>
        <v>0.61209003111226223</v>
      </c>
      <c r="DO48" s="15">
        <f t="shared" ca="1" si="78"/>
        <v>20.210786000318045</v>
      </c>
      <c r="DP48" s="15">
        <f t="shared" ca="1" si="79"/>
        <v>20.389213999681957</v>
      </c>
      <c r="DQ48" s="9"/>
      <c r="DR48" s="9"/>
      <c r="DS48" s="9"/>
      <c r="DT48" s="89">
        <v>8.7895566189120089E-3</v>
      </c>
      <c r="DU48" s="89">
        <f t="shared" ca="1" si="18"/>
        <v>8.7895566189120089E-3</v>
      </c>
      <c r="DV48" s="72">
        <f t="shared" ca="1" si="19"/>
        <v>0.25964135286899764</v>
      </c>
      <c r="DW48" s="37"/>
      <c r="DX48" s="35">
        <f t="shared" si="39"/>
        <v>0.18294466376475729</v>
      </c>
      <c r="DY48" s="56"/>
      <c r="DZ48" s="56"/>
      <c r="EB48" s="2" t="e" vm="48">
        <v>#VALUE!</v>
      </c>
      <c r="ED48" s="10" cm="1">
        <f t="array" aca="1" ref="ED48" ca="1">_FV(EB48,"Ações em circulação",TRUE)</f>
        <v>102683400</v>
      </c>
      <c r="EE48" s="18">
        <f>VLOOKUP(BO48,Fundamentus!A:U,5,FALSE)</f>
        <v>1.548</v>
      </c>
      <c r="EF48" s="2">
        <f t="shared" ca="1" si="20"/>
        <v>1347885457.364341</v>
      </c>
      <c r="EG48" s="17">
        <v>307991827.00775194</v>
      </c>
      <c r="EH48" s="17">
        <f t="shared" ca="1" si="21"/>
        <v>307991827.00775194</v>
      </c>
      <c r="EJ48" s="16">
        <f t="shared" ca="1" si="22"/>
        <v>0</v>
      </c>
      <c r="EK48" s="32" t="str">
        <f>IF(VLOOKUP(BO48,Fundamentus!A:U,3,FALSE)&lt;15,"Bom",IF(VLOOKUP(BO48,Fundamentus!A:U,3,FALSE)&gt;15,"Ruim","n/a"))</f>
        <v>Bom</v>
      </c>
      <c r="EL48" s="28" t="str">
        <f>IF(VLOOKUP(BO48,Fundamentus!A:U,4,FALSE)&lt;1,"Baixo",IF(VLOOKUP(BO48,Fundamentus!A:U,4,FALSE)&lt;1.5,"Moderado",IF(VLOOKUP(BO48,Fundamentus!A:U,4,FALSE)&gt;1.5,"Alto","n/a")))</f>
        <v>Baixo</v>
      </c>
      <c r="EM48" s="17" t="str">
        <f>IF(VLOOKUP(BO48,Fundamentus!A:U,8,FALSE)&lt;0,"Risco elevado",IF(VLOOKUP(BO48,Fundamentus!A:U,8,FALSE)&lt;1,"Saudável",IF(VLOOKUP(BO48,Fundamentus!A:U,8,FALSE)&lt;3,"Estável",IF(VLOOKUP(BO48,Fundamentus!A:U,8,FALSE)&gt;3,"Alerta","n/a"))))</f>
        <v>Alerta</v>
      </c>
      <c r="EN48" s="28" t="str">
        <f t="shared" si="23"/>
        <v>Bom</v>
      </c>
      <c r="EO48" s="17" t="str">
        <f>IF(VLOOKUP(BO48,Fundamentus!A:U,12,FALSE)&lt;2,"Subvalorizada",IF(VLOOKUP(BO48,Fundamentus!A:U,12,FALSE)&lt;6,"Muita barata",IF(VLOOKUP(BO48,Fundamentus!A:U,12,FALSE)&lt;6,"Barata",IF(VLOOKUP(BO48,Fundamentus!A:U,12,FALSE)&lt;8,"Atrativa",IF(VLOOKUP(BO48,Fundamentus!A:U,12,FALSE)&gt;8,"Supervalorizada","n/a")))))</f>
        <v>Atrativa</v>
      </c>
      <c r="EQ48" s="17" t="str">
        <f>IF(VLOOKUP(BO48,Fundamentus!A:U,17,FALSE)&lt;0.1,"Fraco retorno",IF(VLOOKUP(BO48,Fundamentus!A:U,17,FALSE)&gt;0.1,"Bom retorno","n/a"))</f>
        <v>Bom retorno</v>
      </c>
      <c r="ER48" s="17" t="str">
        <f>IF(VLOOKUP(BO48,Fundamentus!A:U,16,FALSE)&lt;0.1,"Ineficiente",IF(VLOOKUP(BO48,Fundamentus!A:U,16,FALSE)&gt;0.1,"Eficiente","n/a"))</f>
        <v>Eficiente</v>
      </c>
      <c r="ES48" s="33" t="str">
        <f>IF(VLOOKUP(BO48,Fundamentus!A:U,16,FALSE)&lt;0.1,"Oper. Ineficiente",IF(VLOOKUP(BO48,Fundamentus!A:U,16,FALSE)&gt;0.1,"Oper.Eficiente","n/a"))</f>
        <v>Oper.Eficiente</v>
      </c>
      <c r="ET48" s="34">
        <f>VLOOKUP(BO48,Fundamentus!A:U,14,FALSE)</f>
        <v>0.22850000000000001</v>
      </c>
      <c r="EU48" s="17" t="str">
        <f>IF(VLOOKUP(BO48,Fundamentus!A:U,21,FALSE)&lt;0,"Negativo",IF(VLOOKUP(BO48,Fundamentus!A:U,21,FALSE)&lt;0.05,"Fraco",IF(VLOOKUP(BO48,Fundamentus!A:U,21,FALSE)&lt;0.1,"Bom",IF(VLOOKUP(BO48,Fundamentus!A:U,21,FALSE)&gt;0.1,"Muito bom","n/a"))))</f>
        <v>Negativo</v>
      </c>
      <c r="EW48" s="29" t="str">
        <f>IF(VLOOKUP(BO48,Fundamentus!A:U,15,FALSE)&gt;1,"Bom",IF(VLOOKUP(BO48,Fundamentus!A:U,15,FALSE)&lt;1,"Ruim","n/a"))</f>
        <v>Bom</v>
      </c>
      <c r="EX48" s="17" t="str">
        <f>IF(VLOOKUP(BO48,Fundamentus!A:U,20,FALSE)&lt;0.5,"Baixa",IF(VLOOKUP(BO48,Fundamentus!A:U,20,FALSE)&lt;1,"Moderada",IF(VLOOKUP(BO48,Fundamentus!A:U,20,FALSE)&lt;2,"Alerta",IF(VLOOKUP(BO48,Fundamentus!A:U,20,FALSE)&gt;2,"Alta","n/a"))))</f>
        <v>Moderada</v>
      </c>
    </row>
    <row r="49" spans="1:154" s="2" customFormat="1" ht="11.25"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5">
        <v>3.78</v>
      </c>
      <c r="BC49" s="52">
        <v>3.87</v>
      </c>
      <c r="BD49" s="52">
        <v>3.75</v>
      </c>
      <c r="BE49" s="52">
        <v>3.71</v>
      </c>
      <c r="BF49" s="52">
        <v>3.71</v>
      </c>
      <c r="BG49" s="67">
        <v>3.67</v>
      </c>
      <c r="BH49" s="52">
        <v>3.66</v>
      </c>
      <c r="BI49" s="52">
        <v>3.68</v>
      </c>
      <c r="BJ49" s="52">
        <v>3.72</v>
      </c>
      <c r="BK49" s="52">
        <v>3.64</v>
      </c>
      <c r="BL49" s="52">
        <v>3.68</v>
      </c>
      <c r="BM49" s="52">
        <v>3.5</v>
      </c>
      <c r="BN49" s="52" cm="1">
        <f t="array" aca="1" ref="BN49" ca="1">_FV(EB49,"Preço")</f>
        <v>3.5</v>
      </c>
      <c r="BO49" s="69" t="s">
        <v>46</v>
      </c>
      <c r="BP49" s="36" cm="1">
        <f t="array" aca="1" ref="BP49" ca="1">_FV(EB49,"Média de volume",TRUE)</f>
        <v>697370</v>
      </c>
      <c r="BQ49" s="36">
        <v>1302100</v>
      </c>
      <c r="BR49" s="36" cm="1">
        <f t="array" aca="1" ref="BR49" ca="1">_FV(EB49,"Volume")</f>
        <v>1302100</v>
      </c>
      <c r="BS49" s="24" cm="1">
        <f t="array" aca="1" ref="BS49" ca="1">_FV(EB49,"Beta")</f>
        <v>1.2435</v>
      </c>
      <c r="BT49" s="71" cm="1">
        <f t="array" aca="1" ref="BT49" ca="1">_FV(EB49,"Variação (%)",TRUE)</f>
        <v>-2.2345999999999998E-2</v>
      </c>
      <c r="BV49" s="17" cm="1">
        <f t="array" aca="1" ref="BV49" ca="1">_FV(EB49,"Baixo")</f>
        <v>3.47</v>
      </c>
      <c r="BW49" s="17" cm="1">
        <f t="array" aca="1" ref="BW49" ca="1">_FV(EB49,"Alto")</f>
        <v>3.57</v>
      </c>
      <c r="BX49" s="24"/>
      <c r="BY49" s="63">
        <f ca="1">SQRT(22.5*(BN49/VLOOKUP(BO49,Fundamentus!A:U,3,FALSE))*(BN49/VLOOKUP(BO49,Fundamentus!A:U,4,FALSE)))</f>
        <v>9.8042677461868752</v>
      </c>
      <c r="CA49" s="62">
        <f t="shared" ca="1" si="24"/>
        <v>0</v>
      </c>
      <c r="CB49" s="8"/>
      <c r="CC49" s="61">
        <f t="shared" si="25"/>
        <v>3.1</v>
      </c>
      <c r="CD49" s="61">
        <f t="shared" si="26"/>
        <v>4.24</v>
      </c>
      <c r="CE49" s="61">
        <f t="shared" si="27"/>
        <v>3.7253846153846144</v>
      </c>
      <c r="CF49" s="14"/>
      <c r="CG49" s="35">
        <f t="shared" si="1"/>
        <v>3.3141687604822478</v>
      </c>
      <c r="CH49" s="15">
        <f t="shared" si="28"/>
        <v>3.4800000000000182</v>
      </c>
      <c r="CI49" s="35">
        <f t="shared" si="2"/>
        <v>3.6458312395177885</v>
      </c>
      <c r="CK49" s="14"/>
      <c r="CL49" s="17">
        <f t="shared" si="3"/>
        <v>1.9666666666666663</v>
      </c>
      <c r="CM49" s="17">
        <f t="shared" si="4"/>
        <v>2.5333333333333332</v>
      </c>
      <c r="CN49" s="17">
        <f t="shared" si="5"/>
        <v>3.1066666666666665</v>
      </c>
      <c r="CO49" s="38">
        <f t="shared" si="29"/>
        <v>3.6733333333333333</v>
      </c>
      <c r="CP49" s="17">
        <f t="shared" si="6"/>
        <v>4.2466666666666661</v>
      </c>
      <c r="CQ49" s="17">
        <f t="shared" si="7"/>
        <v>4.8133333333333335</v>
      </c>
      <c r="CR49" s="17">
        <f t="shared" si="8"/>
        <v>5.3866666666666667</v>
      </c>
      <c r="CS49" s="2" cm="1">
        <f t="array" aca="1" ref="CS49" ca="1">MAX(_xlfn._xlws.FILTER(CL49:CR49,CL49:CR49&lt;BN49))</f>
        <v>3.1066666666666665</v>
      </c>
      <c r="CT49" s="2" cm="1">
        <f t="array" aca="1" ref="CT49" ca="1">MIN(_xlfn._xlws.FILTER($CL49:$CR49,$CL49:$CR49&gt;BN49))</f>
        <v>3.6733333333333333</v>
      </c>
      <c r="CU49" s="16">
        <f t="shared" ca="1" si="63"/>
        <v>0.18240343347639487</v>
      </c>
      <c r="CV49" s="20">
        <f t="shared" ca="1" si="64"/>
        <v>-9.1201716738197436E-2</v>
      </c>
      <c r="CW49" s="20">
        <f t="shared" ca="1" si="65"/>
        <v>-6.0801144492131622E-2</v>
      </c>
      <c r="CX49" s="20">
        <f t="shared" ca="1" si="66"/>
        <v>-3.6480686695278972E-2</v>
      </c>
      <c r="CY49" s="20">
        <f t="shared" ca="1" si="67"/>
        <v>-2.0267048164043875E-2</v>
      </c>
      <c r="CZ49" s="20">
        <f t="shared" ca="1" si="68"/>
        <v>-1.0729613733905581E-2</v>
      </c>
      <c r="DA49" s="20">
        <f t="shared" ca="1" si="69"/>
        <v>-5.5273767720119662E-3</v>
      </c>
      <c r="DB49" s="20">
        <f t="shared" ca="1" si="70"/>
        <v>-2.8062066688676135E-3</v>
      </c>
      <c r="DC49" s="21">
        <f t="shared" ca="1" si="71"/>
        <v>2.8062066688676135E-3</v>
      </c>
      <c r="DD49" s="21">
        <f t="shared" ca="1" si="72"/>
        <v>5.5273767720119662E-3</v>
      </c>
      <c r="DE49" s="21">
        <f t="shared" ca="1" si="73"/>
        <v>1.0729613733905581E-2</v>
      </c>
      <c r="DF49" s="21">
        <f t="shared" ca="1" si="74"/>
        <v>2.0267048164043875E-2</v>
      </c>
      <c r="DG49" s="21">
        <f t="shared" ca="1" si="75"/>
        <v>3.6480686695278972E-2</v>
      </c>
      <c r="DH49" s="21">
        <f t="shared" ca="1" si="76"/>
        <v>6.0801144492131622E-2</v>
      </c>
      <c r="DI49" s="21">
        <f t="shared" ca="1" si="77"/>
        <v>9.1201716738197436E-2</v>
      </c>
      <c r="DK49" s="16" cm="1">
        <f t="array" aca="1" ref="DK49" ca="1">MAX(_xlfn._xlws.FILTER(CV49:DI49,CV49:DI49&lt;BT49))</f>
        <v>-3.6480686695278972E-2</v>
      </c>
      <c r="DL49" s="16" cm="1">
        <f t="array" aca="1" ref="DL49" ca="1">MIN(_xlfn._xlws.FILTER(CV49:DI49,CV49:DI49&gt;BT49))</f>
        <v>-2.0267048164043875E-2</v>
      </c>
      <c r="DM49" s="2" cm="1">
        <f t="array" aca="1" ref="DM49" ca="1">_FV(EB49,"Fechamento anterior",TRUE)</f>
        <v>3.58</v>
      </c>
      <c r="DN49" s="28">
        <f t="shared" ca="1" si="15"/>
        <v>0.87175484719026963</v>
      </c>
      <c r="DO49" s="15">
        <f t="shared" ca="1" si="78"/>
        <v>3.4493991416309013</v>
      </c>
      <c r="DP49" s="15">
        <f t="shared" ca="1" si="79"/>
        <v>3.5074439675727231</v>
      </c>
      <c r="DQ49" s="9"/>
      <c r="DR49" s="9"/>
      <c r="DS49" s="9"/>
      <c r="DT49" s="89">
        <v>1.6213638531235097E-2</v>
      </c>
      <c r="DU49" s="89">
        <f t="shared" ca="1" si="18"/>
        <v>1.6213638531235097E-2</v>
      </c>
      <c r="DV49" s="72">
        <f t="shared" ca="1" si="19"/>
        <v>0.12060453783099551</v>
      </c>
      <c r="DW49" s="37"/>
      <c r="DX49" s="35">
        <f t="shared" si="39"/>
        <v>8.2915619758885076E-2</v>
      </c>
      <c r="DY49" s="56"/>
      <c r="DZ49" s="56"/>
      <c r="EB49" s="2" t="e" vm="49">
        <v>#VALUE!</v>
      </c>
      <c r="ED49" s="10" cm="1">
        <f t="array" aca="1" ref="ED49" ca="1">_FV(EB49,"Ações em circulação",TRUE)</f>
        <v>210536200</v>
      </c>
      <c r="EE49" s="18">
        <f>VLOOKUP(BO49,Fundamentus!A:U,5,FALSE)</f>
        <v>0</v>
      </c>
      <c r="EF49" s="2" t="e">
        <f t="shared" ca="1" si="20"/>
        <v>#DIV/0!</v>
      </c>
      <c r="EG49" s="17" t="e">
        <v>#DIV/0!</v>
      </c>
      <c r="EH49" s="17" t="e">
        <f t="shared" ca="1" si="21"/>
        <v>#DIV/0!</v>
      </c>
      <c r="EJ49" s="16" t="e">
        <f t="shared" ca="1" si="22"/>
        <v>#DIV/0!</v>
      </c>
      <c r="EK49" s="32" t="str">
        <f>IF(VLOOKUP(BO49,Fundamentus!A:U,3,FALSE)&lt;15,"Bom",IF(VLOOKUP(BO49,Fundamentus!A:U,3,FALSE)&gt;15,"Ruim","n/a"))</f>
        <v>Bom</v>
      </c>
      <c r="EL49" s="28" t="str">
        <f>IF(VLOOKUP(BO49,Fundamentus!A:U,4,FALSE)&lt;1,"Baixo",IF(VLOOKUP(BO49,Fundamentus!A:U,4,FALSE)&lt;1.5,"Moderado",IF(VLOOKUP(BO49,Fundamentus!A:U,4,FALSE)&gt;1.5,"Alto","n/a")))</f>
        <v>Baixo</v>
      </c>
      <c r="EM49" s="17" t="str">
        <f>IF(VLOOKUP(BO49,Fundamentus!A:U,8,FALSE)&lt;0,"Risco elevado",IF(VLOOKUP(BO49,Fundamentus!A:U,8,FALSE)&lt;1,"Saudável",IF(VLOOKUP(BO49,Fundamentus!A:U,8,FALSE)&lt;3,"Estável",IF(VLOOKUP(BO49,Fundamentus!A:U,8,FALSE)&gt;3,"Alerta","n/a"))))</f>
        <v>Saudável</v>
      </c>
      <c r="EN49" s="28" t="str">
        <f t="shared" si="23"/>
        <v>Ruim</v>
      </c>
      <c r="EO49" s="17" t="str">
        <f>IF(VLOOKUP(BO49,Fundamentus!A:U,12,FALSE)&lt;2,"Subvalorizada",IF(VLOOKUP(BO49,Fundamentus!A:U,12,FALSE)&lt;6,"Muita barata",IF(VLOOKUP(BO49,Fundamentus!A:U,12,FALSE)&lt;6,"Barata",IF(VLOOKUP(BO49,Fundamentus!A:U,12,FALSE)&lt;8,"Atrativa",IF(VLOOKUP(BO49,Fundamentus!A:U,12,FALSE)&gt;8,"Supervalorizada","n/a")))))</f>
        <v>Subvalorizada</v>
      </c>
      <c r="EQ49" s="17" t="str">
        <f>IF(VLOOKUP(BO49,Fundamentus!A:U,17,FALSE)&lt;0.1,"Fraco retorno",IF(VLOOKUP(BO49,Fundamentus!A:U,17,FALSE)&gt;0.1,"Bom retorno","n/a"))</f>
        <v>Bom retorno</v>
      </c>
      <c r="ER49" s="17" t="str">
        <f>IF(VLOOKUP(BO49,Fundamentus!A:U,16,FALSE)&lt;0.1,"Ineficiente",IF(VLOOKUP(BO49,Fundamentus!A:U,16,FALSE)&gt;0.1,"Eficiente","n/a"))</f>
        <v>Ineficiente</v>
      </c>
      <c r="ES49" s="33" t="str">
        <f>IF(VLOOKUP(BO49,Fundamentus!A:U,16,FALSE)&lt;0.1,"Oper. Ineficiente",IF(VLOOKUP(BO49,Fundamentus!A:U,16,FALSE)&gt;0.1,"Oper.Eficiente","n/a"))</f>
        <v>Oper. Ineficiente</v>
      </c>
      <c r="ET49" s="34">
        <f>VLOOKUP(BO49,Fundamentus!A:U,14,FALSE)</f>
        <v>0</v>
      </c>
      <c r="EU49" s="17" t="str">
        <f>IF(VLOOKUP(BO49,Fundamentus!A:U,21,FALSE)&lt;0,"Negativo",IF(VLOOKUP(BO49,Fundamentus!A:U,21,FALSE)&lt;0.05,"Fraco",IF(VLOOKUP(BO49,Fundamentus!A:U,21,FALSE)&lt;0.1,"Bom",IF(VLOOKUP(BO49,Fundamentus!A:U,21,FALSE)&gt;0.1,"Muito bom","n/a"))))</f>
        <v>Negativo</v>
      </c>
      <c r="EW49" s="29" t="str">
        <f>IF(VLOOKUP(BO49,Fundamentus!A:U,15,FALSE)&gt;1,"Bom",IF(VLOOKUP(BO49,Fundamentus!A:U,15,FALSE)&lt;1,"Ruim","n/a"))</f>
        <v>Ruim</v>
      </c>
      <c r="EX49" s="17" t="str">
        <f>IF(VLOOKUP(BO49,Fundamentus!A:U,20,FALSE)&lt;0.5,"Baixa",IF(VLOOKUP(BO49,Fundamentus!A:U,20,FALSE)&lt;1,"Moderada",IF(VLOOKUP(BO49,Fundamentus!A:U,20,FALSE)&lt;2,"Alerta",IF(VLOOKUP(BO49,Fundamentus!A:U,20,FALSE)&gt;2,"Alta","n/a"))))</f>
        <v>Baixa</v>
      </c>
    </row>
    <row r="50" spans="1:154" s="2" customFormat="1" ht="11.25"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5">
        <v>11.92</v>
      </c>
      <c r="BC50" s="52">
        <v>11.94</v>
      </c>
      <c r="BD50" s="52">
        <v>11.73</v>
      </c>
      <c r="BE50" s="52">
        <v>11.99</v>
      </c>
      <c r="BF50" s="52">
        <v>11.45</v>
      </c>
      <c r="BG50" s="67">
        <v>10.98</v>
      </c>
      <c r="BH50" s="52">
        <v>10.46</v>
      </c>
      <c r="BI50" s="52">
        <v>10.27</v>
      </c>
      <c r="BJ50" s="52">
        <v>10.44</v>
      </c>
      <c r="BK50" s="52">
        <v>10.14</v>
      </c>
      <c r="BL50" s="52">
        <v>9.8800000000000008</v>
      </c>
      <c r="BM50" s="52">
        <v>10.49</v>
      </c>
      <c r="BN50" s="52" cm="1">
        <f t="array" aca="1" ref="BN50" ca="1">_FV(EB50,"Preço")</f>
        <v>10.49</v>
      </c>
      <c r="BO50" s="69" t="s">
        <v>47</v>
      </c>
      <c r="BP50" s="36" cm="1">
        <f t="array" aca="1" ref="BP50" ca="1">_FV(EB50,"Média de volume",TRUE)</f>
        <v>16840</v>
      </c>
      <c r="BQ50" s="36">
        <v>31400</v>
      </c>
      <c r="BR50" s="36" cm="1">
        <f t="array" aca="1" ref="BR50" ca="1">_FV(EB50,"Volume")</f>
        <v>31400</v>
      </c>
      <c r="BS50" s="24" cm="1">
        <f t="array" aca="1" ref="BS50" ca="1">_FV(EB50,"Beta")</f>
        <v>-0.38919999999999999</v>
      </c>
      <c r="BT50" s="71" cm="1">
        <f t="array" aca="1" ref="BT50" ca="1">_FV(EB50,"Variação (%)",TRUE)</f>
        <v>7.685E-3</v>
      </c>
      <c r="BV50" s="17" cm="1">
        <f t="array" aca="1" ref="BV50" ca="1">_FV(EB50,"Baixo")</f>
        <v>10.35</v>
      </c>
      <c r="BW50" s="17" cm="1">
        <f t="array" aca="1" ref="BW50" ca="1">_FV(EB50,"Alto")</f>
        <v>10.5</v>
      </c>
      <c r="BX50" s="24"/>
      <c r="BY50" s="63">
        <f ca="1">SQRT(22.5*(BN50/VLOOKUP(BO50,Fundamentus!A:U,3,FALSE))*(BN50/VLOOKUP(BO50,Fundamentus!A:U,4,FALSE)))</f>
        <v>4.3826292145303292</v>
      </c>
      <c r="CA50" s="62">
        <f t="shared" ca="1" si="24"/>
        <v>0</v>
      </c>
      <c r="CB50" s="8"/>
      <c r="CC50" s="61">
        <f t="shared" si="25"/>
        <v>9.8800000000000008</v>
      </c>
      <c r="CD50" s="61">
        <f t="shared" si="26"/>
        <v>16</v>
      </c>
      <c r="CE50" s="61">
        <f t="shared" si="27"/>
        <v>13.358692307692314</v>
      </c>
      <c r="CF50" s="14"/>
      <c r="CG50" s="35">
        <f t="shared" si="1"/>
        <v>9.7179888212652017</v>
      </c>
      <c r="CH50" s="15">
        <f t="shared" si="28"/>
        <v>10.209999999999994</v>
      </c>
      <c r="CI50" s="35">
        <f t="shared" si="2"/>
        <v>10.702011178734786</v>
      </c>
      <c r="CK50" s="14"/>
      <c r="CL50" s="17">
        <f t="shared" si="3"/>
        <v>1.7200000000000042</v>
      </c>
      <c r="CM50" s="17">
        <f t="shared" si="4"/>
        <v>5.8000000000000025</v>
      </c>
      <c r="CN50" s="17">
        <f t="shared" si="5"/>
        <v>7.8400000000000034</v>
      </c>
      <c r="CO50" s="38">
        <f t="shared" si="29"/>
        <v>11.920000000000002</v>
      </c>
      <c r="CP50" s="17">
        <f t="shared" si="6"/>
        <v>13.960000000000003</v>
      </c>
      <c r="CQ50" s="17">
        <f t="shared" si="7"/>
        <v>18.04</v>
      </c>
      <c r="CR50" s="17">
        <f t="shared" si="8"/>
        <v>20.080000000000002</v>
      </c>
      <c r="CS50" s="2" cm="1">
        <f t="array" aca="1" ref="CS50" ca="1">MAX(_xlfn._xlws.FILTER(CL50:CR50,CL50:CR50&lt;BN50))</f>
        <v>7.8400000000000034</v>
      </c>
      <c r="CT50" s="2" cm="1">
        <f t="array" aca="1" ref="CT50" ca="1">MIN(_xlfn._xlws.FILTER($CL50:$CR50,$CL50:$CR50&gt;BN50))</f>
        <v>11.920000000000002</v>
      </c>
      <c r="CU50" s="16">
        <f t="shared" ca="1" si="63"/>
        <v>0.5204081632653057</v>
      </c>
      <c r="CV50" s="20">
        <f t="shared" ca="1" si="64"/>
        <v>-0.26020408163265285</v>
      </c>
      <c r="CW50" s="20">
        <f t="shared" ca="1" si="65"/>
        <v>-0.1734693877551019</v>
      </c>
      <c r="CX50" s="20">
        <f t="shared" ca="1" si="66"/>
        <v>-0.10408163265306114</v>
      </c>
      <c r="CY50" s="20">
        <f t="shared" ca="1" si="67"/>
        <v>-5.7823129251700633E-2</v>
      </c>
      <c r="CZ50" s="20">
        <f t="shared" ca="1" si="68"/>
        <v>-3.0612244897959159E-2</v>
      </c>
      <c r="DA50" s="20">
        <f t="shared" ca="1" si="69"/>
        <v>-1.57699443413729E-2</v>
      </c>
      <c r="DB50" s="20">
        <f t="shared" ca="1" si="70"/>
        <v>-8.0062794348508565E-3</v>
      </c>
      <c r="DC50" s="21">
        <f t="shared" ca="1" si="71"/>
        <v>8.0062794348508565E-3</v>
      </c>
      <c r="DD50" s="21">
        <f t="shared" ca="1" si="72"/>
        <v>1.57699443413729E-2</v>
      </c>
      <c r="DE50" s="21">
        <f t="shared" ca="1" si="73"/>
        <v>3.0612244897959159E-2</v>
      </c>
      <c r="DF50" s="21">
        <f t="shared" ca="1" si="74"/>
        <v>5.7823129251700633E-2</v>
      </c>
      <c r="DG50" s="21">
        <f t="shared" ca="1" si="75"/>
        <v>0.10408163265306114</v>
      </c>
      <c r="DH50" s="21">
        <f t="shared" ca="1" si="76"/>
        <v>0.1734693877551019</v>
      </c>
      <c r="DI50" s="21">
        <f t="shared" ca="1" si="77"/>
        <v>0.26020408163265285</v>
      </c>
      <c r="DK50" s="16" cm="1">
        <f t="array" aca="1" ref="DK50" ca="1">MAX(_xlfn._xlws.FILTER(CV50:DI50,CV50:DI50&lt;BT50))</f>
        <v>-8.0062794348508565E-3</v>
      </c>
      <c r="DL50" s="16" cm="1">
        <f t="array" aca="1" ref="DL50" ca="1">MIN(_xlfn._xlws.FILTER(CV50:DI50,CV50:DI50&gt;BT50))</f>
        <v>8.0062794348508565E-3</v>
      </c>
      <c r="DM50" s="2" cm="1">
        <f t="array" aca="1" ref="DM50" ca="1">_FV(EB50,"Fechamento anterior",TRUE)</f>
        <v>10.41</v>
      </c>
      <c r="DN50" s="28">
        <f t="shared" ca="1" si="15"/>
        <v>0.97993068505019942</v>
      </c>
      <c r="DO50" s="15">
        <f t="shared" ca="1" si="78"/>
        <v>10.326654631083203</v>
      </c>
      <c r="DP50" s="15">
        <f t="shared" ca="1" si="79"/>
        <v>10.493345368916797</v>
      </c>
      <c r="DQ50" s="9"/>
      <c r="DR50" s="9"/>
      <c r="DS50" s="9"/>
      <c r="DT50" s="89">
        <v>1.6012558869701713E-2</v>
      </c>
      <c r="DU50" s="89">
        <f t="shared" ca="1" si="18"/>
        <v>1.6012558869701713E-2</v>
      </c>
      <c r="DV50" s="72">
        <f t="shared" ca="1" si="19"/>
        <v>0.56909276069707837</v>
      </c>
      <c r="DW50" s="37"/>
      <c r="DX50" s="35">
        <f t="shared" si="39"/>
        <v>0.24600558936739592</v>
      </c>
      <c r="DY50" s="56"/>
      <c r="DZ50" s="56"/>
      <c r="EB50" s="2" t="e" vm="50">
        <v>#VALUE!</v>
      </c>
      <c r="ED50" s="10" cm="1">
        <f t="array" aca="1" ref="ED50" ca="1">_FV(EB50,"Ações em circulação",TRUE)</f>
        <v>96226960</v>
      </c>
      <c r="EE50" s="18">
        <f>VLOOKUP(BO50,Fundamentus!A:U,5,FALSE)</f>
        <v>13.502000000000001</v>
      </c>
      <c r="EF50" s="2">
        <f t="shared" ca="1" si="20"/>
        <v>74760836.202044129</v>
      </c>
      <c r="EG50" s="17">
        <v>10728179.994993331</v>
      </c>
      <c r="EH50" s="17">
        <f t="shared" ca="1" si="21"/>
        <v>10728179.994993331</v>
      </c>
      <c r="EJ50" s="16">
        <f t="shared" ca="1" si="22"/>
        <v>0</v>
      </c>
      <c r="EK50" s="32" t="str">
        <f>IF(VLOOKUP(BO50,Fundamentus!A:U,3,FALSE)&lt;15,"Bom",IF(VLOOKUP(BO50,Fundamentus!A:U,3,FALSE)&gt;15,"Ruim","n/a"))</f>
        <v>Ruim</v>
      </c>
      <c r="EL50" s="28" t="str">
        <f>IF(VLOOKUP(BO50,Fundamentus!A:U,4,FALSE)&lt;1,"Baixo",IF(VLOOKUP(BO50,Fundamentus!A:U,4,FALSE)&lt;1.5,"Moderado",IF(VLOOKUP(BO50,Fundamentus!A:U,4,FALSE)&gt;1.5,"Alto","n/a")))</f>
        <v>Moderado</v>
      </c>
      <c r="EM50" s="17" t="str">
        <f>IF(VLOOKUP(BO50,Fundamentus!A:U,8,FALSE)&lt;0,"Risco elevado",IF(VLOOKUP(BO50,Fundamentus!A:U,8,FALSE)&lt;1,"Saudável",IF(VLOOKUP(BO50,Fundamentus!A:U,8,FALSE)&lt;3,"Estável",IF(VLOOKUP(BO50,Fundamentus!A:U,8,FALSE)&gt;3,"Alerta","n/a"))))</f>
        <v>Risco elevado</v>
      </c>
      <c r="EN50" s="28" t="str">
        <f t="shared" si="23"/>
        <v>Bom</v>
      </c>
      <c r="EO50" s="17" t="str">
        <f>IF(VLOOKUP(BO50,Fundamentus!A:U,12,FALSE)&lt;2,"Subvalorizada",IF(VLOOKUP(BO50,Fundamentus!A:U,12,FALSE)&lt;6,"Muita barata",IF(VLOOKUP(BO50,Fundamentus!A:U,12,FALSE)&lt;6,"Barata",IF(VLOOKUP(BO50,Fundamentus!A:U,12,FALSE)&lt;8,"Atrativa",IF(VLOOKUP(BO50,Fundamentus!A:U,12,FALSE)&gt;8,"Supervalorizada","n/a")))))</f>
        <v>Supervalorizada</v>
      </c>
      <c r="EQ50" s="17" t="str">
        <f>IF(VLOOKUP(BO50,Fundamentus!A:U,17,FALSE)&lt;0.1,"Fraco retorno",IF(VLOOKUP(BO50,Fundamentus!A:U,17,FALSE)&gt;0.1,"Bom retorno","n/a"))</f>
        <v>Fraco retorno</v>
      </c>
      <c r="ER50" s="17" t="str">
        <f>IF(VLOOKUP(BO50,Fundamentus!A:U,16,FALSE)&lt;0.1,"Ineficiente",IF(VLOOKUP(BO50,Fundamentus!A:U,16,FALSE)&gt;0.1,"Eficiente","n/a"))</f>
        <v>Ineficiente</v>
      </c>
      <c r="ES50" s="33" t="str">
        <f>IF(VLOOKUP(BO50,Fundamentus!A:U,16,FALSE)&lt;0.1,"Oper. Ineficiente",IF(VLOOKUP(BO50,Fundamentus!A:U,16,FALSE)&gt;0.1,"Oper.Eficiente","n/a"))</f>
        <v>Oper. Ineficiente</v>
      </c>
      <c r="ET50" s="34">
        <f>VLOOKUP(BO50,Fundamentus!A:U,14,FALSE)</f>
        <v>0.14349999999999999</v>
      </c>
      <c r="EU50" s="17" t="str">
        <f>IF(VLOOKUP(BO50,Fundamentus!A:U,21,FALSE)&lt;0,"Negativo",IF(VLOOKUP(BO50,Fundamentus!A:U,21,FALSE)&lt;0.05,"Fraco",IF(VLOOKUP(BO50,Fundamentus!A:U,21,FALSE)&lt;0.1,"Bom",IF(VLOOKUP(BO50,Fundamentus!A:U,21,FALSE)&gt;0.1,"Muito bom","n/a"))))</f>
        <v>Negativo</v>
      </c>
      <c r="EW50" s="29" t="str">
        <f>IF(VLOOKUP(BO50,Fundamentus!A:U,15,FALSE)&gt;1,"Bom",IF(VLOOKUP(BO50,Fundamentus!A:U,15,FALSE)&lt;1,"Ruim","n/a"))</f>
        <v>Ruim</v>
      </c>
      <c r="EX50" s="17" t="str">
        <f>IF(VLOOKUP(BO50,Fundamentus!A:U,20,FALSE)&lt;0.5,"Baixa",IF(VLOOKUP(BO50,Fundamentus!A:U,20,FALSE)&lt;1,"Moderada",IF(VLOOKUP(BO50,Fundamentus!A:U,20,FALSE)&lt;2,"Alerta",IF(VLOOKUP(BO50,Fundamentus!A:U,20,FALSE)&gt;2,"Alta","n/a"))))</f>
        <v>Baixa</v>
      </c>
    </row>
    <row r="51" spans="1:154" s="2" customFormat="1" ht="11.25"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5">
        <v>14.9</v>
      </c>
      <c r="BC51" s="52">
        <v>15.71</v>
      </c>
      <c r="BD51" s="52">
        <v>15.45</v>
      </c>
      <c r="BE51" s="52">
        <v>15.25</v>
      </c>
      <c r="BF51" s="52">
        <v>16.690000000000001</v>
      </c>
      <c r="BG51" s="67">
        <v>16.760000000000002</v>
      </c>
      <c r="BH51" s="52">
        <v>16.010000000000002</v>
      </c>
      <c r="BI51" s="52">
        <v>15.9</v>
      </c>
      <c r="BJ51" s="52">
        <v>16.78</v>
      </c>
      <c r="BK51" s="52">
        <v>16.690000000000001</v>
      </c>
      <c r="BL51" s="52">
        <v>16.11</v>
      </c>
      <c r="BM51" s="52">
        <v>17.18</v>
      </c>
      <c r="BN51" s="52" cm="1">
        <f t="array" aca="1" ref="BN51" ca="1">_FV(EB51,"Preço")</f>
        <v>17.18</v>
      </c>
      <c r="BO51" s="69" t="s">
        <v>48</v>
      </c>
      <c r="BP51" s="36" cm="1">
        <f t="array" aca="1" ref="BP51" ca="1">_FV(EB51,"Média de volume",TRUE)</f>
        <v>10163760</v>
      </c>
      <c r="BQ51" s="36">
        <v>8882700</v>
      </c>
      <c r="BR51" s="36" cm="1">
        <f t="array" aca="1" ref="BR51" ca="1">_FV(EB51,"Volume")</f>
        <v>8882700</v>
      </c>
      <c r="BS51" s="24" cm="1">
        <f t="array" aca="1" ref="BS51" ca="1">_FV(EB51,"Beta")</f>
        <v>0.61729999999999996</v>
      </c>
      <c r="BT51" s="71" cm="1">
        <f t="array" aca="1" ref="BT51" ca="1">_FV(EB51,"Variação (%)",TRUE)</f>
        <v>-5.7869999999999996E-3</v>
      </c>
      <c r="BV51" s="17" cm="1">
        <f t="array" aca="1" ref="BV51" ca="1">_FV(EB51,"Baixo")</f>
        <v>17.03</v>
      </c>
      <c r="BW51" s="17" cm="1">
        <f t="array" aca="1" ref="BW51" ca="1">_FV(EB51,"Alto")</f>
        <v>17.329999999999998</v>
      </c>
      <c r="BX51" s="24"/>
      <c r="BY51" s="63">
        <f ca="1">SQRT(22.5*(BN51/VLOOKUP(BO51,Fundamentus!A:U,3,FALSE))*(BN51/VLOOKUP(BO51,Fundamentus!A:U,4,FALSE)))</f>
        <v>31.683734405988858</v>
      </c>
      <c r="CA51" s="62">
        <f t="shared" ca="1" si="24"/>
        <v>0</v>
      </c>
      <c r="CB51" s="8"/>
      <c r="CC51" s="61">
        <f t="shared" si="25"/>
        <v>14.68</v>
      </c>
      <c r="CD51" s="61">
        <f t="shared" si="26"/>
        <v>20.47</v>
      </c>
      <c r="CE51" s="61">
        <f t="shared" si="27"/>
        <v>17.558230769230772</v>
      </c>
      <c r="CF51" s="14"/>
      <c r="CG51" s="35">
        <f t="shared" si="1"/>
        <v>16.080408605855418</v>
      </c>
      <c r="CH51" s="15">
        <f t="shared" si="28"/>
        <v>16.845000000000027</v>
      </c>
      <c r="CI51" s="35">
        <f t="shared" si="2"/>
        <v>17.609591394144637</v>
      </c>
      <c r="CK51" s="14"/>
      <c r="CL51" s="17">
        <f t="shared" si="3"/>
        <v>7.913333333333334</v>
      </c>
      <c r="CM51" s="17">
        <f t="shared" si="4"/>
        <v>11.296666666666667</v>
      </c>
      <c r="CN51" s="17">
        <f t="shared" si="5"/>
        <v>13.703333333333333</v>
      </c>
      <c r="CO51" s="38">
        <f t="shared" si="29"/>
        <v>17.086666666666666</v>
      </c>
      <c r="CP51" s="17">
        <f t="shared" si="6"/>
        <v>19.493333333333332</v>
      </c>
      <c r="CQ51" s="17">
        <f t="shared" si="7"/>
        <v>22.876666666666665</v>
      </c>
      <c r="CR51" s="17">
        <f t="shared" si="8"/>
        <v>25.283333333333331</v>
      </c>
      <c r="CS51" s="2" cm="1">
        <f t="array" aca="1" ref="CS51" ca="1">MAX(_xlfn._xlws.FILTER(CL51:CR51,CL51:CR51&lt;BN51))</f>
        <v>17.086666666666666</v>
      </c>
      <c r="CT51" s="2" cm="1">
        <f t="array" aca="1" ref="CT51" ca="1">MIN(_xlfn._xlws.FILTER($CL51:$CR51,$CL51:$CR51&gt;BN51))</f>
        <v>19.493333333333332</v>
      </c>
      <c r="CU51" s="16">
        <f t="shared" ref="CU51:CU82" ca="1" si="80">(CT51/CS51)-1</f>
        <v>0.14085056574326948</v>
      </c>
      <c r="CV51" s="20">
        <f t="shared" ref="CV51:CV82" ca="1" si="81">-$CU51/2</f>
        <v>-7.0425282871634742E-2</v>
      </c>
      <c r="CW51" s="20">
        <f t="shared" ref="CW51:CW82" ca="1" si="82">-$CU51/3</f>
        <v>-4.6950188581089826E-2</v>
      </c>
      <c r="CX51" s="20">
        <f t="shared" ref="CX51:CX82" ca="1" si="83">-$CU51/5</f>
        <v>-2.8170113148653898E-2</v>
      </c>
      <c r="CY51" s="20">
        <f t="shared" ref="CY51:CY82" ca="1" si="84">-$CU51/9</f>
        <v>-1.5650062860363276E-2</v>
      </c>
      <c r="CZ51" s="20">
        <f t="shared" ref="CZ51:CZ82" ca="1" si="85">-$CU51/17</f>
        <v>-8.2853273966629112E-3</v>
      </c>
      <c r="DA51" s="20">
        <f t="shared" ref="DA51:DA82" ca="1" si="86">-$CU51/33</f>
        <v>-4.2681989619172567E-3</v>
      </c>
      <c r="DB51" s="20">
        <f t="shared" ref="DB51:DB82" ca="1" si="87">-$CU51/65</f>
        <v>-2.1669317806656844E-3</v>
      </c>
      <c r="DC51" s="21">
        <f t="shared" ref="DC51:DC82" ca="1" si="88">-$CU51/65*-1</f>
        <v>2.1669317806656844E-3</v>
      </c>
      <c r="DD51" s="21">
        <f t="shared" ref="DD51:DD82" ca="1" si="89">-$CU51/33*-1</f>
        <v>4.2681989619172567E-3</v>
      </c>
      <c r="DE51" s="21">
        <f t="shared" ref="DE51:DE82" ca="1" si="90">-$CU51/17*-1</f>
        <v>8.2853273966629112E-3</v>
      </c>
      <c r="DF51" s="21">
        <f t="shared" ref="DF51:DF82" ca="1" si="91">-$CU51/9*-1</f>
        <v>1.5650062860363276E-2</v>
      </c>
      <c r="DG51" s="21">
        <f t="shared" ref="DG51:DG82" ca="1" si="92">-$CU51/5*-1</f>
        <v>2.8170113148653898E-2</v>
      </c>
      <c r="DH51" s="21">
        <f t="shared" ref="DH51:DH82" ca="1" si="93">-$CU51/3*-1</f>
        <v>4.6950188581089826E-2</v>
      </c>
      <c r="DI51" s="21">
        <f t="shared" ref="DI51:DI82" ca="1" si="94">-$CU51/2*-1</f>
        <v>7.0425282871634742E-2</v>
      </c>
      <c r="DK51" s="16" cm="1">
        <f t="array" aca="1" ref="DK51" ca="1">MAX(_xlfn._xlws.FILTER(CV51:DI51,CV51:DI51&lt;BT51))</f>
        <v>-8.2853273966629112E-3</v>
      </c>
      <c r="DL51" s="16" cm="1">
        <f t="array" aca="1" ref="DL51" ca="1">MIN(_xlfn._xlws.FILTER(CV51:DI51,CV51:DI51&gt;BT51))</f>
        <v>-4.2681989619172567E-3</v>
      </c>
      <c r="DM51" s="2" cm="1">
        <f t="array" aca="1" ref="DM51" ca="1">_FV(EB51,"Fechamento anterior",TRUE)</f>
        <v>17.28</v>
      </c>
      <c r="DN51" s="28">
        <f t="shared" ca="1" si="15"/>
        <v>0.62190950580944682</v>
      </c>
      <c r="DO51" s="15">
        <f t="shared" ref="DO51:DO82" ca="1" si="95">DM51+(DM51*DK51)</f>
        <v>17.136829542585666</v>
      </c>
      <c r="DP51" s="15">
        <f t="shared" ref="DP51:DP82" ca="1" si="96">DM51+(DM51*DL51)</f>
        <v>17.206245521938072</v>
      </c>
      <c r="DQ51" s="9"/>
      <c r="DR51" s="9"/>
      <c r="DS51" s="9"/>
      <c r="DT51" s="89">
        <v>4.0171284347456544E-3</v>
      </c>
      <c r="DU51" s="89">
        <f t="shared" ca="1" si="18"/>
        <v>4.0171284347456544E-3</v>
      </c>
      <c r="DV51" s="72">
        <f t="shared" ca="1" si="19"/>
        <v>0.43814251973729751</v>
      </c>
      <c r="DW51" s="37"/>
      <c r="DX51" s="35">
        <f t="shared" si="39"/>
        <v>0.38229569707230571</v>
      </c>
      <c r="DY51" s="56"/>
      <c r="DZ51" s="56"/>
      <c r="EB51" s="2" t="e" vm="51">
        <v>#VALUE!</v>
      </c>
      <c r="ED51" s="10" cm="1">
        <f t="array" aca="1" ref="ED51" ca="1">_FV(EB51,"Ações em circulação",TRUE)</f>
        <v>2028195000</v>
      </c>
      <c r="EE51" s="18">
        <f>VLOOKUP(BO51,Fundamentus!A:U,5,FALSE)</f>
        <v>0.51200000000000001</v>
      </c>
      <c r="EF51" s="2">
        <f t="shared" ca="1" si="20"/>
        <v>68055449414.0625</v>
      </c>
      <c r="EG51" s="17">
        <v>3300689296.5820313</v>
      </c>
      <c r="EH51" s="17">
        <f t="shared" ca="1" si="21"/>
        <v>3300689296.5820313</v>
      </c>
      <c r="EJ51" s="16">
        <f t="shared" ca="1" si="22"/>
        <v>0</v>
      </c>
      <c r="EK51" s="32" t="str">
        <f>IF(VLOOKUP(BO51,Fundamentus!A:U,3,FALSE)&lt;15,"Bom",IF(VLOOKUP(BO51,Fundamentus!A:U,3,FALSE)&gt;15,"Ruim","n/a"))</f>
        <v>Bom</v>
      </c>
      <c r="EL51" s="28" t="str">
        <f>IF(VLOOKUP(BO51,Fundamentus!A:U,4,FALSE)&lt;1,"Baixo",IF(VLOOKUP(BO51,Fundamentus!A:U,4,FALSE)&lt;1.5,"Moderado",IF(VLOOKUP(BO51,Fundamentus!A:U,4,FALSE)&gt;1.5,"Alto","n/a")))</f>
        <v>Baixo</v>
      </c>
      <c r="EM51" s="17" t="str">
        <f>IF(VLOOKUP(BO51,Fundamentus!A:U,8,FALSE)&lt;0,"Risco elevado",IF(VLOOKUP(BO51,Fundamentus!A:U,8,FALSE)&lt;1,"Saudável",IF(VLOOKUP(BO51,Fundamentus!A:U,8,FALSE)&lt;3,"Estável",IF(VLOOKUP(BO51,Fundamentus!A:U,8,FALSE)&gt;3,"Alerta","n/a"))))</f>
        <v>Estável</v>
      </c>
      <c r="EN51" s="28" t="str">
        <f t="shared" si="23"/>
        <v>Ruim</v>
      </c>
      <c r="EO51" s="17" t="str">
        <f>IF(VLOOKUP(BO51,Fundamentus!A:U,12,FALSE)&lt;2,"Subvalorizada",IF(VLOOKUP(BO51,Fundamentus!A:U,12,FALSE)&lt;6,"Muita barata",IF(VLOOKUP(BO51,Fundamentus!A:U,12,FALSE)&lt;6,"Barata",IF(VLOOKUP(BO51,Fundamentus!A:U,12,FALSE)&lt;8,"Atrativa",IF(VLOOKUP(BO51,Fundamentus!A:U,12,FALSE)&gt;8,"Supervalorizada","n/a")))))</f>
        <v>Muita barata</v>
      </c>
      <c r="EQ51" s="17" t="str">
        <f>IF(VLOOKUP(BO51,Fundamentus!A:U,17,FALSE)&lt;0.1,"Fraco retorno",IF(VLOOKUP(BO51,Fundamentus!A:U,17,FALSE)&gt;0.1,"Bom retorno","n/a"))</f>
        <v>Fraco retorno</v>
      </c>
      <c r="ER51" s="17" t="str">
        <f>IF(VLOOKUP(BO51,Fundamentus!A:U,16,FALSE)&lt;0.1,"Ineficiente",IF(VLOOKUP(BO51,Fundamentus!A:U,16,FALSE)&gt;0.1,"Eficiente","n/a"))</f>
        <v>Ineficiente</v>
      </c>
      <c r="ES51" s="33" t="str">
        <f>IF(VLOOKUP(BO51,Fundamentus!A:U,16,FALSE)&lt;0.1,"Oper. Ineficiente",IF(VLOOKUP(BO51,Fundamentus!A:U,16,FALSE)&gt;0.1,"Oper.Eficiente","n/a"))</f>
        <v>Oper. Ineficiente</v>
      </c>
      <c r="ET51" s="34">
        <f>VLOOKUP(BO51,Fundamentus!A:U,14,FALSE)</f>
        <v>4.8500000000000001E-2</v>
      </c>
      <c r="EU51" s="17" t="str">
        <f>IF(VLOOKUP(BO51,Fundamentus!A:U,21,FALSE)&lt;0,"Negativo",IF(VLOOKUP(BO51,Fundamentus!A:U,21,FALSE)&lt;0.05,"Fraco",IF(VLOOKUP(BO51,Fundamentus!A:U,21,FALSE)&lt;0.1,"Bom",IF(VLOOKUP(BO51,Fundamentus!A:U,21,FALSE)&gt;0.1,"Muito bom","n/a"))))</f>
        <v>Fraco</v>
      </c>
      <c r="EW51" s="29" t="str">
        <f>IF(VLOOKUP(BO51,Fundamentus!A:U,15,FALSE)&gt;1,"Bom",IF(VLOOKUP(BO51,Fundamentus!A:U,15,FALSE)&lt;1,"Ruim","n/a"))</f>
        <v>Bom</v>
      </c>
      <c r="EX51" s="17" t="str">
        <f>IF(VLOOKUP(BO51,Fundamentus!A:U,20,FALSE)&lt;0.5,"Baixa",IF(VLOOKUP(BO51,Fundamentus!A:U,20,FALSE)&lt;1,"Moderada",IF(VLOOKUP(BO51,Fundamentus!A:U,20,FALSE)&lt;2,"Alerta",IF(VLOOKUP(BO51,Fundamentus!A:U,20,FALSE)&gt;2,"Alta","n/a"))))</f>
        <v>Baixa</v>
      </c>
    </row>
    <row r="52" spans="1:154" s="5" customFormat="1" ht="11.25"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5">
        <v>10.6</v>
      </c>
      <c r="BC52" s="52">
        <v>11.14</v>
      </c>
      <c r="BD52" s="52">
        <v>11.14</v>
      </c>
      <c r="BE52" s="52">
        <v>11.07</v>
      </c>
      <c r="BF52" s="52">
        <v>10.81</v>
      </c>
      <c r="BG52" s="67">
        <v>10.71</v>
      </c>
      <c r="BH52" s="52">
        <v>10.81</v>
      </c>
      <c r="BI52" s="52">
        <v>10.71</v>
      </c>
      <c r="BJ52" s="52">
        <v>11.12</v>
      </c>
      <c r="BK52" s="52">
        <v>10.48</v>
      </c>
      <c r="BL52" s="52">
        <v>10.45</v>
      </c>
      <c r="BM52" s="52">
        <v>10.44</v>
      </c>
      <c r="BN52" s="52" cm="1">
        <f t="array" aca="1" ref="BN52" ca="1">_FV(EB52,"Preço")</f>
        <v>10.44</v>
      </c>
      <c r="BO52" s="69" t="s">
        <v>49</v>
      </c>
      <c r="BP52" s="36" cm="1">
        <f t="array" aca="1" ref="BP52" ca="1">_FV(EB52,"Média de volume",TRUE)</f>
        <v>20833220</v>
      </c>
      <c r="BQ52" s="36">
        <v>9229400</v>
      </c>
      <c r="BR52" s="36" cm="1">
        <f t="array" aca="1" ref="BR52" ca="1">_FV(EB52,"Volume")</f>
        <v>9229400</v>
      </c>
      <c r="BS52" s="24" cm="1">
        <f t="array" aca="1" ref="BS52" ca="1">_FV(EB52,"Beta")</f>
        <v>1.1893</v>
      </c>
      <c r="BT52" s="71" cm="1">
        <f t="array" aca="1" ref="BT52" ca="1">_FV(EB52,"Variação (%)",TRUE)</f>
        <v>3.846E-3</v>
      </c>
      <c r="BV52" s="17" cm="1">
        <f t="array" aca="1" ref="BV52" ca="1">_FV(EB52,"Baixo")</f>
        <v>10.39</v>
      </c>
      <c r="BW52" s="17" cm="1">
        <f t="array" aca="1" ref="BW52" ca="1">_FV(EB52,"Alto")</f>
        <v>10.5</v>
      </c>
      <c r="BX52" s="24"/>
      <c r="BY52" s="63">
        <f ca="1">SQRT(22.5*(BN52/VLOOKUP(BO52,Fundamentus!A:U,3,FALSE))*(BN52/VLOOKUP(BO52,Fundamentus!A:U,4,FALSE)))</f>
        <v>15.450144482184232</v>
      </c>
      <c r="CA52" s="62">
        <f t="shared" ca="1" si="24"/>
        <v>0</v>
      </c>
      <c r="CB52" s="8"/>
      <c r="CC52" s="61">
        <f t="shared" si="25"/>
        <v>8.5299999999999994</v>
      </c>
      <c r="CD52" s="61">
        <f t="shared" si="26"/>
        <v>11.2</v>
      </c>
      <c r="CE52" s="61">
        <f t="shared" si="27"/>
        <v>10.090923076923078</v>
      </c>
      <c r="CF52" s="14"/>
      <c r="CG52" s="35">
        <f t="shared" si="1"/>
        <v>9.5297826497746776</v>
      </c>
      <c r="CH52" s="15">
        <f t="shared" si="28"/>
        <v>10.104999999999791</v>
      </c>
      <c r="CI52" s="35">
        <f t="shared" si="2"/>
        <v>10.680217350224904</v>
      </c>
      <c r="CK52" s="14"/>
      <c r="CL52" s="17">
        <f t="shared" si="3"/>
        <v>6.2499999999999982</v>
      </c>
      <c r="CM52" s="17">
        <f t="shared" si="4"/>
        <v>7.3899999999999988</v>
      </c>
      <c r="CN52" s="17">
        <f t="shared" si="5"/>
        <v>8.9199999999999982</v>
      </c>
      <c r="CO52" s="38">
        <f t="shared" si="29"/>
        <v>10.059999999999999</v>
      </c>
      <c r="CP52" s="17">
        <f t="shared" si="6"/>
        <v>11.589999999999998</v>
      </c>
      <c r="CQ52" s="17">
        <f t="shared" si="7"/>
        <v>12.729999999999999</v>
      </c>
      <c r="CR52" s="17">
        <f t="shared" si="8"/>
        <v>14.259999999999998</v>
      </c>
      <c r="CS52" s="2" cm="1">
        <f t="array" aca="1" ref="CS52" ca="1">MAX(_xlfn._xlws.FILTER(CL52:CR52,CL52:CR52&lt;BN52))</f>
        <v>10.059999999999999</v>
      </c>
      <c r="CT52" s="2" cm="1">
        <f t="array" aca="1" ref="CT52" ca="1">MIN(_xlfn._xlws.FILTER($CL52:$CR52,$CL52:$CR52&gt;BN52))</f>
        <v>11.589999999999998</v>
      </c>
      <c r="CU52" s="16">
        <f t="shared" ca="1" si="80"/>
        <v>0.15208747514910526</v>
      </c>
      <c r="CV52" s="20">
        <f t="shared" ca="1" si="81"/>
        <v>-7.6043737574552628E-2</v>
      </c>
      <c r="CW52" s="20">
        <f t="shared" ca="1" si="82"/>
        <v>-5.069582504970175E-2</v>
      </c>
      <c r="CX52" s="20">
        <f t="shared" ca="1" si="83"/>
        <v>-3.0417495029821051E-2</v>
      </c>
      <c r="CY52" s="20">
        <f t="shared" ca="1" si="84"/>
        <v>-1.6898608349900583E-2</v>
      </c>
      <c r="CZ52" s="20">
        <f t="shared" ca="1" si="85"/>
        <v>-8.9463220675944262E-3</v>
      </c>
      <c r="DA52" s="20">
        <f t="shared" ca="1" si="86"/>
        <v>-4.6087113681547043E-3</v>
      </c>
      <c r="DB52" s="20">
        <f t="shared" ca="1" si="87"/>
        <v>-2.3398073099862348E-3</v>
      </c>
      <c r="DC52" s="21">
        <f t="shared" ca="1" si="88"/>
        <v>2.3398073099862348E-3</v>
      </c>
      <c r="DD52" s="21">
        <f t="shared" ca="1" si="89"/>
        <v>4.6087113681547043E-3</v>
      </c>
      <c r="DE52" s="21">
        <f t="shared" ca="1" si="90"/>
        <v>8.9463220675944262E-3</v>
      </c>
      <c r="DF52" s="21">
        <f t="shared" ca="1" si="91"/>
        <v>1.6898608349900583E-2</v>
      </c>
      <c r="DG52" s="21">
        <f t="shared" ca="1" si="92"/>
        <v>3.0417495029821051E-2</v>
      </c>
      <c r="DH52" s="21">
        <f t="shared" ca="1" si="93"/>
        <v>5.069582504970175E-2</v>
      </c>
      <c r="DI52" s="21">
        <f t="shared" ca="1" si="94"/>
        <v>7.6043737574552628E-2</v>
      </c>
      <c r="DK52" s="16" cm="1">
        <f t="array" aca="1" ref="DK52" ca="1">MAX(_xlfn._xlws.FILTER(CV52:DI52,CV52:DI52&lt;BT52))</f>
        <v>2.3398073099862348E-3</v>
      </c>
      <c r="DL52" s="16" cm="1">
        <f t="array" aca="1" ref="DL52" ca="1">MIN(_xlfn._xlws.FILTER(CV52:DI52,CV52:DI52&gt;BT52))</f>
        <v>4.6087113681547043E-3</v>
      </c>
      <c r="DM52" s="2" cm="1">
        <f t="array" aca="1" ref="DM52" ca="1">_FV(EB52,"Fechamento anterior",TRUE)</f>
        <v>10.4</v>
      </c>
      <c r="DN52" s="28">
        <f t="shared" ca="1" si="15"/>
        <v>0.6639093137254255</v>
      </c>
      <c r="DO52" s="15">
        <f t="shared" ca="1" si="95"/>
        <v>10.424333996023858</v>
      </c>
      <c r="DP52" s="15">
        <f t="shared" ca="1" si="96"/>
        <v>10.44793059822881</v>
      </c>
      <c r="DQ52" s="9"/>
      <c r="DR52" s="9"/>
      <c r="DS52" s="9"/>
      <c r="DT52" s="89">
        <v>2.2689040581684696E-3</v>
      </c>
      <c r="DU52" s="89">
        <f t="shared" ca="1" si="18"/>
        <v>2.2689040581684696E-3</v>
      </c>
      <c r="DV52" s="72">
        <f t="shared" ca="1" si="19"/>
        <v>0.58238855255166644</v>
      </c>
      <c r="DW52" s="37"/>
      <c r="DX52" s="35">
        <f t="shared" si="39"/>
        <v>0.28760867511255617</v>
      </c>
      <c r="DY52" s="56"/>
      <c r="DZ52" s="56"/>
      <c r="EB52" s="5" t="e" vm="52">
        <v>#VALUE!</v>
      </c>
      <c r="ED52" s="10" cm="1">
        <f t="array" aca="1" ref="ED52" ca="1">_FV(EB52,"Ações em circulação",TRUE)</f>
        <v>10993810000</v>
      </c>
      <c r="EE52" s="18">
        <f>VLOOKUP(BO52,Fundamentus!A:U,5,FALSE)</f>
        <v>14.128</v>
      </c>
      <c r="EF52" s="2">
        <f t="shared" ca="1" si="20"/>
        <v>8123964920.724802</v>
      </c>
      <c r="EG52" s="17">
        <v>15240558191.279728</v>
      </c>
      <c r="EH52" s="17">
        <f t="shared" ca="1" si="21"/>
        <v>15240558191.279728</v>
      </c>
      <c r="EI52" s="2"/>
      <c r="EJ52" s="16">
        <f t="shared" ca="1" si="22"/>
        <v>0</v>
      </c>
      <c r="EK52" s="32" t="str">
        <f>IF(VLOOKUP(BO52,Fundamentus!A:U,3,FALSE)&lt;15,"Bom",IF(VLOOKUP(BO52,Fundamentus!A:U,3,FALSE)&gt;15,"Ruim","n/a"))</f>
        <v>Bom</v>
      </c>
      <c r="EL52" s="28" t="str">
        <f>IF(VLOOKUP(BO52,Fundamentus!A:U,4,FALSE)&lt;1,"Baixo",IF(VLOOKUP(BO52,Fundamentus!A:U,4,FALSE)&lt;1.5,"Moderado",IF(VLOOKUP(BO52,Fundamentus!A:U,4,FALSE)&gt;1.5,"Alto","n/a")))</f>
        <v>Moderado</v>
      </c>
      <c r="EM52" s="17" t="str">
        <f>IF(VLOOKUP(BO52,Fundamentus!A:U,8,FALSE)&lt;0,"Risco elevado",IF(VLOOKUP(BO52,Fundamentus!A:U,8,FALSE)&lt;1,"Saudável",IF(VLOOKUP(BO52,Fundamentus!A:U,8,FALSE)&lt;3,"Estável",IF(VLOOKUP(BO52,Fundamentus!A:U,8,FALSE)&gt;3,"Alerta","n/a"))))</f>
        <v>Alerta</v>
      </c>
      <c r="EN52" s="28" t="str">
        <f t="shared" si="23"/>
        <v>Bom</v>
      </c>
      <c r="EO52" s="17" t="str">
        <f>IF(VLOOKUP(BO52,Fundamentus!A:U,12,FALSE)&lt;2,"Subvalorizada",IF(VLOOKUP(BO52,Fundamentus!A:U,12,FALSE)&lt;6,"Muita barata",IF(VLOOKUP(BO52,Fundamentus!A:U,12,FALSE)&lt;6,"Barata",IF(VLOOKUP(BO52,Fundamentus!A:U,12,FALSE)&lt;8,"Atrativa",IF(VLOOKUP(BO52,Fundamentus!A:U,12,FALSE)&gt;8,"Supervalorizada","n/a")))))</f>
        <v>Supervalorizada</v>
      </c>
      <c r="EP52" s="2"/>
      <c r="EQ52" s="17" t="str">
        <f>IF(VLOOKUP(BO52,Fundamentus!A:U,17,FALSE)&lt;0.1,"Fraco retorno",IF(VLOOKUP(BO52,Fundamentus!A:U,17,FALSE)&gt;0.1,"Bom retorno","n/a"))</f>
        <v>Bom retorno</v>
      </c>
      <c r="ER52" s="17" t="str">
        <f>IF(VLOOKUP(BO52,Fundamentus!A:U,16,FALSE)&lt;0.1,"Ineficiente",IF(VLOOKUP(BO52,Fundamentus!A:U,16,FALSE)&gt;0.1,"Eficiente","n/a"))</f>
        <v>Ineficiente</v>
      </c>
      <c r="ES52" s="33" t="str">
        <f>IF(VLOOKUP(BO52,Fundamentus!A:U,16,FALSE)&lt;0.1,"Oper. Ineficiente",IF(VLOOKUP(BO52,Fundamentus!A:U,16,FALSE)&gt;0.1,"Oper.Eficiente","n/a"))</f>
        <v>Oper. Ineficiente</v>
      </c>
      <c r="ET52" s="34">
        <f>VLOOKUP(BO52,Fundamentus!A:U,14,FALSE)</f>
        <v>1.8759999999999999</v>
      </c>
      <c r="EU52" s="17" t="str">
        <f>IF(VLOOKUP(BO52,Fundamentus!A:U,21,FALSE)&lt;0,"Negativo",IF(VLOOKUP(BO52,Fundamentus!A:U,21,FALSE)&lt;0.05,"Fraco",IF(VLOOKUP(BO52,Fundamentus!A:U,21,FALSE)&lt;0.1,"Bom",IF(VLOOKUP(BO52,Fundamentus!A:U,21,FALSE)&gt;0.1,"Muito bom","n/a"))))</f>
        <v>Fraco</v>
      </c>
      <c r="EW52" s="29" t="str">
        <f>IF(VLOOKUP(BO52,Fundamentus!A:U,15,FALSE)&gt;1,"Bom",IF(VLOOKUP(BO52,Fundamentus!A:U,15,FALSE)&lt;1,"Ruim","n/a"))</f>
        <v>Bom</v>
      </c>
      <c r="EX52" s="17" t="str">
        <f>IF(VLOOKUP(BO52,Fundamentus!A:U,20,FALSE)&lt;0.5,"Baixa",IF(VLOOKUP(BO52,Fundamentus!A:U,20,FALSE)&lt;1,"Moderada",IF(VLOOKUP(BO52,Fundamentus!A:U,20,FALSE)&lt;2,"Alerta",IF(VLOOKUP(BO52,Fundamentus!A:U,20,FALSE)&gt;2,"Alta","n/a"))))</f>
        <v>Baixa</v>
      </c>
    </row>
    <row r="53" spans="1:154" s="2" customFormat="1" ht="11.25"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5">
        <v>23.37</v>
      </c>
      <c r="BC53" s="52">
        <v>22.95</v>
      </c>
      <c r="BD53" s="52">
        <v>23.28</v>
      </c>
      <c r="BE53" s="52">
        <v>24.01</v>
      </c>
      <c r="BF53" s="52">
        <v>24.31</v>
      </c>
      <c r="BG53" s="67">
        <v>24.17</v>
      </c>
      <c r="BH53" s="52">
        <v>23.91</v>
      </c>
      <c r="BI53" s="52">
        <v>24.29</v>
      </c>
      <c r="BJ53" s="52">
        <v>23.36</v>
      </c>
      <c r="BK53" s="52">
        <v>22.71</v>
      </c>
      <c r="BL53" s="52">
        <v>21.95</v>
      </c>
      <c r="BM53" s="52">
        <v>20.94</v>
      </c>
      <c r="BN53" s="52" cm="1">
        <f t="array" aca="1" ref="BN53" ca="1">_FV(EB53,"Preço")</f>
        <v>20.94</v>
      </c>
      <c r="BO53" s="69" t="s">
        <v>50</v>
      </c>
      <c r="BP53" s="36" cm="1">
        <f t="array" aca="1" ref="BP53" ca="1">_FV(EB53,"Média de volume",TRUE)</f>
        <v>3936740</v>
      </c>
      <c r="BQ53" s="36">
        <v>2638300</v>
      </c>
      <c r="BR53" s="36" cm="1">
        <f t="array" aca="1" ref="BR53" ca="1">_FV(EB53,"Volume")</f>
        <v>2638300</v>
      </c>
      <c r="BS53" s="24" cm="1">
        <f t="array" aca="1" ref="BS53" ca="1">_FV(EB53,"Beta")</f>
        <v>2.1229</v>
      </c>
      <c r="BT53" s="71" cm="1">
        <f t="array" aca="1" ref="BT53" ca="1">_FV(EB53,"Variação (%)",TRUE)</f>
        <v>-6.6410000000000002E-3</v>
      </c>
      <c r="BV53" s="17" cm="1">
        <f t="array" aca="1" ref="BV53" ca="1">_FV(EB53,"Baixo")</f>
        <v>20.91</v>
      </c>
      <c r="BW53" s="17" cm="1">
        <f t="array" aca="1" ref="BW53" ca="1">_FV(EB53,"Alto")</f>
        <v>21.19</v>
      </c>
      <c r="BX53" s="24"/>
      <c r="BY53" s="63">
        <f ca="1">SQRT(22.5*(BN53/VLOOKUP(BO53,Fundamentus!A:U,3,FALSE))*(BN53/VLOOKUP(BO53,Fundamentus!A:U,4,FALSE)))</f>
        <v>12.337052505418946</v>
      </c>
      <c r="CA53" s="62">
        <f t="shared" ca="1" si="24"/>
        <v>0</v>
      </c>
      <c r="CB53" s="8"/>
      <c r="CC53" s="61">
        <f t="shared" si="25"/>
        <v>16.7</v>
      </c>
      <c r="CD53" s="61">
        <f t="shared" si="26"/>
        <v>25.46</v>
      </c>
      <c r="CE53" s="61">
        <f t="shared" si="27"/>
        <v>21.394000000000002</v>
      </c>
      <c r="CF53" s="14"/>
      <c r="CG53" s="35">
        <f t="shared" si="1"/>
        <v>18.432390780007719</v>
      </c>
      <c r="CH53" s="15">
        <f t="shared" si="28"/>
        <v>20.234999999999673</v>
      </c>
      <c r="CI53" s="35">
        <f t="shared" si="2"/>
        <v>22.037609219991626</v>
      </c>
      <c r="CK53" s="14"/>
      <c r="CL53" s="17">
        <f t="shared" si="3"/>
        <v>8.52</v>
      </c>
      <c r="CM53" s="17">
        <f t="shared" si="4"/>
        <v>12.61</v>
      </c>
      <c r="CN53" s="17">
        <f t="shared" si="5"/>
        <v>17.28</v>
      </c>
      <c r="CO53" s="38">
        <f t="shared" si="29"/>
        <v>21.37</v>
      </c>
      <c r="CP53" s="17">
        <f t="shared" si="6"/>
        <v>26.040000000000003</v>
      </c>
      <c r="CQ53" s="17">
        <f t="shared" si="7"/>
        <v>30.130000000000003</v>
      </c>
      <c r="CR53" s="17">
        <f t="shared" si="8"/>
        <v>34.800000000000004</v>
      </c>
      <c r="CS53" s="2" cm="1">
        <f t="array" aca="1" ref="CS53" ca="1">MAX(_xlfn._xlws.FILTER(CL53:CR53,CL53:CR53&lt;BN53))</f>
        <v>17.28</v>
      </c>
      <c r="CT53" s="2" cm="1">
        <f t="array" aca="1" ref="CT53" ca="1">MIN(_xlfn._xlws.FILTER($CL53:$CR53,$CL53:$CR53&gt;BN53))</f>
        <v>21.37</v>
      </c>
      <c r="CU53" s="16">
        <f t="shared" ca="1" si="80"/>
        <v>0.23668981481481488</v>
      </c>
      <c r="CV53" s="20">
        <f t="shared" ca="1" si="81"/>
        <v>-0.11834490740740744</v>
      </c>
      <c r="CW53" s="20">
        <f t="shared" ca="1" si="82"/>
        <v>-7.8896604938271622E-2</v>
      </c>
      <c r="CX53" s="20">
        <f t="shared" ca="1" si="83"/>
        <v>-4.7337962962962978E-2</v>
      </c>
      <c r="CY53" s="20">
        <f t="shared" ca="1" si="84"/>
        <v>-2.6298868312757209E-2</v>
      </c>
      <c r="CZ53" s="20">
        <f t="shared" ca="1" si="85"/>
        <v>-1.3922930283224404E-2</v>
      </c>
      <c r="DA53" s="20">
        <f t="shared" ca="1" si="86"/>
        <v>-7.1724186307519661E-3</v>
      </c>
      <c r="DB53" s="20">
        <f t="shared" ca="1" si="87"/>
        <v>-3.6413817663817675E-3</v>
      </c>
      <c r="DC53" s="21">
        <f t="shared" ca="1" si="88"/>
        <v>3.6413817663817675E-3</v>
      </c>
      <c r="DD53" s="21">
        <f t="shared" ca="1" si="89"/>
        <v>7.1724186307519661E-3</v>
      </c>
      <c r="DE53" s="21">
        <f t="shared" ca="1" si="90"/>
        <v>1.3922930283224404E-2</v>
      </c>
      <c r="DF53" s="21">
        <f t="shared" ca="1" si="91"/>
        <v>2.6298868312757209E-2</v>
      </c>
      <c r="DG53" s="21">
        <f t="shared" ca="1" si="92"/>
        <v>4.7337962962962978E-2</v>
      </c>
      <c r="DH53" s="21">
        <f t="shared" ca="1" si="93"/>
        <v>7.8896604938271622E-2</v>
      </c>
      <c r="DI53" s="21">
        <f t="shared" ca="1" si="94"/>
        <v>0.11834490740740744</v>
      </c>
      <c r="DK53" s="16" cm="1">
        <f t="array" aca="1" ref="DK53" ca="1">MAX(_xlfn._xlws.FILTER(CV53:DI53,CV53:DI53&lt;BT53))</f>
        <v>-7.1724186307519661E-3</v>
      </c>
      <c r="DL53" s="16" cm="1">
        <f t="array" aca="1" ref="DL53" ca="1">MIN(_xlfn._xlws.FILTER(CV53:DI53,CV53:DI53&gt;BT53))</f>
        <v>-3.6413817663817675E-3</v>
      </c>
      <c r="DM53" s="2" cm="1">
        <f t="array" aca="1" ref="DM53" ca="1">_FV(EB53,"Fechamento anterior",TRUE)</f>
        <v>21.08</v>
      </c>
      <c r="DN53" s="28">
        <f t="shared" ca="1" si="15"/>
        <v>0.150395599717974</v>
      </c>
      <c r="DO53" s="15">
        <f t="shared" ca="1" si="95"/>
        <v>20.928805415263746</v>
      </c>
      <c r="DP53" s="15">
        <f t="shared" ca="1" si="96"/>
        <v>21.003239672364671</v>
      </c>
      <c r="DQ53" s="9"/>
      <c r="DR53" s="9"/>
      <c r="DS53" s="9"/>
      <c r="DT53" s="89">
        <v>3.5310368643701987E-3</v>
      </c>
      <c r="DU53" s="89">
        <f t="shared" ca="1" si="18"/>
        <v>3.5310368643701987E-3</v>
      </c>
      <c r="DV53" s="72">
        <f t="shared" ca="1" si="19"/>
        <v>0.39109974151994825</v>
      </c>
      <c r="DW53" s="37"/>
      <c r="DX53" s="35">
        <f t="shared" si="39"/>
        <v>0.9013046099959765</v>
      </c>
      <c r="DY53" s="56"/>
      <c r="DZ53" s="56"/>
      <c r="EB53" s="2" t="e" vm="53">
        <v>#VALUE!</v>
      </c>
      <c r="ED53" s="10" cm="1">
        <f t="array" aca="1" ref="ED53" ca="1">_FV(EB53,"Ações em circulação",TRUE)</f>
        <v>597250100</v>
      </c>
      <c r="EE53" s="18">
        <f>VLOOKUP(BO53,Fundamentus!A:U,5,FALSE)</f>
        <v>2.1509999999999998</v>
      </c>
      <c r="EF53" s="2">
        <f t="shared" ca="1" si="20"/>
        <v>5814233888.4239893</v>
      </c>
      <c r="EG53" s="17">
        <v>452928819.90822875</v>
      </c>
      <c r="EH53" s="17">
        <f t="shared" ca="1" si="21"/>
        <v>452928819.90822875</v>
      </c>
      <c r="EJ53" s="16">
        <f t="shared" ca="1" si="22"/>
        <v>0</v>
      </c>
      <c r="EK53" s="32" t="str">
        <f>IF(VLOOKUP(BO53,Fundamentus!A:U,3,FALSE)&lt;15,"Bom",IF(VLOOKUP(BO53,Fundamentus!A:U,3,FALSE)&gt;15,"Ruim","n/a"))</f>
        <v>Ruim</v>
      </c>
      <c r="EL53" s="28" t="str">
        <f>IF(VLOOKUP(BO53,Fundamentus!A:U,4,FALSE)&lt;1,"Baixo",IF(VLOOKUP(BO53,Fundamentus!A:U,4,FALSE)&lt;1.5,"Moderado",IF(VLOOKUP(BO53,Fundamentus!A:U,4,FALSE)&gt;1.5,"Alto","n/a")))</f>
        <v>Alto</v>
      </c>
      <c r="EM53" s="17" t="str">
        <f>IF(VLOOKUP(BO53,Fundamentus!A:U,8,FALSE)&lt;0,"Risco elevado",IF(VLOOKUP(BO53,Fundamentus!A:U,8,FALSE)&lt;1,"Saudável",IF(VLOOKUP(BO53,Fundamentus!A:U,8,FALSE)&lt;3,"Estável",IF(VLOOKUP(BO53,Fundamentus!A:U,8,FALSE)&gt;3,"Alerta","n/a"))))</f>
        <v>Alerta</v>
      </c>
      <c r="EN53" s="28" t="str">
        <f t="shared" si="23"/>
        <v>Bom</v>
      </c>
      <c r="EO53" s="17" t="str">
        <f>IF(VLOOKUP(BO53,Fundamentus!A:U,12,FALSE)&lt;2,"Subvalorizada",IF(VLOOKUP(BO53,Fundamentus!A:U,12,FALSE)&lt;6,"Muita barata",IF(VLOOKUP(BO53,Fundamentus!A:U,12,FALSE)&lt;6,"Barata",IF(VLOOKUP(BO53,Fundamentus!A:U,12,FALSE)&lt;8,"Atrativa",IF(VLOOKUP(BO53,Fundamentus!A:U,12,FALSE)&gt;8,"Supervalorizada","n/a")))))</f>
        <v>Muita barata</v>
      </c>
      <c r="EQ53" s="17" t="str">
        <f>IF(VLOOKUP(BO53,Fundamentus!A:U,17,FALSE)&lt;0.1,"Fraco retorno",IF(VLOOKUP(BO53,Fundamentus!A:U,17,FALSE)&gt;0.1,"Bom retorno","n/a"))</f>
        <v>Fraco retorno</v>
      </c>
      <c r="ER53" s="17" t="str">
        <f>IF(VLOOKUP(BO53,Fundamentus!A:U,16,FALSE)&lt;0.1,"Ineficiente",IF(VLOOKUP(BO53,Fundamentus!A:U,16,FALSE)&gt;0.1,"Eficiente","n/a"))</f>
        <v>Ineficiente</v>
      </c>
      <c r="ES53" s="33" t="str">
        <f>IF(VLOOKUP(BO53,Fundamentus!A:U,16,FALSE)&lt;0.1,"Oper. Ineficiente",IF(VLOOKUP(BO53,Fundamentus!A:U,16,FALSE)&gt;0.1,"Oper.Eficiente","n/a"))</f>
        <v>Oper. Ineficiente</v>
      </c>
      <c r="ET53" s="34">
        <f>VLOOKUP(BO53,Fundamentus!A:U,14,FALSE)</f>
        <v>7.7899999999999997E-2</v>
      </c>
      <c r="EU53" s="17" t="str">
        <f>IF(VLOOKUP(BO53,Fundamentus!A:U,21,FALSE)&lt;0,"Negativo",IF(VLOOKUP(BO53,Fundamentus!A:U,21,FALSE)&lt;0.05,"Fraco",IF(VLOOKUP(BO53,Fundamentus!A:U,21,FALSE)&lt;0.1,"Bom",IF(VLOOKUP(BO53,Fundamentus!A:U,21,FALSE)&gt;0.1,"Muito bom","n/a"))))</f>
        <v>Muito bom</v>
      </c>
      <c r="EW53" s="29" t="str">
        <f>IF(VLOOKUP(BO53,Fundamentus!A:U,15,FALSE)&gt;1,"Bom",IF(VLOOKUP(BO53,Fundamentus!A:U,15,FALSE)&lt;1,"Ruim","n/a"))</f>
        <v>Bom</v>
      </c>
      <c r="EX53" s="17" t="str">
        <f>IF(VLOOKUP(BO53,Fundamentus!A:U,20,FALSE)&lt;0.5,"Baixa",IF(VLOOKUP(BO53,Fundamentus!A:U,20,FALSE)&lt;1,"Moderada",IF(VLOOKUP(BO53,Fundamentus!A:U,20,FALSE)&lt;2,"Alerta",IF(VLOOKUP(BO53,Fundamentus!A:U,20,FALSE)&gt;2,"Alta","n/a"))))</f>
        <v>Alerta</v>
      </c>
    </row>
    <row r="54" spans="1:154" s="2" customFormat="1" ht="11.25"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5">
        <v>13.18</v>
      </c>
      <c r="BC54" s="52">
        <v>12.65</v>
      </c>
      <c r="BD54" s="52">
        <v>12.59</v>
      </c>
      <c r="BE54" s="52">
        <v>12.85</v>
      </c>
      <c r="BF54" s="52">
        <v>13.07</v>
      </c>
      <c r="BG54" s="67">
        <v>13.02</v>
      </c>
      <c r="BH54" s="52">
        <v>13.06</v>
      </c>
      <c r="BI54" s="52">
        <v>12.73</v>
      </c>
      <c r="BJ54" s="52">
        <v>13.02</v>
      </c>
      <c r="BK54" s="52">
        <v>12.62</v>
      </c>
      <c r="BL54" s="52">
        <v>12.63</v>
      </c>
      <c r="BM54" s="52">
        <v>14.48</v>
      </c>
      <c r="BN54" s="52" cm="1">
        <f t="array" aca="1" ref="BN54" ca="1">_FV(EB54,"Preço")</f>
        <v>14.48</v>
      </c>
      <c r="BO54" s="69" t="s">
        <v>51</v>
      </c>
      <c r="BP54" s="36" cm="1">
        <f t="array" aca="1" ref="BP54" ca="1">_FV(EB54,"Média de volume",TRUE)</f>
        <v>5011680</v>
      </c>
      <c r="BQ54" s="36">
        <v>2888300</v>
      </c>
      <c r="BR54" s="36" cm="1">
        <f t="array" aca="1" ref="BR54" ca="1">_FV(EB54,"Volume")</f>
        <v>2888300</v>
      </c>
      <c r="BS54" s="24" cm="1">
        <f t="array" aca="1" ref="BS54" ca="1">_FV(EB54,"Beta")</f>
        <v>0.59509999999999996</v>
      </c>
      <c r="BT54" s="71" cm="1">
        <f t="array" aca="1" ref="BT54" ca="1">_FV(EB54,"Variação (%)",TRUE)</f>
        <v>2.3321999999999999E-2</v>
      </c>
      <c r="BV54" s="17" cm="1">
        <f t="array" aca="1" ref="BV54" ca="1">_FV(EB54,"Baixo")</f>
        <v>14.12</v>
      </c>
      <c r="BW54" s="17" cm="1">
        <f t="array" aca="1" ref="BW54" ca="1">_FV(EB54,"Alto")</f>
        <v>14.56</v>
      </c>
      <c r="BX54" s="24"/>
      <c r="BY54" s="63">
        <f ca="1">SQRT(22.5*(BN54/VLOOKUP(BO54,Fundamentus!A:U,3,FALSE))*(BN54/VLOOKUP(BO54,Fundamentus!A:U,4,FALSE)))</f>
        <v>15.663642563483226</v>
      </c>
      <c r="CA54" s="62">
        <f t="shared" ca="1" si="24"/>
        <v>0</v>
      </c>
      <c r="CB54" s="8"/>
      <c r="CC54" s="61">
        <f t="shared" si="25"/>
        <v>11.06</v>
      </c>
      <c r="CD54" s="61">
        <f t="shared" si="26"/>
        <v>16.73</v>
      </c>
      <c r="CE54" s="61">
        <f t="shared" si="27"/>
        <v>13.619769230769231</v>
      </c>
      <c r="CF54" s="14"/>
      <c r="CG54" s="35">
        <f t="shared" si="1"/>
        <v>12.758083171879013</v>
      </c>
      <c r="CH54" s="15">
        <f t="shared" si="28"/>
        <v>14.285000000000309</v>
      </c>
      <c r="CI54" s="35">
        <f t="shared" si="2"/>
        <v>15.811916828121605</v>
      </c>
      <c r="CK54" s="14"/>
      <c r="CL54" s="17">
        <f t="shared" si="3"/>
        <v>4.5466666666666686</v>
      </c>
      <c r="CM54" s="17">
        <f t="shared" si="4"/>
        <v>7.8033333333333346</v>
      </c>
      <c r="CN54" s="17">
        <f t="shared" si="5"/>
        <v>10.216666666666669</v>
      </c>
      <c r="CO54" s="38">
        <f t="shared" si="29"/>
        <v>13.473333333333334</v>
      </c>
      <c r="CP54" s="17">
        <f t="shared" si="6"/>
        <v>15.886666666666668</v>
      </c>
      <c r="CQ54" s="17">
        <f t="shared" si="7"/>
        <v>19.143333333333334</v>
      </c>
      <c r="CR54" s="17">
        <f t="shared" si="8"/>
        <v>21.556666666666668</v>
      </c>
      <c r="CS54" s="2" cm="1">
        <f t="array" aca="1" ref="CS54" ca="1">MAX(_xlfn._xlws.FILTER(CL54:CR54,CL54:CR54&lt;BN54))</f>
        <v>13.473333333333334</v>
      </c>
      <c r="CT54" s="2" cm="1">
        <f t="array" aca="1" ref="CT54" ca="1">MIN(_xlfn._xlws.FILTER($CL54:$CR54,$CL54:$CR54&gt;BN54))</f>
        <v>15.886666666666668</v>
      </c>
      <c r="CU54" s="16">
        <f t="shared" ca="1" si="80"/>
        <v>0.17911924789708067</v>
      </c>
      <c r="CV54" s="20">
        <f t="shared" ca="1" si="81"/>
        <v>-8.9559623948540334E-2</v>
      </c>
      <c r="CW54" s="20">
        <f t="shared" ca="1" si="82"/>
        <v>-5.9706415965693559E-2</v>
      </c>
      <c r="CX54" s="20">
        <f t="shared" ca="1" si="83"/>
        <v>-3.5823849579416131E-2</v>
      </c>
      <c r="CY54" s="20">
        <f t="shared" ca="1" si="84"/>
        <v>-1.9902138655231185E-2</v>
      </c>
      <c r="CZ54" s="20">
        <f t="shared" ca="1" si="85"/>
        <v>-1.0536426346887099E-2</v>
      </c>
      <c r="DA54" s="20">
        <f t="shared" ca="1" si="86"/>
        <v>-5.4278559968812326E-3</v>
      </c>
      <c r="DB54" s="20">
        <f t="shared" ca="1" si="87"/>
        <v>-2.7556807368781643E-3</v>
      </c>
      <c r="DC54" s="21">
        <f t="shared" ca="1" si="88"/>
        <v>2.7556807368781643E-3</v>
      </c>
      <c r="DD54" s="21">
        <f t="shared" ca="1" si="89"/>
        <v>5.4278559968812326E-3</v>
      </c>
      <c r="DE54" s="21">
        <f t="shared" ca="1" si="90"/>
        <v>1.0536426346887099E-2</v>
      </c>
      <c r="DF54" s="21">
        <f t="shared" ca="1" si="91"/>
        <v>1.9902138655231185E-2</v>
      </c>
      <c r="DG54" s="21">
        <f t="shared" ca="1" si="92"/>
        <v>3.5823849579416131E-2</v>
      </c>
      <c r="DH54" s="21">
        <f t="shared" ca="1" si="93"/>
        <v>5.9706415965693559E-2</v>
      </c>
      <c r="DI54" s="21">
        <f t="shared" ca="1" si="94"/>
        <v>8.9559623948540334E-2</v>
      </c>
      <c r="DK54" s="16" cm="1">
        <f t="array" aca="1" ref="DK54" ca="1">MAX(_xlfn._xlws.FILTER(CV54:DI54,CV54:DI54&lt;BT54))</f>
        <v>1.9902138655231185E-2</v>
      </c>
      <c r="DL54" s="16" cm="1">
        <f t="array" aca="1" ref="DL54" ca="1">MIN(_xlfn._xlws.FILTER(CV54:DI54,CV54:DI54&gt;BT54))</f>
        <v>3.5823849579416131E-2</v>
      </c>
      <c r="DM54" s="2" cm="1">
        <f t="array" aca="1" ref="DM54" ca="1">_FV(EB54,"Fechamento anterior",TRUE)</f>
        <v>14.15</v>
      </c>
      <c r="DN54" s="28">
        <f t="shared" ca="1" si="15"/>
        <v>0.21476436366476356</v>
      </c>
      <c r="DO54" s="15">
        <f t="shared" ca="1" si="95"/>
        <v>14.431615261971521</v>
      </c>
      <c r="DP54" s="15">
        <f t="shared" ca="1" si="96"/>
        <v>14.656907471548738</v>
      </c>
      <c r="DQ54" s="9"/>
      <c r="DR54" s="9"/>
      <c r="DS54" s="9"/>
      <c r="DT54" s="89">
        <v>1.5921710924184946E-2</v>
      </c>
      <c r="DU54" s="89">
        <f t="shared" ca="1" si="18"/>
        <v>1.5921710924184946E-2</v>
      </c>
      <c r="DV54" s="72">
        <f t="shared" ca="1" si="19"/>
        <v>0.12770833119942582</v>
      </c>
      <c r="DW54" s="37"/>
      <c r="DX54" s="35">
        <f t="shared" si="39"/>
        <v>0.76345841406064829</v>
      </c>
      <c r="DY54" s="56"/>
      <c r="DZ54" s="56"/>
      <c r="EB54" s="2" t="e" vm="54">
        <v>#VALUE!</v>
      </c>
      <c r="ED54" s="10" cm="1">
        <f t="array" aca="1" ref="ED54" ca="1">_FV(EB54,"Ações em circulação",TRUE)</f>
        <v>547191000</v>
      </c>
      <c r="EE54" s="18">
        <f>VLOOKUP(BO54,Fundamentus!A:U,5,FALSE)</f>
        <v>1.0189999999999999</v>
      </c>
      <c r="EF54" s="2">
        <f t="shared" ca="1" si="20"/>
        <v>7775589479.8822384</v>
      </c>
      <c r="EG54" s="17">
        <v>609606215.22276747</v>
      </c>
      <c r="EH54" s="17">
        <f t="shared" ca="1" si="21"/>
        <v>609606215.22276747</v>
      </c>
      <c r="EJ54" s="16">
        <f t="shared" ca="1" si="22"/>
        <v>0</v>
      </c>
      <c r="EK54" s="32" t="str">
        <f>IF(VLOOKUP(BO54,Fundamentus!A:U,3,FALSE)&lt;15,"Bom",IF(VLOOKUP(BO54,Fundamentus!A:U,3,FALSE)&gt;15,"Ruim","n/a"))</f>
        <v>Bom</v>
      </c>
      <c r="EL54" s="28" t="str">
        <f>IF(VLOOKUP(BO54,Fundamentus!A:U,4,FALSE)&lt;1,"Baixo",IF(VLOOKUP(BO54,Fundamentus!A:U,4,FALSE)&lt;1.5,"Moderado",IF(VLOOKUP(BO54,Fundamentus!A:U,4,FALSE)&gt;1.5,"Alto","n/a")))</f>
        <v>Alto</v>
      </c>
      <c r="EM54" s="17" t="str">
        <f>IF(VLOOKUP(BO54,Fundamentus!A:U,8,FALSE)&lt;0,"Risco elevado",IF(VLOOKUP(BO54,Fundamentus!A:U,8,FALSE)&lt;1,"Saudável",IF(VLOOKUP(BO54,Fundamentus!A:U,8,FALSE)&lt;3,"Estável",IF(VLOOKUP(BO54,Fundamentus!A:U,8,FALSE)&gt;3,"Alerta","n/a"))))</f>
        <v>Alerta</v>
      </c>
      <c r="EN54" s="28" t="str">
        <f t="shared" si="23"/>
        <v>Bom</v>
      </c>
      <c r="EO54" s="17" t="str">
        <f>IF(VLOOKUP(BO54,Fundamentus!A:U,12,FALSE)&lt;2,"Subvalorizada",IF(VLOOKUP(BO54,Fundamentus!A:U,12,FALSE)&lt;6,"Muita barata",IF(VLOOKUP(BO54,Fundamentus!A:U,12,FALSE)&lt;6,"Barata",IF(VLOOKUP(BO54,Fundamentus!A:U,12,FALSE)&lt;8,"Atrativa",IF(VLOOKUP(BO54,Fundamentus!A:U,12,FALSE)&gt;8,"Supervalorizada","n/a")))))</f>
        <v>Muita barata</v>
      </c>
      <c r="EQ54" s="17" t="str">
        <f>IF(VLOOKUP(BO54,Fundamentus!A:U,17,FALSE)&lt;0.1,"Fraco retorno",IF(VLOOKUP(BO54,Fundamentus!A:U,17,FALSE)&gt;0.1,"Bom retorno","n/a"))</f>
        <v>Bom retorno</v>
      </c>
      <c r="ER54" s="17" t="str">
        <f>IF(VLOOKUP(BO54,Fundamentus!A:U,16,FALSE)&lt;0.1,"Ineficiente",IF(VLOOKUP(BO54,Fundamentus!A:U,16,FALSE)&gt;0.1,"Eficiente","n/a"))</f>
        <v>Eficiente</v>
      </c>
      <c r="ES54" s="33" t="str">
        <f>IF(VLOOKUP(BO54,Fundamentus!A:U,16,FALSE)&lt;0.1,"Oper. Ineficiente",IF(VLOOKUP(BO54,Fundamentus!A:U,16,FALSE)&gt;0.1,"Oper.Eficiente","n/a"))</f>
        <v>Oper.Eficiente</v>
      </c>
      <c r="ET54" s="34">
        <f>VLOOKUP(BO54,Fundamentus!A:U,14,FALSE)</f>
        <v>7.8399999999999997E-2</v>
      </c>
      <c r="EU54" s="17" t="str">
        <f>IF(VLOOKUP(BO54,Fundamentus!A:U,21,FALSE)&lt;0,"Negativo",IF(VLOOKUP(BO54,Fundamentus!A:U,21,FALSE)&lt;0.05,"Fraco",IF(VLOOKUP(BO54,Fundamentus!A:U,21,FALSE)&lt;0.1,"Bom",IF(VLOOKUP(BO54,Fundamentus!A:U,21,FALSE)&gt;0.1,"Muito bom","n/a"))))</f>
        <v>Muito bom</v>
      </c>
      <c r="EW54" s="29" t="str">
        <f>IF(VLOOKUP(BO54,Fundamentus!A:U,15,FALSE)&gt;1,"Bom",IF(VLOOKUP(BO54,Fundamentus!A:U,15,FALSE)&lt;1,"Ruim","n/a"))</f>
        <v>Bom</v>
      </c>
      <c r="EX54" s="17" t="str">
        <f>IF(VLOOKUP(BO54,Fundamentus!A:U,20,FALSE)&lt;0.5,"Baixa",IF(VLOOKUP(BO54,Fundamentus!A:U,20,FALSE)&lt;1,"Moderada",IF(VLOOKUP(BO54,Fundamentus!A:U,20,FALSE)&lt;2,"Alerta",IF(VLOOKUP(BO54,Fundamentus!A:U,20,FALSE)&gt;2,"Alta","n/a"))))</f>
        <v>Alerta</v>
      </c>
    </row>
    <row r="55" spans="1:154" s="2" customFormat="1" ht="11.25"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5">
        <v>9.1199999999999992</v>
      </c>
      <c r="BC55" s="52">
        <v>9.58</v>
      </c>
      <c r="BD55" s="52">
        <v>9.27</v>
      </c>
      <c r="BE55" s="52">
        <v>9.2799999999999994</v>
      </c>
      <c r="BF55" s="52">
        <v>9.01</v>
      </c>
      <c r="BG55" s="67">
        <v>9.3800000000000008</v>
      </c>
      <c r="BH55" s="52">
        <v>8.93</v>
      </c>
      <c r="BI55" s="52">
        <v>8.9700000000000006</v>
      </c>
      <c r="BJ55" s="52">
        <v>8.91</v>
      </c>
      <c r="BK55" s="52">
        <v>8.9600000000000009</v>
      </c>
      <c r="BL55" s="52">
        <v>8.4</v>
      </c>
      <c r="BM55" s="52">
        <v>8.4</v>
      </c>
      <c r="BN55" s="52" cm="1">
        <f t="array" aca="1" ref="BN55" ca="1">_FV(EB55,"Preço")</f>
        <v>8.4</v>
      </c>
      <c r="BO55" s="69" t="s">
        <v>52</v>
      </c>
      <c r="BP55" s="36" cm="1">
        <f t="array" aca="1" ref="BP55" ca="1">_FV(EB55,"Média de volume",TRUE)</f>
        <v>96860</v>
      </c>
      <c r="BQ55" s="36">
        <v>69600</v>
      </c>
      <c r="BR55" s="36" cm="1">
        <f t="array" aca="1" ref="BR55" ca="1">_FV(EB55,"Volume")</f>
        <v>69600</v>
      </c>
      <c r="BS55" s="24" cm="1">
        <f t="array" aca="1" ref="BS55" ca="1">_FV(EB55,"Beta")</f>
        <v>0.62509999999999999</v>
      </c>
      <c r="BT55" s="71" cm="1">
        <f t="array" aca="1" ref="BT55" ca="1">_FV(EB55,"Variação (%)",TRUE)</f>
        <v>-2.3749999999999999E-3</v>
      </c>
      <c r="BV55" s="17" cm="1">
        <f t="array" aca="1" ref="BV55" ca="1">_FV(EB55,"Baixo")</f>
        <v>8.36</v>
      </c>
      <c r="BW55" s="17" cm="1">
        <f t="array" aca="1" ref="BW55" ca="1">_FV(EB55,"Alto")</f>
        <v>8.4499999999999993</v>
      </c>
      <c r="BX55" s="24"/>
      <c r="BY55" s="63">
        <f ca="1">SQRT(22.5*(BN55/VLOOKUP(BO55,Fundamentus!A:U,3,FALSE))*(BN55/VLOOKUP(BO55,Fundamentus!A:U,4,FALSE)))</f>
        <v>16.993544621099211</v>
      </c>
      <c r="CA55" s="62">
        <f t="shared" ca="1" si="24"/>
        <v>0</v>
      </c>
      <c r="CB55" s="8"/>
      <c r="CC55" s="61">
        <f t="shared" si="25"/>
        <v>8.2200000000000006</v>
      </c>
      <c r="CD55" s="61">
        <f t="shared" si="26"/>
        <v>11.28</v>
      </c>
      <c r="CE55" s="61">
        <f t="shared" si="27"/>
        <v>9.7583846153846139</v>
      </c>
      <c r="CF55" s="14"/>
      <c r="CG55" s="35">
        <f t="shared" si="1"/>
        <v>7.6088330483890525</v>
      </c>
      <c r="CH55" s="15">
        <f t="shared" si="28"/>
        <v>8.1450000000002092</v>
      </c>
      <c r="CI55" s="35">
        <f t="shared" si="2"/>
        <v>8.681166951611365</v>
      </c>
      <c r="CK55" s="14"/>
      <c r="CL55" s="17">
        <f t="shared" si="3"/>
        <v>4.26</v>
      </c>
      <c r="CM55" s="17">
        <f t="shared" si="4"/>
        <v>6.24</v>
      </c>
      <c r="CN55" s="17">
        <f t="shared" si="5"/>
        <v>7.3199999999999985</v>
      </c>
      <c r="CO55" s="38">
        <f t="shared" si="29"/>
        <v>9.2999999999999989</v>
      </c>
      <c r="CP55" s="17">
        <f t="shared" si="6"/>
        <v>10.379999999999997</v>
      </c>
      <c r="CQ55" s="17">
        <f t="shared" si="7"/>
        <v>12.359999999999998</v>
      </c>
      <c r="CR55" s="17">
        <f t="shared" si="8"/>
        <v>13.439999999999996</v>
      </c>
      <c r="CS55" s="2" cm="1">
        <f t="array" aca="1" ref="CS55" ca="1">MAX(_xlfn._xlws.FILTER(CL55:CR55,CL55:CR55&lt;BN55))</f>
        <v>7.3199999999999985</v>
      </c>
      <c r="CT55" s="2" cm="1">
        <f t="array" aca="1" ref="CT55" ca="1">MIN(_xlfn._xlws.FILTER($CL55:$CR55,$CL55:$CR55&gt;BN55))</f>
        <v>9.2999999999999989</v>
      </c>
      <c r="CU55" s="16">
        <f t="shared" ca="1" si="80"/>
        <v>0.27049180327868871</v>
      </c>
      <c r="CV55" s="20">
        <f t="shared" ca="1" si="81"/>
        <v>-0.13524590163934436</v>
      </c>
      <c r="CW55" s="20">
        <f t="shared" ca="1" si="82"/>
        <v>-9.0163934426229567E-2</v>
      </c>
      <c r="CX55" s="20">
        <f t="shared" ca="1" si="83"/>
        <v>-5.409836065573774E-2</v>
      </c>
      <c r="CY55" s="20">
        <f t="shared" ca="1" si="84"/>
        <v>-3.0054644808743189E-2</v>
      </c>
      <c r="CZ55" s="20">
        <f t="shared" ca="1" si="85"/>
        <v>-1.5911282545805219E-2</v>
      </c>
      <c r="DA55" s="20">
        <f t="shared" ca="1" si="86"/>
        <v>-8.1967213114754155E-3</v>
      </c>
      <c r="DB55" s="20">
        <f t="shared" ca="1" si="87"/>
        <v>-4.1614123581336726E-3</v>
      </c>
      <c r="DC55" s="21">
        <f t="shared" ca="1" si="88"/>
        <v>4.1614123581336726E-3</v>
      </c>
      <c r="DD55" s="21">
        <f t="shared" ca="1" si="89"/>
        <v>8.1967213114754155E-3</v>
      </c>
      <c r="DE55" s="21">
        <f t="shared" ca="1" si="90"/>
        <v>1.5911282545805219E-2</v>
      </c>
      <c r="DF55" s="21">
        <f t="shared" ca="1" si="91"/>
        <v>3.0054644808743189E-2</v>
      </c>
      <c r="DG55" s="21">
        <f t="shared" ca="1" si="92"/>
        <v>5.409836065573774E-2</v>
      </c>
      <c r="DH55" s="21">
        <f t="shared" ca="1" si="93"/>
        <v>9.0163934426229567E-2</v>
      </c>
      <c r="DI55" s="21">
        <f t="shared" ca="1" si="94"/>
        <v>0.13524590163934436</v>
      </c>
      <c r="DK55" s="16" cm="1">
        <f t="array" aca="1" ref="DK55" ca="1">MAX(_xlfn._xlws.FILTER(CV55:DI55,CV55:DI55&lt;BT55))</f>
        <v>-4.1614123581336726E-3</v>
      </c>
      <c r="DL55" s="16" cm="1">
        <f t="array" aca="1" ref="DL55" ca="1">MIN(_xlfn._xlws.FILTER(CV55:DI55,CV55:DI55&gt;BT55))</f>
        <v>4.1614123581336726E-3</v>
      </c>
      <c r="DM55" s="2" cm="1">
        <f t="array" aca="1" ref="DM55" ca="1">_FV(EB55,"Fechamento anterior",TRUE)</f>
        <v>8.42</v>
      </c>
      <c r="DN55" s="28">
        <f t="shared" ca="1" si="15"/>
        <v>0.21460447707479738</v>
      </c>
      <c r="DO55" s="15">
        <f t="shared" ca="1" si="95"/>
        <v>8.3849609079445138</v>
      </c>
      <c r="DP55" s="15">
        <f t="shared" ca="1" si="96"/>
        <v>8.4550390920554861</v>
      </c>
      <c r="DQ55" s="9"/>
      <c r="DR55" s="9"/>
      <c r="DS55" s="9"/>
      <c r="DT55" s="89">
        <v>8.3228247162673453E-3</v>
      </c>
      <c r="DU55" s="89">
        <f t="shared" ca="1" si="18"/>
        <v>8.3228247162673453E-3</v>
      </c>
      <c r="DV55" s="72">
        <f t="shared" ca="1" si="19"/>
        <v>0.47559813083131675</v>
      </c>
      <c r="DW55" s="37"/>
      <c r="DX55" s="35">
        <f t="shared" si="39"/>
        <v>0.26808347580557823</v>
      </c>
      <c r="DY55" s="56"/>
      <c r="DZ55" s="56"/>
      <c r="EB55" s="2" t="e" vm="55">
        <v>#VALUE!</v>
      </c>
      <c r="ED55" s="10" cm="1">
        <f t="array" aca="1" ref="ED55" ca="1">_FV(EB55,"Ações em circulação",TRUE)</f>
        <v>93170750</v>
      </c>
      <c r="EE55" s="18">
        <f>VLOOKUP(BO55,Fundamentus!A:U,5,FALSE)</f>
        <v>0.60199999999999998</v>
      </c>
      <c r="EF55" s="2">
        <f t="shared" ca="1" si="20"/>
        <v>1300056976.7441862</v>
      </c>
      <c r="EG55" s="17">
        <v>92044033.95348838</v>
      </c>
      <c r="EH55" s="17">
        <f t="shared" ca="1" si="21"/>
        <v>92044033.95348838</v>
      </c>
      <c r="EJ55" s="16">
        <f t="shared" ca="1" si="22"/>
        <v>0</v>
      </c>
      <c r="EK55" s="32" t="str">
        <f>IF(VLOOKUP(BO55,Fundamentus!A:U,3,FALSE)&lt;15,"Bom",IF(VLOOKUP(BO55,Fundamentus!A:U,3,FALSE)&gt;15,"Ruim","n/a"))</f>
        <v>Bom</v>
      </c>
      <c r="EL55" s="28" t="str">
        <f>IF(VLOOKUP(BO55,Fundamentus!A:U,4,FALSE)&lt;1,"Baixo",IF(VLOOKUP(BO55,Fundamentus!A:U,4,FALSE)&lt;1.5,"Moderado",IF(VLOOKUP(BO55,Fundamentus!A:U,4,FALSE)&gt;1.5,"Alto","n/a")))</f>
        <v>Baixo</v>
      </c>
      <c r="EM55" s="17" t="str">
        <f>IF(VLOOKUP(BO55,Fundamentus!A:U,8,FALSE)&lt;0,"Risco elevado",IF(VLOOKUP(BO55,Fundamentus!A:U,8,FALSE)&lt;1,"Saudável",IF(VLOOKUP(BO55,Fundamentus!A:U,8,FALSE)&lt;3,"Estável",IF(VLOOKUP(BO55,Fundamentus!A:U,8,FALSE)&gt;3,"Alerta","n/a"))))</f>
        <v>Saudável</v>
      </c>
      <c r="EN55" s="28" t="str">
        <f t="shared" si="23"/>
        <v>Ruim</v>
      </c>
      <c r="EO55" s="17" t="str">
        <f>IF(VLOOKUP(BO55,Fundamentus!A:U,12,FALSE)&lt;2,"Subvalorizada",IF(VLOOKUP(BO55,Fundamentus!A:U,12,FALSE)&lt;6,"Muita barata",IF(VLOOKUP(BO55,Fundamentus!A:U,12,FALSE)&lt;6,"Barata",IF(VLOOKUP(BO55,Fundamentus!A:U,12,FALSE)&lt;8,"Atrativa",IF(VLOOKUP(BO55,Fundamentus!A:U,12,FALSE)&gt;8,"Supervalorizada","n/a")))))</f>
        <v>Supervalorizada</v>
      </c>
      <c r="EQ55" s="17" t="str">
        <f>IF(VLOOKUP(BO55,Fundamentus!A:U,17,FALSE)&lt;0.1,"Fraco retorno",IF(VLOOKUP(BO55,Fundamentus!A:U,17,FALSE)&gt;0.1,"Bom retorno","n/a"))</f>
        <v>Fraco retorno</v>
      </c>
      <c r="ER55" s="17" t="str">
        <f>IF(VLOOKUP(BO55,Fundamentus!A:U,16,FALSE)&lt;0.1,"Ineficiente",IF(VLOOKUP(BO55,Fundamentus!A:U,16,FALSE)&gt;0.1,"Eficiente","n/a"))</f>
        <v>Ineficiente</v>
      </c>
      <c r="ES55" s="33" t="str">
        <f>IF(VLOOKUP(BO55,Fundamentus!A:U,16,FALSE)&lt;0.1,"Oper. Ineficiente",IF(VLOOKUP(BO55,Fundamentus!A:U,16,FALSE)&gt;0.1,"Oper.Eficiente","n/a"))</f>
        <v>Oper. Ineficiente</v>
      </c>
      <c r="ET55" s="34">
        <f>VLOOKUP(BO55,Fundamentus!A:U,14,FALSE)</f>
        <v>7.0800000000000002E-2</v>
      </c>
      <c r="EU55" s="17" t="str">
        <f>IF(VLOOKUP(BO55,Fundamentus!A:U,21,FALSE)&lt;0,"Negativo",IF(VLOOKUP(BO55,Fundamentus!A:U,21,FALSE)&lt;0.05,"Fraco",IF(VLOOKUP(BO55,Fundamentus!A:U,21,FALSE)&lt;0.1,"Bom",IF(VLOOKUP(BO55,Fundamentus!A:U,21,FALSE)&gt;0.1,"Muito bom","n/a"))))</f>
        <v>Negativo</v>
      </c>
      <c r="EW55" s="29" t="str">
        <f>IF(VLOOKUP(BO55,Fundamentus!A:U,15,FALSE)&gt;1,"Bom",IF(VLOOKUP(BO55,Fundamentus!A:U,15,FALSE)&lt;1,"Ruim","n/a"))</f>
        <v>Bom</v>
      </c>
      <c r="EX55" s="17" t="str">
        <f>IF(VLOOKUP(BO55,Fundamentus!A:U,20,FALSE)&lt;0.5,"Baixa",IF(VLOOKUP(BO55,Fundamentus!A:U,20,FALSE)&lt;1,"Moderada",IF(VLOOKUP(BO55,Fundamentus!A:U,20,FALSE)&lt;2,"Alerta",IF(VLOOKUP(BO55,Fundamentus!A:U,20,FALSE)&gt;2,"Alta","n/a"))))</f>
        <v>Moderada</v>
      </c>
    </row>
    <row r="56" spans="1:154" s="2" customFormat="1" ht="11.25"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5">
        <v>11.93</v>
      </c>
      <c r="BC56" s="52">
        <v>11.84</v>
      </c>
      <c r="BD56" s="52">
        <v>11.85</v>
      </c>
      <c r="BE56" s="52">
        <v>11.81</v>
      </c>
      <c r="BF56" s="52">
        <v>11.5</v>
      </c>
      <c r="BG56" s="67">
        <v>11.36</v>
      </c>
      <c r="BH56" s="52">
        <v>11.48</v>
      </c>
      <c r="BI56" s="52">
        <v>11.54</v>
      </c>
      <c r="BJ56" s="52">
        <v>11.75</v>
      </c>
      <c r="BK56" s="52">
        <v>11.36</v>
      </c>
      <c r="BL56" s="52">
        <v>11.24</v>
      </c>
      <c r="BM56" s="52">
        <v>11.16</v>
      </c>
      <c r="BN56" s="52" cm="1">
        <f t="array" aca="1" ref="BN56" ca="1">_FV(EB56,"Preço")</f>
        <v>11.16</v>
      </c>
      <c r="BO56" s="69" t="s">
        <v>53</v>
      </c>
      <c r="BP56" s="36" cm="1">
        <f t="array" aca="1" ref="BP56" ca="1">_FV(EB56,"Média de volume",TRUE)</f>
        <v>1235190</v>
      </c>
      <c r="BQ56" s="36">
        <v>174000</v>
      </c>
      <c r="BR56" s="36" cm="1">
        <f t="array" aca="1" ref="BR56" ca="1">_FV(EB56,"Volume")</f>
        <v>174000</v>
      </c>
      <c r="BS56" s="24" cm="1">
        <f t="array" aca="1" ref="BS56" ca="1">_FV(EB56,"Beta")</f>
        <v>0.70899999999999996</v>
      </c>
      <c r="BT56" s="71" cm="1">
        <f t="array" aca="1" ref="BT56" ca="1">_FV(EB56,"Variação (%)",TRUE)</f>
        <v>-6.2329999999999998E-3</v>
      </c>
      <c r="BV56" s="17" cm="1">
        <f t="array" aca="1" ref="BV56" ca="1">_FV(EB56,"Baixo")</f>
        <v>11.14</v>
      </c>
      <c r="BW56" s="17" cm="1">
        <f t="array" aca="1" ref="BW56" ca="1">_FV(EB56,"Alto")</f>
        <v>11.25</v>
      </c>
      <c r="BX56" s="24"/>
      <c r="BY56" s="63">
        <f ca="1">SQRT(22.5*(BN56/VLOOKUP(BO56,Fundamentus!A:U,3,FALSE))*(BN56/VLOOKUP(BO56,Fundamentus!A:U,4,FALSE)))</f>
        <v>15.982044888521113</v>
      </c>
      <c r="CA56" s="62">
        <f t="shared" ca="1" si="24"/>
        <v>0</v>
      </c>
      <c r="CB56" s="8"/>
      <c r="CC56" s="61">
        <f t="shared" si="25"/>
        <v>10.77</v>
      </c>
      <c r="CD56" s="61">
        <f t="shared" si="26"/>
        <v>12.27</v>
      </c>
      <c r="CE56" s="61">
        <f t="shared" si="27"/>
        <v>11.474153846153847</v>
      </c>
      <c r="CF56" s="14"/>
      <c r="CG56" s="35">
        <f t="shared" si="1"/>
        <v>10.451927158174518</v>
      </c>
      <c r="CH56" s="15">
        <f t="shared" si="28"/>
        <v>10.9050000000002</v>
      </c>
      <c r="CI56" s="35">
        <f t="shared" si="2"/>
        <v>11.358072841825882</v>
      </c>
      <c r="CK56" s="14"/>
      <c r="CL56" s="17">
        <f t="shared" si="3"/>
        <v>9.0833333333333357</v>
      </c>
      <c r="CM56" s="17">
        <f t="shared" si="4"/>
        <v>9.9266666666666676</v>
      </c>
      <c r="CN56" s="17">
        <f t="shared" si="5"/>
        <v>10.583333333333336</v>
      </c>
      <c r="CO56" s="38">
        <f t="shared" si="29"/>
        <v>11.426666666666668</v>
      </c>
      <c r="CP56" s="17">
        <f t="shared" si="6"/>
        <v>12.083333333333336</v>
      </c>
      <c r="CQ56" s="17">
        <f t="shared" si="7"/>
        <v>12.926666666666668</v>
      </c>
      <c r="CR56" s="17">
        <f t="shared" si="8"/>
        <v>13.583333333333336</v>
      </c>
      <c r="CS56" s="2" cm="1">
        <f t="array" aca="1" ref="CS56" ca="1">MAX(_xlfn._xlws.FILTER(CL56:CR56,CL56:CR56&lt;BN56))</f>
        <v>10.583333333333336</v>
      </c>
      <c r="CT56" s="2" cm="1">
        <f t="array" aca="1" ref="CT56" ca="1">MIN(_xlfn._xlws.FILTER($CL56:$CR56,$CL56:$CR56&gt;BN56))</f>
        <v>11.426666666666668</v>
      </c>
      <c r="CU56" s="16">
        <f t="shared" ca="1" si="80"/>
        <v>7.9685039370078536E-2</v>
      </c>
      <c r="CV56" s="20">
        <f t="shared" ca="1" si="81"/>
        <v>-3.9842519685039268E-2</v>
      </c>
      <c r="CW56" s="20">
        <f t="shared" ca="1" si="82"/>
        <v>-2.6561679790026178E-2</v>
      </c>
      <c r="CX56" s="20">
        <f t="shared" ca="1" si="83"/>
        <v>-1.5937007874015707E-2</v>
      </c>
      <c r="CY56" s="20">
        <f t="shared" ca="1" si="84"/>
        <v>-8.8538932633420598E-3</v>
      </c>
      <c r="CZ56" s="20">
        <f t="shared" ca="1" si="85"/>
        <v>-4.6873552570634433E-3</v>
      </c>
      <c r="DA56" s="20">
        <f t="shared" ca="1" si="86"/>
        <v>-2.4146981627296525E-3</v>
      </c>
      <c r="DB56" s="20">
        <f t="shared" ca="1" si="87"/>
        <v>-1.2259236826165929E-3</v>
      </c>
      <c r="DC56" s="21">
        <f t="shared" ca="1" si="88"/>
        <v>1.2259236826165929E-3</v>
      </c>
      <c r="DD56" s="21">
        <f t="shared" ca="1" si="89"/>
        <v>2.4146981627296525E-3</v>
      </c>
      <c r="DE56" s="21">
        <f t="shared" ca="1" si="90"/>
        <v>4.6873552570634433E-3</v>
      </c>
      <c r="DF56" s="21">
        <f t="shared" ca="1" si="91"/>
        <v>8.8538932633420598E-3</v>
      </c>
      <c r="DG56" s="21">
        <f t="shared" ca="1" si="92"/>
        <v>1.5937007874015707E-2</v>
      </c>
      <c r="DH56" s="21">
        <f t="shared" ca="1" si="93"/>
        <v>2.6561679790026178E-2</v>
      </c>
      <c r="DI56" s="21">
        <f t="shared" ca="1" si="94"/>
        <v>3.9842519685039268E-2</v>
      </c>
      <c r="DK56" s="16" cm="1">
        <f t="array" aca="1" ref="DK56" ca="1">MAX(_xlfn._xlws.FILTER(CV56:DI56,CV56:DI56&lt;BT56))</f>
        <v>-8.8538932633420598E-3</v>
      </c>
      <c r="DL56" s="16" cm="1">
        <f t="array" aca="1" ref="DL56" ca="1">MIN(_xlfn._xlws.FILTER(CV56:DI56,CV56:DI56&gt;BT56))</f>
        <v>-4.6873552570634433E-3</v>
      </c>
      <c r="DM56" s="2" cm="1">
        <f t="array" aca="1" ref="DM56" ca="1">_FV(EB56,"Fechamento anterior",TRUE)</f>
        <v>11.23</v>
      </c>
      <c r="DN56" s="28">
        <f t="shared" ca="1" si="15"/>
        <v>0.62896092834339634</v>
      </c>
      <c r="DO56" s="15">
        <f t="shared" ca="1" si="95"/>
        <v>11.13057077865267</v>
      </c>
      <c r="DP56" s="15">
        <f t="shared" ca="1" si="96"/>
        <v>11.177361000463177</v>
      </c>
      <c r="DQ56" s="9"/>
      <c r="DR56" s="9"/>
      <c r="DS56" s="9"/>
      <c r="DT56" s="89">
        <v>4.1665380062786165E-3</v>
      </c>
      <c r="DU56" s="89">
        <f t="shared" ca="1" si="18"/>
        <v>4.1665380062786165E-3</v>
      </c>
      <c r="DV56" s="72">
        <f t="shared" ca="1" si="19"/>
        <v>0.56282340599419656</v>
      </c>
      <c r="DW56" s="37"/>
      <c r="DX56" s="35">
        <f t="shared" si="39"/>
        <v>0.22653642091284124</v>
      </c>
      <c r="DY56" s="56"/>
      <c r="DZ56" s="56"/>
      <c r="EB56" s="2" t="e" vm="56">
        <v>#VALUE!</v>
      </c>
      <c r="ED56" s="10" cm="1">
        <f t="array" aca="1" ref="ED56" ca="1">_FV(EB56,"Ações em circulação",TRUE)</f>
        <v>344498900</v>
      </c>
      <c r="EE56" s="18">
        <f>VLOOKUP(BO56,Fundamentus!A:U,5,FALSE)</f>
        <v>2.9289999999999998</v>
      </c>
      <c r="EF56" s="2">
        <f t="shared" ca="1" si="20"/>
        <v>1312600793.4448619</v>
      </c>
      <c r="EG56" s="17">
        <v>557199036.81734383</v>
      </c>
      <c r="EH56" s="17">
        <f t="shared" ca="1" si="21"/>
        <v>557199036.81734383</v>
      </c>
      <c r="EJ56" s="16">
        <f t="shared" ca="1" si="22"/>
        <v>0</v>
      </c>
      <c r="EK56" s="32" t="str">
        <f>IF(VLOOKUP(BO56,Fundamentus!A:U,3,FALSE)&lt;15,"Bom",IF(VLOOKUP(BO56,Fundamentus!A:U,3,FALSE)&gt;15,"Ruim","n/a"))</f>
        <v>Bom</v>
      </c>
      <c r="EL56" s="28" t="str">
        <f>IF(VLOOKUP(BO56,Fundamentus!A:U,4,FALSE)&lt;1,"Baixo",IF(VLOOKUP(BO56,Fundamentus!A:U,4,FALSE)&lt;1.5,"Moderado",IF(VLOOKUP(BO56,Fundamentus!A:U,4,FALSE)&gt;1.5,"Alto","n/a")))</f>
        <v>Alto</v>
      </c>
      <c r="EM56" s="17" t="str">
        <f>IF(VLOOKUP(BO56,Fundamentus!A:U,8,FALSE)&lt;0,"Risco elevado",IF(VLOOKUP(BO56,Fundamentus!A:U,8,FALSE)&lt;1,"Saudável",IF(VLOOKUP(BO56,Fundamentus!A:U,8,FALSE)&lt;3,"Estável",IF(VLOOKUP(BO56,Fundamentus!A:U,8,FALSE)&gt;3,"Alerta","n/a"))))</f>
        <v>Alerta</v>
      </c>
      <c r="EN56" s="28" t="str">
        <f t="shared" si="23"/>
        <v>Bom</v>
      </c>
      <c r="EO56" s="17" t="str">
        <f>IF(VLOOKUP(BO56,Fundamentus!A:U,12,FALSE)&lt;2,"Subvalorizada",IF(VLOOKUP(BO56,Fundamentus!A:U,12,FALSE)&lt;6,"Muita barata",IF(VLOOKUP(BO56,Fundamentus!A:U,12,FALSE)&lt;6,"Barata",IF(VLOOKUP(BO56,Fundamentus!A:U,12,FALSE)&lt;8,"Atrativa",IF(VLOOKUP(BO56,Fundamentus!A:U,12,FALSE)&gt;8,"Supervalorizada","n/a")))))</f>
        <v>Supervalorizada</v>
      </c>
      <c r="EQ56" s="17" t="str">
        <f>IF(VLOOKUP(BO56,Fundamentus!A:U,17,FALSE)&lt;0.1,"Fraco retorno",IF(VLOOKUP(BO56,Fundamentus!A:U,17,FALSE)&gt;0.1,"Bom retorno","n/a"))</f>
        <v>Bom retorno</v>
      </c>
      <c r="ER56" s="17" t="str">
        <f>IF(VLOOKUP(BO56,Fundamentus!A:U,16,FALSE)&lt;0.1,"Ineficiente",IF(VLOOKUP(BO56,Fundamentus!A:U,16,FALSE)&gt;0.1,"Eficiente","n/a"))</f>
        <v>Eficiente</v>
      </c>
      <c r="ES56" s="33" t="str">
        <f>IF(VLOOKUP(BO56,Fundamentus!A:U,16,FALSE)&lt;0.1,"Oper. Ineficiente",IF(VLOOKUP(BO56,Fundamentus!A:U,16,FALSE)&gt;0.1,"Oper.Eficiente","n/a"))</f>
        <v>Oper.Eficiente</v>
      </c>
      <c r="ET56" s="34">
        <f>VLOOKUP(BO56,Fundamentus!A:U,14,FALSE)</f>
        <v>0.42449999999999999</v>
      </c>
      <c r="EU56" s="17" t="str">
        <f>IF(VLOOKUP(BO56,Fundamentus!A:U,21,FALSE)&lt;0,"Negativo",IF(VLOOKUP(BO56,Fundamentus!A:U,21,FALSE)&lt;0.05,"Fraco",IF(VLOOKUP(BO56,Fundamentus!A:U,21,FALSE)&lt;0.1,"Bom",IF(VLOOKUP(BO56,Fundamentus!A:U,21,FALSE)&gt;0.1,"Muito bom","n/a"))))</f>
        <v>Fraco</v>
      </c>
      <c r="EW56" s="29" t="str">
        <f>IF(VLOOKUP(BO56,Fundamentus!A:U,15,FALSE)&gt;1,"Bom",IF(VLOOKUP(BO56,Fundamentus!A:U,15,FALSE)&lt;1,"Ruim","n/a"))</f>
        <v>Bom</v>
      </c>
      <c r="EX56" s="17" t="str">
        <f>IF(VLOOKUP(BO56,Fundamentus!A:U,20,FALSE)&lt;0.5,"Baixa",IF(VLOOKUP(BO56,Fundamentus!A:U,20,FALSE)&lt;1,"Moderada",IF(VLOOKUP(BO56,Fundamentus!A:U,20,FALSE)&lt;2,"Alerta",IF(VLOOKUP(BO56,Fundamentus!A:U,20,FALSE)&gt;2,"Alta","n/a"))))</f>
        <v>Alerta</v>
      </c>
    </row>
    <row r="57" spans="1:154" s="2" customFormat="1" ht="11.25"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5">
        <v>19.21</v>
      </c>
      <c r="BC57" s="52">
        <v>17.89</v>
      </c>
      <c r="BD57" s="52">
        <v>18.059999999999999</v>
      </c>
      <c r="BE57" s="52">
        <v>18.82</v>
      </c>
      <c r="BF57" s="52">
        <v>19.079999999999998</v>
      </c>
      <c r="BG57" s="67">
        <v>19.13</v>
      </c>
      <c r="BH57" s="52">
        <v>17.97</v>
      </c>
      <c r="BI57" s="52">
        <v>17.96</v>
      </c>
      <c r="BJ57" s="52">
        <v>18.579999999999998</v>
      </c>
      <c r="BK57" s="52">
        <v>17.12</v>
      </c>
      <c r="BL57" s="52">
        <v>16.579999999999998</v>
      </c>
      <c r="BM57" s="52">
        <v>16.68</v>
      </c>
      <c r="BN57" s="52" cm="1">
        <f t="array" aca="1" ref="BN57" ca="1">_FV(EB57,"Preço")</f>
        <v>16.68</v>
      </c>
      <c r="BO57" s="69" t="s">
        <v>54</v>
      </c>
      <c r="BP57" s="36" cm="1">
        <f t="array" aca="1" ref="BP57" ca="1">_FV(EB57,"Média de volume",TRUE)</f>
        <v>9157930</v>
      </c>
      <c r="BQ57" s="36">
        <v>3700800</v>
      </c>
      <c r="BR57" s="36" cm="1">
        <f t="array" aca="1" ref="BR57" ca="1">_FV(EB57,"Volume")</f>
        <v>3700800</v>
      </c>
      <c r="BS57" s="24" cm="1">
        <f t="array" aca="1" ref="BS57" ca="1">_FV(EB57,"Beta")</f>
        <v>0.79190000000000005</v>
      </c>
      <c r="BT57" s="71" cm="1">
        <f t="array" aca="1" ref="BT57" ca="1">_FV(EB57,"Variação (%)",TRUE)</f>
        <v>-4.1789999999999996E-3</v>
      </c>
      <c r="BV57" s="17" cm="1">
        <f t="array" aca="1" ref="BV57" ca="1">_FV(EB57,"Baixo")</f>
        <v>16.55</v>
      </c>
      <c r="BW57" s="17" cm="1">
        <f t="array" aca="1" ref="BW57" ca="1">_FV(EB57,"Alto")</f>
        <v>16.940000000000001</v>
      </c>
      <c r="BX57" s="24"/>
      <c r="BY57" s="63" t="e">
        <f ca="1">SQRT(22.5*(BN57/VLOOKUP(BO57,Fundamentus!A:U,3,FALSE))*(BN57/VLOOKUP(BO57,Fundamentus!A:U,4,FALSE)))</f>
        <v>#NUM!</v>
      </c>
      <c r="CA57" s="62">
        <f t="shared" ca="1" si="24"/>
        <v>0</v>
      </c>
      <c r="CB57" s="8"/>
      <c r="CC57" s="61">
        <f t="shared" si="25"/>
        <v>16.579999999999998</v>
      </c>
      <c r="CD57" s="61">
        <f t="shared" si="26"/>
        <v>23.61</v>
      </c>
      <c r="CE57" s="61">
        <f t="shared" si="27"/>
        <v>19.400230769230777</v>
      </c>
      <c r="CF57" s="14"/>
      <c r="CG57" s="35">
        <f t="shared" si="1"/>
        <v>14.080250019534594</v>
      </c>
      <c r="CH57" s="15">
        <f t="shared" si="28"/>
        <v>15.680000000000291</v>
      </c>
      <c r="CI57" s="35">
        <f t="shared" si="2"/>
        <v>17.279749980465986</v>
      </c>
      <c r="CK57" s="14"/>
      <c r="CL57" s="17">
        <f t="shared" si="3"/>
        <v>7.2066666666666634</v>
      </c>
      <c r="CM57" s="17">
        <f t="shared" si="4"/>
        <v>11.893333333333331</v>
      </c>
      <c r="CN57" s="17">
        <f t="shared" si="5"/>
        <v>14.236666666666665</v>
      </c>
      <c r="CO57" s="38">
        <f t="shared" si="29"/>
        <v>18.923333333333332</v>
      </c>
      <c r="CP57" s="17">
        <f t="shared" si="6"/>
        <v>21.266666666666666</v>
      </c>
      <c r="CQ57" s="17">
        <f t="shared" si="7"/>
        <v>25.953333333333333</v>
      </c>
      <c r="CR57" s="17">
        <f t="shared" si="8"/>
        <v>28.296666666666667</v>
      </c>
      <c r="CS57" s="2" cm="1">
        <f t="array" aca="1" ref="CS57" ca="1">MAX(_xlfn._xlws.FILTER(CL57:CR57,CL57:CR57&lt;BN57))</f>
        <v>14.236666666666665</v>
      </c>
      <c r="CT57" s="2" cm="1">
        <f t="array" aca="1" ref="CT57" ca="1">MIN(_xlfn._xlws.FILTER($CL57:$CR57,$CL57:$CR57&gt;BN57))</f>
        <v>18.923333333333332</v>
      </c>
      <c r="CU57" s="16">
        <f t="shared" ca="1" si="80"/>
        <v>0.329196909388902</v>
      </c>
      <c r="CV57" s="20">
        <f t="shared" ca="1" si="81"/>
        <v>-0.164598454694451</v>
      </c>
      <c r="CW57" s="20">
        <f t="shared" ca="1" si="82"/>
        <v>-0.109732303129634</v>
      </c>
      <c r="CX57" s="20">
        <f t="shared" ca="1" si="83"/>
        <v>-6.5839381877780406E-2</v>
      </c>
      <c r="CY57" s="20">
        <f t="shared" ca="1" si="84"/>
        <v>-3.6577434376544669E-2</v>
      </c>
      <c r="CZ57" s="20">
        <f t="shared" ca="1" si="85"/>
        <v>-1.9364524081700116E-2</v>
      </c>
      <c r="DA57" s="20">
        <f t="shared" ca="1" si="86"/>
        <v>-9.9756639208758175E-3</v>
      </c>
      <c r="DB57" s="20">
        <f t="shared" ca="1" si="87"/>
        <v>-5.0645678367523383E-3</v>
      </c>
      <c r="DC57" s="21">
        <f t="shared" ca="1" si="88"/>
        <v>5.0645678367523383E-3</v>
      </c>
      <c r="DD57" s="21">
        <f t="shared" ca="1" si="89"/>
        <v>9.9756639208758175E-3</v>
      </c>
      <c r="DE57" s="21">
        <f t="shared" ca="1" si="90"/>
        <v>1.9364524081700116E-2</v>
      </c>
      <c r="DF57" s="21">
        <f t="shared" ca="1" si="91"/>
        <v>3.6577434376544669E-2</v>
      </c>
      <c r="DG57" s="21">
        <f t="shared" ca="1" si="92"/>
        <v>6.5839381877780406E-2</v>
      </c>
      <c r="DH57" s="21">
        <f t="shared" ca="1" si="93"/>
        <v>0.109732303129634</v>
      </c>
      <c r="DI57" s="21">
        <f t="shared" ca="1" si="94"/>
        <v>0.164598454694451</v>
      </c>
      <c r="DK57" s="16" cm="1">
        <f t="array" aca="1" ref="DK57" ca="1">MAX(_xlfn._xlws.FILTER(CV57:DI57,CV57:DI57&lt;BT57))</f>
        <v>-5.0645678367523383E-3</v>
      </c>
      <c r="DL57" s="16" cm="1">
        <f t="array" aca="1" ref="DL57" ca="1">MIN(_xlfn._xlws.FILTER(CV57:DI57,CV57:DI57&gt;BT57))</f>
        <v>5.0645678367523383E-3</v>
      </c>
      <c r="DM57" s="2" cm="1">
        <f t="array" aca="1" ref="DM57" ca="1">_FV(EB57,"Fechamento anterior",TRUE)</f>
        <v>16.75</v>
      </c>
      <c r="DN57" s="28">
        <f t="shared" ca="1" si="15"/>
        <v>8.7417464597353389E-2</v>
      </c>
      <c r="DO57" s="15">
        <f t="shared" ca="1" si="95"/>
        <v>16.665168488734398</v>
      </c>
      <c r="DP57" s="15">
        <f t="shared" ca="1" si="96"/>
        <v>16.834831511265602</v>
      </c>
      <c r="DQ57" s="9"/>
      <c r="DR57" s="9"/>
      <c r="DS57" s="9"/>
      <c r="DT57" s="89">
        <v>1.0129135673504677E-2</v>
      </c>
      <c r="DU57" s="89">
        <f t="shared" ca="1" si="18"/>
        <v>1.0129135673504677E-2</v>
      </c>
      <c r="DV57" s="72">
        <f t="shared" ca="1" si="19"/>
        <v>0.62509767914396375</v>
      </c>
      <c r="DW57" s="37"/>
      <c r="DX57" s="35">
        <f t="shared" si="39"/>
        <v>0.79987499023284847</v>
      </c>
      <c r="DY57" s="56"/>
      <c r="DZ57" s="56"/>
      <c r="EB57" s="2" t="e" vm="57">
        <v>#VALUE!</v>
      </c>
      <c r="ED57" s="10" cm="1">
        <f t="array" aca="1" ref="ED57" ca="1">_FV(EB57,"Ações em circulação",TRUE)</f>
        <v>1854869000</v>
      </c>
      <c r="EE57" s="18">
        <f>VLOOKUP(BO57,Fundamentus!A:U,5,FALSE)</f>
        <v>2.3039999999999998</v>
      </c>
      <c r="EF57" s="2">
        <f t="shared" ca="1" si="20"/>
        <v>13428478697.916668</v>
      </c>
      <c r="EG57" s="17">
        <v>-1380447610.1458335</v>
      </c>
      <c r="EH57" s="17">
        <f t="shared" ca="1" si="21"/>
        <v>-1380447610.1458335</v>
      </c>
      <c r="EJ57" s="16">
        <f t="shared" ca="1" si="22"/>
        <v>0</v>
      </c>
      <c r="EK57" s="32" t="str">
        <f>IF(VLOOKUP(BO57,Fundamentus!A:U,3,FALSE)&lt;15,"Bom",IF(VLOOKUP(BO57,Fundamentus!A:U,3,FALSE)&gt;15,"Ruim","n/a"))</f>
        <v>Bom</v>
      </c>
      <c r="EL57" s="28" t="str">
        <f>IF(VLOOKUP(BO57,Fundamentus!A:U,4,FALSE)&lt;1,"Baixo",IF(VLOOKUP(BO57,Fundamentus!A:U,4,FALSE)&lt;1.5,"Moderado",IF(VLOOKUP(BO57,Fundamentus!A:U,4,FALSE)&gt;1.5,"Alto","n/a")))</f>
        <v>Alto</v>
      </c>
      <c r="EM57" s="17" t="str">
        <f>IF(VLOOKUP(BO57,Fundamentus!A:U,8,FALSE)&lt;0,"Risco elevado",IF(VLOOKUP(BO57,Fundamentus!A:U,8,FALSE)&lt;1,"Saudável",IF(VLOOKUP(BO57,Fundamentus!A:U,8,FALSE)&lt;3,"Estável",IF(VLOOKUP(BO57,Fundamentus!A:U,8,FALSE)&gt;3,"Alerta","n/a"))))</f>
        <v>Alerta</v>
      </c>
      <c r="EN57" s="28" t="str">
        <f t="shared" si="23"/>
        <v>Bom</v>
      </c>
      <c r="EO57" s="17" t="str">
        <f>IF(VLOOKUP(BO57,Fundamentus!A:U,12,FALSE)&lt;2,"Subvalorizada",IF(VLOOKUP(BO57,Fundamentus!A:U,12,FALSE)&lt;6,"Muita barata",IF(VLOOKUP(BO57,Fundamentus!A:U,12,FALSE)&lt;6,"Barata",IF(VLOOKUP(BO57,Fundamentus!A:U,12,FALSE)&lt;8,"Atrativa",IF(VLOOKUP(BO57,Fundamentus!A:U,12,FALSE)&gt;8,"Supervalorizada","n/a")))))</f>
        <v>Muita barata</v>
      </c>
      <c r="EQ57" s="17" t="str">
        <f>IF(VLOOKUP(BO57,Fundamentus!A:U,17,FALSE)&lt;0.1,"Fraco retorno",IF(VLOOKUP(BO57,Fundamentus!A:U,17,FALSE)&gt;0.1,"Bom retorno","n/a"))</f>
        <v>Fraco retorno</v>
      </c>
      <c r="ER57" s="17" t="str">
        <f>IF(VLOOKUP(BO57,Fundamentus!A:U,16,FALSE)&lt;0.1,"Ineficiente",IF(VLOOKUP(BO57,Fundamentus!A:U,16,FALSE)&gt;0.1,"Eficiente","n/a"))</f>
        <v>Eficiente</v>
      </c>
      <c r="ES57" s="33" t="str">
        <f>IF(VLOOKUP(BO57,Fundamentus!A:U,16,FALSE)&lt;0.1,"Oper. Ineficiente",IF(VLOOKUP(BO57,Fundamentus!A:U,16,FALSE)&gt;0.1,"Oper.Eficiente","n/a"))</f>
        <v>Oper.Eficiente</v>
      </c>
      <c r="ET57" s="34">
        <f>VLOOKUP(BO57,Fundamentus!A:U,14,FALSE)</f>
        <v>-0.1028</v>
      </c>
      <c r="EU57" s="17" t="str">
        <f>IF(VLOOKUP(BO57,Fundamentus!A:U,21,FALSE)&lt;0,"Negativo",IF(VLOOKUP(BO57,Fundamentus!A:U,21,FALSE)&lt;0.05,"Fraco",IF(VLOOKUP(BO57,Fundamentus!A:U,21,FALSE)&lt;0.1,"Bom",IF(VLOOKUP(BO57,Fundamentus!A:U,21,FALSE)&gt;0.1,"Muito bom","n/a"))))</f>
        <v>Muito bom</v>
      </c>
      <c r="EW57" s="29" t="str">
        <f>IF(VLOOKUP(BO57,Fundamentus!A:U,15,FALSE)&gt;1,"Bom",IF(VLOOKUP(BO57,Fundamentus!A:U,15,FALSE)&lt;1,"Ruim","n/a"))</f>
        <v>Bom</v>
      </c>
      <c r="EX57" s="17" t="str">
        <f>IF(VLOOKUP(BO57,Fundamentus!A:U,20,FALSE)&lt;0.5,"Baixa",IF(VLOOKUP(BO57,Fundamentus!A:U,20,FALSE)&lt;1,"Moderada",IF(VLOOKUP(BO57,Fundamentus!A:U,20,FALSE)&lt;2,"Alerta",IF(VLOOKUP(BO57,Fundamentus!A:U,20,FALSE)&gt;2,"Alta","n/a"))))</f>
        <v>Alerta</v>
      </c>
    </row>
    <row r="58" spans="1:154" s="2" customFormat="1" ht="11.25"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5">
        <v>26</v>
      </c>
      <c r="BC58" s="52">
        <v>25.46</v>
      </c>
      <c r="BD58" s="52">
        <v>24.97</v>
      </c>
      <c r="BE58" s="52">
        <v>24.97</v>
      </c>
      <c r="BF58" s="52">
        <v>25.2</v>
      </c>
      <c r="BG58" s="67">
        <v>24.4</v>
      </c>
      <c r="BH58" s="52">
        <v>25.26</v>
      </c>
      <c r="BI58" s="52">
        <v>25.62</v>
      </c>
      <c r="BJ58" s="52">
        <v>26.01</v>
      </c>
      <c r="BK58" s="52">
        <v>25.6</v>
      </c>
      <c r="BL58" s="52">
        <v>26.58</v>
      </c>
      <c r="BM58" s="52">
        <v>25.27</v>
      </c>
      <c r="BN58" s="52" cm="1">
        <f t="array" aca="1" ref="BN58" ca="1">_FV(EB58,"Preço")</f>
        <v>25.27</v>
      </c>
      <c r="BO58" s="69" t="s">
        <v>55</v>
      </c>
      <c r="BP58" s="36" cm="1">
        <f t="array" aca="1" ref="BP58" ca="1">_FV(EB58,"Média de volume",TRUE)</f>
        <v>5444500</v>
      </c>
      <c r="BQ58" s="36">
        <v>2939200</v>
      </c>
      <c r="BR58" s="36" cm="1">
        <f t="array" aca="1" ref="BR58" ca="1">_FV(EB58,"Volume")</f>
        <v>2939200</v>
      </c>
      <c r="BS58" s="24" cm="1">
        <f t="array" aca="1" ref="BS58" ca="1">_FV(EB58,"Beta")</f>
        <v>1.6496999999999999</v>
      </c>
      <c r="BT58" s="71" cm="1">
        <f t="array" aca="1" ref="BT58" ca="1">_FV(EB58,"Variação (%)",TRUE)</f>
        <v>1.3231999999999999E-2</v>
      </c>
      <c r="BV58" s="17" cm="1">
        <f t="array" aca="1" ref="BV58" ca="1">_FV(EB58,"Baixo")</f>
        <v>24.9</v>
      </c>
      <c r="BW58" s="17" cm="1">
        <f t="array" aca="1" ref="BW58" ca="1">_FV(EB58,"Alto")</f>
        <v>25.48</v>
      </c>
      <c r="BX58" s="24"/>
      <c r="BY58" s="63">
        <f ca="1">SQRT(22.5*(BN58/VLOOKUP(BO58,Fundamentus!A:U,3,FALSE))*(BN58/VLOOKUP(BO58,Fundamentus!A:U,4,FALSE)))</f>
        <v>47.992164192257704</v>
      </c>
      <c r="CA58" s="62">
        <f t="shared" ca="1" si="24"/>
        <v>0</v>
      </c>
      <c r="CB58" s="8"/>
      <c r="CC58" s="61">
        <f t="shared" si="25"/>
        <v>16.43</v>
      </c>
      <c r="CD58" s="61">
        <f t="shared" si="26"/>
        <v>26.58</v>
      </c>
      <c r="CE58" s="61">
        <f t="shared" si="27"/>
        <v>21.692999999999998</v>
      </c>
      <c r="CF58" s="14"/>
      <c r="CG58" s="35">
        <f t="shared" si="1"/>
        <v>24.576991820075172</v>
      </c>
      <c r="CH58" s="15">
        <f t="shared" si="28"/>
        <v>25.555000000000064</v>
      </c>
      <c r="CI58" s="35">
        <f t="shared" si="2"/>
        <v>26.533008179924956</v>
      </c>
      <c r="CK58" s="14"/>
      <c r="CL58" s="17">
        <f t="shared" si="3"/>
        <v>9.6633333333333411</v>
      </c>
      <c r="CM58" s="17">
        <f t="shared" si="4"/>
        <v>13.04666666666667</v>
      </c>
      <c r="CN58" s="17">
        <f t="shared" si="5"/>
        <v>19.81333333333334</v>
      </c>
      <c r="CO58" s="38">
        <f t="shared" si="29"/>
        <v>23.196666666666669</v>
      </c>
      <c r="CP58" s="17">
        <f t="shared" si="6"/>
        <v>29.963333333333338</v>
      </c>
      <c r="CQ58" s="17">
        <f t="shared" si="7"/>
        <v>33.346666666666664</v>
      </c>
      <c r="CR58" s="17">
        <f t="shared" si="8"/>
        <v>40.113333333333337</v>
      </c>
      <c r="CS58" s="2" cm="1">
        <f t="array" aca="1" ref="CS58" ca="1">MAX(_xlfn._xlws.FILTER(CL58:CR58,CL58:CR58&lt;BN58))</f>
        <v>23.196666666666669</v>
      </c>
      <c r="CT58" s="2" cm="1">
        <f t="array" aca="1" ref="CT58" ca="1">MIN(_xlfn._xlws.FILTER($CL58:$CR58,$CL58:$CR58&gt;BN58))</f>
        <v>29.963333333333338</v>
      </c>
      <c r="CU58" s="16">
        <f t="shared" ca="1" si="80"/>
        <v>0.29170857881879586</v>
      </c>
      <c r="CV58" s="20">
        <f t="shared" ca="1" si="81"/>
        <v>-0.14585428940939793</v>
      </c>
      <c r="CW58" s="20">
        <f t="shared" ca="1" si="82"/>
        <v>-9.723619293959862E-2</v>
      </c>
      <c r="CX58" s="20">
        <f t="shared" ca="1" si="83"/>
        <v>-5.8341715763759169E-2</v>
      </c>
      <c r="CY58" s="20">
        <f t="shared" ca="1" si="84"/>
        <v>-3.241206431319954E-2</v>
      </c>
      <c r="CZ58" s="20">
        <f t="shared" ca="1" si="85"/>
        <v>-1.7159328165811522E-2</v>
      </c>
      <c r="DA58" s="20">
        <f t="shared" ca="1" si="86"/>
        <v>-8.8396539035998749E-3</v>
      </c>
      <c r="DB58" s="20">
        <f t="shared" ca="1" si="87"/>
        <v>-4.4878242895199363E-3</v>
      </c>
      <c r="DC58" s="21">
        <f t="shared" ca="1" si="88"/>
        <v>4.4878242895199363E-3</v>
      </c>
      <c r="DD58" s="21">
        <f t="shared" ca="1" si="89"/>
        <v>8.8396539035998749E-3</v>
      </c>
      <c r="DE58" s="21">
        <f t="shared" ca="1" si="90"/>
        <v>1.7159328165811522E-2</v>
      </c>
      <c r="DF58" s="21">
        <f t="shared" ca="1" si="91"/>
        <v>3.241206431319954E-2</v>
      </c>
      <c r="DG58" s="21">
        <f t="shared" ca="1" si="92"/>
        <v>5.8341715763759169E-2</v>
      </c>
      <c r="DH58" s="21">
        <f t="shared" ca="1" si="93"/>
        <v>9.723619293959862E-2</v>
      </c>
      <c r="DI58" s="21">
        <f t="shared" ca="1" si="94"/>
        <v>0.14585428940939793</v>
      </c>
      <c r="DK58" s="16" cm="1">
        <f t="array" aca="1" ref="DK58" ca="1">MAX(_xlfn._xlws.FILTER(CV58:DI58,CV58:DI58&lt;BT58))</f>
        <v>8.8396539035998749E-3</v>
      </c>
      <c r="DL58" s="16" cm="1">
        <f t="array" aca="1" ref="DL58" ca="1">MIN(_xlfn._xlws.FILTER(CV58:DI58,CV58:DI58&gt;BT58))</f>
        <v>1.7159328165811522E-2</v>
      </c>
      <c r="DM58" s="2" cm="1">
        <f t="array" aca="1" ref="DM58" ca="1">_FV(EB58,"Fechamento anterior",TRUE)</f>
        <v>24.94</v>
      </c>
      <c r="DN58" s="28">
        <f t="shared" ca="1" si="15"/>
        <v>0.52791758101215536</v>
      </c>
      <c r="DO58" s="15">
        <f t="shared" ca="1" si="95"/>
        <v>25.160460968355782</v>
      </c>
      <c r="DP58" s="15">
        <f t="shared" ca="1" si="96"/>
        <v>25.367953644455341</v>
      </c>
      <c r="DQ58" s="9"/>
      <c r="DR58" s="9"/>
      <c r="DS58" s="9"/>
      <c r="DT58" s="89">
        <v>8.3196742622116474E-3</v>
      </c>
      <c r="DU58" s="89">
        <f t="shared" ca="1" si="18"/>
        <v>8.3196742622116474E-3</v>
      </c>
      <c r="DV58" s="72">
        <f t="shared" ca="1" si="19"/>
        <v>-0.29140860562326915</v>
      </c>
      <c r="DW58" s="37"/>
      <c r="DX58" s="35">
        <f t="shared" si="39"/>
        <v>0.48900408996244543</v>
      </c>
      <c r="DY58" s="56"/>
      <c r="DZ58" s="56"/>
      <c r="EB58" s="2" t="e" vm="58">
        <v>#VALUE!</v>
      </c>
      <c r="ED58" s="10" cm="1">
        <f t="array" aca="1" ref="ED58" ca="1">_FV(EB58,"Ações em circulação",TRUE)</f>
        <v>384000000</v>
      </c>
      <c r="EE58" s="18">
        <f>VLOOKUP(BO58,Fundamentus!A:U,5,FALSE)</f>
        <v>1.194</v>
      </c>
      <c r="EF58" s="2">
        <f t="shared" ca="1" si="20"/>
        <v>8127035175.8793974</v>
      </c>
      <c r="EG58" s="17">
        <v>1418167638.1909547</v>
      </c>
      <c r="EH58" s="17">
        <f t="shared" ca="1" si="21"/>
        <v>1418167638.1909547</v>
      </c>
      <c r="EJ58" s="16">
        <f t="shared" ca="1" si="22"/>
        <v>0</v>
      </c>
      <c r="EK58" s="32" t="str">
        <f>IF(VLOOKUP(BO58,Fundamentus!A:U,3,FALSE)&lt;15,"Bom",IF(VLOOKUP(BO58,Fundamentus!A:U,3,FALSE)&gt;15,"Ruim","n/a"))</f>
        <v>Bom</v>
      </c>
      <c r="EL58" s="28" t="str">
        <f>IF(VLOOKUP(BO58,Fundamentus!A:U,4,FALSE)&lt;1,"Baixo",IF(VLOOKUP(BO58,Fundamentus!A:U,4,FALSE)&lt;1.5,"Moderado",IF(VLOOKUP(BO58,Fundamentus!A:U,4,FALSE)&gt;1.5,"Alto","n/a")))</f>
        <v>Moderado</v>
      </c>
      <c r="EM58" s="17" t="str">
        <f>IF(VLOOKUP(BO58,Fundamentus!A:U,8,FALSE)&lt;0,"Risco elevado",IF(VLOOKUP(BO58,Fundamentus!A:U,8,FALSE)&lt;1,"Saudável",IF(VLOOKUP(BO58,Fundamentus!A:U,8,FALSE)&lt;3,"Estável",IF(VLOOKUP(BO58,Fundamentus!A:U,8,FALSE)&gt;3,"Alerta","n/a"))))</f>
        <v>Estável</v>
      </c>
      <c r="EN58" s="28" t="str">
        <f t="shared" si="23"/>
        <v>Bom</v>
      </c>
      <c r="EO58" s="17" t="str">
        <f>IF(VLOOKUP(BO58,Fundamentus!A:U,12,FALSE)&lt;2,"Subvalorizada",IF(VLOOKUP(BO58,Fundamentus!A:U,12,FALSE)&lt;6,"Muita barata",IF(VLOOKUP(BO58,Fundamentus!A:U,12,FALSE)&lt;6,"Barata",IF(VLOOKUP(BO58,Fundamentus!A:U,12,FALSE)&lt;8,"Atrativa",IF(VLOOKUP(BO58,Fundamentus!A:U,12,FALSE)&gt;8,"Supervalorizada","n/a")))))</f>
        <v>Supervalorizada</v>
      </c>
      <c r="EQ58" s="17" t="str">
        <f>IF(VLOOKUP(BO58,Fundamentus!A:U,17,FALSE)&lt;0.1,"Fraco retorno",IF(VLOOKUP(BO58,Fundamentus!A:U,17,FALSE)&gt;0.1,"Bom retorno","n/a"))</f>
        <v>Bom retorno</v>
      </c>
      <c r="ER58" s="17" t="str">
        <f>IF(VLOOKUP(BO58,Fundamentus!A:U,16,FALSE)&lt;0.1,"Ineficiente",IF(VLOOKUP(BO58,Fundamentus!A:U,16,FALSE)&gt;0.1,"Eficiente","n/a"))</f>
        <v>Ineficiente</v>
      </c>
      <c r="ES58" s="33" t="str">
        <f>IF(VLOOKUP(BO58,Fundamentus!A:U,16,FALSE)&lt;0.1,"Oper. Ineficiente",IF(VLOOKUP(BO58,Fundamentus!A:U,16,FALSE)&gt;0.1,"Oper.Eficiente","n/a"))</f>
        <v>Oper. Ineficiente</v>
      </c>
      <c r="ET58" s="34">
        <f>VLOOKUP(BO58,Fundamentus!A:U,14,FALSE)</f>
        <v>0.17449999999999999</v>
      </c>
      <c r="EU58" s="17" t="str">
        <f>IF(VLOOKUP(BO58,Fundamentus!A:U,21,FALSE)&lt;0,"Negativo",IF(VLOOKUP(BO58,Fundamentus!A:U,21,FALSE)&lt;0.05,"Fraco",IF(VLOOKUP(BO58,Fundamentus!A:U,21,FALSE)&lt;0.1,"Bom",IF(VLOOKUP(BO58,Fundamentus!A:U,21,FALSE)&gt;0.1,"Muito bom","n/a"))))</f>
        <v>Muito bom</v>
      </c>
      <c r="EW58" s="29" t="str">
        <f>IF(VLOOKUP(BO58,Fundamentus!A:U,15,FALSE)&gt;1,"Bom",IF(VLOOKUP(BO58,Fundamentus!A:U,15,FALSE)&lt;1,"Ruim","n/a"))</f>
        <v>Bom</v>
      </c>
      <c r="EX58" s="17" t="str">
        <f>IF(VLOOKUP(BO58,Fundamentus!A:U,20,FALSE)&lt;0.5,"Baixa",IF(VLOOKUP(BO58,Fundamentus!A:U,20,FALSE)&lt;1,"Moderada",IF(VLOOKUP(BO58,Fundamentus!A:U,20,FALSE)&lt;2,"Alerta",IF(VLOOKUP(BO58,Fundamentus!A:U,20,FALSE)&gt;2,"Alta","n/a"))))</f>
        <v>Moderada</v>
      </c>
    </row>
    <row r="59" spans="1:154" s="2" customFormat="1" ht="11.25"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5">
        <v>14.99</v>
      </c>
      <c r="BC59" s="52">
        <v>15.38</v>
      </c>
      <c r="BD59" s="52">
        <v>15.25</v>
      </c>
      <c r="BE59" s="52">
        <v>15.07</v>
      </c>
      <c r="BF59" s="52">
        <v>14.76</v>
      </c>
      <c r="BG59" s="67">
        <v>14.6</v>
      </c>
      <c r="BH59" s="52">
        <v>14.2</v>
      </c>
      <c r="BI59" s="52">
        <v>14.38</v>
      </c>
      <c r="BJ59" s="52">
        <v>14.9</v>
      </c>
      <c r="BK59" s="52">
        <v>14.4</v>
      </c>
      <c r="BL59" s="52">
        <v>13.97</v>
      </c>
      <c r="BM59" s="52">
        <v>13.61</v>
      </c>
      <c r="BN59" s="52" cm="1">
        <f t="array" aca="1" ref="BN59" ca="1">_FV(EB59,"Preço")</f>
        <v>13.61</v>
      </c>
      <c r="BO59" s="69" t="s">
        <v>56</v>
      </c>
      <c r="BP59" s="36" cm="1">
        <f t="array" aca="1" ref="BP59" ca="1">_FV(EB59,"Média de volume",TRUE)</f>
        <v>4056070</v>
      </c>
      <c r="BQ59" s="36">
        <v>2353400</v>
      </c>
      <c r="BR59" s="36" cm="1">
        <f t="array" aca="1" ref="BR59" ca="1">_FV(EB59,"Volume")</f>
        <v>2353400</v>
      </c>
      <c r="BS59" s="24" cm="1">
        <f t="array" aca="1" ref="BS59" ca="1">_FV(EB59,"Beta")</f>
        <v>0.96299999999999997</v>
      </c>
      <c r="BT59" s="71" cm="1">
        <f t="array" aca="1" ref="BT59" ca="1">_FV(EB59,"Variação (%)",TRUE)</f>
        <v>7.3529999999999993E-4</v>
      </c>
      <c r="BV59" s="17" cm="1">
        <f t="array" aca="1" ref="BV59" ca="1">_FV(EB59,"Baixo")</f>
        <v>13.59</v>
      </c>
      <c r="BW59" s="17" cm="1">
        <f t="array" aca="1" ref="BW59" ca="1">_FV(EB59,"Alto")</f>
        <v>13.73</v>
      </c>
      <c r="BX59" s="24"/>
      <c r="BY59" s="63">
        <f ca="1">SQRT(22.5*(BN59/VLOOKUP(BO59,Fundamentus!A:U,3,FALSE))*(BN59/VLOOKUP(BO59,Fundamentus!A:U,4,FALSE)))</f>
        <v>11.675058071181621</v>
      </c>
      <c r="CA59" s="62">
        <f t="shared" ca="1" si="24"/>
        <v>0</v>
      </c>
      <c r="CB59" s="8"/>
      <c r="CC59" s="61">
        <f t="shared" si="25"/>
        <v>13.61</v>
      </c>
      <c r="CD59" s="61">
        <f t="shared" si="26"/>
        <v>16.63</v>
      </c>
      <c r="CE59" s="61">
        <f t="shared" si="27"/>
        <v>14.874923076923078</v>
      </c>
      <c r="CF59" s="14"/>
      <c r="CG59" s="35">
        <f t="shared" si="1"/>
        <v>12.180946059600378</v>
      </c>
      <c r="CH59" s="15">
        <f t="shared" si="28"/>
        <v>13.144999999999982</v>
      </c>
      <c r="CI59" s="35">
        <f t="shared" si="2"/>
        <v>14.109053940399585</v>
      </c>
      <c r="CK59" s="14"/>
      <c r="CL59" s="17">
        <f t="shared" si="3"/>
        <v>9.8233333333333341</v>
      </c>
      <c r="CM59" s="17">
        <f t="shared" si="4"/>
        <v>11.716666666666667</v>
      </c>
      <c r="CN59" s="17">
        <f t="shared" si="5"/>
        <v>12.843333333333334</v>
      </c>
      <c r="CO59" s="38">
        <f t="shared" si="29"/>
        <v>14.736666666666666</v>
      </c>
      <c r="CP59" s="17">
        <f t="shared" si="6"/>
        <v>15.863333333333333</v>
      </c>
      <c r="CQ59" s="17">
        <f t="shared" si="7"/>
        <v>17.756666666666668</v>
      </c>
      <c r="CR59" s="17">
        <f t="shared" si="8"/>
        <v>18.883333333333333</v>
      </c>
      <c r="CS59" s="2" cm="1">
        <f t="array" aca="1" ref="CS59" ca="1">MAX(_xlfn._xlws.FILTER(CL59:CR59,CL59:CR59&lt;BN59))</f>
        <v>12.843333333333334</v>
      </c>
      <c r="CT59" s="2" cm="1">
        <f t="array" aca="1" ref="CT59" ca="1">MIN(_xlfn._xlws.FILTER($CL59:$CR59,$CL59:$CR59&gt;BN59))</f>
        <v>14.736666666666666</v>
      </c>
      <c r="CU59" s="16">
        <f t="shared" ca="1" si="80"/>
        <v>0.14741759667791321</v>
      </c>
      <c r="CV59" s="20">
        <f t="shared" ca="1" si="81"/>
        <v>-7.3708798338956605E-2</v>
      </c>
      <c r="CW59" s="20">
        <f t="shared" ca="1" si="82"/>
        <v>-4.9139198892637737E-2</v>
      </c>
      <c r="CX59" s="20">
        <f t="shared" ca="1" si="83"/>
        <v>-2.9483519335582641E-2</v>
      </c>
      <c r="CY59" s="20">
        <f t="shared" ca="1" si="84"/>
        <v>-1.6379732964212579E-2</v>
      </c>
      <c r="CZ59" s="20">
        <f t="shared" ca="1" si="85"/>
        <v>-8.6716233339948941E-3</v>
      </c>
      <c r="DA59" s="20">
        <f t="shared" ca="1" si="86"/>
        <v>-4.4671998993307035E-3</v>
      </c>
      <c r="DB59" s="20">
        <f t="shared" ca="1" si="87"/>
        <v>-2.2679630258140493E-3</v>
      </c>
      <c r="DC59" s="21">
        <f t="shared" ca="1" si="88"/>
        <v>2.2679630258140493E-3</v>
      </c>
      <c r="DD59" s="21">
        <f t="shared" ca="1" si="89"/>
        <v>4.4671998993307035E-3</v>
      </c>
      <c r="DE59" s="21">
        <f t="shared" ca="1" si="90"/>
        <v>8.6716233339948941E-3</v>
      </c>
      <c r="DF59" s="21">
        <f t="shared" ca="1" si="91"/>
        <v>1.6379732964212579E-2</v>
      </c>
      <c r="DG59" s="21">
        <f t="shared" ca="1" si="92"/>
        <v>2.9483519335582641E-2</v>
      </c>
      <c r="DH59" s="21">
        <f t="shared" ca="1" si="93"/>
        <v>4.9139198892637737E-2</v>
      </c>
      <c r="DI59" s="21">
        <f t="shared" ca="1" si="94"/>
        <v>7.3708798338956605E-2</v>
      </c>
      <c r="DK59" s="16" cm="1">
        <f t="array" aca="1" ref="DK59" ca="1">MAX(_xlfn._xlws.FILTER(CV59:DI59,CV59:DI59&lt;BT59))</f>
        <v>-2.2679630258140493E-3</v>
      </c>
      <c r="DL59" s="16" cm="1">
        <f t="array" aca="1" ref="DL59" ca="1">MIN(_xlfn._xlws.FILTER(CV59:DI59,CV59:DI59&gt;BT59))</f>
        <v>2.2679630258140493E-3</v>
      </c>
      <c r="DM59" s="2" cm="1">
        <f t="array" aca="1" ref="DM59" ca="1">_FV(EB59,"Fechamento anterior",TRUE)</f>
        <v>13.6</v>
      </c>
      <c r="DN59" s="28">
        <f t="shared" ca="1" si="15"/>
        <v>0.66210452050537782</v>
      </c>
      <c r="DO59" s="15">
        <f t="shared" ca="1" si="95"/>
        <v>13.569155702848928</v>
      </c>
      <c r="DP59" s="15">
        <f t="shared" ca="1" si="96"/>
        <v>13.630844297151071</v>
      </c>
      <c r="DQ59" s="9"/>
      <c r="DR59" s="9"/>
      <c r="DS59" s="9"/>
      <c r="DT59" s="89">
        <v>4.5359260516280985E-3</v>
      </c>
      <c r="DU59" s="89">
        <f t="shared" ca="1" si="18"/>
        <v>4.5359260516280985E-3</v>
      </c>
      <c r="DV59" s="72">
        <f t="shared" ca="1" si="19"/>
        <v>0.48233815610698472</v>
      </c>
      <c r="DW59" s="37"/>
      <c r="DX59" s="35">
        <f t="shared" si="39"/>
        <v>0.4820269701998014</v>
      </c>
      <c r="DY59" s="56"/>
      <c r="DZ59" s="56"/>
      <c r="EB59" s="2" t="e" vm="59">
        <v>#VALUE!</v>
      </c>
      <c r="ED59" s="10" cm="1">
        <f t="array" aca="1" ref="ED59" ca="1">_FV(EB59,"Ações em circulação",TRUE)</f>
        <v>3000000000</v>
      </c>
      <c r="EE59" s="18">
        <f>VLOOKUP(BO59,Fundamentus!A:U,5,FALSE)</f>
        <v>0</v>
      </c>
      <c r="EF59" s="2" t="e">
        <f t="shared" ca="1" si="20"/>
        <v>#DIV/0!</v>
      </c>
      <c r="EG59" s="17" t="e">
        <v>#DIV/0!</v>
      </c>
      <c r="EH59" s="17" t="e">
        <f t="shared" ca="1" si="21"/>
        <v>#DIV/0!</v>
      </c>
      <c r="EJ59" s="16" t="e">
        <f t="shared" ca="1" si="22"/>
        <v>#DIV/0!</v>
      </c>
      <c r="EK59" s="32" t="str">
        <f>IF(VLOOKUP(BO59,Fundamentus!A:U,3,FALSE)&lt;15,"Bom",IF(VLOOKUP(BO59,Fundamentus!A:U,3,FALSE)&gt;15,"Ruim","n/a"))</f>
        <v>Bom</v>
      </c>
      <c r="EL59" s="28" t="str">
        <f>IF(VLOOKUP(BO59,Fundamentus!A:U,4,FALSE)&lt;1,"Baixo",IF(VLOOKUP(BO59,Fundamentus!A:U,4,FALSE)&lt;1.5,"Moderado",IF(VLOOKUP(BO59,Fundamentus!A:U,4,FALSE)&gt;1.5,"Alto","n/a")))</f>
        <v>Alto</v>
      </c>
      <c r="EM59" s="17" t="str">
        <f>IF(VLOOKUP(BO59,Fundamentus!A:U,8,FALSE)&lt;0,"Risco elevado",IF(VLOOKUP(BO59,Fundamentus!A:U,8,FALSE)&lt;1,"Saudável",IF(VLOOKUP(BO59,Fundamentus!A:U,8,FALSE)&lt;3,"Estável",IF(VLOOKUP(BO59,Fundamentus!A:U,8,FALSE)&gt;3,"Alerta","n/a"))))</f>
        <v>Alerta</v>
      </c>
      <c r="EN59" s="28" t="str">
        <f t="shared" si="23"/>
        <v>Ruim</v>
      </c>
      <c r="EO59" s="17" t="str">
        <f>IF(VLOOKUP(BO59,Fundamentus!A:U,12,FALSE)&lt;2,"Subvalorizada",IF(VLOOKUP(BO59,Fundamentus!A:U,12,FALSE)&lt;6,"Muita barata",IF(VLOOKUP(BO59,Fundamentus!A:U,12,FALSE)&lt;6,"Barata",IF(VLOOKUP(BO59,Fundamentus!A:U,12,FALSE)&lt;8,"Atrativa",IF(VLOOKUP(BO59,Fundamentus!A:U,12,FALSE)&gt;8,"Supervalorizada","n/a")))))</f>
        <v>Subvalorizada</v>
      </c>
      <c r="EQ59" s="17" t="str">
        <f>IF(VLOOKUP(BO59,Fundamentus!A:U,17,FALSE)&lt;0.1,"Fraco retorno",IF(VLOOKUP(BO59,Fundamentus!A:U,17,FALSE)&gt;0.1,"Bom retorno","n/a"))</f>
        <v>Bom retorno</v>
      </c>
      <c r="ER59" s="17" t="str">
        <f>IF(VLOOKUP(BO59,Fundamentus!A:U,16,FALSE)&lt;0.1,"Ineficiente",IF(VLOOKUP(BO59,Fundamentus!A:U,16,FALSE)&gt;0.1,"Eficiente","n/a"))</f>
        <v>Ineficiente</v>
      </c>
      <c r="ES59" s="33" t="str">
        <f>IF(VLOOKUP(BO59,Fundamentus!A:U,16,FALSE)&lt;0.1,"Oper. Ineficiente",IF(VLOOKUP(BO59,Fundamentus!A:U,16,FALSE)&gt;0.1,"Oper.Eficiente","n/a"))</f>
        <v>Oper. Ineficiente</v>
      </c>
      <c r="ET59" s="34">
        <f>VLOOKUP(BO59,Fundamentus!A:U,14,FALSE)</f>
        <v>0</v>
      </c>
      <c r="EU59" s="17" t="str">
        <f>IF(VLOOKUP(BO59,Fundamentus!A:U,21,FALSE)&lt;0,"Negativo",IF(VLOOKUP(BO59,Fundamentus!A:U,21,FALSE)&lt;0.05,"Fraco",IF(VLOOKUP(BO59,Fundamentus!A:U,21,FALSE)&lt;0.1,"Bom",IF(VLOOKUP(BO59,Fundamentus!A:U,21,FALSE)&gt;0.1,"Muito bom","n/a"))))</f>
        <v>Fraco</v>
      </c>
      <c r="EW59" s="29" t="str">
        <f>IF(VLOOKUP(BO59,Fundamentus!A:U,15,FALSE)&gt;1,"Bom",IF(VLOOKUP(BO59,Fundamentus!A:U,15,FALSE)&lt;1,"Ruim","n/a"))</f>
        <v>Bom</v>
      </c>
      <c r="EX59" s="17" t="str">
        <f>IF(VLOOKUP(BO59,Fundamentus!A:U,20,FALSE)&lt;0.5,"Baixa",IF(VLOOKUP(BO59,Fundamentus!A:U,20,FALSE)&lt;1,"Moderada",IF(VLOOKUP(BO59,Fundamentus!A:U,20,FALSE)&lt;2,"Alerta",IF(VLOOKUP(BO59,Fundamentus!A:U,20,FALSE)&gt;2,"Alta","n/a"))))</f>
        <v>Baixa</v>
      </c>
    </row>
    <row r="60" spans="1:154" s="2" customFormat="1" ht="11.25"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5">
        <v>7.1</v>
      </c>
      <c r="BC60" s="52">
        <v>6.93</v>
      </c>
      <c r="BD60" s="52">
        <v>6.8</v>
      </c>
      <c r="BE60" s="52">
        <v>7.12</v>
      </c>
      <c r="BF60" s="52">
        <v>7.16</v>
      </c>
      <c r="BG60" s="67">
        <v>7.07</v>
      </c>
      <c r="BH60" s="52">
        <v>7.07</v>
      </c>
      <c r="BI60" s="52">
        <v>6.84</v>
      </c>
      <c r="BJ60" s="52">
        <v>7.04</v>
      </c>
      <c r="BK60" s="52">
        <v>6.97</v>
      </c>
      <c r="BL60" s="52">
        <v>6.91</v>
      </c>
      <c r="BM60" s="52">
        <v>6.95</v>
      </c>
      <c r="BN60" s="52" cm="1">
        <f t="array" aca="1" ref="BN60" ca="1">_FV(EB60,"Preço")</f>
        <v>6.95</v>
      </c>
      <c r="BO60" s="69" t="s">
        <v>57</v>
      </c>
      <c r="BP60" s="36" cm="1">
        <f t="array" aca="1" ref="BP60" ca="1">_FV(EB60,"Média de volume",TRUE)</f>
        <v>25220</v>
      </c>
      <c r="BQ60" s="36">
        <v>16500</v>
      </c>
      <c r="BR60" s="36" cm="1">
        <f t="array" aca="1" ref="BR60" ca="1">_FV(EB60,"Volume")</f>
        <v>16500</v>
      </c>
      <c r="BS60" s="24" cm="1">
        <f t="array" aca="1" ref="BS60" ca="1">_FV(EB60,"Beta")</f>
        <v>1.2093</v>
      </c>
      <c r="BT60" s="71" cm="1">
        <f t="array" aca="1" ref="BT60" ca="1">_FV(EB60,"Variação (%)",TRUE)</f>
        <v>8.7080000000000005E-3</v>
      </c>
      <c r="BV60" s="17" cm="1">
        <f t="array" aca="1" ref="BV60" ca="1">_FV(EB60,"Baixo")</f>
        <v>6.9</v>
      </c>
      <c r="BW60" s="17" cm="1">
        <f t="array" aca="1" ref="BW60" ca="1">_FV(EB60,"Alto")</f>
        <v>6.95</v>
      </c>
      <c r="BX60" s="24"/>
      <c r="BY60" s="63">
        <f ca="1">SQRT(22.5*(BN60/VLOOKUP(BO60,Fundamentus!A:U,3,FALSE))*(BN60/VLOOKUP(BO60,Fundamentus!A:U,4,FALSE)))</f>
        <v>21.178265809001843</v>
      </c>
      <c r="CA60" s="62">
        <f t="shared" ca="1" si="24"/>
        <v>0</v>
      </c>
      <c r="CB60" s="8"/>
      <c r="CC60" s="61">
        <f t="shared" si="25"/>
        <v>6.66</v>
      </c>
      <c r="CD60" s="61">
        <f t="shared" si="26"/>
        <v>8.8800000000000008</v>
      </c>
      <c r="CE60" s="61">
        <f t="shared" si="27"/>
        <v>7.3343846153846162</v>
      </c>
      <c r="CF60" s="14"/>
      <c r="CG60" s="35">
        <f t="shared" si="1"/>
        <v>6.7907927815929359</v>
      </c>
      <c r="CH60" s="15">
        <f t="shared" si="28"/>
        <v>6.8850000000000193</v>
      </c>
      <c r="CI60" s="35">
        <f t="shared" si="2"/>
        <v>6.9792072184071028</v>
      </c>
      <c r="CK60" s="14"/>
      <c r="CL60" s="17">
        <f t="shared" si="3"/>
        <v>3.8666666666666671</v>
      </c>
      <c r="CM60" s="17">
        <f t="shared" si="4"/>
        <v>5.2633333333333336</v>
      </c>
      <c r="CN60" s="17">
        <f t="shared" si="5"/>
        <v>6.0866666666666678</v>
      </c>
      <c r="CO60" s="38">
        <f t="shared" si="29"/>
        <v>7.4833333333333343</v>
      </c>
      <c r="CP60" s="17">
        <f t="shared" si="6"/>
        <v>8.3066666666666684</v>
      </c>
      <c r="CQ60" s="17">
        <f t="shared" si="7"/>
        <v>9.7033333333333349</v>
      </c>
      <c r="CR60" s="17">
        <f t="shared" si="8"/>
        <v>10.526666666666669</v>
      </c>
      <c r="CS60" s="2" cm="1">
        <f t="array" aca="1" ref="CS60" ca="1">MAX(_xlfn._xlws.FILTER(CL60:CR60,CL60:CR60&lt;BN60))</f>
        <v>6.0866666666666678</v>
      </c>
      <c r="CT60" s="2" cm="1">
        <f t="array" aca="1" ref="CT60" ca="1">MIN(_xlfn._xlws.FILTER($CL60:$CR60,$CL60:$CR60&gt;BN60))</f>
        <v>7.4833333333333343</v>
      </c>
      <c r="CU60" s="16">
        <f t="shared" ca="1" si="80"/>
        <v>0.22946330777656065</v>
      </c>
      <c r="CV60" s="20">
        <f t="shared" ca="1" si="81"/>
        <v>-0.11473165388828033</v>
      </c>
      <c r="CW60" s="20">
        <f t="shared" ca="1" si="82"/>
        <v>-7.6487769258853547E-2</v>
      </c>
      <c r="CX60" s="20">
        <f t="shared" ca="1" si="83"/>
        <v>-4.5892661555312131E-2</v>
      </c>
      <c r="CY60" s="20">
        <f t="shared" ca="1" si="84"/>
        <v>-2.5495923086284518E-2</v>
      </c>
      <c r="CZ60" s="20">
        <f t="shared" ca="1" si="85"/>
        <v>-1.3497841633915333E-2</v>
      </c>
      <c r="DA60" s="20">
        <f t="shared" ca="1" si="86"/>
        <v>-6.9534335689866861E-3</v>
      </c>
      <c r="DB60" s="20">
        <f t="shared" ca="1" si="87"/>
        <v>-3.5302047350240099E-3</v>
      </c>
      <c r="DC60" s="21">
        <f t="shared" ca="1" si="88"/>
        <v>3.5302047350240099E-3</v>
      </c>
      <c r="DD60" s="21">
        <f t="shared" ca="1" si="89"/>
        <v>6.9534335689866861E-3</v>
      </c>
      <c r="DE60" s="21">
        <f t="shared" ca="1" si="90"/>
        <v>1.3497841633915333E-2</v>
      </c>
      <c r="DF60" s="21">
        <f t="shared" ca="1" si="91"/>
        <v>2.5495923086284518E-2</v>
      </c>
      <c r="DG60" s="21">
        <f t="shared" ca="1" si="92"/>
        <v>4.5892661555312131E-2</v>
      </c>
      <c r="DH60" s="21">
        <f t="shared" ca="1" si="93"/>
        <v>7.6487769258853547E-2</v>
      </c>
      <c r="DI60" s="21">
        <f t="shared" ca="1" si="94"/>
        <v>0.11473165388828033</v>
      </c>
      <c r="DK60" s="16" cm="1">
        <f t="array" aca="1" ref="DK60" ca="1">MAX(_xlfn._xlws.FILTER(CV60:DI60,CV60:DI60&lt;BT60))</f>
        <v>6.9534335689866861E-3</v>
      </c>
      <c r="DL60" s="16" cm="1">
        <f t="array" aca="1" ref="DL60" ca="1">MIN(_xlfn._xlws.FILTER(CV60:DI60,CV60:DI60&gt;BT60))</f>
        <v>1.3497841633915333E-2</v>
      </c>
      <c r="DM60" s="2" cm="1">
        <f t="array" aca="1" ref="DM60" ca="1">_FV(EB60,"Fechamento anterior",TRUE)</f>
        <v>6.89</v>
      </c>
      <c r="DN60" s="28">
        <f t="shared" ca="1" si="15"/>
        <v>0.26814331759564203</v>
      </c>
      <c r="DO60" s="15">
        <f t="shared" ca="1" si="95"/>
        <v>6.937909157290318</v>
      </c>
      <c r="DP60" s="15">
        <f t="shared" ca="1" si="96"/>
        <v>6.9830001288576762</v>
      </c>
      <c r="DQ60" s="9"/>
      <c r="DR60" s="9"/>
      <c r="DS60" s="9"/>
      <c r="DT60" s="89">
        <v>6.5444080649286474E-3</v>
      </c>
      <c r="DU60" s="89">
        <f t="shared" ca="1" si="18"/>
        <v>6.5444080649286474E-3</v>
      </c>
      <c r="DV60" s="72">
        <f t="shared" ca="1" si="19"/>
        <v>0.68996836016435747</v>
      </c>
      <c r="DW60" s="37"/>
      <c r="DX60" s="35">
        <f t="shared" si="39"/>
        <v>4.7103609203541882E-2</v>
      </c>
      <c r="DY60" s="56"/>
      <c r="DZ60" s="56"/>
      <c r="EB60" s="2" t="e" vm="60">
        <v>#VALUE!</v>
      </c>
      <c r="ED60" s="10" cm="1">
        <f t="array" aca="1" ref="ED60" ca="1">_FV(EB60,"Ações em circulação",TRUE)</f>
        <v>94507240</v>
      </c>
      <c r="EE60" s="18">
        <f>VLOOKUP(BO60,Fundamentus!A:U,5,FALSE)</f>
        <v>0.123</v>
      </c>
      <c r="EF60" s="2">
        <f t="shared" ca="1" si="20"/>
        <v>5340043235.7723579</v>
      </c>
      <c r="EG60" s="17">
        <v>111072899.30406503</v>
      </c>
      <c r="EH60" s="17">
        <f t="shared" ca="1" si="21"/>
        <v>111072899.30406503</v>
      </c>
      <c r="EJ60" s="16">
        <f t="shared" ca="1" si="22"/>
        <v>0</v>
      </c>
      <c r="EK60" s="32" t="str">
        <f>IF(VLOOKUP(BO60,Fundamentus!A:U,3,FALSE)&lt;15,"Bom",IF(VLOOKUP(BO60,Fundamentus!A:U,3,FALSE)&gt;15,"Ruim","n/a"))</f>
        <v>Bom</v>
      </c>
      <c r="EL60" s="28" t="str">
        <f>IF(VLOOKUP(BO60,Fundamentus!A:U,4,FALSE)&lt;1,"Baixo",IF(VLOOKUP(BO60,Fundamentus!A:U,4,FALSE)&lt;1.5,"Moderado",IF(VLOOKUP(BO60,Fundamentus!A:U,4,FALSE)&gt;1.5,"Alto","n/a")))</f>
        <v>Baixo</v>
      </c>
      <c r="EM60" s="17" t="str">
        <f>IF(VLOOKUP(BO60,Fundamentus!A:U,8,FALSE)&lt;0,"Risco elevado",IF(VLOOKUP(BO60,Fundamentus!A:U,8,FALSE)&lt;1,"Saudável",IF(VLOOKUP(BO60,Fundamentus!A:U,8,FALSE)&lt;3,"Estável",IF(VLOOKUP(BO60,Fundamentus!A:U,8,FALSE)&gt;3,"Alerta","n/a"))))</f>
        <v>Saudável</v>
      </c>
      <c r="EN60" s="28" t="str">
        <f t="shared" si="23"/>
        <v>Ruim</v>
      </c>
      <c r="EO60" s="17" t="str">
        <f>IF(VLOOKUP(BO60,Fundamentus!A:U,12,FALSE)&lt;2,"Subvalorizada",IF(VLOOKUP(BO60,Fundamentus!A:U,12,FALSE)&lt;6,"Muita barata",IF(VLOOKUP(BO60,Fundamentus!A:U,12,FALSE)&lt;6,"Barata",IF(VLOOKUP(BO60,Fundamentus!A:U,12,FALSE)&lt;8,"Atrativa",IF(VLOOKUP(BO60,Fundamentus!A:U,12,FALSE)&gt;8,"Supervalorizada","n/a")))))</f>
        <v>Muita barata</v>
      </c>
      <c r="EQ60" s="17" t="str">
        <f>IF(VLOOKUP(BO60,Fundamentus!A:U,17,FALSE)&lt;0.1,"Fraco retorno",IF(VLOOKUP(BO60,Fundamentus!A:U,17,FALSE)&gt;0.1,"Bom retorno","n/a"))</f>
        <v>Fraco retorno</v>
      </c>
      <c r="ER60" s="17" t="str">
        <f>IF(VLOOKUP(BO60,Fundamentus!A:U,16,FALSE)&lt;0.1,"Ineficiente",IF(VLOOKUP(BO60,Fundamentus!A:U,16,FALSE)&gt;0.1,"Eficiente","n/a"))</f>
        <v>Ineficiente</v>
      </c>
      <c r="ES60" s="33" t="str">
        <f>IF(VLOOKUP(BO60,Fundamentus!A:U,16,FALSE)&lt;0.1,"Oper. Ineficiente",IF(VLOOKUP(BO60,Fundamentus!A:U,16,FALSE)&gt;0.1,"Oper.Eficiente","n/a"))</f>
        <v>Oper. Ineficiente</v>
      </c>
      <c r="ET60" s="34">
        <f>VLOOKUP(BO60,Fundamentus!A:U,14,FALSE)</f>
        <v>2.0799999999999999E-2</v>
      </c>
      <c r="EU60" s="17" t="str">
        <f>IF(VLOOKUP(BO60,Fundamentus!A:U,21,FALSE)&lt;0,"Negativo",IF(VLOOKUP(BO60,Fundamentus!A:U,21,FALSE)&lt;0.05,"Fraco",IF(VLOOKUP(BO60,Fundamentus!A:U,21,FALSE)&lt;0.1,"Bom",IF(VLOOKUP(BO60,Fundamentus!A:U,21,FALSE)&gt;0.1,"Muito bom","n/a"))))</f>
        <v>Fraco</v>
      </c>
      <c r="EW60" s="29" t="str">
        <f>IF(VLOOKUP(BO60,Fundamentus!A:U,15,FALSE)&gt;1,"Bom",IF(VLOOKUP(BO60,Fundamentus!A:U,15,FALSE)&lt;1,"Ruim","n/a"))</f>
        <v>Bom</v>
      </c>
      <c r="EX60" s="17" t="str">
        <f>IF(VLOOKUP(BO60,Fundamentus!A:U,20,FALSE)&lt;0.5,"Baixa",IF(VLOOKUP(BO60,Fundamentus!A:U,20,FALSE)&lt;1,"Moderada",IF(VLOOKUP(BO60,Fundamentus!A:U,20,FALSE)&lt;2,"Alerta",IF(VLOOKUP(BO60,Fundamentus!A:U,20,FALSE)&gt;2,"Alta","n/a"))))</f>
        <v>Baixa</v>
      </c>
    </row>
    <row r="61" spans="1:154" s="2" customFormat="1" ht="11.25"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5">
        <v>7.88</v>
      </c>
      <c r="BC61" s="52">
        <v>8.1999999999999993</v>
      </c>
      <c r="BD61" s="52">
        <v>9.39</v>
      </c>
      <c r="BE61" s="52">
        <v>9.3800000000000008</v>
      </c>
      <c r="BF61" s="52">
        <v>9.23</v>
      </c>
      <c r="BG61" s="67">
        <v>8.85</v>
      </c>
      <c r="BH61" s="52">
        <v>9.0399999999999991</v>
      </c>
      <c r="BI61" s="52">
        <v>9.15</v>
      </c>
      <c r="BJ61" s="52">
        <v>9.44</v>
      </c>
      <c r="BK61" s="52">
        <v>9.17</v>
      </c>
      <c r="BL61" s="52">
        <v>8.67</v>
      </c>
      <c r="BM61" s="52">
        <v>8.8000000000000007</v>
      </c>
      <c r="BN61" s="52" cm="1">
        <f t="array" aca="1" ref="BN61" ca="1">_FV(EB61,"Preço")</f>
        <v>8.8000000000000007</v>
      </c>
      <c r="BO61" s="69" t="s">
        <v>58</v>
      </c>
      <c r="BP61" s="36" cm="1">
        <f t="array" aca="1" ref="BP61" ca="1">_FV(EB61,"Média de volume",TRUE)</f>
        <v>71600</v>
      </c>
      <c r="BQ61" s="36">
        <v>43000</v>
      </c>
      <c r="BR61" s="36" cm="1">
        <f t="array" aca="1" ref="BR61" ca="1">_FV(EB61,"Volume")</f>
        <v>43000</v>
      </c>
      <c r="BS61" s="24" cm="1">
        <f t="array" aca="1" ref="BS61" ca="1">_FV(EB61,"Beta")</f>
        <v>0.91290000000000004</v>
      </c>
      <c r="BT61" s="71" cm="1">
        <f t="array" aca="1" ref="BT61" ca="1">_FV(EB61,"Variação (%)",TRUE)</f>
        <v>0</v>
      </c>
      <c r="BV61" s="17" cm="1">
        <f t="array" aca="1" ref="BV61" ca="1">_FV(EB61,"Baixo")</f>
        <v>8.74</v>
      </c>
      <c r="BW61" s="17" cm="1">
        <f t="array" aca="1" ref="BW61" ca="1">_FV(EB61,"Alto")</f>
        <v>8.8000000000000007</v>
      </c>
      <c r="BX61" s="24"/>
      <c r="BY61" s="63">
        <f ca="1">SQRT(22.5*(BN61/VLOOKUP(BO61,Fundamentus!A:U,3,FALSE))*(BN61/VLOOKUP(BO61,Fundamentus!A:U,4,FALSE)))</f>
        <v>17.06261070062849</v>
      </c>
      <c r="CA61" s="62">
        <f t="shared" ca="1" si="24"/>
        <v>0</v>
      </c>
      <c r="CB61" s="8"/>
      <c r="CC61" s="61">
        <f t="shared" si="25"/>
        <v>7.64</v>
      </c>
      <c r="CD61" s="61">
        <f t="shared" si="26"/>
        <v>11.1</v>
      </c>
      <c r="CE61" s="61">
        <f t="shared" si="27"/>
        <v>9.0416923076923066</v>
      </c>
      <c r="CF61" s="14"/>
      <c r="CG61" s="35">
        <f t="shared" si="1"/>
        <v>7.8068881681795332</v>
      </c>
      <c r="CH61" s="15">
        <f t="shared" si="28"/>
        <v>8.4149999999999636</v>
      </c>
      <c r="CI61" s="35">
        <f t="shared" si="2"/>
        <v>9.023111831820394</v>
      </c>
      <c r="CK61" s="14"/>
      <c r="CL61" s="17">
        <f t="shared" si="3"/>
        <v>3.7133333333333303</v>
      </c>
      <c r="CM61" s="17">
        <f t="shared" si="4"/>
        <v>5.676666666666665</v>
      </c>
      <c r="CN61" s="17">
        <f t="shared" si="5"/>
        <v>7.1733333333333302</v>
      </c>
      <c r="CO61" s="38">
        <f t="shared" si="29"/>
        <v>9.1366666666666649</v>
      </c>
      <c r="CP61" s="17">
        <f t="shared" si="6"/>
        <v>10.633333333333329</v>
      </c>
      <c r="CQ61" s="17">
        <f t="shared" si="7"/>
        <v>12.596666666666664</v>
      </c>
      <c r="CR61" s="17">
        <f t="shared" si="8"/>
        <v>14.09333333333333</v>
      </c>
      <c r="CS61" s="2" cm="1">
        <f t="array" aca="1" ref="CS61" ca="1">MAX(_xlfn._xlws.FILTER(CL61:CR61,CL61:CR61&lt;BN61))</f>
        <v>7.1733333333333302</v>
      </c>
      <c r="CT61" s="2" cm="1">
        <f t="array" aca="1" ref="CT61" ca="1">MIN(_xlfn._xlws.FILTER($CL61:$CR61,$CL61:$CR61&gt;BN61))</f>
        <v>9.1366666666666649</v>
      </c>
      <c r="CU61" s="16">
        <f t="shared" ca="1" si="80"/>
        <v>0.27369888475836457</v>
      </c>
      <c r="CV61" s="20">
        <f t="shared" ca="1" si="81"/>
        <v>-0.13684944237918228</v>
      </c>
      <c r="CW61" s="20">
        <f t="shared" ca="1" si="82"/>
        <v>-9.1232961586121528E-2</v>
      </c>
      <c r="CX61" s="20">
        <f t="shared" ca="1" si="83"/>
        <v>-5.4739776951672911E-2</v>
      </c>
      <c r="CY61" s="20">
        <f t="shared" ca="1" si="84"/>
        <v>-3.0410987195373843E-2</v>
      </c>
      <c r="CZ61" s="20">
        <f t="shared" ca="1" si="85"/>
        <v>-1.6099934397550857E-2</v>
      </c>
      <c r="DA61" s="20">
        <f t="shared" ca="1" si="86"/>
        <v>-8.2939055987383201E-3</v>
      </c>
      <c r="DB61" s="20">
        <f t="shared" ca="1" si="87"/>
        <v>-4.210752073205609E-3</v>
      </c>
      <c r="DC61" s="21">
        <f t="shared" ca="1" si="88"/>
        <v>4.210752073205609E-3</v>
      </c>
      <c r="DD61" s="21">
        <f t="shared" ca="1" si="89"/>
        <v>8.2939055987383201E-3</v>
      </c>
      <c r="DE61" s="21">
        <f t="shared" ca="1" si="90"/>
        <v>1.6099934397550857E-2</v>
      </c>
      <c r="DF61" s="21">
        <f t="shared" ca="1" si="91"/>
        <v>3.0410987195373843E-2</v>
      </c>
      <c r="DG61" s="21">
        <f t="shared" ca="1" si="92"/>
        <v>5.4739776951672911E-2</v>
      </c>
      <c r="DH61" s="21">
        <f t="shared" ca="1" si="93"/>
        <v>9.1232961586121528E-2</v>
      </c>
      <c r="DI61" s="21">
        <f t="shared" ca="1" si="94"/>
        <v>0.13684944237918228</v>
      </c>
      <c r="DK61" s="16" cm="1">
        <f t="array" aca="1" ref="DK61" ca="1">MAX(_xlfn._xlws.FILTER(CV61:DI61,CV61:DI61&lt;BT61))</f>
        <v>-4.210752073205609E-3</v>
      </c>
      <c r="DL61" s="16" cm="1">
        <f t="array" aca="1" ref="DL61" ca="1">MIN(_xlfn._xlws.FILTER(CV61:DI61,CV61:DI61&gt;BT61))</f>
        <v>4.210752073205609E-3</v>
      </c>
      <c r="DM61" s="2" cm="1">
        <f t="array" aca="1" ref="DM61" ca="1">_FV(EB61,"Fechamento anterior",TRUE)</f>
        <v>8.8000000000000007</v>
      </c>
      <c r="DN61" s="28">
        <f t="shared" ca="1" si="15"/>
        <v>0.5</v>
      </c>
      <c r="DO61" s="15">
        <f t="shared" ca="1" si="95"/>
        <v>8.7629453817557916</v>
      </c>
      <c r="DP61" s="15">
        <f t="shared" ca="1" si="96"/>
        <v>8.8370546182442098</v>
      </c>
      <c r="DQ61" s="9"/>
      <c r="DR61" s="9"/>
      <c r="DS61" s="9"/>
      <c r="DT61" s="89">
        <v>8.421504146411218E-3</v>
      </c>
      <c r="DU61" s="89">
        <f t="shared" ca="1" si="18"/>
        <v>8.421504146411218E-3</v>
      </c>
      <c r="DV61" s="72">
        <f t="shared" ca="1" si="19"/>
        <v>0.63310723431824945</v>
      </c>
      <c r="DW61" s="37"/>
      <c r="DX61" s="35">
        <f t="shared" si="39"/>
        <v>0.30405591591021514</v>
      </c>
      <c r="DY61" s="56"/>
      <c r="DZ61" s="56"/>
      <c r="EB61" s="2" t="e" vm="61">
        <v>#VALUE!</v>
      </c>
      <c r="ED61" s="10" cm="1">
        <f t="array" aca="1" ref="ED61" ca="1">_FV(EB61,"Ações em circulação",TRUE)</f>
        <v>103538800</v>
      </c>
      <c r="EE61" s="18">
        <f>VLOOKUP(BO61,Fundamentus!A:U,5,FALSE)</f>
        <v>0.47699999999999998</v>
      </c>
      <c r="EF61" s="2">
        <f t="shared" ca="1" si="20"/>
        <v>1910149769.3920338</v>
      </c>
      <c r="EG61" s="17">
        <v>150901831.78197068</v>
      </c>
      <c r="EH61" s="17">
        <f t="shared" ca="1" si="21"/>
        <v>150901831.78197068</v>
      </c>
      <c r="EJ61" s="16">
        <f t="shared" ca="1" si="22"/>
        <v>0</v>
      </c>
      <c r="EK61" s="32" t="str">
        <f>IF(VLOOKUP(BO61,Fundamentus!A:U,3,FALSE)&lt;15,"Bom",IF(VLOOKUP(BO61,Fundamentus!A:U,3,FALSE)&gt;15,"Ruim","n/a"))</f>
        <v>Bom</v>
      </c>
      <c r="EL61" s="28" t="str">
        <f>IF(VLOOKUP(BO61,Fundamentus!A:U,4,FALSE)&lt;1,"Baixo",IF(VLOOKUP(BO61,Fundamentus!A:U,4,FALSE)&lt;1.5,"Moderado",IF(VLOOKUP(BO61,Fundamentus!A:U,4,FALSE)&gt;1.5,"Alto","n/a")))</f>
        <v>Baixo</v>
      </c>
      <c r="EM61" s="17" t="str">
        <f>IF(VLOOKUP(BO61,Fundamentus!A:U,8,FALSE)&lt;0,"Risco elevado",IF(VLOOKUP(BO61,Fundamentus!A:U,8,FALSE)&lt;1,"Saudável",IF(VLOOKUP(BO61,Fundamentus!A:U,8,FALSE)&lt;3,"Estável",IF(VLOOKUP(BO61,Fundamentus!A:U,8,FALSE)&gt;3,"Alerta","n/a"))))</f>
        <v>Estável</v>
      </c>
      <c r="EN61" s="28" t="str">
        <f t="shared" si="23"/>
        <v>Ruim</v>
      </c>
      <c r="EO61" s="17" t="str">
        <f>IF(VLOOKUP(BO61,Fundamentus!A:U,12,FALSE)&lt;2,"Subvalorizada",IF(VLOOKUP(BO61,Fundamentus!A:U,12,FALSE)&lt;6,"Muita barata",IF(VLOOKUP(BO61,Fundamentus!A:U,12,FALSE)&lt;6,"Barata",IF(VLOOKUP(BO61,Fundamentus!A:U,12,FALSE)&lt;8,"Atrativa",IF(VLOOKUP(BO61,Fundamentus!A:U,12,FALSE)&gt;8,"Supervalorizada","n/a")))))</f>
        <v>Muita barata</v>
      </c>
      <c r="EQ61" s="17" t="str">
        <f>IF(VLOOKUP(BO61,Fundamentus!A:U,17,FALSE)&lt;0.1,"Fraco retorno",IF(VLOOKUP(BO61,Fundamentus!A:U,17,FALSE)&gt;0.1,"Bom retorno","n/a"))</f>
        <v>Bom retorno</v>
      </c>
      <c r="ER61" s="17" t="str">
        <f>IF(VLOOKUP(BO61,Fundamentus!A:U,16,FALSE)&lt;0.1,"Ineficiente",IF(VLOOKUP(BO61,Fundamentus!A:U,16,FALSE)&gt;0.1,"Eficiente","n/a"))</f>
        <v>Eficiente</v>
      </c>
      <c r="ES61" s="33" t="str">
        <f>IF(VLOOKUP(BO61,Fundamentus!A:U,16,FALSE)&lt;0.1,"Oper. Ineficiente",IF(VLOOKUP(BO61,Fundamentus!A:U,16,FALSE)&gt;0.1,"Oper.Eficiente","n/a"))</f>
        <v>Oper.Eficiente</v>
      </c>
      <c r="ET61" s="34">
        <f>VLOOKUP(BO61,Fundamentus!A:U,14,FALSE)</f>
        <v>7.9000000000000001E-2</v>
      </c>
      <c r="EU61" s="17" t="str">
        <f>IF(VLOOKUP(BO61,Fundamentus!A:U,21,FALSE)&lt;0,"Negativo",IF(VLOOKUP(BO61,Fundamentus!A:U,21,FALSE)&lt;0.05,"Fraco",IF(VLOOKUP(BO61,Fundamentus!A:U,21,FALSE)&lt;0.1,"Bom",IF(VLOOKUP(BO61,Fundamentus!A:U,21,FALSE)&gt;0.1,"Muito bom","n/a"))))</f>
        <v>Muito bom</v>
      </c>
      <c r="EW61" s="29" t="str">
        <f>IF(VLOOKUP(BO61,Fundamentus!A:U,15,FALSE)&gt;1,"Bom",IF(VLOOKUP(BO61,Fundamentus!A:U,15,FALSE)&lt;1,"Ruim","n/a"))</f>
        <v>Bom</v>
      </c>
      <c r="EX61" s="17" t="str">
        <f>IF(VLOOKUP(BO61,Fundamentus!A:U,20,FALSE)&lt;0.5,"Baixa",IF(VLOOKUP(BO61,Fundamentus!A:U,20,FALSE)&lt;1,"Moderada",IF(VLOOKUP(BO61,Fundamentus!A:U,20,FALSE)&lt;2,"Alerta",IF(VLOOKUP(BO61,Fundamentus!A:U,20,FALSE)&gt;2,"Alta","n/a"))))</f>
        <v>Baixa</v>
      </c>
    </row>
    <row r="62" spans="1:154" s="2" customFormat="1" ht="11.25"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5">
        <v>23.88</v>
      </c>
      <c r="BC62" s="52">
        <v>26.17</v>
      </c>
      <c r="BD62" s="52">
        <v>27.1</v>
      </c>
      <c r="BE62" s="52">
        <v>26.96</v>
      </c>
      <c r="BF62" s="52">
        <v>25.93</v>
      </c>
      <c r="BG62" s="67">
        <v>25.39</v>
      </c>
      <c r="BH62" s="52">
        <v>25.56</v>
      </c>
      <c r="BI62" s="52">
        <v>25.13</v>
      </c>
      <c r="BJ62" s="52">
        <v>24.96</v>
      </c>
      <c r="BK62" s="52">
        <v>23.34</v>
      </c>
      <c r="BL62" s="52">
        <v>22.18</v>
      </c>
      <c r="BM62" s="52">
        <v>22.09</v>
      </c>
      <c r="BN62" s="52" cm="1">
        <f t="array" aca="1" ref="BN62" ca="1">_FV(EB62,"Preço")</f>
        <v>22.09</v>
      </c>
      <c r="BO62" s="69" t="s">
        <v>59</v>
      </c>
      <c r="BP62" s="36" cm="1">
        <f t="array" aca="1" ref="BP62" ca="1">_FV(EB62,"Média de volume",TRUE)</f>
        <v>265450</v>
      </c>
      <c r="BQ62" s="36">
        <v>83200</v>
      </c>
      <c r="BR62" s="36" cm="1">
        <f t="array" aca="1" ref="BR62" ca="1">_FV(EB62,"Volume")</f>
        <v>83200</v>
      </c>
      <c r="BS62" s="24" cm="1">
        <f t="array" aca="1" ref="BS62" ca="1">_FV(EB62,"Beta")</f>
        <v>1.3709</v>
      </c>
      <c r="BT62" s="71" cm="1">
        <f t="array" aca="1" ref="BT62" ca="1">_FV(EB62,"Variação (%)",TRUE)</f>
        <v>-9.417E-3</v>
      </c>
      <c r="BV62" s="17" cm="1">
        <f t="array" aca="1" ref="BV62" ca="1">_FV(EB62,"Baixo")</f>
        <v>22.09</v>
      </c>
      <c r="BW62" s="17" cm="1">
        <f t="array" aca="1" ref="BW62" ca="1">_FV(EB62,"Alto")</f>
        <v>22.38</v>
      </c>
      <c r="BX62" s="24"/>
      <c r="BY62" s="63">
        <f ca="1">SQRT(22.5*(BN62/VLOOKUP(BO62,Fundamentus!A:U,3,FALSE))*(BN62/VLOOKUP(BO62,Fundamentus!A:U,4,FALSE)))</f>
        <v>42.086923002627749</v>
      </c>
      <c r="CA62" s="62">
        <f t="shared" ca="1" si="24"/>
        <v>0</v>
      </c>
      <c r="CB62" s="8"/>
      <c r="CC62" s="61">
        <f t="shared" si="25"/>
        <v>15.18</v>
      </c>
      <c r="CD62" s="61">
        <f t="shared" si="26"/>
        <v>27.1</v>
      </c>
      <c r="CE62" s="61">
        <f t="shared" si="27"/>
        <v>22.365307692307695</v>
      </c>
      <c r="CF62" s="14"/>
      <c r="CG62" s="35">
        <f t="shared" si="1"/>
        <v>18.381277291265544</v>
      </c>
      <c r="CH62" s="15">
        <f t="shared" si="28"/>
        <v>20.699999999999818</v>
      </c>
      <c r="CI62" s="35">
        <f t="shared" si="2"/>
        <v>23.018722708734092</v>
      </c>
      <c r="CK62" s="14"/>
      <c r="CL62" s="17">
        <f t="shared" si="3"/>
        <v>3.9533333333333331</v>
      </c>
      <c r="CM62" s="17">
        <f t="shared" si="4"/>
        <v>9.5666666666666664</v>
      </c>
      <c r="CN62" s="17">
        <f t="shared" si="5"/>
        <v>15.873333333333335</v>
      </c>
      <c r="CO62" s="38">
        <f t="shared" si="29"/>
        <v>21.486666666666668</v>
      </c>
      <c r="CP62" s="17">
        <f t="shared" si="6"/>
        <v>27.793333333333337</v>
      </c>
      <c r="CQ62" s="17">
        <f t="shared" si="7"/>
        <v>33.406666666666666</v>
      </c>
      <c r="CR62" s="17">
        <f t="shared" si="8"/>
        <v>39.713333333333338</v>
      </c>
      <c r="CS62" s="2" cm="1">
        <f t="array" aca="1" ref="CS62" ca="1">MAX(_xlfn._xlws.FILTER(CL62:CR62,CL62:CR62&lt;BN62))</f>
        <v>21.486666666666668</v>
      </c>
      <c r="CT62" s="2" cm="1">
        <f t="array" aca="1" ref="CT62" ca="1">MIN(_xlfn._xlws.FILTER($CL62:$CR62,$CL62:$CR62&gt;BN62))</f>
        <v>27.793333333333337</v>
      </c>
      <c r="CU62" s="16">
        <f t="shared" ca="1" si="80"/>
        <v>0.29351535836177489</v>
      </c>
      <c r="CV62" s="20">
        <f t="shared" ca="1" si="81"/>
        <v>-0.14675767918088745</v>
      </c>
      <c r="CW62" s="20">
        <f t="shared" ca="1" si="82"/>
        <v>-9.7838452787258293E-2</v>
      </c>
      <c r="CX62" s="20">
        <f t="shared" ca="1" si="83"/>
        <v>-5.870307167235498E-2</v>
      </c>
      <c r="CY62" s="20">
        <f t="shared" ca="1" si="84"/>
        <v>-3.2612817595752769E-2</v>
      </c>
      <c r="CZ62" s="20">
        <f t="shared" ca="1" si="85"/>
        <v>-1.7265609315398524E-2</v>
      </c>
      <c r="DA62" s="20">
        <f t="shared" ca="1" si="86"/>
        <v>-8.8944047988416628E-3</v>
      </c>
      <c r="DB62" s="20">
        <f t="shared" ca="1" si="87"/>
        <v>-4.5156208978734602E-3</v>
      </c>
      <c r="DC62" s="21">
        <f t="shared" ca="1" si="88"/>
        <v>4.5156208978734602E-3</v>
      </c>
      <c r="DD62" s="21">
        <f t="shared" ca="1" si="89"/>
        <v>8.8944047988416628E-3</v>
      </c>
      <c r="DE62" s="21">
        <f t="shared" ca="1" si="90"/>
        <v>1.7265609315398524E-2</v>
      </c>
      <c r="DF62" s="21">
        <f t="shared" ca="1" si="91"/>
        <v>3.2612817595752769E-2</v>
      </c>
      <c r="DG62" s="21">
        <f t="shared" ca="1" si="92"/>
        <v>5.870307167235498E-2</v>
      </c>
      <c r="DH62" s="21">
        <f t="shared" ca="1" si="93"/>
        <v>9.7838452787258293E-2</v>
      </c>
      <c r="DI62" s="21">
        <f t="shared" ca="1" si="94"/>
        <v>0.14675767918088745</v>
      </c>
      <c r="DK62" s="16" cm="1">
        <f t="array" aca="1" ref="DK62" ca="1">MAX(_xlfn._xlws.FILTER(CV62:DI62,CV62:DI62&lt;BT62))</f>
        <v>-1.7265609315398524E-2</v>
      </c>
      <c r="DL62" s="16" cm="1">
        <f t="array" aca="1" ref="DL62" ca="1">MIN(_xlfn._xlws.FILTER(CV62:DI62,CV62:DI62&gt;BT62))</f>
        <v>-8.8944047988416628E-3</v>
      </c>
      <c r="DM62" s="2" cm="1">
        <f t="array" aca="1" ref="DM62" ca="1">_FV(EB62,"Fechamento anterior",TRUE)</f>
        <v>22.3</v>
      </c>
      <c r="DN62" s="28">
        <f t="shared" ca="1" si="15"/>
        <v>0.93756746011053893</v>
      </c>
      <c r="DO62" s="15">
        <f t="shared" ca="1" si="95"/>
        <v>21.914976912266614</v>
      </c>
      <c r="DP62" s="15">
        <f t="shared" ca="1" si="96"/>
        <v>22.101654772985832</v>
      </c>
      <c r="DQ62" s="9"/>
      <c r="DR62" s="9"/>
      <c r="DS62" s="9"/>
      <c r="DT62" s="89">
        <v>8.3712045165568617E-3</v>
      </c>
      <c r="DU62" s="89">
        <f t="shared" ca="1" si="18"/>
        <v>8.3712045165568617E-3</v>
      </c>
      <c r="DV62" s="72">
        <f t="shared" ca="1" si="19"/>
        <v>0.59946797207111668</v>
      </c>
      <c r="DW62" s="37"/>
      <c r="DX62" s="35">
        <f t="shared" si="39"/>
        <v>1.1593613543671364</v>
      </c>
      <c r="DY62" s="56"/>
      <c r="DZ62" s="56"/>
      <c r="EB62" s="2" t="e" vm="62">
        <v>#VALUE!</v>
      </c>
      <c r="ED62" s="10" cm="1">
        <f t="array" aca="1" ref="ED62" ca="1">_FV(EB62,"Ações em circulação",TRUE)</f>
        <v>81836380</v>
      </c>
      <c r="EE62" s="18">
        <f>VLOOKUP(BO62,Fundamentus!A:U,5,FALSE)</f>
        <v>0.83499999999999996</v>
      </c>
      <c r="EF62" s="2">
        <f t="shared" ca="1" si="20"/>
        <v>2164988783.4730539</v>
      </c>
      <c r="EG62" s="17">
        <v>303314928.56457484</v>
      </c>
      <c r="EH62" s="17">
        <f t="shared" ca="1" si="21"/>
        <v>303314928.56457484</v>
      </c>
      <c r="EJ62" s="16">
        <f t="shared" ca="1" si="22"/>
        <v>0</v>
      </c>
      <c r="EK62" s="32" t="str">
        <f>IF(VLOOKUP(BO62,Fundamentus!A:U,3,FALSE)&lt;15,"Bom",IF(VLOOKUP(BO62,Fundamentus!A:U,3,FALSE)&gt;15,"Ruim","n/a"))</f>
        <v>Bom</v>
      </c>
      <c r="EL62" s="28" t="str">
        <f>IF(VLOOKUP(BO62,Fundamentus!A:U,4,FALSE)&lt;1,"Baixo",IF(VLOOKUP(BO62,Fundamentus!A:U,4,FALSE)&lt;1.5,"Moderado",IF(VLOOKUP(BO62,Fundamentus!A:U,4,FALSE)&gt;1.5,"Alto","n/a")))</f>
        <v>Moderado</v>
      </c>
      <c r="EM62" s="17" t="str">
        <f>IF(VLOOKUP(BO62,Fundamentus!A:U,8,FALSE)&lt;0,"Risco elevado",IF(VLOOKUP(BO62,Fundamentus!A:U,8,FALSE)&lt;1,"Saudável",IF(VLOOKUP(BO62,Fundamentus!A:U,8,FALSE)&lt;3,"Estável",IF(VLOOKUP(BO62,Fundamentus!A:U,8,FALSE)&gt;3,"Alerta","n/a"))))</f>
        <v>Estável</v>
      </c>
      <c r="EN62" s="28" t="str">
        <f t="shared" si="23"/>
        <v>Ruim</v>
      </c>
      <c r="EO62" s="17" t="str">
        <f>IF(VLOOKUP(BO62,Fundamentus!A:U,12,FALSE)&lt;2,"Subvalorizada",IF(VLOOKUP(BO62,Fundamentus!A:U,12,FALSE)&lt;6,"Muita barata",IF(VLOOKUP(BO62,Fundamentus!A:U,12,FALSE)&lt;6,"Barata",IF(VLOOKUP(BO62,Fundamentus!A:U,12,FALSE)&lt;8,"Atrativa",IF(VLOOKUP(BO62,Fundamentus!A:U,12,FALSE)&gt;8,"Supervalorizada","n/a")))))</f>
        <v>Muita barata</v>
      </c>
      <c r="EQ62" s="17" t="str">
        <f>IF(VLOOKUP(BO62,Fundamentus!A:U,17,FALSE)&lt;0.1,"Fraco retorno",IF(VLOOKUP(BO62,Fundamentus!A:U,17,FALSE)&gt;0.1,"Bom retorno","n/a"))</f>
        <v>Bom retorno</v>
      </c>
      <c r="ER62" s="17" t="str">
        <f>IF(VLOOKUP(BO62,Fundamentus!A:U,16,FALSE)&lt;0.1,"Ineficiente",IF(VLOOKUP(BO62,Fundamentus!A:U,16,FALSE)&gt;0.1,"Eficiente","n/a"))</f>
        <v>Eficiente</v>
      </c>
      <c r="ES62" s="33" t="str">
        <f>IF(VLOOKUP(BO62,Fundamentus!A:U,16,FALSE)&lt;0.1,"Oper. Ineficiente",IF(VLOOKUP(BO62,Fundamentus!A:U,16,FALSE)&gt;0.1,"Oper.Eficiente","n/a"))</f>
        <v>Oper.Eficiente</v>
      </c>
      <c r="ET62" s="34">
        <f>VLOOKUP(BO62,Fundamentus!A:U,14,FALSE)</f>
        <v>0.1401</v>
      </c>
      <c r="EU62" s="17" t="str">
        <f>IF(VLOOKUP(BO62,Fundamentus!A:U,21,FALSE)&lt;0,"Negativo",IF(VLOOKUP(BO62,Fundamentus!A:U,21,FALSE)&lt;0.05,"Fraco",IF(VLOOKUP(BO62,Fundamentus!A:U,21,FALSE)&lt;0.1,"Bom",IF(VLOOKUP(BO62,Fundamentus!A:U,21,FALSE)&gt;0.1,"Muito bom","n/a"))))</f>
        <v>Fraco</v>
      </c>
      <c r="EW62" s="29" t="str">
        <f>IF(VLOOKUP(BO62,Fundamentus!A:U,15,FALSE)&gt;1,"Bom",IF(VLOOKUP(BO62,Fundamentus!A:U,15,FALSE)&lt;1,"Ruim","n/a"))</f>
        <v>Bom</v>
      </c>
      <c r="EX62" s="17" t="str">
        <f>IF(VLOOKUP(BO62,Fundamentus!A:U,20,FALSE)&lt;0.5,"Baixa",IF(VLOOKUP(BO62,Fundamentus!A:U,20,FALSE)&lt;1,"Moderada",IF(VLOOKUP(BO62,Fundamentus!A:U,20,FALSE)&lt;2,"Alerta",IF(VLOOKUP(BO62,Fundamentus!A:U,20,FALSE)&gt;2,"Alta","n/a"))))</f>
        <v>Baixa</v>
      </c>
    </row>
    <row r="63" spans="1:154" s="2" customFormat="1" ht="11.25"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5">
        <v>1.98</v>
      </c>
      <c r="BC63" s="52">
        <v>2</v>
      </c>
      <c r="BD63" s="52">
        <v>1.98</v>
      </c>
      <c r="BE63" s="52">
        <v>1.96</v>
      </c>
      <c r="BF63" s="52">
        <v>2.0299999999999998</v>
      </c>
      <c r="BG63" s="67">
        <v>1.96</v>
      </c>
      <c r="BH63" s="52">
        <v>1.93</v>
      </c>
      <c r="BI63" s="52">
        <v>1.94</v>
      </c>
      <c r="BJ63" s="52">
        <v>1.95</v>
      </c>
      <c r="BK63" s="52">
        <v>1.98</v>
      </c>
      <c r="BL63" s="52">
        <v>1.94</v>
      </c>
      <c r="BM63" s="52">
        <v>1.95</v>
      </c>
      <c r="BN63" s="52" cm="1">
        <f t="array" aca="1" ref="BN63" ca="1">_FV(EB63,"Preço")</f>
        <v>1.95</v>
      </c>
      <c r="BO63" s="69" t="s">
        <v>60</v>
      </c>
      <c r="BP63" s="36" cm="1">
        <f t="array" aca="1" ref="BP63" ca="1">_FV(EB63,"Média de volume",TRUE)</f>
        <v>11400</v>
      </c>
      <c r="BQ63" s="36">
        <v>500</v>
      </c>
      <c r="BR63" s="36" cm="1">
        <f t="array" aca="1" ref="BR63" ca="1">_FV(EB63,"Volume")</f>
        <v>500</v>
      </c>
      <c r="BS63" s="24" cm="1">
        <f t="array" aca="1" ref="BS63" ca="1">_FV(EB63,"Beta")</f>
        <v>1.0044</v>
      </c>
      <c r="BT63" s="71" cm="1">
        <f t="array" aca="1" ref="BT63" ca="1">_FV(EB63,"Variação (%)",TRUE)</f>
        <v>3.7233999999999996E-2</v>
      </c>
      <c r="BV63" s="17" cm="1">
        <f t="array" aca="1" ref="BV63" ca="1">_FV(EB63,"Baixo")</f>
        <v>1.94</v>
      </c>
      <c r="BW63" s="17" cm="1">
        <f t="array" aca="1" ref="BW63" ca="1">_FV(EB63,"Alto")</f>
        <v>1.95</v>
      </c>
      <c r="BX63" s="24"/>
      <c r="BY63" s="63" t="e">
        <f ca="1">SQRT(22.5*(BN63/VLOOKUP(BO63,Fundamentus!A:U,3,FALSE))*(BN63/VLOOKUP(BO63,Fundamentus!A:U,4,FALSE)))</f>
        <v>#NUM!</v>
      </c>
      <c r="CA63" s="62">
        <f t="shared" ca="1" si="24"/>
        <v>0</v>
      </c>
      <c r="CB63" s="8"/>
      <c r="CC63" s="61">
        <f t="shared" si="25"/>
        <v>1.75</v>
      </c>
      <c r="CD63" s="61">
        <f t="shared" si="26"/>
        <v>2.93</v>
      </c>
      <c r="CE63" s="61">
        <f t="shared" si="27"/>
        <v>2.3035384615384613</v>
      </c>
      <c r="CF63" s="14"/>
      <c r="CG63" s="35">
        <f t="shared" si="1"/>
        <v>1.9149999999999967</v>
      </c>
      <c r="CH63" s="15">
        <f t="shared" si="28"/>
        <v>1.9449999999999967</v>
      </c>
      <c r="CI63" s="35">
        <f t="shared" si="2"/>
        <v>1.9749999999999968</v>
      </c>
      <c r="CK63" s="14"/>
      <c r="CL63" s="17">
        <f t="shared" si="3"/>
        <v>0.30333333333333279</v>
      </c>
      <c r="CM63" s="17">
        <f t="shared" si="4"/>
        <v>1.0266666666666664</v>
      </c>
      <c r="CN63" s="17">
        <f t="shared" si="5"/>
        <v>1.4833333333333329</v>
      </c>
      <c r="CO63" s="38">
        <f t="shared" si="29"/>
        <v>2.2066666666666666</v>
      </c>
      <c r="CP63" s="17">
        <f t="shared" si="6"/>
        <v>2.6633333333333331</v>
      </c>
      <c r="CQ63" s="17">
        <f t="shared" si="7"/>
        <v>3.3866666666666667</v>
      </c>
      <c r="CR63" s="17">
        <f t="shared" si="8"/>
        <v>3.8433333333333333</v>
      </c>
      <c r="CS63" s="2" cm="1">
        <f t="array" aca="1" ref="CS63" ca="1">MAX(_xlfn._xlws.FILTER(CL63:CR63,CL63:CR63&lt;BN63))</f>
        <v>1.4833333333333329</v>
      </c>
      <c r="CT63" s="2" cm="1">
        <f t="array" aca="1" ref="CT63" ca="1">MIN(_xlfn._xlws.FILTER($CL63:$CR63,$CL63:$CR63&gt;BN63))</f>
        <v>2.2066666666666666</v>
      </c>
      <c r="CU63" s="16">
        <f t="shared" ca="1" si="80"/>
        <v>0.48764044943820251</v>
      </c>
      <c r="CV63" s="20">
        <f t="shared" ca="1" si="81"/>
        <v>-0.24382022471910125</v>
      </c>
      <c r="CW63" s="20">
        <f t="shared" ca="1" si="82"/>
        <v>-0.16254681647940084</v>
      </c>
      <c r="CX63" s="20">
        <f t="shared" ca="1" si="83"/>
        <v>-9.7528089887640501E-2</v>
      </c>
      <c r="CY63" s="20">
        <f t="shared" ca="1" si="84"/>
        <v>-5.4182272159800281E-2</v>
      </c>
      <c r="CZ63" s="20">
        <f t="shared" ca="1" si="85"/>
        <v>-2.8684732319894265E-2</v>
      </c>
      <c r="DA63" s="20">
        <f t="shared" ca="1" si="86"/>
        <v>-1.4776983316309167E-2</v>
      </c>
      <c r="DB63" s="20">
        <f t="shared" ca="1" si="87"/>
        <v>-7.5021607605877307E-3</v>
      </c>
      <c r="DC63" s="21">
        <f t="shared" ca="1" si="88"/>
        <v>7.5021607605877307E-3</v>
      </c>
      <c r="DD63" s="21">
        <f t="shared" ca="1" si="89"/>
        <v>1.4776983316309167E-2</v>
      </c>
      <c r="DE63" s="21">
        <f t="shared" ca="1" si="90"/>
        <v>2.8684732319894265E-2</v>
      </c>
      <c r="DF63" s="21">
        <f t="shared" ca="1" si="91"/>
        <v>5.4182272159800281E-2</v>
      </c>
      <c r="DG63" s="21">
        <f t="shared" ca="1" si="92"/>
        <v>9.7528089887640501E-2</v>
      </c>
      <c r="DH63" s="21">
        <f t="shared" ca="1" si="93"/>
        <v>0.16254681647940084</v>
      </c>
      <c r="DI63" s="21">
        <f t="shared" ca="1" si="94"/>
        <v>0.24382022471910125</v>
      </c>
      <c r="DK63" s="16" cm="1">
        <f t="array" aca="1" ref="DK63" ca="1">MAX(_xlfn._xlws.FILTER(CV63:DI63,CV63:DI63&lt;BT63))</f>
        <v>2.8684732319894265E-2</v>
      </c>
      <c r="DL63" s="16" cm="1">
        <f t="array" aca="1" ref="DL63" ca="1">MIN(_xlfn._xlws.FILTER(CV63:DI63,CV63:DI63&gt;BT63))</f>
        <v>5.4182272159800281E-2</v>
      </c>
      <c r="DM63" s="2" cm="1">
        <f t="array" aca="1" ref="DM63" ca="1">_FV(EB63,"Fechamento anterior",TRUE)</f>
        <v>1.88</v>
      </c>
      <c r="DN63" s="28">
        <f t="shared" ca="1" si="15"/>
        <v>0.33529941660947116</v>
      </c>
      <c r="DO63" s="15">
        <f t="shared" ca="1" si="95"/>
        <v>1.9339272967614012</v>
      </c>
      <c r="DP63" s="15">
        <f t="shared" ca="1" si="96"/>
        <v>1.9818626716604244</v>
      </c>
      <c r="DQ63" s="9"/>
      <c r="DR63" s="9"/>
      <c r="DS63" s="9"/>
      <c r="DT63" s="89">
        <v>2.5497539839906016E-2</v>
      </c>
      <c r="DU63" s="89">
        <f t="shared" ca="1" si="18"/>
        <v>2.5497539839906016E-2</v>
      </c>
      <c r="DV63" s="72">
        <f t="shared" ca="1" si="19"/>
        <v>0.16666666666677399</v>
      </c>
      <c r="DW63" s="37"/>
      <c r="DX63" s="35">
        <f t="shared" si="39"/>
        <v>1.5000000000000015E-2</v>
      </c>
      <c r="DY63" s="56"/>
      <c r="DZ63" s="56"/>
      <c r="EB63" s="2" t="e" vm="63">
        <v>#VALUE!</v>
      </c>
      <c r="ED63" s="10" cm="1">
        <f t="array" aca="1" ref="ED63" ca="1">_FV(EB63,"Ações em circulação",TRUE)</f>
        <v>11900000</v>
      </c>
      <c r="EE63" s="18">
        <f>VLOOKUP(BO63,Fundamentus!A:U,5,FALSE)</f>
        <v>0.75700000000000001</v>
      </c>
      <c r="EF63" s="2">
        <f t="shared" ca="1" si="20"/>
        <v>30653896.961690884</v>
      </c>
      <c r="EG63" s="17">
        <v>2001699.4715984147</v>
      </c>
      <c r="EH63" s="17">
        <f t="shared" ca="1" si="21"/>
        <v>2001699.4715984147</v>
      </c>
      <c r="EJ63" s="16">
        <f t="shared" ca="1" si="22"/>
        <v>0</v>
      </c>
      <c r="EK63" s="32" t="str">
        <f>IF(VLOOKUP(BO63,Fundamentus!A:U,3,FALSE)&lt;15,"Bom",IF(VLOOKUP(BO63,Fundamentus!A:U,3,FALSE)&gt;15,"Ruim","n/a"))</f>
        <v>Bom</v>
      </c>
      <c r="EL63" s="28" t="str">
        <f>IF(VLOOKUP(BO63,Fundamentus!A:U,4,FALSE)&lt;1,"Baixo",IF(VLOOKUP(BO63,Fundamentus!A:U,4,FALSE)&lt;1.5,"Moderado",IF(VLOOKUP(BO63,Fundamentus!A:U,4,FALSE)&gt;1.5,"Alto","n/a")))</f>
        <v>Baixo</v>
      </c>
      <c r="EM63" s="17" t="str">
        <f>IF(VLOOKUP(BO63,Fundamentus!A:U,8,FALSE)&lt;0,"Risco elevado",IF(VLOOKUP(BO63,Fundamentus!A:U,8,FALSE)&lt;1,"Saudável",IF(VLOOKUP(BO63,Fundamentus!A:U,8,FALSE)&lt;3,"Estável",IF(VLOOKUP(BO63,Fundamentus!A:U,8,FALSE)&gt;3,"Alerta","n/a"))))</f>
        <v>Saudável</v>
      </c>
      <c r="EN63" s="28" t="str">
        <f t="shared" si="23"/>
        <v>Ruim</v>
      </c>
      <c r="EO63" s="17" t="str">
        <f>IF(VLOOKUP(BO63,Fundamentus!A:U,12,FALSE)&lt;2,"Subvalorizada",IF(VLOOKUP(BO63,Fundamentus!A:U,12,FALSE)&lt;6,"Muita barata",IF(VLOOKUP(BO63,Fundamentus!A:U,12,FALSE)&lt;6,"Barata",IF(VLOOKUP(BO63,Fundamentus!A:U,12,FALSE)&lt;8,"Atrativa",IF(VLOOKUP(BO63,Fundamentus!A:U,12,FALSE)&gt;8,"Supervalorizada","n/a")))))</f>
        <v>Supervalorizada</v>
      </c>
      <c r="EQ63" s="17" t="str">
        <f>IF(VLOOKUP(BO63,Fundamentus!A:U,17,FALSE)&lt;0.1,"Fraco retorno",IF(VLOOKUP(BO63,Fundamentus!A:U,17,FALSE)&gt;0.1,"Bom retorno","n/a"))</f>
        <v>Fraco retorno</v>
      </c>
      <c r="ER63" s="17" t="str">
        <f>IF(VLOOKUP(BO63,Fundamentus!A:U,16,FALSE)&lt;0.1,"Ineficiente",IF(VLOOKUP(BO63,Fundamentus!A:U,16,FALSE)&gt;0.1,"Eficiente","n/a"))</f>
        <v>Ineficiente</v>
      </c>
      <c r="ES63" s="33" t="str">
        <f>IF(VLOOKUP(BO63,Fundamentus!A:U,16,FALSE)&lt;0.1,"Oper. Ineficiente",IF(VLOOKUP(BO63,Fundamentus!A:U,16,FALSE)&gt;0.1,"Oper.Eficiente","n/a"))</f>
        <v>Oper. Ineficiente</v>
      </c>
      <c r="ET63" s="34">
        <f>VLOOKUP(BO63,Fundamentus!A:U,14,FALSE)</f>
        <v>6.5299999999999997E-2</v>
      </c>
      <c r="EU63" s="17" t="str">
        <f>IF(VLOOKUP(BO63,Fundamentus!A:U,21,FALSE)&lt;0,"Negativo",IF(VLOOKUP(BO63,Fundamentus!A:U,21,FALSE)&lt;0.05,"Fraco",IF(VLOOKUP(BO63,Fundamentus!A:U,21,FALSE)&lt;0.1,"Bom",IF(VLOOKUP(BO63,Fundamentus!A:U,21,FALSE)&gt;0.1,"Muito bom","n/a"))))</f>
        <v>Negativo</v>
      </c>
      <c r="EW63" s="29" t="str">
        <f>IF(VLOOKUP(BO63,Fundamentus!A:U,15,FALSE)&gt;1,"Bom",IF(VLOOKUP(BO63,Fundamentus!A:U,15,FALSE)&lt;1,"Ruim","n/a"))</f>
        <v>Bom</v>
      </c>
      <c r="EX63" s="17" t="str">
        <f>IF(VLOOKUP(BO63,Fundamentus!A:U,20,FALSE)&lt;0.5,"Baixa",IF(VLOOKUP(BO63,Fundamentus!A:U,20,FALSE)&lt;1,"Moderada",IF(VLOOKUP(BO63,Fundamentus!A:U,20,FALSE)&lt;2,"Alerta",IF(VLOOKUP(BO63,Fundamentus!A:U,20,FALSE)&gt;2,"Alta","n/a"))))</f>
        <v>Baixa</v>
      </c>
    </row>
    <row r="64" spans="1:154" s="2" customFormat="1" ht="11.25"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5">
        <v>19.66</v>
      </c>
      <c r="BC64" s="52">
        <v>19.27</v>
      </c>
      <c r="BD64" s="52">
        <v>18.2</v>
      </c>
      <c r="BE64" s="52">
        <v>18.899999999999999</v>
      </c>
      <c r="BF64" s="52">
        <v>19.649999999999999</v>
      </c>
      <c r="BG64" s="67">
        <v>20.78</v>
      </c>
      <c r="BH64" s="52">
        <v>20.32</v>
      </c>
      <c r="BI64" s="52">
        <v>17.2</v>
      </c>
      <c r="BJ64" s="52">
        <v>17.989999999999998</v>
      </c>
      <c r="BK64" s="52">
        <v>17.79</v>
      </c>
      <c r="BL64" s="52">
        <v>18.739999999999998</v>
      </c>
      <c r="BM64" s="52">
        <v>19.510000000000002</v>
      </c>
      <c r="BN64" s="52" cm="1">
        <f t="array" aca="1" ref="BN64" ca="1">_FV(EB64,"Preço")</f>
        <v>19.510000000000002</v>
      </c>
      <c r="BO64" s="69" t="s">
        <v>61</v>
      </c>
      <c r="BP64" s="36" cm="1">
        <f t="array" aca="1" ref="BP64" ca="1">_FV(EB64,"Média de volume",TRUE)</f>
        <v>6761850</v>
      </c>
      <c r="BQ64" s="36">
        <v>5095700</v>
      </c>
      <c r="BR64" s="36" cm="1">
        <f t="array" aca="1" ref="BR64" ca="1">_FV(EB64,"Volume")</f>
        <v>5095700</v>
      </c>
      <c r="BS64" s="24" cm="1">
        <f t="array" aca="1" ref="BS64" ca="1">_FV(EB64,"Beta")</f>
        <v>1.2243999999999999</v>
      </c>
      <c r="BT64" s="71" cm="1">
        <f t="array" aca="1" ref="BT64" ca="1">_FV(EB64,"Variação (%)",TRUE)</f>
        <v>2.2001E-2</v>
      </c>
      <c r="BV64" s="17" cm="1">
        <f t="array" aca="1" ref="BV64" ca="1">_FV(EB64,"Baixo")</f>
        <v>19.100000000000001</v>
      </c>
      <c r="BW64" s="17" cm="1">
        <f t="array" aca="1" ref="BW64" ca="1">_FV(EB64,"Alto")</f>
        <v>19.510000000000002</v>
      </c>
      <c r="BX64" s="24"/>
      <c r="BY64" s="63">
        <f ca="1">SQRT(22.5*(BN64/VLOOKUP(BO64,Fundamentus!A:U,3,FALSE))*(BN64/VLOOKUP(BO64,Fundamentus!A:U,4,FALSE)))</f>
        <v>13.656757215363127</v>
      </c>
      <c r="CA64" s="62">
        <f t="shared" ca="1" si="24"/>
        <v>0</v>
      </c>
      <c r="CB64" s="8"/>
      <c r="CC64" s="61">
        <f t="shared" si="25"/>
        <v>16.18</v>
      </c>
      <c r="CD64" s="61">
        <f t="shared" si="26"/>
        <v>33.25</v>
      </c>
      <c r="CE64" s="61">
        <f t="shared" si="27"/>
        <v>21.832615384615384</v>
      </c>
      <c r="CF64" s="14"/>
      <c r="CG64" s="35">
        <f t="shared" si="1"/>
        <v>18.527916730631677</v>
      </c>
      <c r="CH64" s="15">
        <f t="shared" si="28"/>
        <v>19.885000000000218</v>
      </c>
      <c r="CI64" s="35">
        <f t="shared" si="2"/>
        <v>21.242083269368759</v>
      </c>
      <c r="CK64" s="14"/>
      <c r="CL64" s="17">
        <f t="shared" si="3"/>
        <v>-4.8733333333333348</v>
      </c>
      <c r="CM64" s="17">
        <f t="shared" si="4"/>
        <v>5.6533333333333324</v>
      </c>
      <c r="CN64" s="17">
        <f t="shared" si="5"/>
        <v>12.196666666666665</v>
      </c>
      <c r="CO64" s="38">
        <f t="shared" si="29"/>
        <v>22.723333333333333</v>
      </c>
      <c r="CP64" s="17">
        <f t="shared" si="6"/>
        <v>29.266666666666666</v>
      </c>
      <c r="CQ64" s="17">
        <f t="shared" si="7"/>
        <v>39.793333333333337</v>
      </c>
      <c r="CR64" s="17">
        <f t="shared" si="8"/>
        <v>46.336666666666666</v>
      </c>
      <c r="CS64" s="2" cm="1">
        <f t="array" aca="1" ref="CS64" ca="1">MAX(_xlfn._xlws.FILTER(CL64:CR64,CL64:CR64&lt;BN64))</f>
        <v>12.196666666666665</v>
      </c>
      <c r="CT64" s="2" cm="1">
        <f t="array" aca="1" ref="CT64" ca="1">MIN(_xlfn._xlws.FILTER($CL64:$CR64,$CL64:$CR64&gt;BN64))</f>
        <v>22.723333333333333</v>
      </c>
      <c r="CU64" s="16">
        <f t="shared" ca="1" si="80"/>
        <v>0.86307734353648558</v>
      </c>
      <c r="CV64" s="20">
        <f t="shared" ca="1" si="81"/>
        <v>-0.43153867176824279</v>
      </c>
      <c r="CW64" s="20">
        <f t="shared" ca="1" si="82"/>
        <v>-0.28769244784549519</v>
      </c>
      <c r="CX64" s="20">
        <f t="shared" ca="1" si="83"/>
        <v>-0.1726154687072971</v>
      </c>
      <c r="CY64" s="20">
        <f t="shared" ca="1" si="84"/>
        <v>-9.5897482615165064E-2</v>
      </c>
      <c r="CZ64" s="20">
        <f t="shared" ca="1" si="85"/>
        <v>-5.0769255502146213E-2</v>
      </c>
      <c r="DA64" s="20">
        <f t="shared" ca="1" si="86"/>
        <v>-2.6153858895045016E-2</v>
      </c>
      <c r="DB64" s="20">
        <f t="shared" ca="1" si="87"/>
        <v>-1.3278112977484394E-2</v>
      </c>
      <c r="DC64" s="21">
        <f t="shared" ca="1" si="88"/>
        <v>1.3278112977484394E-2</v>
      </c>
      <c r="DD64" s="21">
        <f t="shared" ca="1" si="89"/>
        <v>2.6153858895045016E-2</v>
      </c>
      <c r="DE64" s="21">
        <f t="shared" ca="1" si="90"/>
        <v>5.0769255502146213E-2</v>
      </c>
      <c r="DF64" s="21">
        <f t="shared" ca="1" si="91"/>
        <v>9.5897482615165064E-2</v>
      </c>
      <c r="DG64" s="21">
        <f t="shared" ca="1" si="92"/>
        <v>0.1726154687072971</v>
      </c>
      <c r="DH64" s="21">
        <f t="shared" ca="1" si="93"/>
        <v>0.28769244784549519</v>
      </c>
      <c r="DI64" s="21">
        <f t="shared" ca="1" si="94"/>
        <v>0.43153867176824279</v>
      </c>
      <c r="DK64" s="16" cm="1">
        <f t="array" aca="1" ref="DK64" ca="1">MAX(_xlfn._xlws.FILTER(CV64:DI64,CV64:DI64&lt;BT64))</f>
        <v>1.3278112977484394E-2</v>
      </c>
      <c r="DL64" s="16" cm="1">
        <f t="array" aca="1" ref="DL64" ca="1">MIN(_xlfn._xlws.FILTER(CV64:DI64,CV64:DI64&gt;BT64))</f>
        <v>2.6153858895045016E-2</v>
      </c>
      <c r="DM64" s="2" cm="1">
        <f t="array" aca="1" ref="DM64" ca="1">_FV(EB64,"Fechamento anterior",TRUE)</f>
        <v>19.09</v>
      </c>
      <c r="DN64" s="28">
        <f t="shared" ca="1" si="15"/>
        <v>0.67747024112641707</v>
      </c>
      <c r="DO64" s="15">
        <f t="shared" ca="1" si="95"/>
        <v>19.343479176740178</v>
      </c>
      <c r="DP64" s="15">
        <f t="shared" ca="1" si="96"/>
        <v>19.58927716630641</v>
      </c>
      <c r="DQ64" s="9"/>
      <c r="DR64" s="9"/>
      <c r="DS64" s="9"/>
      <c r="DT64" s="89">
        <v>1.2875745917560622E-2</v>
      </c>
      <c r="DU64" s="89">
        <f t="shared" ca="1" si="18"/>
        <v>1.2875745917560622E-2</v>
      </c>
      <c r="DV64" s="72">
        <f t="shared" ca="1" si="19"/>
        <v>-0.27632792214342633</v>
      </c>
      <c r="DW64" s="37"/>
      <c r="DX64" s="35">
        <f t="shared" si="39"/>
        <v>0.67854163468426998</v>
      </c>
      <c r="DY64" s="56"/>
      <c r="DZ64" s="56"/>
      <c r="EB64" s="2" t="e" vm="64">
        <v>#VALUE!</v>
      </c>
      <c r="ED64" s="10" cm="1">
        <f t="array" aca="1" ref="ED64" ca="1">_FV(EB64,"Ações em circulação",TRUE)</f>
        <v>464187500</v>
      </c>
      <c r="EE64" s="18">
        <f>VLOOKUP(BO64,Fundamentus!A:U,5,FALSE)</f>
        <v>0.92800000000000005</v>
      </c>
      <c r="EF64" s="2">
        <f t="shared" ca="1" si="20"/>
        <v>9758941945.0431023</v>
      </c>
      <c r="EG64" s="17">
        <v>152239494.34267238</v>
      </c>
      <c r="EH64" s="17">
        <f t="shared" ca="1" si="21"/>
        <v>152239494.34267238</v>
      </c>
      <c r="EJ64" s="16">
        <f t="shared" ca="1" si="22"/>
        <v>0</v>
      </c>
      <c r="EK64" s="32" t="str">
        <f>IF(VLOOKUP(BO64,Fundamentus!A:U,3,FALSE)&lt;15,"Bom",IF(VLOOKUP(BO64,Fundamentus!A:U,3,FALSE)&gt;15,"Ruim","n/a"))</f>
        <v>Ruim</v>
      </c>
      <c r="EL64" s="28" t="str">
        <f>IF(VLOOKUP(BO64,Fundamentus!A:U,4,FALSE)&lt;1,"Baixo",IF(VLOOKUP(BO64,Fundamentus!A:U,4,FALSE)&lt;1.5,"Moderado",IF(VLOOKUP(BO64,Fundamentus!A:U,4,FALSE)&gt;1.5,"Alto","n/a")))</f>
        <v>Baixo</v>
      </c>
      <c r="EM64" s="17" t="str">
        <f>IF(VLOOKUP(BO64,Fundamentus!A:U,8,FALSE)&lt;0,"Risco elevado",IF(VLOOKUP(BO64,Fundamentus!A:U,8,FALSE)&lt;1,"Saudável",IF(VLOOKUP(BO64,Fundamentus!A:U,8,FALSE)&lt;3,"Estável",IF(VLOOKUP(BO64,Fundamentus!A:U,8,FALSE)&gt;3,"Alerta","n/a"))))</f>
        <v>Alerta</v>
      </c>
      <c r="EN64" s="28" t="str">
        <f t="shared" si="23"/>
        <v>Ruim</v>
      </c>
      <c r="EO64" s="17" t="str">
        <f>IF(VLOOKUP(BO64,Fundamentus!A:U,12,FALSE)&lt;2,"Subvalorizada",IF(VLOOKUP(BO64,Fundamentus!A:U,12,FALSE)&lt;6,"Muita barata",IF(VLOOKUP(BO64,Fundamentus!A:U,12,FALSE)&lt;6,"Barata",IF(VLOOKUP(BO64,Fundamentus!A:U,12,FALSE)&lt;8,"Atrativa",IF(VLOOKUP(BO64,Fundamentus!A:U,12,FALSE)&gt;8,"Supervalorizada","n/a")))))</f>
        <v>Atrativa</v>
      </c>
      <c r="EQ64" s="17" t="str">
        <f>IF(VLOOKUP(BO64,Fundamentus!A:U,17,FALSE)&lt;0.1,"Fraco retorno",IF(VLOOKUP(BO64,Fundamentus!A:U,17,FALSE)&gt;0.1,"Bom retorno","n/a"))</f>
        <v>Fraco retorno</v>
      </c>
      <c r="ER64" s="17" t="str">
        <f>IF(VLOOKUP(BO64,Fundamentus!A:U,16,FALSE)&lt;0.1,"Ineficiente",IF(VLOOKUP(BO64,Fundamentus!A:U,16,FALSE)&gt;0.1,"Eficiente","n/a"))</f>
        <v>Ineficiente</v>
      </c>
      <c r="ES64" s="33" t="str">
        <f>IF(VLOOKUP(BO64,Fundamentus!A:U,16,FALSE)&lt;0.1,"Oper. Ineficiente",IF(VLOOKUP(BO64,Fundamentus!A:U,16,FALSE)&gt;0.1,"Oper.Eficiente","n/a"))</f>
        <v>Oper. Ineficiente</v>
      </c>
      <c r="ET64" s="34">
        <f>VLOOKUP(BO64,Fundamentus!A:U,14,FALSE)</f>
        <v>1.5599999999999999E-2</v>
      </c>
      <c r="EU64" s="17" t="str">
        <f>IF(VLOOKUP(BO64,Fundamentus!A:U,21,FALSE)&lt;0,"Negativo",IF(VLOOKUP(BO64,Fundamentus!A:U,21,FALSE)&lt;0.05,"Fraco",IF(VLOOKUP(BO64,Fundamentus!A:U,21,FALSE)&lt;0.1,"Bom",IF(VLOOKUP(BO64,Fundamentus!A:U,21,FALSE)&gt;0.1,"Muito bom","n/a"))))</f>
        <v>Muito bom</v>
      </c>
      <c r="EW64" s="29" t="str">
        <f>IF(VLOOKUP(BO64,Fundamentus!A:U,15,FALSE)&gt;1,"Bom",IF(VLOOKUP(BO64,Fundamentus!A:U,15,FALSE)&lt;1,"Ruim","n/a"))</f>
        <v>Bom</v>
      </c>
      <c r="EX64" s="17" t="str">
        <f>IF(VLOOKUP(BO64,Fundamentus!A:U,20,FALSE)&lt;0.5,"Baixa",IF(VLOOKUP(BO64,Fundamentus!A:U,20,FALSE)&lt;1,"Moderada",IF(VLOOKUP(BO64,Fundamentus!A:U,20,FALSE)&lt;2,"Alerta",IF(VLOOKUP(BO64,Fundamentus!A:U,20,FALSE)&gt;2,"Alta","n/a"))))</f>
        <v>Alerta</v>
      </c>
    </row>
    <row r="65" spans="1:155" s="2" customFormat="1" ht="11.25"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5">
        <v>10.49</v>
      </c>
      <c r="BC65" s="52">
        <v>10.6</v>
      </c>
      <c r="BD65" s="52">
        <v>10.49</v>
      </c>
      <c r="BE65" s="52">
        <v>10.66</v>
      </c>
      <c r="BF65" s="52">
        <v>10.64</v>
      </c>
      <c r="BG65" s="67">
        <v>10.66</v>
      </c>
      <c r="BH65" s="52">
        <v>10.4</v>
      </c>
      <c r="BI65" s="52">
        <v>10.66</v>
      </c>
      <c r="BJ65" s="52">
        <v>11.49</v>
      </c>
      <c r="BK65" s="52">
        <v>11.25</v>
      </c>
      <c r="BL65" s="52">
        <v>11.16</v>
      </c>
      <c r="BM65" s="52">
        <v>11.09</v>
      </c>
      <c r="BN65" s="52" cm="1">
        <f t="array" aca="1" ref="BN65" ca="1">_FV(EB65,"Preço")</f>
        <v>11.09</v>
      </c>
      <c r="BO65" s="69" t="s">
        <v>159</v>
      </c>
      <c r="BP65" s="36" cm="1">
        <f t="array" aca="1" ref="BP65" ca="1">_FV(EB65,"Média de volume",TRUE)</f>
        <v>474980</v>
      </c>
      <c r="BQ65" s="36">
        <v>672900</v>
      </c>
      <c r="BR65" s="36" cm="1">
        <f t="array" aca="1" ref="BR65" ca="1">_FV(EB65,"Volume")</f>
        <v>672900</v>
      </c>
      <c r="BS65" s="24" cm="1">
        <f t="array" aca="1" ref="BS65" ca="1">_FV(EB65,"Beta")</f>
        <v>1.5389999999999999</v>
      </c>
      <c r="BT65" s="71" cm="1">
        <f t="array" aca="1" ref="BT65" ca="1">_FV(EB65,"Variação (%)",TRUE)</f>
        <v>1.2784999999999999E-2</v>
      </c>
      <c r="BV65" s="17" cm="1">
        <f t="array" aca="1" ref="BV65" ca="1">_FV(EB65,"Baixo")</f>
        <v>10.88</v>
      </c>
      <c r="BW65" s="17" cm="1">
        <f t="array" aca="1" ref="BW65" ca="1">_FV(EB65,"Alto")</f>
        <v>11.1</v>
      </c>
      <c r="BX65" s="24"/>
      <c r="BY65" s="63">
        <f ca="1">SQRT(22.5*(BN65/VLOOKUP(BO65,Fundamentus!A:U,3,FALSE))*(BN65/VLOOKUP(BO65,Fundamentus!A:U,4,FALSE)))</f>
        <v>13.385062808261502</v>
      </c>
      <c r="CA65" s="62">
        <f t="shared" ca="1" si="24"/>
        <v>0</v>
      </c>
      <c r="CB65" s="8"/>
      <c r="CC65" s="61">
        <f t="shared" si="25"/>
        <v>8.17</v>
      </c>
      <c r="CD65" s="61">
        <f t="shared" si="26"/>
        <v>13.86</v>
      </c>
      <c r="CE65" s="61">
        <f t="shared" si="27"/>
        <v>10.392461538461536</v>
      </c>
      <c r="CF65" s="14"/>
      <c r="CG65" s="35">
        <f t="shared" si="1"/>
        <v>10.622882473199539</v>
      </c>
      <c r="CH65" s="15">
        <f t="shared" si="28"/>
        <v>10.924999999999955</v>
      </c>
      <c r="CI65" s="35">
        <f t="shared" si="2"/>
        <v>11.22711752680037</v>
      </c>
      <c r="CK65" s="14"/>
      <c r="CL65" s="17">
        <f t="shared" si="3"/>
        <v>2.5766666666666662</v>
      </c>
      <c r="CM65" s="17">
        <f t="shared" si="4"/>
        <v>5.3733333333333331</v>
      </c>
      <c r="CN65" s="17">
        <f t="shared" si="5"/>
        <v>8.2666666666666657</v>
      </c>
      <c r="CO65" s="38">
        <f t="shared" si="29"/>
        <v>11.063333333333333</v>
      </c>
      <c r="CP65" s="17">
        <f t="shared" si="6"/>
        <v>13.956666666666665</v>
      </c>
      <c r="CQ65" s="17">
        <f t="shared" si="7"/>
        <v>16.75333333333333</v>
      </c>
      <c r="CR65" s="17">
        <f t="shared" si="8"/>
        <v>19.646666666666665</v>
      </c>
      <c r="CS65" s="2" cm="1">
        <f t="array" aca="1" ref="CS65" ca="1">MAX(_xlfn._xlws.FILTER(CL65:CR65,CL65:CR65&lt;BN65))</f>
        <v>11.063333333333333</v>
      </c>
      <c r="CT65" s="2" cm="1">
        <f t="array" aca="1" ref="CT65" ca="1">MIN(_xlfn._xlws.FILTER($CL65:$CR65,$CL65:$CR65&gt;BN65))</f>
        <v>13.956666666666665</v>
      </c>
      <c r="CU65" s="16">
        <f t="shared" ca="1" si="80"/>
        <v>0.26152455558903287</v>
      </c>
      <c r="CV65" s="20">
        <f t="shared" ca="1" si="81"/>
        <v>-0.13076227779451643</v>
      </c>
      <c r="CW65" s="20">
        <f t="shared" ca="1" si="82"/>
        <v>-8.7174851863010952E-2</v>
      </c>
      <c r="CX65" s="20">
        <f t="shared" ca="1" si="83"/>
        <v>-5.2304911117806573E-2</v>
      </c>
      <c r="CY65" s="20">
        <f t="shared" ca="1" si="84"/>
        <v>-2.9058283954336985E-2</v>
      </c>
      <c r="CZ65" s="20">
        <f t="shared" ca="1" si="85"/>
        <v>-1.5383797387590169E-2</v>
      </c>
      <c r="DA65" s="20">
        <f t="shared" ca="1" si="86"/>
        <v>-7.924986533000996E-3</v>
      </c>
      <c r="DB65" s="20">
        <f t="shared" ca="1" si="87"/>
        <v>-4.0234547013697367E-3</v>
      </c>
      <c r="DC65" s="21">
        <f t="shared" ca="1" si="88"/>
        <v>4.0234547013697367E-3</v>
      </c>
      <c r="DD65" s="21">
        <f t="shared" ca="1" si="89"/>
        <v>7.924986533000996E-3</v>
      </c>
      <c r="DE65" s="21">
        <f t="shared" ca="1" si="90"/>
        <v>1.5383797387590169E-2</v>
      </c>
      <c r="DF65" s="21">
        <f t="shared" ca="1" si="91"/>
        <v>2.9058283954336985E-2</v>
      </c>
      <c r="DG65" s="21">
        <f t="shared" ca="1" si="92"/>
        <v>5.2304911117806573E-2</v>
      </c>
      <c r="DH65" s="21">
        <f t="shared" ca="1" si="93"/>
        <v>8.7174851863010952E-2</v>
      </c>
      <c r="DI65" s="21">
        <f t="shared" ca="1" si="94"/>
        <v>0.13076227779451643</v>
      </c>
      <c r="DK65" s="16" cm="1">
        <f t="array" aca="1" ref="DK65" ca="1">MAX(_xlfn._xlws.FILTER(CV65:DI65,CV65:DI65&lt;BT65))</f>
        <v>7.924986533000996E-3</v>
      </c>
      <c r="DL65" s="16" cm="1">
        <f t="array" aca="1" ref="DL65" ca="1">MIN(_xlfn._xlws.FILTER(CV65:DI65,CV65:DI65&gt;BT65))</f>
        <v>1.5383797387590169E-2</v>
      </c>
      <c r="DM65" s="2" cm="1">
        <f t="array" aca="1" ref="DM65" ca="1">_FV(EB65,"Fechamento anterior",TRUE)</f>
        <v>10.95</v>
      </c>
      <c r="DN65" s="28">
        <f t="shared" ca="1" si="15"/>
        <v>0.651632235969962</v>
      </c>
      <c r="DO65" s="15">
        <f t="shared" ca="1" si="95"/>
        <v>11.03677860253636</v>
      </c>
      <c r="DP65" s="15">
        <f t="shared" ca="1" si="96"/>
        <v>11.118452581394111</v>
      </c>
      <c r="DQ65" s="9"/>
      <c r="DR65" s="9"/>
      <c r="DS65" s="9"/>
      <c r="DT65" s="89">
        <v>7.4588108545891735E-3</v>
      </c>
      <c r="DU65" s="89">
        <f t="shared" ca="1" si="18"/>
        <v>7.4588108545891735E-3</v>
      </c>
      <c r="DV65" s="72">
        <f t="shared" ca="1" si="19"/>
        <v>0.546145077207147</v>
      </c>
      <c r="DW65" s="37"/>
      <c r="DX65" s="35">
        <f t="shared" si="39"/>
        <v>0.15105876340020805</v>
      </c>
      <c r="DY65" s="56"/>
      <c r="DZ65" s="56"/>
      <c r="EB65" s="2" t="e" vm="65">
        <v>#VALUE!</v>
      </c>
      <c r="ED65" s="10" cm="1">
        <f t="array" aca="1" ref="ED65" ca="1">_FV(EB65,"Ações em circulação",TRUE)</f>
        <v>234178200</v>
      </c>
      <c r="EE65" s="18">
        <f>VLOOKUP(BO65,Fundamentus!A:U,5,FALSE)</f>
        <v>1.5660000000000001</v>
      </c>
      <c r="EF65" s="2">
        <f t="shared" ca="1" si="20"/>
        <v>1658388402.2988505</v>
      </c>
      <c r="EG65" s="17">
        <v>289554615.04137933</v>
      </c>
      <c r="EH65" s="17">
        <f t="shared" ca="1" si="21"/>
        <v>289554615.04137933</v>
      </c>
      <c r="EJ65" s="16">
        <f t="shared" ca="1" si="22"/>
        <v>0</v>
      </c>
      <c r="EK65" s="32" t="str">
        <f>IF(VLOOKUP(BO65,Fundamentus!A:U,3,FALSE)&lt;15,"Bom",IF(VLOOKUP(BO65,Fundamentus!A:U,3,FALSE)&gt;15,"Ruim","n/a"))</f>
        <v>Bom</v>
      </c>
      <c r="EL65" s="28" t="str">
        <f>IF(VLOOKUP(BO65,Fundamentus!A:U,4,FALSE)&lt;1,"Baixo",IF(VLOOKUP(BO65,Fundamentus!A:U,4,FALSE)&lt;1.5,"Moderado",IF(VLOOKUP(BO65,Fundamentus!A:U,4,FALSE)&gt;1.5,"Alto","n/a")))</f>
        <v>Alto</v>
      </c>
      <c r="EM65" s="17" t="str">
        <f>IF(VLOOKUP(BO65,Fundamentus!A:U,8,FALSE)&lt;0,"Risco elevado",IF(VLOOKUP(BO65,Fundamentus!A:U,8,FALSE)&lt;1,"Saudável",IF(VLOOKUP(BO65,Fundamentus!A:U,8,FALSE)&lt;3,"Estável",IF(VLOOKUP(BO65,Fundamentus!A:U,8,FALSE)&gt;3,"Alerta","n/a"))))</f>
        <v>Alerta</v>
      </c>
      <c r="EN65" s="28" t="str">
        <f t="shared" si="23"/>
        <v>Bom</v>
      </c>
      <c r="EO65" s="17" t="str">
        <f>IF(VLOOKUP(BO65,Fundamentus!A:U,12,FALSE)&lt;2,"Subvalorizada",IF(VLOOKUP(BO65,Fundamentus!A:U,12,FALSE)&lt;6,"Muita barata",IF(VLOOKUP(BO65,Fundamentus!A:U,12,FALSE)&lt;6,"Barata",IF(VLOOKUP(BO65,Fundamentus!A:U,12,FALSE)&lt;8,"Atrativa",IF(VLOOKUP(BO65,Fundamentus!A:U,12,FALSE)&gt;8,"Supervalorizada","n/a")))))</f>
        <v>Muita barata</v>
      </c>
      <c r="EQ65" s="17" t="str">
        <f>IF(VLOOKUP(BO65,Fundamentus!A:U,17,FALSE)&lt;0.1,"Fraco retorno",IF(VLOOKUP(BO65,Fundamentus!A:U,17,FALSE)&gt;0.1,"Bom retorno","n/a"))</f>
        <v>Bom retorno</v>
      </c>
      <c r="ER65" s="17" t="str">
        <f>IF(VLOOKUP(BO65,Fundamentus!A:U,16,FALSE)&lt;0.1,"Ineficiente",IF(VLOOKUP(BO65,Fundamentus!A:U,16,FALSE)&gt;0.1,"Eficiente","n/a"))</f>
        <v>Eficiente</v>
      </c>
      <c r="ES65" s="33" t="str">
        <f>IF(VLOOKUP(BO65,Fundamentus!A:U,16,FALSE)&lt;0.1,"Oper. Ineficiente",IF(VLOOKUP(BO65,Fundamentus!A:U,16,FALSE)&gt;0.1,"Oper.Eficiente","n/a"))</f>
        <v>Oper.Eficiente</v>
      </c>
      <c r="ET65" s="34">
        <f>VLOOKUP(BO65,Fundamentus!A:U,14,FALSE)</f>
        <v>0.17460000000000001</v>
      </c>
      <c r="EU65" s="17" t="str">
        <f>IF(VLOOKUP(BO65,Fundamentus!A:U,21,FALSE)&lt;0,"Negativo",IF(VLOOKUP(BO65,Fundamentus!A:U,21,FALSE)&lt;0.05,"Fraco",IF(VLOOKUP(BO65,Fundamentus!A:U,21,FALSE)&lt;0.1,"Bom",IF(VLOOKUP(BO65,Fundamentus!A:U,21,FALSE)&gt;0.1,"Muito bom","n/a"))))</f>
        <v>Muito bom</v>
      </c>
      <c r="EW65" s="29" t="str">
        <f>IF(VLOOKUP(BO65,Fundamentus!A:U,15,FALSE)&gt;1,"Bom",IF(VLOOKUP(BO65,Fundamentus!A:U,15,FALSE)&lt;1,"Ruim","n/a"))</f>
        <v>Bom</v>
      </c>
      <c r="EX65" s="17" t="str">
        <f>IF(VLOOKUP(BO65,Fundamentus!A:U,20,FALSE)&lt;0.5,"Baixa",IF(VLOOKUP(BO65,Fundamentus!A:U,20,FALSE)&lt;1,"Moderada",IF(VLOOKUP(BO65,Fundamentus!A:U,20,FALSE)&lt;2,"Alerta",IF(VLOOKUP(BO65,Fundamentus!A:U,20,FALSE)&gt;2,"Alta","n/a"))))</f>
        <v>Alerta</v>
      </c>
    </row>
    <row r="66" spans="1:155" s="2" customFormat="1" ht="11.25"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5">
        <v>13.53</v>
      </c>
      <c r="BC66" s="52">
        <v>13.55</v>
      </c>
      <c r="BD66" s="52">
        <v>13.62</v>
      </c>
      <c r="BE66" s="52">
        <v>13.68</v>
      </c>
      <c r="BF66" s="52">
        <v>13.69</v>
      </c>
      <c r="BG66" s="67">
        <v>13.71</v>
      </c>
      <c r="BH66" s="52">
        <v>13.69</v>
      </c>
      <c r="BI66" s="52">
        <v>13.75</v>
      </c>
      <c r="BJ66" s="52">
        <v>13.76</v>
      </c>
      <c r="BK66" s="52">
        <v>13.82</v>
      </c>
      <c r="BL66" s="52">
        <v>13.86</v>
      </c>
      <c r="BM66" s="52">
        <v>13.93</v>
      </c>
      <c r="BN66" s="52" cm="1">
        <f t="array" aca="1" ref="BN66" ca="1">_FV(EB66,"Preço")</f>
        <v>13.93</v>
      </c>
      <c r="BO66" s="66" t="s">
        <v>63</v>
      </c>
      <c r="BP66" s="36" cm="1">
        <f t="array" aca="1" ref="BP66" ca="1">_FV(EB66,"Média de volume",TRUE)</f>
        <v>3126280</v>
      </c>
      <c r="BQ66" s="36">
        <v>809300</v>
      </c>
      <c r="BR66" s="36" cm="1">
        <f t="array" aca="1" ref="BR66" ca="1">_FV(EB66,"Volume")</f>
        <v>809300</v>
      </c>
      <c r="BS66" s="24" cm="1">
        <f t="array" aca="1" ref="BS66" ca="1">_FV(EB66,"Beta")</f>
        <v>1.2882</v>
      </c>
      <c r="BT66" s="71" cm="1">
        <f t="array" aca="1" ref="BT66" ca="1">_FV(EB66,"Variação (%)",TRUE)</f>
        <v>2.8799999999999997E-3</v>
      </c>
      <c r="BV66" s="17" cm="1">
        <f t="array" aca="1" ref="BV66" ca="1">_FV(EB66,"Baixo")</f>
        <v>13.87</v>
      </c>
      <c r="BW66" s="17" cm="1">
        <f t="array" aca="1" ref="BW66" ca="1">_FV(EB66,"Alto")</f>
        <v>13.93</v>
      </c>
      <c r="BX66" s="24"/>
      <c r="BY66" s="63">
        <f ca="1">SQRT(22.5*(BN66/VLOOKUP(BO66,Fundamentus!A:U,3,FALSE))*(BN66/VLOOKUP(BO66,Fundamentus!A:U,4,FALSE)))</f>
        <v>3.8288365862743148</v>
      </c>
      <c r="CA66" s="62">
        <f t="shared" ca="1" si="24"/>
        <v>0</v>
      </c>
      <c r="CB66" s="8"/>
      <c r="CC66" s="61">
        <f t="shared" si="25"/>
        <v>11.56</v>
      </c>
      <c r="CD66" s="61">
        <f t="shared" si="26"/>
        <v>14.88</v>
      </c>
      <c r="CE66" s="61">
        <f t="shared" si="27"/>
        <v>13.35876923076923</v>
      </c>
      <c r="CF66" s="14"/>
      <c r="CG66" s="35">
        <f t="shared" si="1"/>
        <v>13.856407929056878</v>
      </c>
      <c r="CH66" s="15">
        <f t="shared" si="28"/>
        <v>13.979999999999961</v>
      </c>
      <c r="CI66" s="35">
        <f t="shared" si="2"/>
        <v>14.103592070943044</v>
      </c>
      <c r="CK66" s="14"/>
      <c r="CL66" s="17">
        <f t="shared" si="3"/>
        <v>8.6666666666666625</v>
      </c>
      <c r="CM66" s="17">
        <f t="shared" si="4"/>
        <v>10.113333333333332</v>
      </c>
      <c r="CN66" s="17">
        <f t="shared" si="5"/>
        <v>11.986666666666663</v>
      </c>
      <c r="CO66" s="38">
        <f t="shared" si="29"/>
        <v>13.433333333333332</v>
      </c>
      <c r="CP66" s="17">
        <f t="shared" si="6"/>
        <v>15.306666666666663</v>
      </c>
      <c r="CQ66" s="17">
        <f t="shared" si="7"/>
        <v>16.75333333333333</v>
      </c>
      <c r="CR66" s="17">
        <f t="shared" si="8"/>
        <v>18.626666666666665</v>
      </c>
      <c r="CS66" s="2" cm="1">
        <f t="array" aca="1" ref="CS66" ca="1">MAX(_xlfn._xlws.FILTER(CL66:CR66,CL66:CR66&lt;BN66))</f>
        <v>13.433333333333332</v>
      </c>
      <c r="CT66" s="2" cm="1">
        <f t="array" aca="1" ref="CT66" ca="1">MIN(_xlfn._xlws.FILTER($CL66:$CR66,$CL66:$CR66&gt;BN66))</f>
        <v>15.306666666666663</v>
      </c>
      <c r="CU66" s="16">
        <f t="shared" ca="1" si="80"/>
        <v>0.13945409429280375</v>
      </c>
      <c r="CV66" s="20">
        <f t="shared" ca="1" si="81"/>
        <v>-6.9727047146401877E-2</v>
      </c>
      <c r="CW66" s="20">
        <f t="shared" ca="1" si="82"/>
        <v>-4.6484698097601251E-2</v>
      </c>
      <c r="CX66" s="20">
        <f t="shared" ca="1" si="83"/>
        <v>-2.7890818858560752E-2</v>
      </c>
      <c r="CY66" s="20">
        <f t="shared" ca="1" si="84"/>
        <v>-1.5494899365867084E-2</v>
      </c>
      <c r="CZ66" s="20">
        <f t="shared" ca="1" si="85"/>
        <v>-8.20318201722375E-3</v>
      </c>
      <c r="DA66" s="20">
        <f t="shared" ca="1" si="86"/>
        <v>-4.225881645236477E-3</v>
      </c>
      <c r="DB66" s="20">
        <f t="shared" ca="1" si="87"/>
        <v>-2.1454476045046733E-3</v>
      </c>
      <c r="DC66" s="21">
        <f t="shared" ca="1" si="88"/>
        <v>2.1454476045046733E-3</v>
      </c>
      <c r="DD66" s="21">
        <f t="shared" ca="1" si="89"/>
        <v>4.225881645236477E-3</v>
      </c>
      <c r="DE66" s="21">
        <f t="shared" ca="1" si="90"/>
        <v>8.20318201722375E-3</v>
      </c>
      <c r="DF66" s="21">
        <f t="shared" ca="1" si="91"/>
        <v>1.5494899365867084E-2</v>
      </c>
      <c r="DG66" s="21">
        <f t="shared" ca="1" si="92"/>
        <v>2.7890818858560752E-2</v>
      </c>
      <c r="DH66" s="21">
        <f t="shared" ca="1" si="93"/>
        <v>4.6484698097601251E-2</v>
      </c>
      <c r="DI66" s="21">
        <f t="shared" ca="1" si="94"/>
        <v>6.9727047146401877E-2</v>
      </c>
      <c r="DK66" s="16" cm="1">
        <f t="array" aca="1" ref="DK66" ca="1">MAX(_xlfn._xlws.FILTER(CV66:DI66,CV66:DI66&lt;BT66))</f>
        <v>2.1454476045046733E-3</v>
      </c>
      <c r="DL66" s="16" cm="1">
        <f t="array" aca="1" ref="DL66" ca="1">MIN(_xlfn._xlws.FILTER(CV66:DI66,CV66:DI66&gt;BT66))</f>
        <v>4.225881645236477E-3</v>
      </c>
      <c r="DM66" s="2" cm="1">
        <f t="array" aca="1" ref="DM66" ca="1">_FV(EB66,"Fechamento anterior",TRUE)</f>
        <v>13.89</v>
      </c>
      <c r="DN66" s="28">
        <f t="shared" ca="1" si="15"/>
        <v>0.35296577519349009</v>
      </c>
      <c r="DO66" s="15">
        <f t="shared" ca="1" si="95"/>
        <v>13.91980026722657</v>
      </c>
      <c r="DP66" s="15">
        <f t="shared" ca="1" si="96"/>
        <v>13.948697496052334</v>
      </c>
      <c r="DQ66" s="9"/>
      <c r="DR66" s="9"/>
      <c r="DS66" s="9"/>
      <c r="DT66" s="89">
        <v>2.0804340407318037E-3</v>
      </c>
      <c r="DU66" s="89">
        <f t="shared" ca="1" si="18"/>
        <v>2.0804340407318037E-3</v>
      </c>
      <c r="DV66" s="75">
        <f t="shared" ca="1" si="19"/>
        <v>-0.40455669703105657</v>
      </c>
      <c r="DW66" s="37"/>
      <c r="DX66" s="35">
        <f t="shared" si="39"/>
        <v>6.1796035471541277E-2</v>
      </c>
      <c r="DY66" s="56"/>
      <c r="DZ66" s="56"/>
      <c r="EB66" s="2" t="e" vm="66">
        <v>#VALUE!</v>
      </c>
      <c r="ED66" s="10" cm="1">
        <f t="array" aca="1" ref="ED66" ca="1">_FV(EB66,"Ações em circulação",TRUE)</f>
        <v>864170300</v>
      </c>
      <c r="EE66" s="18">
        <f>VLOOKUP(BO66,Fundamentus!A:U,5,FALSE)</f>
        <v>3.8130000000000002</v>
      </c>
      <c r="EF66" s="2">
        <f t="shared" ca="1" si="20"/>
        <v>3157065900.6031995</v>
      </c>
      <c r="EG66" s="17">
        <v>796527726.72218728</v>
      </c>
      <c r="EH66" s="17">
        <f t="shared" ca="1" si="21"/>
        <v>796527726.72218728</v>
      </c>
      <c r="EJ66" s="16">
        <f ca="1">(EH66/EG66)-1</f>
        <v>0</v>
      </c>
      <c r="EK66" s="32" t="str">
        <f>IF(VLOOKUP(BO66,Fundamentus!A:U,3,FALSE)&lt;15,"Bom",IF(VLOOKUP(BO66,Fundamentus!A:U,3,FALSE)&gt;15,"Ruim","n/a"))</f>
        <v>Ruim</v>
      </c>
      <c r="EL66" s="28" t="str">
        <f>IF(VLOOKUP(BO66,Fundamentus!A:U,4,FALSE)&lt;1,"Baixo",IF(VLOOKUP(BO66,Fundamentus!A:U,4,FALSE)&lt;1.5,"Moderado",IF(VLOOKUP(BO66,Fundamentus!A:U,4,FALSE)&gt;1.5,"Alto","n/a")))</f>
        <v>Alto</v>
      </c>
      <c r="EM66" s="17" t="str">
        <f>IF(VLOOKUP(BO66,Fundamentus!A:U,8,FALSE)&lt;0,"Risco elevado",IF(VLOOKUP(BO66,Fundamentus!A:U,8,FALSE)&lt;1,"Saudável",IF(VLOOKUP(BO66,Fundamentus!A:U,8,FALSE)&lt;3,"Estável",IF(VLOOKUP(BO66,Fundamentus!A:U,8,FALSE)&gt;3,"Alerta","n/a"))))</f>
        <v>Alerta</v>
      </c>
      <c r="EN66" s="28" t="str">
        <f t="shared" si="23"/>
        <v>Bom</v>
      </c>
      <c r="EO66" s="17" t="str">
        <f>IF(VLOOKUP(BO66,Fundamentus!A:U,12,FALSE)&lt;2,"Subvalorizada",IF(VLOOKUP(BO66,Fundamentus!A:U,12,FALSE)&lt;6,"Muita barata",IF(VLOOKUP(BO66,Fundamentus!A:U,12,FALSE)&lt;6,"Barata",IF(VLOOKUP(BO66,Fundamentus!A:U,12,FALSE)&lt;8,"Atrativa",IF(VLOOKUP(BO66,Fundamentus!A:U,12,FALSE)&gt;8,"Supervalorizada","n/a")))))</f>
        <v>Supervalorizada</v>
      </c>
      <c r="EQ66" s="17" t="str">
        <f>IF(VLOOKUP(BO66,Fundamentus!A:U,17,FALSE)&lt;0.1,"Fraco retorno",IF(VLOOKUP(BO66,Fundamentus!A:U,17,FALSE)&gt;0.1,"Bom retorno","n/a"))</f>
        <v>Bom retorno</v>
      </c>
      <c r="ER66" s="17" t="str">
        <f>IF(VLOOKUP(BO66,Fundamentus!A:U,16,FALSE)&lt;0.1,"Ineficiente",IF(VLOOKUP(BO66,Fundamentus!A:U,16,FALSE)&gt;0.1,"Eficiente","n/a"))</f>
        <v>Eficiente</v>
      </c>
      <c r="ES66" s="33" t="str">
        <f>IF(VLOOKUP(BO66,Fundamentus!A:U,16,FALSE)&lt;0.1,"Oper. Ineficiente",IF(VLOOKUP(BO66,Fundamentus!A:U,16,FALSE)&gt;0.1,"Oper.Eficiente","n/a"))</f>
        <v>Oper.Eficiente</v>
      </c>
      <c r="ET66" s="34">
        <f>VLOOKUP(BO66,Fundamentus!A:U,14,FALSE)</f>
        <v>0.25230000000000002</v>
      </c>
      <c r="EU66" s="17" t="str">
        <f>IF(VLOOKUP(BO66,Fundamentus!A:U,21,FALSE)&lt;0,"Negativo",IF(VLOOKUP(BO66,Fundamentus!A:U,21,FALSE)&lt;0.05,"Fraco",IF(VLOOKUP(BO66,Fundamentus!A:U,21,FALSE)&lt;0.1,"Bom",IF(VLOOKUP(BO66,Fundamentus!A:U,21,FALSE)&gt;0.1,"Muito bom","n/a"))))</f>
        <v>Muito bom</v>
      </c>
      <c r="EW66" s="29" t="str">
        <f>IF(VLOOKUP(BO66,Fundamentus!A:U,15,FALSE)&gt;1,"Bom",IF(VLOOKUP(BO66,Fundamentus!A:U,15,FALSE)&lt;1,"Ruim","n/a"))</f>
        <v>Bom</v>
      </c>
      <c r="EX66" s="17" t="str">
        <f>IF(VLOOKUP(BO66,Fundamentus!A:U,20,FALSE)&lt;0.5,"Baixa",IF(VLOOKUP(BO66,Fundamentus!A:U,20,FALSE)&lt;1,"Moderada",IF(VLOOKUP(BO66,Fundamentus!A:U,20,FALSE)&lt;2,"Alerta",IF(VLOOKUP(BO66,Fundamentus!A:U,20,FALSE)&gt;2,"Alta","n/a"))))</f>
        <v>Alta</v>
      </c>
    </row>
    <row r="67" spans="1:155" s="2" customFormat="1" ht="11.25"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5">
        <v>17.88</v>
      </c>
      <c r="BC67" s="52">
        <v>18.95</v>
      </c>
      <c r="BD67" s="52">
        <v>19.18</v>
      </c>
      <c r="BE67" s="52">
        <v>20.18</v>
      </c>
      <c r="BF67" s="52">
        <v>20.13</v>
      </c>
      <c r="BG67" s="67">
        <v>21.07</v>
      </c>
      <c r="BH67" s="52">
        <v>21.43</v>
      </c>
      <c r="BI67" s="52">
        <v>21.21</v>
      </c>
      <c r="BJ67" s="52">
        <v>22.59</v>
      </c>
      <c r="BK67" s="52">
        <v>21.74</v>
      </c>
      <c r="BL67" s="52">
        <v>20.239999999999998</v>
      </c>
      <c r="BM67" s="52">
        <v>21.05</v>
      </c>
      <c r="BN67" s="52" cm="1">
        <f t="array" aca="1" ref="BN67" ca="1">_FV(EB67,"Preço")</f>
        <v>21.05</v>
      </c>
      <c r="BO67" s="69" t="s">
        <v>116</v>
      </c>
      <c r="BP67" s="36" cm="1">
        <f t="array" aca="1" ref="BP67" ca="1">_FV(EB67,"Média de volume",TRUE)</f>
        <v>11138900</v>
      </c>
      <c r="BQ67" s="36">
        <v>13708300</v>
      </c>
      <c r="BR67" s="36" cm="1">
        <f t="array" aca="1" ref="BR67" ca="1">_FV(EB67,"Volume")</f>
        <v>13708300</v>
      </c>
      <c r="BS67" s="24" cm="1">
        <f t="array" aca="1" ref="BS67" ca="1">_FV(EB67,"Beta")</f>
        <v>1.0331999999999999</v>
      </c>
      <c r="BT67" s="71" cm="1">
        <f t="array" aca="1" ref="BT67" ca="1">_FV(EB67,"Variação (%)",TRUE)</f>
        <v>3.3889999999999997E-2</v>
      </c>
      <c r="BV67" s="17" cm="1">
        <f t="array" aca="1" ref="BV67" ca="1">_FV(EB67,"Baixo")</f>
        <v>20.309999999999999</v>
      </c>
      <c r="BW67" s="17" cm="1">
        <f t="array" aca="1" ref="BW67" ca="1">_FV(EB67,"Alto")</f>
        <v>21.15</v>
      </c>
      <c r="BX67" s="24"/>
      <c r="BY67" s="63">
        <f ca="1">SQRT(22.5*(BN67/VLOOKUP(BO67,Fundamentus!A:U,3,FALSE))*(BN67/VLOOKUP(BO67,Fundamentus!A:U,4,FALSE)))</f>
        <v>49.831112653581179</v>
      </c>
      <c r="CA67" s="62">
        <f t="shared" ca="1" si="24"/>
        <v>0</v>
      </c>
      <c r="CB67" s="8"/>
      <c r="CC67" s="61">
        <f t="shared" si="25"/>
        <v>16.48</v>
      </c>
      <c r="CD67" s="61">
        <f t="shared" si="26"/>
        <v>26.03</v>
      </c>
      <c r="CE67" s="61">
        <f t="shared" si="27"/>
        <v>20.831846153846161</v>
      </c>
      <c r="CF67" s="14"/>
      <c r="CG67" s="35">
        <f t="shared" si="1"/>
        <v>18.143035797137127</v>
      </c>
      <c r="CH67" s="15">
        <f t="shared" si="28"/>
        <v>19.875000000000455</v>
      </c>
      <c r="CI67" s="35">
        <f t="shared" si="2"/>
        <v>21.606964202863782</v>
      </c>
      <c r="CK67" s="14"/>
      <c r="CL67" s="17">
        <f t="shared" si="3"/>
        <v>6.2533333333333339</v>
      </c>
      <c r="CM67" s="17">
        <f t="shared" si="4"/>
        <v>11.366666666666667</v>
      </c>
      <c r="CN67" s="17">
        <f t="shared" si="5"/>
        <v>15.803333333333335</v>
      </c>
      <c r="CO67" s="38">
        <f t="shared" si="29"/>
        <v>20.916666666666668</v>
      </c>
      <c r="CP67" s="17">
        <f t="shared" si="6"/>
        <v>25.353333333333335</v>
      </c>
      <c r="CQ67" s="17">
        <f t="shared" si="7"/>
        <v>30.466666666666669</v>
      </c>
      <c r="CR67" s="17">
        <f t="shared" si="8"/>
        <v>34.903333333333336</v>
      </c>
      <c r="CS67" s="2" cm="1">
        <f t="array" aca="1" ref="CS67" ca="1">MAX(_xlfn._xlws.FILTER(CL67:CR67,CL67:CR67&lt;BN67))</f>
        <v>20.916666666666668</v>
      </c>
      <c r="CT67" s="2" cm="1">
        <f t="array" aca="1" ref="CT67" ca="1">MIN(_xlfn._xlws.FILTER($CL67:$CR67,$CL67:$CR67&gt;BN67))</f>
        <v>25.353333333333335</v>
      </c>
      <c r="CU67" s="16">
        <f t="shared" ca="1" si="80"/>
        <v>0.21211155378486057</v>
      </c>
      <c r="CV67" s="20">
        <f t="shared" ca="1" si="81"/>
        <v>-0.10605577689243029</v>
      </c>
      <c r="CW67" s="20">
        <f t="shared" ca="1" si="82"/>
        <v>-7.0703851261620196E-2</v>
      </c>
      <c r="CX67" s="20">
        <f t="shared" ca="1" si="83"/>
        <v>-4.2422310756972115E-2</v>
      </c>
      <c r="CY67" s="20">
        <f t="shared" ca="1" si="84"/>
        <v>-2.3567950420540065E-2</v>
      </c>
      <c r="CZ67" s="20">
        <f t="shared" ca="1" si="85"/>
        <v>-1.2477150222638858E-2</v>
      </c>
      <c r="DA67" s="20">
        <f t="shared" ca="1" si="86"/>
        <v>-6.4276228419654722E-3</v>
      </c>
      <c r="DB67" s="20">
        <f t="shared" ca="1" si="87"/>
        <v>-3.2632546736132396E-3</v>
      </c>
      <c r="DC67" s="21">
        <f t="shared" ca="1" si="88"/>
        <v>3.2632546736132396E-3</v>
      </c>
      <c r="DD67" s="21">
        <f t="shared" ca="1" si="89"/>
        <v>6.4276228419654722E-3</v>
      </c>
      <c r="DE67" s="21">
        <f t="shared" ca="1" si="90"/>
        <v>1.2477150222638858E-2</v>
      </c>
      <c r="DF67" s="21">
        <f t="shared" ca="1" si="91"/>
        <v>2.3567950420540065E-2</v>
      </c>
      <c r="DG67" s="21">
        <f t="shared" ca="1" si="92"/>
        <v>4.2422310756972115E-2</v>
      </c>
      <c r="DH67" s="21">
        <f t="shared" ca="1" si="93"/>
        <v>7.0703851261620196E-2</v>
      </c>
      <c r="DI67" s="21">
        <f t="shared" ca="1" si="94"/>
        <v>0.10605577689243029</v>
      </c>
      <c r="DK67" s="16" cm="1">
        <f t="array" aca="1" ref="DK67" ca="1">MAX(_xlfn._xlws.FILTER(CV67:DI67,CV67:DI67&lt;BT67))</f>
        <v>2.3567950420540065E-2</v>
      </c>
      <c r="DL67" s="16" cm="1">
        <f t="array" aca="1" ref="DL67" ca="1">MIN(_xlfn._xlws.FILTER(CV67:DI67,CV67:DI67&gt;BT67))</f>
        <v>4.2422310756972115E-2</v>
      </c>
      <c r="DM67" s="2" cm="1">
        <f t="array" aca="1" ref="DM67" ca="1">_FV(EB67,"Fechamento anterior",TRUE)</f>
        <v>20.36</v>
      </c>
      <c r="DN67" s="28">
        <f t="shared" ca="1" si="15"/>
        <v>0.54746115746761581</v>
      </c>
      <c r="DO67" s="15">
        <f t="shared" ca="1" si="95"/>
        <v>20.839843470562194</v>
      </c>
      <c r="DP67" s="15">
        <f t="shared" ca="1" si="96"/>
        <v>21.223718247011952</v>
      </c>
      <c r="DQ67" s="9"/>
      <c r="DR67" s="9"/>
      <c r="DS67" s="9"/>
      <c r="DT67" s="89">
        <v>1.8854360336432049E-2</v>
      </c>
      <c r="DU67" s="89">
        <f t="shared" ca="1" si="18"/>
        <v>1.8854360336432049E-2</v>
      </c>
      <c r="DV67" s="72">
        <f t="shared" ca="1" si="19"/>
        <v>0.67842048817002443</v>
      </c>
      <c r="DW67" s="37"/>
      <c r="DX67" s="35">
        <f t="shared" si="39"/>
        <v>0.86598210143166376</v>
      </c>
      <c r="DY67" s="56"/>
      <c r="DZ67" s="56"/>
      <c r="EB67" s="2" t="e" vm="67">
        <v>#VALUE!</v>
      </c>
      <c r="ED67" s="10" cm="1">
        <f t="array" aca="1" ref="ED67" ca="1">_FV(EB67,"Ações em circulação",TRUE)</f>
        <v>1119000000</v>
      </c>
      <c r="EE67" s="18">
        <f>VLOOKUP(BO67,Fundamentus!A:U,5,FALSE)</f>
        <v>0.127</v>
      </c>
      <c r="EF67" s="2">
        <f t="shared" ca="1" si="20"/>
        <v>185472047244.09448</v>
      </c>
      <c r="EG67" s="17">
        <v>6454427244.0944872</v>
      </c>
      <c r="EH67" s="17">
        <f t="shared" ca="1" si="21"/>
        <v>6454427244.0944872</v>
      </c>
      <c r="EJ67" s="16">
        <f t="shared" ref="EJ67:EJ130" ca="1" si="97">(EH67/EG67)-1</f>
        <v>0</v>
      </c>
      <c r="EK67" s="32" t="str">
        <f>IF(VLOOKUP(BO67,Fundamentus!A:U,3,FALSE)&lt;15,"Bom",IF(VLOOKUP(BO67,Fundamentus!A:U,3,FALSE)&gt;15,"Ruim","n/a"))</f>
        <v>Bom</v>
      </c>
      <c r="EL67" s="28" t="str">
        <f>IF(VLOOKUP(BO67,Fundamentus!A:U,4,FALSE)&lt;1,"Baixo",IF(VLOOKUP(BO67,Fundamentus!A:U,4,FALSE)&lt;1.5,"Moderado",IF(VLOOKUP(BO67,Fundamentus!A:U,4,FALSE)&gt;1.5,"Alto","n/a")))</f>
        <v>Moderado</v>
      </c>
      <c r="EM67" s="17" t="str">
        <f>IF(VLOOKUP(BO67,Fundamentus!A:U,8,FALSE)&lt;0,"Risco elevado",IF(VLOOKUP(BO67,Fundamentus!A:U,8,FALSE)&lt;1,"Saudável",IF(VLOOKUP(BO67,Fundamentus!A:U,8,FALSE)&lt;3,"Estável",IF(VLOOKUP(BO67,Fundamentus!A:U,8,FALSE)&gt;3,"Alerta","n/a"))))</f>
        <v>Estável</v>
      </c>
      <c r="EN67" s="28" t="str">
        <f t="shared" si="23"/>
        <v>Ruim</v>
      </c>
      <c r="EO67" s="17" t="str">
        <f>IF(VLOOKUP(BO67,Fundamentus!A:U,12,FALSE)&lt;2,"Subvalorizada",IF(VLOOKUP(BO67,Fundamentus!A:U,12,FALSE)&lt;6,"Muita barata",IF(VLOOKUP(BO67,Fundamentus!A:U,12,FALSE)&lt;6,"Barata",IF(VLOOKUP(BO67,Fundamentus!A:U,12,FALSE)&lt;8,"Atrativa",IF(VLOOKUP(BO67,Fundamentus!A:U,12,FALSE)&gt;8,"Supervalorizada","n/a")))))</f>
        <v>Supervalorizada</v>
      </c>
      <c r="EQ67" s="17" t="str">
        <f>IF(VLOOKUP(BO67,Fundamentus!A:U,17,FALSE)&lt;0.1,"Fraco retorno",IF(VLOOKUP(BO67,Fundamentus!A:U,17,FALSE)&gt;0.1,"Bom retorno","n/a"))</f>
        <v>Bom retorno</v>
      </c>
      <c r="ER67" s="17" t="str">
        <f>IF(VLOOKUP(BO67,Fundamentus!A:U,16,FALSE)&lt;0.1,"Ineficiente",IF(VLOOKUP(BO67,Fundamentus!A:U,16,FALSE)&gt;0.1,"Eficiente","n/a"))</f>
        <v>Ineficiente</v>
      </c>
      <c r="ES67" s="33" t="str">
        <f>IF(VLOOKUP(BO67,Fundamentus!A:U,16,FALSE)&lt;0.1,"Oper. Ineficiente",IF(VLOOKUP(BO67,Fundamentus!A:U,16,FALSE)&gt;0.1,"Oper.Eficiente","n/a"))</f>
        <v>Oper. Ineficiente</v>
      </c>
      <c r="ET67" s="34">
        <f>VLOOKUP(BO67,Fundamentus!A:U,14,FALSE)</f>
        <v>3.4799999999999998E-2</v>
      </c>
      <c r="EU67" s="17" t="str">
        <f>IF(VLOOKUP(BO67,Fundamentus!A:U,21,FALSE)&lt;0,"Negativo",IF(VLOOKUP(BO67,Fundamentus!A:U,21,FALSE)&lt;0.05,"Fraco",IF(VLOOKUP(BO67,Fundamentus!A:U,21,FALSE)&lt;0.1,"Bom",IF(VLOOKUP(BO67,Fundamentus!A:U,21,FALSE)&gt;0.1,"Muito bom","n/a"))))</f>
        <v>Muito bom</v>
      </c>
      <c r="EW67" s="29" t="str">
        <f>IF(VLOOKUP(BO67,Fundamentus!A:U,15,FALSE)&gt;1,"Bom",IF(VLOOKUP(BO67,Fundamentus!A:U,15,FALSE)&lt;1,"Ruim","n/a"))</f>
        <v>Bom</v>
      </c>
      <c r="EX67" s="17" t="str">
        <f>IF(VLOOKUP(BO67,Fundamentus!A:U,20,FALSE)&lt;0.5,"Baixa",IF(VLOOKUP(BO67,Fundamentus!A:U,20,FALSE)&lt;1,"Moderada",IF(VLOOKUP(BO67,Fundamentus!A:U,20,FALSE)&lt;2,"Alerta",IF(VLOOKUP(BO67,Fundamentus!A:U,20,FALSE)&gt;2,"Alta","n/a"))))</f>
        <v>Alerta</v>
      </c>
      <c r="EY67" s="10"/>
    </row>
    <row r="68" spans="1:155" s="2" customFormat="1" ht="11.25"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5">
        <v>28.78</v>
      </c>
      <c r="BC68" s="52">
        <v>27.33</v>
      </c>
      <c r="BD68" s="52">
        <v>26.15</v>
      </c>
      <c r="BE68" s="52">
        <v>26.34</v>
      </c>
      <c r="BF68" s="52">
        <v>26.88</v>
      </c>
      <c r="BG68" s="67">
        <v>27.03</v>
      </c>
      <c r="BH68" s="52">
        <v>26.86</v>
      </c>
      <c r="BI68" s="52">
        <v>27.01</v>
      </c>
      <c r="BJ68" s="52">
        <v>27.74</v>
      </c>
      <c r="BK68" s="52">
        <v>23.91</v>
      </c>
      <c r="BL68" s="52">
        <v>23.75</v>
      </c>
      <c r="BM68" s="52">
        <v>22.85</v>
      </c>
      <c r="BN68" s="52" cm="1">
        <f t="array" aca="1" ref="BN68" ca="1">_FV(EB68,"Preço")</f>
        <v>22.85</v>
      </c>
      <c r="BO68" s="69" t="s">
        <v>65</v>
      </c>
      <c r="BP68" s="36" cm="1">
        <f t="array" aca="1" ref="BP68" ca="1">_FV(EB68,"Média de volume",TRUE)</f>
        <v>844950</v>
      </c>
      <c r="BQ68" s="36">
        <v>552900</v>
      </c>
      <c r="BR68" s="36" cm="1">
        <f t="array" aca="1" ref="BR68" ca="1">_FV(EB68,"Volume")</f>
        <v>552900</v>
      </c>
      <c r="BS68" s="24" cm="1">
        <f t="array" aca="1" ref="BS68" ca="1">_FV(EB68,"Beta")</f>
        <v>1.0073000000000001</v>
      </c>
      <c r="BT68" s="71" cm="1">
        <f t="array" aca="1" ref="BT68" ca="1">_FV(EB68,"Variação (%)",TRUE)</f>
        <v>-1.0823000000000001E-2</v>
      </c>
      <c r="BV68" s="17" cm="1">
        <f t="array" aca="1" ref="BV68" ca="1">_FV(EB68,"Baixo")</f>
        <v>22.8</v>
      </c>
      <c r="BW68" s="17" cm="1">
        <f t="array" aca="1" ref="BW68" ca="1">_FV(EB68,"Alto")</f>
        <v>23.36</v>
      </c>
      <c r="BX68" s="24"/>
      <c r="BY68" s="63">
        <f ca="1">SQRT(22.5*(BN68/VLOOKUP(BO68,Fundamentus!A:U,3,FALSE))*(BN68/VLOOKUP(BO68,Fundamentus!A:U,4,FALSE)))</f>
        <v>13.792561106591791</v>
      </c>
      <c r="CA68" s="62">
        <f t="shared" ca="1" si="24"/>
        <v>0</v>
      </c>
      <c r="CB68" s="8"/>
      <c r="CC68" s="61">
        <f t="shared" si="25"/>
        <v>17.03</v>
      </c>
      <c r="CD68" s="61">
        <f t="shared" si="26"/>
        <v>29.24</v>
      </c>
      <c r="CE68" s="61">
        <f t="shared" si="27"/>
        <v>22.294461538461537</v>
      </c>
      <c r="CF68" s="14"/>
      <c r="CG68" s="35">
        <f t="shared" si="1"/>
        <v>17.097996539793545</v>
      </c>
      <c r="CH68" s="15">
        <f t="shared" si="28"/>
        <v>20.854999999999563</v>
      </c>
      <c r="CI68" s="35">
        <f t="shared" si="2"/>
        <v>24.612003460205582</v>
      </c>
      <c r="CK68" s="14"/>
      <c r="CL68" s="17">
        <f t="shared" si="3"/>
        <v>5.230000000000004</v>
      </c>
      <c r="CM68" s="17">
        <f t="shared" si="4"/>
        <v>11.130000000000003</v>
      </c>
      <c r="CN68" s="17">
        <f t="shared" si="5"/>
        <v>17.440000000000001</v>
      </c>
      <c r="CO68" s="38">
        <f t="shared" si="29"/>
        <v>23.34</v>
      </c>
      <c r="CP68" s="17">
        <f t="shared" si="6"/>
        <v>29.65</v>
      </c>
      <c r="CQ68" s="17">
        <f t="shared" si="7"/>
        <v>35.549999999999997</v>
      </c>
      <c r="CR68" s="17">
        <f t="shared" si="8"/>
        <v>41.86</v>
      </c>
      <c r="CS68" s="2" cm="1">
        <f t="array" aca="1" ref="CS68" ca="1">MAX(_xlfn._xlws.FILTER(CL68:CR68,CL68:CR68&lt;BN68))</f>
        <v>17.440000000000001</v>
      </c>
      <c r="CT68" s="2" cm="1">
        <f t="array" aca="1" ref="CT68" ca="1">MIN(_xlfn._xlws.FILTER($CL68:$CR68,$CL68:$CR68&gt;BN68))</f>
        <v>23.34</v>
      </c>
      <c r="CU68" s="16">
        <f t="shared" ca="1" si="80"/>
        <v>0.33830275229357798</v>
      </c>
      <c r="CV68" s="20">
        <f t="shared" ca="1" si="81"/>
        <v>-0.16915137614678899</v>
      </c>
      <c r="CW68" s="20">
        <f t="shared" ca="1" si="82"/>
        <v>-0.11276758409785932</v>
      </c>
      <c r="CX68" s="20">
        <f t="shared" ca="1" si="83"/>
        <v>-6.7660550458715593E-2</v>
      </c>
      <c r="CY68" s="20">
        <f t="shared" ca="1" si="84"/>
        <v>-3.7589194699286441E-2</v>
      </c>
      <c r="CZ68" s="20">
        <f t="shared" ca="1" si="85"/>
        <v>-1.9900161899622234E-2</v>
      </c>
      <c r="DA68" s="20">
        <f t="shared" ca="1" si="86"/>
        <v>-1.0251598554350847E-2</v>
      </c>
      <c r="DB68" s="20">
        <f t="shared" ca="1" si="87"/>
        <v>-5.2046577275935077E-3</v>
      </c>
      <c r="DC68" s="21">
        <f t="shared" ca="1" si="88"/>
        <v>5.2046577275935077E-3</v>
      </c>
      <c r="DD68" s="21">
        <f t="shared" ca="1" si="89"/>
        <v>1.0251598554350847E-2</v>
      </c>
      <c r="DE68" s="21">
        <f t="shared" ca="1" si="90"/>
        <v>1.9900161899622234E-2</v>
      </c>
      <c r="DF68" s="21">
        <f t="shared" ca="1" si="91"/>
        <v>3.7589194699286441E-2</v>
      </c>
      <c r="DG68" s="21">
        <f t="shared" ca="1" si="92"/>
        <v>6.7660550458715593E-2</v>
      </c>
      <c r="DH68" s="21">
        <f t="shared" ca="1" si="93"/>
        <v>0.11276758409785932</v>
      </c>
      <c r="DI68" s="21">
        <f t="shared" ca="1" si="94"/>
        <v>0.16915137614678899</v>
      </c>
      <c r="DK68" s="16" cm="1">
        <f t="array" aca="1" ref="DK68" ca="1">MAX(_xlfn._xlws.FILTER(CV68:DI68,CV68:DI68&lt;BT68))</f>
        <v>-1.9900161899622234E-2</v>
      </c>
      <c r="DL68" s="16" cm="1">
        <f t="array" aca="1" ref="DL68" ca="1">MIN(_xlfn._xlws.FILTER(CV68:DI68,CV68:DI68&gt;BT68))</f>
        <v>-1.0251598554350847E-2</v>
      </c>
      <c r="DM68" s="2" cm="1">
        <f t="array" aca="1" ref="DM68" ca="1">_FV(EB68,"Fechamento anterior",TRUE)</f>
        <v>23.1</v>
      </c>
      <c r="DN68" s="28">
        <f t="shared" ca="1" si="15"/>
        <v>0.9408292978208237</v>
      </c>
      <c r="DO68" s="15">
        <f t="shared" ca="1" si="95"/>
        <v>22.640306260118727</v>
      </c>
      <c r="DP68" s="15">
        <f t="shared" ca="1" si="96"/>
        <v>22.863188073394497</v>
      </c>
      <c r="DQ68" s="9"/>
      <c r="DR68" s="9"/>
      <c r="DS68" s="9"/>
      <c r="DT68" s="89">
        <v>9.6485633452713868E-3</v>
      </c>
      <c r="DU68" s="89">
        <f t="shared" ca="1" si="18"/>
        <v>9.6485633452713868E-3</v>
      </c>
      <c r="DV68" s="72">
        <f t="shared" ca="1" si="19"/>
        <v>0.531008294544142</v>
      </c>
      <c r="DW68" s="37"/>
      <c r="DX68" s="35">
        <f t="shared" si="39"/>
        <v>1.8785017301030085</v>
      </c>
      <c r="DY68" s="56"/>
      <c r="DZ68" s="56"/>
      <c r="EB68" s="2" t="e" vm="68">
        <v>#VALUE!</v>
      </c>
      <c r="ED68" s="10" cm="1">
        <f t="array" aca="1" ref="ED68" ca="1">_FV(EB68,"Ações em circulação",TRUE)</f>
        <v>280335100</v>
      </c>
      <c r="EE68" s="18">
        <f>VLOOKUP(BO68,Fundamentus!A:U,5,FALSE)</f>
        <v>1.4750000000000001</v>
      </c>
      <c r="EF68" s="2">
        <f t="shared" ca="1" si="20"/>
        <v>4342818328.8135595</v>
      </c>
      <c r="EG68" s="17">
        <v>327014220.15966105</v>
      </c>
      <c r="EH68" s="17">
        <f t="shared" ca="1" si="21"/>
        <v>327014220.15966105</v>
      </c>
      <c r="EJ68" s="16">
        <f t="shared" ca="1" si="97"/>
        <v>0</v>
      </c>
      <c r="EK68" s="32" t="str">
        <f>IF(VLOOKUP(BO68,Fundamentus!A:U,3,FALSE)&lt;15,"Bom",IF(VLOOKUP(BO68,Fundamentus!A:U,3,FALSE)&gt;15,"Ruim","n/a"))</f>
        <v>Ruim</v>
      </c>
      <c r="EL68" s="28" t="str">
        <f>IF(VLOOKUP(BO68,Fundamentus!A:U,4,FALSE)&lt;1,"Baixo",IF(VLOOKUP(BO68,Fundamentus!A:U,4,FALSE)&lt;1.5,"Moderado",IF(VLOOKUP(BO68,Fundamentus!A:U,4,FALSE)&gt;1.5,"Alto","n/a")))</f>
        <v>Alto</v>
      </c>
      <c r="EM68" s="17" t="str">
        <f>IF(VLOOKUP(BO68,Fundamentus!A:U,8,FALSE)&lt;0,"Risco elevado",IF(VLOOKUP(BO68,Fundamentus!A:U,8,FALSE)&lt;1,"Saudável",IF(VLOOKUP(BO68,Fundamentus!A:U,8,FALSE)&lt;3,"Estável",IF(VLOOKUP(BO68,Fundamentus!A:U,8,FALSE)&gt;3,"Alerta","n/a"))))</f>
        <v>Alerta</v>
      </c>
      <c r="EN68" s="28" t="str">
        <f t="shared" si="23"/>
        <v>Bom</v>
      </c>
      <c r="EO68" s="17" t="str">
        <f>IF(VLOOKUP(BO68,Fundamentus!A:U,12,FALSE)&lt;2,"Subvalorizada",IF(VLOOKUP(BO68,Fundamentus!A:U,12,FALSE)&lt;6,"Muita barata",IF(VLOOKUP(BO68,Fundamentus!A:U,12,FALSE)&lt;6,"Barata",IF(VLOOKUP(BO68,Fundamentus!A:U,12,FALSE)&lt;8,"Atrativa",IF(VLOOKUP(BO68,Fundamentus!A:U,12,FALSE)&gt;8,"Supervalorizada","n/a")))))</f>
        <v>Supervalorizada</v>
      </c>
      <c r="EQ68" s="17" t="str">
        <f>IF(VLOOKUP(BO68,Fundamentus!A:U,17,FALSE)&lt;0.1,"Fraco retorno",IF(VLOOKUP(BO68,Fundamentus!A:U,17,FALSE)&gt;0.1,"Bom retorno","n/a"))</f>
        <v>Bom retorno</v>
      </c>
      <c r="ER68" s="17" t="str">
        <f>IF(VLOOKUP(BO68,Fundamentus!A:U,16,FALSE)&lt;0.1,"Ineficiente",IF(VLOOKUP(BO68,Fundamentus!A:U,16,FALSE)&gt;0.1,"Eficiente","n/a"))</f>
        <v>Eficiente</v>
      </c>
      <c r="ES68" s="33" t="str">
        <f>IF(VLOOKUP(BO68,Fundamentus!A:U,16,FALSE)&lt;0.1,"Oper. Ineficiente",IF(VLOOKUP(BO68,Fundamentus!A:U,16,FALSE)&gt;0.1,"Oper.Eficiente","n/a"))</f>
        <v>Oper.Eficiente</v>
      </c>
      <c r="ET68" s="34">
        <f>VLOOKUP(BO68,Fundamentus!A:U,14,FALSE)</f>
        <v>7.5300000000000006E-2</v>
      </c>
      <c r="EU68" s="17" t="str">
        <f>IF(VLOOKUP(BO68,Fundamentus!A:U,21,FALSE)&lt;0,"Negativo",IF(VLOOKUP(BO68,Fundamentus!A:U,21,FALSE)&lt;0.05,"Fraco",IF(VLOOKUP(BO68,Fundamentus!A:U,21,FALSE)&lt;0.1,"Bom",IF(VLOOKUP(BO68,Fundamentus!A:U,21,FALSE)&gt;0.1,"Muito bom","n/a"))))</f>
        <v>Muito bom</v>
      </c>
      <c r="EW68" s="29" t="str">
        <f>IF(VLOOKUP(BO68,Fundamentus!A:U,15,FALSE)&gt;1,"Bom",IF(VLOOKUP(BO68,Fundamentus!A:U,15,FALSE)&lt;1,"Ruim","n/a"))</f>
        <v>Bom</v>
      </c>
      <c r="EX68" s="17" t="str">
        <f>IF(VLOOKUP(BO68,Fundamentus!A:U,20,FALSE)&lt;0.5,"Baixa",IF(VLOOKUP(BO68,Fundamentus!A:U,20,FALSE)&lt;1,"Moderada",IF(VLOOKUP(BO68,Fundamentus!A:U,20,FALSE)&lt;2,"Alerta",IF(VLOOKUP(BO68,Fundamentus!A:U,20,FALSE)&gt;2,"Alta","n/a"))))</f>
        <v>Alerta</v>
      </c>
    </row>
    <row r="69" spans="1:155" s="2" customFormat="1" ht="11.25"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5">
        <v>9.84</v>
      </c>
      <c r="BC69" s="52">
        <v>9.9</v>
      </c>
      <c r="BD69" s="52">
        <v>9.99</v>
      </c>
      <c r="BE69" s="52">
        <v>10.14</v>
      </c>
      <c r="BF69" s="52">
        <v>9.61</v>
      </c>
      <c r="BG69" s="67">
        <v>9.6300000000000008</v>
      </c>
      <c r="BH69" s="52">
        <v>9.6199999999999992</v>
      </c>
      <c r="BI69" s="52">
        <v>9.83</v>
      </c>
      <c r="BJ69" s="52">
        <v>9.86</v>
      </c>
      <c r="BK69" s="52">
        <v>9.6199999999999992</v>
      </c>
      <c r="BL69" s="52">
        <v>9.5500000000000007</v>
      </c>
      <c r="BM69" s="52">
        <v>9.49</v>
      </c>
      <c r="BN69" s="52" cm="1">
        <f t="array" aca="1" ref="BN69" ca="1">_FV(EB69,"Preço")</f>
        <v>9.49</v>
      </c>
      <c r="BO69" s="69" t="s">
        <v>66</v>
      </c>
      <c r="BP69" s="36" cm="1">
        <f t="array" aca="1" ref="BP69" ca="1">_FV(EB69,"Média de volume",TRUE)</f>
        <v>646550</v>
      </c>
      <c r="BQ69" s="36">
        <v>11900</v>
      </c>
      <c r="BR69" s="36" cm="1">
        <f t="array" aca="1" ref="BR69" ca="1">_FV(EB69,"Volume")</f>
        <v>11900</v>
      </c>
      <c r="BS69" s="24" cm="1">
        <f t="array" aca="1" ref="BS69" ca="1">_FV(EB69,"Beta")</f>
        <v>0.62960000000000005</v>
      </c>
      <c r="BT69" s="71" cm="1">
        <f t="array" aca="1" ref="BT69" ca="1">_FV(EB69,"Variação (%)",TRUE)</f>
        <v>1.1727000000000001E-2</v>
      </c>
      <c r="BV69" s="17" cm="1">
        <f t="array" aca="1" ref="BV69" ca="1">_FV(EB69,"Baixo")</f>
        <v>9.35</v>
      </c>
      <c r="BW69" s="17" cm="1">
        <f t="array" aca="1" ref="BW69" ca="1">_FV(EB69,"Alto")</f>
        <v>9.49</v>
      </c>
      <c r="BX69" s="24"/>
      <c r="BY69" s="63">
        <f ca="1">SQRT(22.5*(BN69/VLOOKUP(BO69,Fundamentus!A:U,3,FALSE))*(BN69/VLOOKUP(BO69,Fundamentus!A:U,4,FALSE)))</f>
        <v>14.803809280580268</v>
      </c>
      <c r="CA69" s="62">
        <f t="shared" ca="1" si="24"/>
        <v>0</v>
      </c>
      <c r="CB69" s="8"/>
      <c r="CC69" s="61">
        <f t="shared" si="25"/>
        <v>8.69</v>
      </c>
      <c r="CD69" s="61">
        <f t="shared" si="26"/>
        <v>10.49</v>
      </c>
      <c r="CE69" s="61">
        <f t="shared" si="27"/>
        <v>9.6798461538461549</v>
      </c>
      <c r="CF69" s="14"/>
      <c r="CG69" s="35">
        <f t="shared" si="1"/>
        <v>9.0539306135489337</v>
      </c>
      <c r="CH69" s="15">
        <f t="shared" si="28"/>
        <v>9.3350000000000364</v>
      </c>
      <c r="CI69" s="35">
        <f t="shared" si="2"/>
        <v>9.6160693864511391</v>
      </c>
      <c r="CK69" s="14"/>
      <c r="CL69" s="17">
        <f t="shared" si="3"/>
        <v>6.8633333333333315</v>
      </c>
      <c r="CM69" s="17">
        <f t="shared" si="4"/>
        <v>7.7766666666666655</v>
      </c>
      <c r="CN69" s="17">
        <f t="shared" si="5"/>
        <v>8.6633333333333322</v>
      </c>
      <c r="CO69" s="38">
        <f t="shared" si="29"/>
        <v>9.5766666666666662</v>
      </c>
      <c r="CP69" s="17">
        <f t="shared" si="6"/>
        <v>10.463333333333333</v>
      </c>
      <c r="CQ69" s="17">
        <f t="shared" si="7"/>
        <v>11.376666666666667</v>
      </c>
      <c r="CR69" s="17">
        <f t="shared" si="8"/>
        <v>12.263333333333334</v>
      </c>
      <c r="CS69" s="2" cm="1">
        <f t="array" aca="1" ref="CS69" ca="1">MAX(_xlfn._xlws.FILTER(CL69:CR69,CL69:CR69&lt;BN69))</f>
        <v>8.6633333333333322</v>
      </c>
      <c r="CT69" s="2" cm="1">
        <f t="array" aca="1" ref="CT69" ca="1">MIN(_xlfn._xlws.FILTER($CL69:$CR69,$CL69:$CR69&gt;BN69))</f>
        <v>9.5766666666666662</v>
      </c>
      <c r="CU69" s="16">
        <f t="shared" ca="1" si="80"/>
        <v>0.10542516352443254</v>
      </c>
      <c r="CV69" s="20">
        <f t="shared" ca="1" si="81"/>
        <v>-5.2712581762216271E-2</v>
      </c>
      <c r="CW69" s="20">
        <f t="shared" ca="1" si="82"/>
        <v>-3.5141721174810847E-2</v>
      </c>
      <c r="CX69" s="20">
        <f t="shared" ca="1" si="83"/>
        <v>-2.1085032704886507E-2</v>
      </c>
      <c r="CY69" s="20">
        <f t="shared" ca="1" si="84"/>
        <v>-1.1713907058270282E-2</v>
      </c>
      <c r="CZ69" s="20">
        <f t="shared" ca="1" si="85"/>
        <v>-6.2014802073195614E-3</v>
      </c>
      <c r="DA69" s="20">
        <f t="shared" ca="1" si="86"/>
        <v>-3.1947019249828042E-3</v>
      </c>
      <c r="DB69" s="20">
        <f t="shared" ca="1" si="87"/>
        <v>-1.6219255926835775E-3</v>
      </c>
      <c r="DC69" s="21">
        <f t="shared" ca="1" si="88"/>
        <v>1.6219255926835775E-3</v>
      </c>
      <c r="DD69" s="21">
        <f t="shared" ca="1" si="89"/>
        <v>3.1947019249828042E-3</v>
      </c>
      <c r="DE69" s="21">
        <f t="shared" ca="1" si="90"/>
        <v>6.2014802073195614E-3</v>
      </c>
      <c r="DF69" s="21">
        <f t="shared" ca="1" si="91"/>
        <v>1.1713907058270282E-2</v>
      </c>
      <c r="DG69" s="21">
        <f t="shared" ca="1" si="92"/>
        <v>2.1085032704886507E-2</v>
      </c>
      <c r="DH69" s="21">
        <f t="shared" ca="1" si="93"/>
        <v>3.5141721174810847E-2</v>
      </c>
      <c r="DI69" s="21">
        <f t="shared" ca="1" si="94"/>
        <v>5.2712581762216271E-2</v>
      </c>
      <c r="DK69" s="16" cm="1">
        <f t="array" aca="1" ref="DK69" ca="1">MAX(_xlfn._xlws.FILTER(CV69:DI69,CV69:DI69&lt;BT69))</f>
        <v>1.1713907058270282E-2</v>
      </c>
      <c r="DL69" s="16" cm="1">
        <f t="array" aca="1" ref="DL69" ca="1">MIN(_xlfn._xlws.FILTER(CV69:DI69,CV69:DI69&gt;BT69))</f>
        <v>2.1085032704886507E-2</v>
      </c>
      <c r="DM69" s="2" cm="1">
        <f t="array" aca="1" ref="DM69" ca="1">_FV(EB69,"Fechamento anterior",TRUE)</f>
        <v>9.3800000000000008</v>
      </c>
      <c r="DN69" s="28">
        <f t="shared" ca="1" si="15"/>
        <v>1.4055763933075855E-3</v>
      </c>
      <c r="DO69" s="15">
        <f t="shared" ca="1" si="95"/>
        <v>9.4898764482065765</v>
      </c>
      <c r="DP69" s="15">
        <f t="shared" ca="1" si="96"/>
        <v>9.5777776067718357</v>
      </c>
      <c r="DQ69" s="9"/>
      <c r="DR69" s="9"/>
      <c r="DS69" s="9"/>
      <c r="DT69" s="89">
        <v>9.3711256466162251E-3</v>
      </c>
      <c r="DU69" s="89">
        <f t="shared" ca="1" si="18"/>
        <v>9.3711256466162251E-3</v>
      </c>
      <c r="DV69" s="72">
        <f t="shared" ca="1" si="19"/>
        <v>0.55146525189760931</v>
      </c>
      <c r="DW69" s="37"/>
      <c r="DX69" s="35">
        <f t="shared" si="39"/>
        <v>0.14053469322555159</v>
      </c>
      <c r="DY69" s="56"/>
      <c r="DZ69" s="56"/>
      <c r="EB69" s="2" t="e" vm="69">
        <v>#VALUE!</v>
      </c>
      <c r="ED69" s="10" cm="1">
        <f t="array" aca="1" ref="ED69" ca="1">_FV(EB69,"Ações em circulação",TRUE)</f>
        <v>329626900</v>
      </c>
      <c r="EE69" s="18">
        <f>VLOOKUP(BO69,Fundamentus!A:U,5,FALSE)</f>
        <v>2.226</v>
      </c>
      <c r="EF69" s="2">
        <f t="shared" ca="1" si="20"/>
        <v>1405282695.8670261</v>
      </c>
      <c r="EG69" s="17">
        <v>645446342.21172512</v>
      </c>
      <c r="EH69" s="17">
        <f t="shared" ca="1" si="21"/>
        <v>645446342.21172512</v>
      </c>
      <c r="EJ69" s="16">
        <f t="shared" ca="1" si="97"/>
        <v>0</v>
      </c>
      <c r="EK69" s="39" t="str">
        <f>IF(VLOOKUP(BO69,Fundamentus!A:U,3,FALSE)&lt;15,"Bom",IF(VLOOKUP(BO69,Fundamentus!A:U,3,FALSE)&gt;15,"Ruim","n/a"))</f>
        <v>Bom</v>
      </c>
      <c r="EL69" s="40" t="str">
        <f>IF(VLOOKUP(BO69,Fundamentus!A:U,4,FALSE)&lt;1,"Baixo",IF(VLOOKUP(BO69,Fundamentus!A:U,4,FALSE)&lt;1.5,"Moderado",IF(VLOOKUP(BO69,Fundamentus!A:U,4,FALSE)&gt;1.5,"Alto","n/a")))</f>
        <v>Moderado</v>
      </c>
      <c r="EM69" s="41" t="str">
        <f>IF(VLOOKUP(BO69,Fundamentus!A:U,8,FALSE)&lt;0,"Risco elevado",IF(VLOOKUP(BO69,Fundamentus!A:U,8,FALSE)&lt;1,"Saudável",IF(VLOOKUP(BO69,Fundamentus!A:U,8,FALSE)&lt;3,"Estável",IF(VLOOKUP(BO69,Fundamentus!A:U,8,FALSE)&gt;3,"Alerta","n/a"))))</f>
        <v>Estável</v>
      </c>
      <c r="EN69" s="40" t="str">
        <f t="shared" si="23"/>
        <v>Bom</v>
      </c>
      <c r="EO69" s="41" t="str">
        <f>IF(VLOOKUP(BO69,Fundamentus!A:U,12,FALSE)&lt;2,"Subvalorizada",IF(VLOOKUP(BO69,Fundamentus!A:U,12,FALSE)&lt;6,"Muita barata",IF(VLOOKUP(BO69,Fundamentus!A:U,12,FALSE)&lt;6,"Barata",IF(VLOOKUP(BO69,Fundamentus!A:U,12,FALSE)&lt;8,"Atrativa",IF(VLOOKUP(BO69,Fundamentus!A:U,12,FALSE)&gt;8,"Supervalorizada","n/a")))))</f>
        <v>Atrativa</v>
      </c>
      <c r="EQ69" s="41" t="str">
        <f>IF(VLOOKUP(BO69,Fundamentus!A:U,17,FALSE)&lt;0.1,"Fraco retorno",IF(VLOOKUP(BO69,Fundamentus!A:U,17,FALSE)&gt;0.1,"Bom retorno","n/a"))</f>
        <v>Bom retorno</v>
      </c>
      <c r="ER69" s="41" t="str">
        <f>IF(VLOOKUP(BO69,Fundamentus!A:U,16,FALSE)&lt;0.1,"Ineficiente",IF(VLOOKUP(BO69,Fundamentus!A:U,16,FALSE)&gt;0.1,"Eficiente","n/a"))</f>
        <v>Eficiente</v>
      </c>
      <c r="ES69" s="42" t="str">
        <f>IF(VLOOKUP(BO69,Fundamentus!A:U,16,FALSE)&lt;0.1,"Oper. Ineficiente",IF(VLOOKUP(BO69,Fundamentus!A:U,16,FALSE)&gt;0.1,"Oper.Eficiente","n/a"))</f>
        <v>Oper.Eficiente</v>
      </c>
      <c r="ET69" s="43">
        <f>VLOOKUP(BO69,Fundamentus!A:U,14,FALSE)</f>
        <v>0.45929999999999999</v>
      </c>
      <c r="EU69" s="41" t="str">
        <f>IF(VLOOKUP(BO69,Fundamentus!A:U,21,FALSE)&lt;0,"Negativo",IF(VLOOKUP(BO69,Fundamentus!A:U,21,FALSE)&lt;0.05,"Fraco",IF(VLOOKUP(BO69,Fundamentus!A:U,21,FALSE)&lt;0.1,"Bom",IF(VLOOKUP(BO69,Fundamentus!A:U,21,FALSE)&gt;0.1,"Muito bom","n/a"))))</f>
        <v>Negativo</v>
      </c>
      <c r="EW69" s="44" t="str">
        <f>IF(VLOOKUP(BO69,Fundamentus!A:U,15,FALSE)&gt;1,"Bom",IF(VLOOKUP(BO69,Fundamentus!A:U,15,FALSE)&lt;1,"Ruim","n/a"))</f>
        <v>Bom</v>
      </c>
      <c r="EX69" s="41" t="str">
        <f>IF(VLOOKUP(BO69,Fundamentus!A:U,20,FALSE)&lt;0.5,"Baixa",IF(VLOOKUP(BO69,Fundamentus!A:U,20,FALSE)&lt;1,"Moderada",IF(VLOOKUP(BO69,Fundamentus!A:U,20,FALSE)&lt;2,"Alerta",IF(VLOOKUP(BO69,Fundamentus!A:U,20,FALSE)&gt;2,"Alta","n/a"))))</f>
        <v>Alerta</v>
      </c>
    </row>
    <row r="70" spans="1:155" s="2" customFormat="1" ht="11.25"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5">
        <v>7</v>
      </c>
      <c r="BC70" s="52">
        <v>7.13</v>
      </c>
      <c r="BD70" s="52">
        <v>7.17</v>
      </c>
      <c r="BE70" s="52">
        <v>7.79</v>
      </c>
      <c r="BF70" s="52">
        <v>7.8</v>
      </c>
      <c r="BG70" s="67">
        <v>7.64</v>
      </c>
      <c r="BH70" s="52">
        <v>7.78</v>
      </c>
      <c r="BI70" s="52">
        <v>7.2</v>
      </c>
      <c r="BJ70" s="52">
        <v>6.96</v>
      </c>
      <c r="BK70" s="52">
        <v>6.7</v>
      </c>
      <c r="BL70" s="52">
        <v>6.3</v>
      </c>
      <c r="BM70" s="52">
        <v>6.2</v>
      </c>
      <c r="BN70" s="52" cm="1">
        <f t="array" aca="1" ref="BN70" ca="1">_FV(EB70,"Preço")</f>
        <v>6.2</v>
      </c>
      <c r="BO70" s="69" t="s">
        <v>117</v>
      </c>
      <c r="BP70" s="36" cm="1">
        <f t="array" aca="1" ref="BP70" ca="1">_FV(EB70,"Média de volume",TRUE)</f>
        <v>403580</v>
      </c>
      <c r="BQ70" s="36">
        <v>159200</v>
      </c>
      <c r="BR70" s="36" cm="1">
        <f t="array" aca="1" ref="BR70" ca="1">_FV(EB70,"Volume")</f>
        <v>159200</v>
      </c>
      <c r="BS70" s="24" cm="1">
        <f t="array" aca="1" ref="BS70" ca="1">_FV(EB70,"Beta")</f>
        <v>1.5432999999999999</v>
      </c>
      <c r="BT70" s="71" cm="1">
        <f t="array" aca="1" ref="BT70" ca="1">_FV(EB70,"Variação (%)",TRUE)</f>
        <v>-1.6100000000000001E-3</v>
      </c>
      <c r="BV70" s="17" cm="1">
        <f t="array" aca="1" ref="BV70" ca="1">_FV(EB70,"Baixo")</f>
        <v>6.17</v>
      </c>
      <c r="BW70" s="17" cm="1">
        <f t="array" aca="1" ref="BW70" ca="1">_FV(EB70,"Alto")</f>
        <v>6.28</v>
      </c>
      <c r="BX70" s="24"/>
      <c r="BY70" s="60">
        <f ca="1">SQRT(22.5*(BN70/VLOOKUP(BO70,Fundamentus!A:U,3,FALSE))*(BN70/VLOOKUP(BO70,Fundamentus!A:U,4,FALSE)))</f>
        <v>13.121778834814105</v>
      </c>
      <c r="CA70" s="62">
        <f t="shared" ca="1" si="24"/>
        <v>0</v>
      </c>
      <c r="CB70" s="8"/>
      <c r="CC70" s="61">
        <f t="shared" si="25"/>
        <v>4.22</v>
      </c>
      <c r="CD70" s="61">
        <f t="shared" si="26"/>
        <v>7.8</v>
      </c>
      <c r="CE70" s="61">
        <f t="shared" si="27"/>
        <v>5.5704615384615375</v>
      </c>
      <c r="CF70" s="14"/>
      <c r="CG70" s="35">
        <f t="shared" ref="CG70:CG133" si="98">CH70-DX70*2</f>
        <v>5.2574642867555763</v>
      </c>
      <c r="CH70" s="15">
        <f t="shared" si="28"/>
        <v>5.8700000000001182</v>
      </c>
      <c r="CI70" s="35">
        <f t="shared" ref="CI70:CI133" si="99">CH70+DX70*2</f>
        <v>6.4825357132446602</v>
      </c>
      <c r="CK70" s="14"/>
      <c r="CL70" s="17">
        <f t="shared" ref="CL70:CL133" si="100">CC70-2*(CD70-CO70)</f>
        <v>0.83333333333333304</v>
      </c>
      <c r="CM70" s="17">
        <f t="shared" ref="CM70:CM133" si="101">CO70-(CD70-CC70)</f>
        <v>2.5266666666666664</v>
      </c>
      <c r="CN70" s="17">
        <f t="shared" ref="CN70:CN133" si="102">2*CO70-CD70</f>
        <v>4.4133333333333331</v>
      </c>
      <c r="CO70" s="38">
        <f t="shared" si="29"/>
        <v>6.1066666666666665</v>
      </c>
      <c r="CP70" s="17">
        <f t="shared" ref="CP70:CP133" si="103">2*CO70-CC70</f>
        <v>7.9933333333333332</v>
      </c>
      <c r="CQ70" s="17">
        <f t="shared" ref="CQ70:CQ133" si="104">CO70+(CD70-CC70)</f>
        <v>9.6866666666666674</v>
      </c>
      <c r="CR70" s="17">
        <f t="shared" ref="CR70:CR133" si="105">CD70+2*(CO70-CC70)</f>
        <v>11.573333333333334</v>
      </c>
      <c r="CS70" s="2" cm="1">
        <f t="array" aca="1" ref="CS70" ca="1">MAX(_xlfn._xlws.FILTER(CL70:CR70,CL70:CR70&lt;BN70))</f>
        <v>6.1066666666666665</v>
      </c>
      <c r="CT70" s="2" cm="1">
        <f t="array" aca="1" ref="CT70" ca="1">MIN(_xlfn._xlws.FILTER($CL70:$CR70,$CL70:$CR70&gt;BN70))</f>
        <v>7.9933333333333332</v>
      </c>
      <c r="CU70" s="16">
        <f t="shared" ca="1" si="80"/>
        <v>0.30895196506550215</v>
      </c>
      <c r="CV70" s="20">
        <f t="shared" ca="1" si="81"/>
        <v>-0.15447598253275108</v>
      </c>
      <c r="CW70" s="20">
        <f t="shared" ca="1" si="82"/>
        <v>-0.10298398835516738</v>
      </c>
      <c r="CX70" s="20">
        <f t="shared" ca="1" si="83"/>
        <v>-6.1790393013100429E-2</v>
      </c>
      <c r="CY70" s="20">
        <f t="shared" ca="1" si="84"/>
        <v>-3.4327996118389131E-2</v>
      </c>
      <c r="CZ70" s="20">
        <f t="shared" ca="1" si="85"/>
        <v>-1.8173645003853069E-2</v>
      </c>
      <c r="DA70" s="20">
        <f t="shared" ca="1" si="86"/>
        <v>-9.3621807595606708E-3</v>
      </c>
      <c r="DB70" s="20">
        <f t="shared" ca="1" si="87"/>
        <v>-4.7531071548538792E-3</v>
      </c>
      <c r="DC70" s="21">
        <f t="shared" ca="1" si="88"/>
        <v>4.7531071548538792E-3</v>
      </c>
      <c r="DD70" s="21">
        <f t="shared" ca="1" si="89"/>
        <v>9.3621807595606708E-3</v>
      </c>
      <c r="DE70" s="21">
        <f t="shared" ca="1" si="90"/>
        <v>1.8173645003853069E-2</v>
      </c>
      <c r="DF70" s="21">
        <f t="shared" ca="1" si="91"/>
        <v>3.4327996118389131E-2</v>
      </c>
      <c r="DG70" s="21">
        <f t="shared" ca="1" si="92"/>
        <v>6.1790393013100429E-2</v>
      </c>
      <c r="DH70" s="21">
        <f t="shared" ca="1" si="93"/>
        <v>0.10298398835516738</v>
      </c>
      <c r="DI70" s="21">
        <f t="shared" ca="1" si="94"/>
        <v>0.15447598253275108</v>
      </c>
      <c r="DK70" s="23" cm="1">
        <f t="array" aca="1" ref="DK70" ca="1">MAX(_xlfn._xlws.FILTER(CV70:DI70,CV70:DI70&lt;BT70))</f>
        <v>-4.7531071548538792E-3</v>
      </c>
      <c r="DL70" s="23" cm="1">
        <f t="array" aca="1" ref="DL70" ca="1">MIN(_xlfn._xlws.FILTER(CV70:DI70,CV70:DI70&gt;BT70))</f>
        <v>4.7531071548538792E-3</v>
      </c>
      <c r="DM70" s="2" cm="1">
        <f t="array" aca="1" ref="DM70" ca="1">_FV(EB70,"Fechamento anterior",TRUE)</f>
        <v>6.21</v>
      </c>
      <c r="DN70" s="28">
        <f t="shared" ref="DN70:DN133" ca="1" si="106">(BN70-DO70)/(DP70-DO70)</f>
        <v>0.3306049174078084</v>
      </c>
      <c r="DO70" s="15">
        <f t="shared" ca="1" si="95"/>
        <v>6.1804832045683575</v>
      </c>
      <c r="DP70" s="15">
        <f t="shared" ca="1" si="96"/>
        <v>6.2395167954316424</v>
      </c>
      <c r="DQ70" s="9"/>
      <c r="DR70" s="9"/>
      <c r="DS70" s="9"/>
      <c r="DT70" s="89">
        <v>9.5062143097077584E-3</v>
      </c>
      <c r="DU70" s="89">
        <f t="shared" ref="DU70:DU133" ca="1" si="107">DL70-DK70</f>
        <v>9.5062143097077584E-3</v>
      </c>
      <c r="DV70" s="72">
        <f t="shared" ref="DV70:DV133" ca="1" si="108">(BN70-CH70)/(CH70-CG70)</f>
        <v>0.53874409746968732</v>
      </c>
      <c r="DW70" s="37"/>
      <c r="DX70" s="35">
        <f t="shared" si="39"/>
        <v>0.30626785662227107</v>
      </c>
      <c r="DY70" s="56"/>
      <c r="DZ70" s="56"/>
      <c r="EB70" s="2" t="e" vm="70">
        <v>#VALUE!</v>
      </c>
      <c r="ED70" s="10" cm="1">
        <f t="array" aca="1" ref="ED70" ca="1">_FV(EB70,"Ações em circulação",TRUE)</f>
        <v>186617500</v>
      </c>
      <c r="EE70" s="18">
        <f>VLOOKUP(BO70,Fundamentus!A:U,5,FALSE)</f>
        <v>0.89200000000000002</v>
      </c>
      <c r="EF70" s="2">
        <f t="shared" ref="EF70:EF133" ca="1" si="109">(BN70*ED70)/EE70</f>
        <v>1297117152.4663677</v>
      </c>
      <c r="EG70" s="17">
        <v>184060923.93497759</v>
      </c>
      <c r="EH70" s="17">
        <f t="shared" ref="EH70:EH133" ca="1" si="110">EF70*ET70</f>
        <v>184060923.93497759</v>
      </c>
      <c r="EJ70" s="16">
        <f t="shared" ca="1" si="97"/>
        <v>0</v>
      </c>
      <c r="EK70" s="32" t="str">
        <f>IF(VLOOKUP(BO70,Fundamentus!A:U,3,FALSE)&lt;15,"Bom",IF(VLOOKUP(BO70,Fundamentus!A:U,3,FALSE)&gt;15,"Ruim","n/a"))</f>
        <v>Bom</v>
      </c>
      <c r="EL70" s="55" t="str">
        <f>IF(VLOOKUP(BO70,Fundamentus!A:U,4,FALSE)&lt;1,"Baixo",IF(VLOOKUP(BO70,Fundamentus!A:U,4,FALSE)&lt;1.5,"Moderado",IF(VLOOKUP(BO70,Fundamentus!A:U,4,FALSE)&gt;1.5,"Alto","n/a")))</f>
        <v>Baixo</v>
      </c>
      <c r="EM70" s="17" t="str">
        <f>IF(VLOOKUP(BO70,Fundamentus!A:U,8,FALSE)&lt;0,"Risco elevado",IF(VLOOKUP(BO70,Fundamentus!A:U,8,FALSE)&lt;1,"Saudável",IF(VLOOKUP(BO70,Fundamentus!A:U,8,FALSE)&lt;3,"Estável",IF(VLOOKUP(BO70,Fundamentus!A:U,8,FALSE)&gt;3,"Alerta","n/a"))))</f>
        <v>Saudável</v>
      </c>
      <c r="EN70" s="28" t="str">
        <f t="shared" ref="EN70:EN133" si="111">IF(EE70&gt;1,"Bom","Ruim")</f>
        <v>Ruim</v>
      </c>
      <c r="EO70" s="17" t="str">
        <f>IF(VLOOKUP(BO70,Fundamentus!A:U,12,FALSE)&lt;2,"Subvalorizada",IF(VLOOKUP(BO70,Fundamentus!A:U,12,FALSE)&lt;6,"Muita barata",IF(VLOOKUP(BO70,Fundamentus!A:U,12,FALSE)&lt;6,"Barata",IF(VLOOKUP(BO70,Fundamentus!A:U,12,FALSE)&lt;8,"Atrativa",IF(VLOOKUP(BO70,Fundamentus!A:U,12,FALSE)&gt;8,"Supervalorizada","n/a")))))</f>
        <v>Atrativa</v>
      </c>
      <c r="EQ70" s="17" t="str">
        <f>IF(VLOOKUP(BO70,Fundamentus!A:U,17,FALSE)&lt;0.1,"Fraco retorno",IF(VLOOKUP(BO70,Fundamentus!A:U,17,FALSE)&gt;0.1,"Bom retorno","n/a"))</f>
        <v>Bom retorno</v>
      </c>
      <c r="ER70" s="53" t="str">
        <f>IF(VLOOKUP(BO70,Fundamentus!A:U,16,FALSE)&lt;0.1,"Ineficiente",IF(VLOOKUP(BO70,Fundamentus!A:U,16,FALSE)&gt;0.1,"Eficiente","n/a"))</f>
        <v>Ineficiente</v>
      </c>
      <c r="ES70" s="54" t="str">
        <f>IF(VLOOKUP(BO70,Fundamentus!A:U,16,FALSE)&lt;0.1,"Oper. Ineficiente",IF(VLOOKUP(BO70,Fundamentus!A:U,16,FALSE)&gt;0.1,"Oper.Eficiente","n/a"))</f>
        <v>Oper. Ineficiente</v>
      </c>
      <c r="ET70" s="34">
        <f>VLOOKUP(BO70,Fundamentus!A:U,14,FALSE)</f>
        <v>0.1419</v>
      </c>
      <c r="EU70" s="17" t="str">
        <f>IF(VLOOKUP(BO70,Fundamentus!A:U,21,FALSE)&lt;0,"Negativo",IF(VLOOKUP(BO70,Fundamentus!A:U,21,FALSE)&lt;0.05,"Fraco",IF(VLOOKUP(BO70,Fundamentus!A:U,21,FALSE)&lt;0.1,"Bom",IF(VLOOKUP(BO70,Fundamentus!A:U,21,FALSE)&gt;0.1,"Muito bom","n/a"))))</f>
        <v>Muito bom</v>
      </c>
      <c r="EW70" s="29" t="str">
        <f>IF(VLOOKUP(BO70,Fundamentus!A:U,15,FALSE)&gt;1,"Bom",IF(VLOOKUP(BO70,Fundamentus!A:U,15,FALSE)&lt;1,"Ruim","n/a"))</f>
        <v>Bom</v>
      </c>
      <c r="EX70" s="17" t="str">
        <f>IF(VLOOKUP(BO70,Fundamentus!A:U,20,FALSE)&lt;0.5,"Baixa",IF(VLOOKUP(BO70,Fundamentus!A:U,20,FALSE)&lt;1,"Moderada",IF(VLOOKUP(BO70,Fundamentus!A:U,20,FALSE)&lt;2,"Alerta",IF(VLOOKUP(BO70,Fundamentus!A:U,20,FALSE)&gt;2,"Alta","n/a"))))</f>
        <v>Moderada</v>
      </c>
      <c r="EY70" s="10"/>
    </row>
    <row r="71" spans="1:155" s="2" customFormat="1" ht="11.25"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5">
        <v>34.33</v>
      </c>
      <c r="BC71" s="52">
        <v>34.22</v>
      </c>
      <c r="BD71" s="52">
        <v>35.4</v>
      </c>
      <c r="BE71" s="52">
        <v>36.729999999999997</v>
      </c>
      <c r="BF71" s="52">
        <v>35.85</v>
      </c>
      <c r="BG71" s="67">
        <v>36.4</v>
      </c>
      <c r="BH71" s="52">
        <v>34.630000000000003</v>
      </c>
      <c r="BI71" s="52">
        <v>34.630000000000003</v>
      </c>
      <c r="BJ71" s="52">
        <v>36.72</v>
      </c>
      <c r="BK71" s="52">
        <v>35.340000000000003</v>
      </c>
      <c r="BL71" s="52">
        <v>33.82</v>
      </c>
      <c r="BM71" s="52">
        <v>34.450000000000003</v>
      </c>
      <c r="BN71" s="52" cm="1">
        <f t="array" aca="1" ref="BN71" ca="1">_FV(EB71,"Preço")</f>
        <v>34.450000000000003</v>
      </c>
      <c r="BO71" s="69" t="s">
        <v>68</v>
      </c>
      <c r="BP71" s="36" cm="1">
        <f t="array" aca="1" ref="BP71" ca="1">_FV(EB71,"Média de volume",TRUE)</f>
        <v>312240</v>
      </c>
      <c r="BQ71" s="36">
        <v>55700</v>
      </c>
      <c r="BR71" s="36" cm="1">
        <f t="array" aca="1" ref="BR71" ca="1">_FV(EB71,"Volume")</f>
        <v>55700</v>
      </c>
      <c r="BS71" s="24" cm="1">
        <f t="array" aca="1" ref="BS71" ca="1">_FV(EB71,"Beta")</f>
        <v>1.1567000000000001</v>
      </c>
      <c r="BT71" s="71" cm="1">
        <f t="array" aca="1" ref="BT71" ca="1">_FV(EB71,"Variação (%)",TRUE)</f>
        <v>8.489E-3</v>
      </c>
      <c r="BV71" s="17" cm="1">
        <f t="array" aca="1" ref="BV71" ca="1">_FV(EB71,"Baixo")</f>
        <v>34.01</v>
      </c>
      <c r="BW71" s="17" cm="1">
        <f t="array" aca="1" ref="BW71" ca="1">_FV(EB71,"Alto")</f>
        <v>34.54</v>
      </c>
      <c r="BX71" s="24"/>
      <c r="BY71" s="63">
        <f ca="1">SQRT(22.5*(BN71/VLOOKUP(BO71,Fundamentus!A:U,3,FALSE))*(BN71/VLOOKUP(BO71,Fundamentus!A:U,4,FALSE)))</f>
        <v>36.744428318706028</v>
      </c>
      <c r="CA71" s="62">
        <f t="shared" ref="CA71:CA134" ca="1" si="112">(BN71 - BM71) / BM71</f>
        <v>0</v>
      </c>
      <c r="CB71" s="8"/>
      <c r="CC71" s="61">
        <f t="shared" ref="CC71:CC134" si="113">MIN(A71:BM71)</f>
        <v>23.29</v>
      </c>
      <c r="CD71" s="61">
        <f t="shared" ref="CD71:CD134" si="114">MAX(A71:BM71)</f>
        <v>36.729999999999997</v>
      </c>
      <c r="CE71" s="61">
        <f t="shared" ref="CE71:CE134" si="115">AVERAGE(A71:BM71)</f>
        <v>29.961230769230784</v>
      </c>
      <c r="CF71" s="14"/>
      <c r="CG71" s="35">
        <f t="shared" si="98"/>
        <v>30.822461251779892</v>
      </c>
      <c r="CH71" s="15">
        <f t="shared" ref="CH71:CH134" si="116">FORECAST("01/08/2025", BJ71:BM71, $BJ$5:$BM$5)</f>
        <v>33</v>
      </c>
      <c r="CI71" s="35">
        <f t="shared" si="99"/>
        <v>35.177538748220108</v>
      </c>
      <c r="CK71" s="14"/>
      <c r="CL71" s="17">
        <f t="shared" si="100"/>
        <v>12.390000000000008</v>
      </c>
      <c r="CM71" s="17">
        <f t="shared" si="101"/>
        <v>17.840000000000003</v>
      </c>
      <c r="CN71" s="17">
        <f t="shared" si="102"/>
        <v>25.830000000000005</v>
      </c>
      <c r="CO71" s="38">
        <f t="shared" ref="CO71:CO134" si="117">(CD71+CC71+BL71)/3</f>
        <v>31.28</v>
      </c>
      <c r="CP71" s="17">
        <f t="shared" si="103"/>
        <v>39.270000000000003</v>
      </c>
      <c r="CQ71" s="17">
        <f t="shared" si="104"/>
        <v>44.72</v>
      </c>
      <c r="CR71" s="17">
        <f t="shared" si="105"/>
        <v>52.71</v>
      </c>
      <c r="CS71" s="2" cm="1">
        <f t="array" aca="1" ref="CS71" ca="1">MAX(_xlfn._xlws.FILTER(CL71:CR71,CL71:CR71&lt;BN71))</f>
        <v>31.28</v>
      </c>
      <c r="CT71" s="2" cm="1">
        <f t="array" aca="1" ref="CT71" ca="1">MIN(_xlfn._xlws.FILTER($CL71:$CR71,$CL71:$CR71&gt;BN71))</f>
        <v>39.270000000000003</v>
      </c>
      <c r="CU71" s="16">
        <f t="shared" ca="1" si="80"/>
        <v>0.25543478260869579</v>
      </c>
      <c r="CV71" s="20">
        <f t="shared" ca="1" si="81"/>
        <v>-0.12771739130434789</v>
      </c>
      <c r="CW71" s="20">
        <f t="shared" ca="1" si="82"/>
        <v>-8.5144927536231929E-2</v>
      </c>
      <c r="CX71" s="20">
        <f t="shared" ca="1" si="83"/>
        <v>-5.1086956521739155E-2</v>
      </c>
      <c r="CY71" s="20">
        <f t="shared" ca="1" si="84"/>
        <v>-2.838164251207731E-2</v>
      </c>
      <c r="CZ71" s="20">
        <f t="shared" ca="1" si="85"/>
        <v>-1.5025575447570341E-2</v>
      </c>
      <c r="DA71" s="20">
        <f t="shared" ca="1" si="86"/>
        <v>-7.7404479578392664E-3</v>
      </c>
      <c r="DB71" s="20">
        <f t="shared" ca="1" si="87"/>
        <v>-3.9297658862876275E-3</v>
      </c>
      <c r="DC71" s="21">
        <f t="shared" ca="1" si="88"/>
        <v>3.9297658862876275E-3</v>
      </c>
      <c r="DD71" s="21">
        <f t="shared" ca="1" si="89"/>
        <v>7.7404479578392664E-3</v>
      </c>
      <c r="DE71" s="21">
        <f t="shared" ca="1" si="90"/>
        <v>1.5025575447570341E-2</v>
      </c>
      <c r="DF71" s="21">
        <f t="shared" ca="1" si="91"/>
        <v>2.838164251207731E-2</v>
      </c>
      <c r="DG71" s="21">
        <f t="shared" ca="1" si="92"/>
        <v>5.1086956521739155E-2</v>
      </c>
      <c r="DH71" s="21">
        <f t="shared" ca="1" si="93"/>
        <v>8.5144927536231929E-2</v>
      </c>
      <c r="DI71" s="21">
        <f t="shared" ca="1" si="94"/>
        <v>0.12771739130434789</v>
      </c>
      <c r="DK71" s="16" cm="1">
        <f t="array" aca="1" ref="DK71" ca="1">MAX(_xlfn._xlws.FILTER(CV71:DI71,CV71:DI71&lt;BT71))</f>
        <v>7.7404479578392664E-3</v>
      </c>
      <c r="DL71" s="16" cm="1">
        <f t="array" aca="1" ref="DL71" ca="1">MIN(_xlfn._xlws.FILTER(CV71:DI71,CV71:DI71&gt;BT71))</f>
        <v>1.5025575447570341E-2</v>
      </c>
      <c r="DM71" s="2" cm="1">
        <f t="array" aca="1" ref="DM71" ca="1">_FV(EB71,"Fechamento anterior",TRUE)</f>
        <v>34.159999999999997</v>
      </c>
      <c r="DN71" s="28">
        <f t="shared" ca="1" si="106"/>
        <v>0.10281404155664073</v>
      </c>
      <c r="DO71" s="15">
        <f t="shared" ca="1" si="95"/>
        <v>34.424413702239789</v>
      </c>
      <c r="DP71" s="15">
        <f t="shared" ca="1" si="96"/>
        <v>34.673273657289002</v>
      </c>
      <c r="DQ71" s="9"/>
      <c r="DR71" s="9"/>
      <c r="DS71" s="9"/>
      <c r="DT71" s="89">
        <v>7.2851274897310749E-3</v>
      </c>
      <c r="DU71" s="89">
        <f t="shared" ca="1" si="107"/>
        <v>7.2851274897310749E-3</v>
      </c>
      <c r="DV71" s="72">
        <f t="shared" ca="1" si="108"/>
        <v>0.66588941353407094</v>
      </c>
      <c r="DW71" s="37"/>
      <c r="DX71" s="35">
        <f t="shared" ref="DX71:DX134" si="118">_xlfn.STDEV.P(BJ71:BM71)</f>
        <v>1.0887693741100539</v>
      </c>
      <c r="DY71" s="56"/>
      <c r="DZ71" s="56"/>
      <c r="EB71" s="2" t="e" vm="71">
        <v>#VALUE!</v>
      </c>
      <c r="ED71" s="10" cm="1">
        <f t="array" aca="1" ref="ED71" ca="1">_FV(EB71,"Ações em circulação",TRUE)</f>
        <v>66002920</v>
      </c>
      <c r="EE71" s="18">
        <f>VLOOKUP(BO71,Fundamentus!A:U,5,FALSE)</f>
        <v>1.0720000000000001</v>
      </c>
      <c r="EF71" s="2">
        <f t="shared" ca="1" si="109"/>
        <v>2121082643.6567163</v>
      </c>
      <c r="EG71" s="17">
        <v>274255985.82481343</v>
      </c>
      <c r="EH71" s="17">
        <f t="shared" ca="1" si="110"/>
        <v>274255985.82481343</v>
      </c>
      <c r="EJ71" s="16">
        <f t="shared" ca="1" si="97"/>
        <v>0</v>
      </c>
      <c r="EK71" s="45" t="str">
        <f>IF(VLOOKUP(BO71,Fundamentus!A:U,3,FALSE)&lt;15,"Bom",IF(VLOOKUP(BO71,Fundamentus!A:U,3,FALSE)&gt;15,"Ruim","n/a"))</f>
        <v>Bom</v>
      </c>
      <c r="EL71" s="46" t="str">
        <f>IF(VLOOKUP(BO71,Fundamentus!A:U,4,FALSE)&lt;1,"Baixo",IF(VLOOKUP(BO71,Fundamentus!A:U,4,FALSE)&lt;1.5,"Moderado",IF(VLOOKUP(BO71,Fundamentus!A:U,4,FALSE)&gt;1.5,"Alto","n/a")))</f>
        <v>Alto</v>
      </c>
      <c r="EM71" s="30" t="str">
        <f>IF(VLOOKUP(BO71,Fundamentus!A:U,8,FALSE)&lt;0,"Risco elevado",IF(VLOOKUP(BO71,Fundamentus!A:U,8,FALSE)&lt;1,"Saudável",IF(VLOOKUP(BO71,Fundamentus!A:U,8,FALSE)&lt;3,"Estável",IF(VLOOKUP(BO71,Fundamentus!A:U,8,FALSE)&gt;3,"Alerta","n/a"))))</f>
        <v>Alerta</v>
      </c>
      <c r="EN71" s="46" t="str">
        <f t="shared" si="111"/>
        <v>Bom</v>
      </c>
      <c r="EO71" s="30" t="str">
        <f>IF(VLOOKUP(BO71,Fundamentus!A:U,12,FALSE)&lt;2,"Subvalorizada",IF(VLOOKUP(BO71,Fundamentus!A:U,12,FALSE)&lt;6,"Muita barata",IF(VLOOKUP(BO71,Fundamentus!A:U,12,FALSE)&lt;6,"Barata",IF(VLOOKUP(BO71,Fundamentus!A:U,12,FALSE)&lt;8,"Atrativa",IF(VLOOKUP(BO71,Fundamentus!A:U,12,FALSE)&gt;8,"Supervalorizada","n/a")))))</f>
        <v>Muita barata</v>
      </c>
      <c r="EQ71" s="30" t="str">
        <f>IF(VLOOKUP(BO71,Fundamentus!A:U,17,FALSE)&lt;0.1,"Fraco retorno",IF(VLOOKUP(BO71,Fundamentus!A:U,17,FALSE)&gt;0.1,"Bom retorno","n/a"))</f>
        <v>Bom retorno</v>
      </c>
      <c r="ER71" s="30" t="str">
        <f>IF(VLOOKUP(BO71,Fundamentus!A:U,16,FALSE)&lt;0.1,"Ineficiente",IF(VLOOKUP(BO71,Fundamentus!A:U,16,FALSE)&gt;0.1,"Eficiente","n/a"))</f>
        <v>Eficiente</v>
      </c>
      <c r="ES71" s="49" t="str">
        <f>IF(VLOOKUP(BO71,Fundamentus!A:U,16,FALSE)&lt;0.1,"Oper. Ineficiente",IF(VLOOKUP(BO71,Fundamentus!A:U,16,FALSE)&gt;0.1,"Oper.Eficiente","n/a"))</f>
        <v>Oper.Eficiente</v>
      </c>
      <c r="ET71" s="48">
        <f>VLOOKUP(BO71,Fundamentus!A:U,14,FALSE)</f>
        <v>0.1293</v>
      </c>
      <c r="EU71" s="30" t="str">
        <f>IF(VLOOKUP(BO71,Fundamentus!A:U,21,FALSE)&lt;0,"Negativo",IF(VLOOKUP(BO71,Fundamentus!A:U,21,FALSE)&lt;0.05,"Fraco",IF(VLOOKUP(BO71,Fundamentus!A:U,21,FALSE)&lt;0.1,"Bom",IF(VLOOKUP(BO71,Fundamentus!A:U,21,FALSE)&gt;0.1,"Muito bom","n/a"))))</f>
        <v>Muito bom</v>
      </c>
      <c r="EW71" s="31" t="str">
        <f>IF(VLOOKUP(BO71,Fundamentus!A:U,15,FALSE)&gt;1,"Bom",IF(VLOOKUP(BO71,Fundamentus!A:U,15,FALSE)&lt;1,"Ruim","n/a"))</f>
        <v>Bom</v>
      </c>
      <c r="EX71" s="30" t="str">
        <f>IF(VLOOKUP(BO71,Fundamentus!A:U,20,FALSE)&lt;0.5,"Baixa",IF(VLOOKUP(BO71,Fundamentus!A:U,20,FALSE)&lt;1,"Moderada",IF(VLOOKUP(BO71,Fundamentus!A:U,20,FALSE)&lt;2,"Alerta",IF(VLOOKUP(BO71,Fundamentus!A:U,20,FALSE)&gt;2,"Alta","n/a"))))</f>
        <v>Baixa</v>
      </c>
      <c r="EY71" s="10"/>
    </row>
    <row r="72" spans="1:155" s="2" customFormat="1" ht="11.25"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5">
        <v>6.51</v>
      </c>
      <c r="BC72" s="52">
        <v>6.66</v>
      </c>
      <c r="BD72" s="52">
        <v>6.65</v>
      </c>
      <c r="BE72" s="52">
        <v>6.8</v>
      </c>
      <c r="BF72" s="52">
        <v>6.79</v>
      </c>
      <c r="BG72" s="67">
        <v>6.82</v>
      </c>
      <c r="BH72" s="52">
        <v>6.77</v>
      </c>
      <c r="BI72" s="52">
        <v>6.63</v>
      </c>
      <c r="BJ72" s="52">
        <v>6.7</v>
      </c>
      <c r="BK72" s="52">
        <v>6.61</v>
      </c>
      <c r="BL72" s="52">
        <v>6.55</v>
      </c>
      <c r="BM72" s="52">
        <v>6.54</v>
      </c>
      <c r="BN72" s="52" cm="1">
        <f t="array" aca="1" ref="BN72" ca="1">_FV(EB72,"Preço")</f>
        <v>6.54</v>
      </c>
      <c r="BO72" s="69" t="s">
        <v>69</v>
      </c>
      <c r="BP72" s="36" cm="1">
        <f t="array" aca="1" ref="BP72" ca="1">_FV(EB72,"Média de volume",TRUE)</f>
        <v>900</v>
      </c>
      <c r="BQ72" s="36">
        <v>500</v>
      </c>
      <c r="BR72" s="36" cm="1">
        <f t="array" aca="1" ref="BR72" ca="1">_FV(EB72,"Volume")</f>
        <v>500</v>
      </c>
      <c r="BS72" s="24" cm="1">
        <f t="array" aca="1" ref="BS72" ca="1">_FV(EB72,"Beta")</f>
        <v>0.21859999999999999</v>
      </c>
      <c r="BT72" s="71" cm="1">
        <f t="array" aca="1" ref="BT72" ca="1">_FV(EB72,"Variação (%)",TRUE)</f>
        <v>-3.0490000000000001E-3</v>
      </c>
      <c r="BV72" s="17" cm="1">
        <f t="array" aca="1" ref="BV72" ca="1">_FV(EB72,"Baixo")</f>
        <v>6.47</v>
      </c>
      <c r="BW72" s="17" cm="1">
        <f t="array" aca="1" ref="BW72" ca="1">_FV(EB72,"Alto")</f>
        <v>6.54</v>
      </c>
      <c r="BX72" s="24"/>
      <c r="BY72" s="63">
        <f ca="1">SQRT(22.5*(BN72/VLOOKUP(BO72,Fundamentus!A:U,3,FALSE))*(BN72/VLOOKUP(BO72,Fundamentus!A:U,4,FALSE)))</f>
        <v>5.3959367513063041</v>
      </c>
      <c r="CA72" s="62">
        <f t="shared" ca="1" si="112"/>
        <v>0</v>
      </c>
      <c r="CB72" s="8"/>
      <c r="CC72" s="61">
        <f t="shared" si="113"/>
        <v>6.24</v>
      </c>
      <c r="CD72" s="61">
        <f t="shared" si="114"/>
        <v>7</v>
      </c>
      <c r="CE72" s="61">
        <f t="shared" si="115"/>
        <v>6.6816923076923072</v>
      </c>
      <c r="CF72" s="14"/>
      <c r="CG72" s="35">
        <f t="shared" si="98"/>
        <v>6.3377207793863963</v>
      </c>
      <c r="CH72" s="15">
        <f t="shared" si="116"/>
        <v>6.464999999999975</v>
      </c>
      <c r="CI72" s="35">
        <f t="shared" si="99"/>
        <v>6.5922792206135536</v>
      </c>
      <c r="CK72" s="14"/>
      <c r="CL72" s="17">
        <f t="shared" si="100"/>
        <v>5.4333333333333336</v>
      </c>
      <c r="CM72" s="17">
        <f t="shared" si="101"/>
        <v>5.8366666666666669</v>
      </c>
      <c r="CN72" s="17">
        <f t="shared" si="102"/>
        <v>6.1933333333333334</v>
      </c>
      <c r="CO72" s="38">
        <f t="shared" si="117"/>
        <v>6.5966666666666667</v>
      </c>
      <c r="CP72" s="17">
        <f t="shared" si="103"/>
        <v>6.9533333333333331</v>
      </c>
      <c r="CQ72" s="17">
        <f t="shared" si="104"/>
        <v>7.3566666666666665</v>
      </c>
      <c r="CR72" s="17">
        <f t="shared" si="105"/>
        <v>7.7133333333333329</v>
      </c>
      <c r="CS72" s="2" cm="1">
        <f t="array" aca="1" ref="CS72" ca="1">MAX(_xlfn._xlws.FILTER(CL72:CR72,CL72:CR72&lt;BN72))</f>
        <v>6.1933333333333334</v>
      </c>
      <c r="CT72" s="2" cm="1">
        <f t="array" aca="1" ref="CT72" ca="1">MIN(_xlfn._xlws.FILTER($CL72:$CR72,$CL72:$CR72&gt;BN72))</f>
        <v>6.5966666666666667</v>
      </c>
      <c r="CU72" s="16">
        <f t="shared" ca="1" si="80"/>
        <v>6.5123789020452127E-2</v>
      </c>
      <c r="CV72" s="20">
        <f t="shared" ca="1" si="81"/>
        <v>-3.2561894510226064E-2</v>
      </c>
      <c r="CW72" s="20">
        <f t="shared" ca="1" si="82"/>
        <v>-2.1707929673484044E-2</v>
      </c>
      <c r="CX72" s="20">
        <f t="shared" ca="1" si="83"/>
        <v>-1.3024757804090426E-2</v>
      </c>
      <c r="CY72" s="20">
        <f t="shared" ca="1" si="84"/>
        <v>-7.2359765578280145E-3</v>
      </c>
      <c r="CZ72" s="20">
        <f t="shared" ca="1" si="85"/>
        <v>-3.830811118850125E-3</v>
      </c>
      <c r="DA72" s="20">
        <f t="shared" ca="1" si="86"/>
        <v>-1.9734481521349128E-3</v>
      </c>
      <c r="DB72" s="20">
        <f t="shared" ca="1" si="87"/>
        <v>-1.0019044464684942E-3</v>
      </c>
      <c r="DC72" s="21">
        <f t="shared" ca="1" si="88"/>
        <v>1.0019044464684942E-3</v>
      </c>
      <c r="DD72" s="21">
        <f t="shared" ca="1" si="89"/>
        <v>1.9734481521349128E-3</v>
      </c>
      <c r="DE72" s="21">
        <f t="shared" ca="1" si="90"/>
        <v>3.830811118850125E-3</v>
      </c>
      <c r="DF72" s="21">
        <f t="shared" ca="1" si="91"/>
        <v>7.2359765578280145E-3</v>
      </c>
      <c r="DG72" s="21">
        <f t="shared" ca="1" si="92"/>
        <v>1.3024757804090426E-2</v>
      </c>
      <c r="DH72" s="21">
        <f t="shared" ca="1" si="93"/>
        <v>2.1707929673484044E-2</v>
      </c>
      <c r="DI72" s="21">
        <f t="shared" ca="1" si="94"/>
        <v>3.2561894510226064E-2</v>
      </c>
      <c r="DK72" s="16" cm="1">
        <f t="array" aca="1" ref="DK72" ca="1">MAX(_xlfn._xlws.FILTER(CV72:DI72,CV72:DI72&lt;BT72))</f>
        <v>-3.830811118850125E-3</v>
      </c>
      <c r="DL72" s="16" cm="1">
        <f t="array" aca="1" ref="DL72" ca="1">MIN(_xlfn._xlws.FILTER(CV72:DI72,CV72:DI72&gt;BT72))</f>
        <v>-1.9734481521349128E-3</v>
      </c>
      <c r="DM72" s="2" cm="1">
        <f t="array" aca="1" ref="DM72" ca="1">_FV(EB72,"Fechamento anterior",TRUE)</f>
        <v>6.56</v>
      </c>
      <c r="DN72" s="28">
        <f t="shared" ca="1" si="106"/>
        <v>0.42104351441242416</v>
      </c>
      <c r="DO72" s="15">
        <f t="shared" ca="1" si="95"/>
        <v>6.5348698790603432</v>
      </c>
      <c r="DP72" s="15">
        <f t="shared" ca="1" si="96"/>
        <v>6.5470541801219948</v>
      </c>
      <c r="DQ72" s="9"/>
      <c r="DR72" s="9"/>
      <c r="DS72" s="9"/>
      <c r="DT72" s="89">
        <v>1.8573629667152122E-3</v>
      </c>
      <c r="DU72" s="89">
        <f t="shared" ca="1" si="107"/>
        <v>1.8573629667152122E-3</v>
      </c>
      <c r="DV72" s="72">
        <f t="shared" ca="1" si="108"/>
        <v>0.58925565098898591</v>
      </c>
      <c r="DW72" s="37"/>
      <c r="DX72" s="35">
        <f t="shared" si="118"/>
        <v>6.3639610306789385E-2</v>
      </c>
      <c r="DY72" s="56"/>
      <c r="DZ72" s="56"/>
      <c r="EB72" s="2" t="e" vm="72">
        <v>#VALUE!</v>
      </c>
      <c r="ED72" s="10" cm="1">
        <f t="array" aca="1" ref="ED72" ca="1">_FV(EB72,"Ações em circulação",TRUE)</f>
        <v>2110323000</v>
      </c>
      <c r="EE72" s="18">
        <f>VLOOKUP(BO72,Fundamentus!A:U,5,FALSE)</f>
        <v>0.747</v>
      </c>
      <c r="EF72" s="2">
        <f t="shared" ca="1" si="109"/>
        <v>18475920240.963856</v>
      </c>
      <c r="EG72" s="17">
        <v>1858677576.2409637</v>
      </c>
      <c r="EH72" s="17">
        <f t="shared" ca="1" si="110"/>
        <v>1858677576.2409637</v>
      </c>
      <c r="EJ72" s="16">
        <f t="shared" ca="1" si="97"/>
        <v>0</v>
      </c>
      <c r="EK72" s="32" t="str">
        <f>IF(VLOOKUP(BO72,Fundamentus!A:U,3,FALSE)&lt;15,"Bom",IF(VLOOKUP(BO72,Fundamentus!A:U,3,FALSE)&gt;15,"Ruim","n/a"))</f>
        <v>Bom</v>
      </c>
      <c r="EL72" s="28" t="str">
        <f>IF(VLOOKUP(BO72,Fundamentus!A:U,4,FALSE)&lt;1,"Baixo",IF(VLOOKUP(BO72,Fundamentus!A:U,4,FALSE)&lt;1.5,"Moderado",IF(VLOOKUP(BO72,Fundamentus!A:U,4,FALSE)&gt;1.5,"Alto","n/a")))</f>
        <v>Alto</v>
      </c>
      <c r="EM72" s="17" t="str">
        <f>IF(VLOOKUP(BO72,Fundamentus!A:U,8,FALSE)&lt;0,"Risco elevado",IF(VLOOKUP(BO72,Fundamentus!A:U,8,FALSE)&lt;1,"Saudável",IF(VLOOKUP(BO72,Fundamentus!A:U,8,FALSE)&lt;3,"Estável",IF(VLOOKUP(BO72,Fundamentus!A:U,8,FALSE)&gt;3,"Alerta","n/a"))))</f>
        <v>Alerta</v>
      </c>
      <c r="EN72" s="28" t="str">
        <f t="shared" si="111"/>
        <v>Ruim</v>
      </c>
      <c r="EO72" s="17" t="str">
        <f>IF(VLOOKUP(BO72,Fundamentus!A:U,12,FALSE)&lt;2,"Subvalorizada",IF(VLOOKUP(BO72,Fundamentus!A:U,12,FALSE)&lt;6,"Muita barata",IF(VLOOKUP(BO72,Fundamentus!A:U,12,FALSE)&lt;6,"Barata",IF(VLOOKUP(BO72,Fundamentus!A:U,12,FALSE)&lt;8,"Atrativa",IF(VLOOKUP(BO72,Fundamentus!A:U,12,FALSE)&gt;8,"Supervalorizada","n/a")))))</f>
        <v>Atrativa</v>
      </c>
      <c r="EQ72" s="17" t="str">
        <f>IF(VLOOKUP(BO72,Fundamentus!A:U,17,FALSE)&lt;0.1,"Fraco retorno",IF(VLOOKUP(BO72,Fundamentus!A:U,17,FALSE)&gt;0.1,"Bom retorno","n/a"))</f>
        <v>Bom retorno</v>
      </c>
      <c r="ER72" s="17" t="str">
        <f>IF(VLOOKUP(BO72,Fundamentus!A:U,16,FALSE)&lt;0.1,"Ineficiente",IF(VLOOKUP(BO72,Fundamentus!A:U,16,FALSE)&gt;0.1,"Eficiente","n/a"))</f>
        <v>Eficiente</v>
      </c>
      <c r="ES72" s="33" t="str">
        <f>IF(VLOOKUP(BO72,Fundamentus!A:U,16,FALSE)&lt;0.1,"Oper. Ineficiente",IF(VLOOKUP(BO72,Fundamentus!A:U,16,FALSE)&gt;0.1,"Oper.Eficiente","n/a"))</f>
        <v>Oper.Eficiente</v>
      </c>
      <c r="ET72" s="34">
        <f>VLOOKUP(BO72,Fundamentus!A:U,14,FALSE)</f>
        <v>0.10059999999999999</v>
      </c>
      <c r="EU72" s="17" t="str">
        <f>IF(VLOOKUP(BO72,Fundamentus!A:U,21,FALSE)&lt;0,"Negativo",IF(VLOOKUP(BO72,Fundamentus!A:U,21,FALSE)&lt;0.05,"Fraco",IF(VLOOKUP(BO72,Fundamentus!A:U,21,FALSE)&lt;0.1,"Bom",IF(VLOOKUP(BO72,Fundamentus!A:U,21,FALSE)&gt;0.1,"Muito bom","n/a"))))</f>
        <v>Bom</v>
      </c>
      <c r="EW72" s="29" t="str">
        <f>IF(VLOOKUP(BO72,Fundamentus!A:U,15,FALSE)&gt;1,"Bom",IF(VLOOKUP(BO72,Fundamentus!A:U,15,FALSE)&lt;1,"Ruim","n/a"))</f>
        <v>Bom</v>
      </c>
      <c r="EX72" s="17" t="str">
        <f>IF(VLOOKUP(BO72,Fundamentus!A:U,20,FALSE)&lt;0.5,"Baixa",IF(VLOOKUP(BO72,Fundamentus!A:U,20,FALSE)&lt;1,"Moderada",IF(VLOOKUP(BO72,Fundamentus!A:U,20,FALSE)&lt;2,"Alerta",IF(VLOOKUP(BO72,Fundamentus!A:U,20,FALSE)&gt;2,"Alta","n/a"))))</f>
        <v>Alta</v>
      </c>
      <c r="EY72" s="10"/>
    </row>
    <row r="73" spans="1:155" s="2" customFormat="1" ht="11.25"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5">
        <v>0.89</v>
      </c>
      <c r="BC73" s="52">
        <v>0.94</v>
      </c>
      <c r="BD73" s="52">
        <v>0.85</v>
      </c>
      <c r="BE73" s="52">
        <v>0.85</v>
      </c>
      <c r="BF73" s="52">
        <v>1.3</v>
      </c>
      <c r="BG73" s="67">
        <v>1.1599999999999999</v>
      </c>
      <c r="BH73" s="52">
        <v>1.1200000000000001</v>
      </c>
      <c r="BI73" s="52">
        <v>0.91</v>
      </c>
      <c r="BJ73" s="52">
        <v>0.97</v>
      </c>
      <c r="BK73" s="52">
        <v>0.98</v>
      </c>
      <c r="BL73" s="52">
        <v>1.4</v>
      </c>
      <c r="BM73" s="52">
        <v>1.21</v>
      </c>
      <c r="BN73" s="52" cm="1">
        <f t="array" aca="1" ref="BN73" ca="1">_FV(EB73,"Preço")</f>
        <v>1.21</v>
      </c>
      <c r="BO73" s="69" t="s">
        <v>70</v>
      </c>
      <c r="BP73" s="36" cm="1">
        <f t="array" aca="1" ref="BP73" ca="1">_FV(EB73,"Média de volume",TRUE)</f>
        <v>132810</v>
      </c>
      <c r="BQ73" s="36">
        <v>33400</v>
      </c>
      <c r="BR73" s="36" cm="1">
        <f t="array" aca="1" ref="BR73" ca="1">_FV(EB73,"Volume")</f>
        <v>33400</v>
      </c>
      <c r="BS73" s="24" cm="1">
        <f t="array" aca="1" ref="BS73" ca="1">_FV(EB73,"Beta")</f>
        <v>1.2201</v>
      </c>
      <c r="BT73" s="71" cm="1">
        <f t="array" aca="1" ref="BT73" ca="1">_FV(EB73,"Variação (%)",TRUE)</f>
        <v>-2.4194E-2</v>
      </c>
      <c r="BV73" s="17" cm="1">
        <f t="array" aca="1" ref="BV73" ca="1">_FV(EB73,"Baixo")</f>
        <v>1.17</v>
      </c>
      <c r="BW73" s="17" cm="1">
        <f t="array" aca="1" ref="BW73" ca="1">_FV(EB73,"Alto")</f>
        <v>1.27</v>
      </c>
      <c r="BX73" s="24"/>
      <c r="BY73" s="63" t="e">
        <f ca="1">SQRT(22.5*(BN73/VLOOKUP(BO73,Fundamentus!A:U,3,FALSE))*(BN73/VLOOKUP(BO73,Fundamentus!A:U,4,FALSE)))</f>
        <v>#NUM!</v>
      </c>
      <c r="CA73" s="62">
        <f t="shared" ca="1" si="112"/>
        <v>0</v>
      </c>
      <c r="CB73" s="8"/>
      <c r="CC73" s="61">
        <f t="shared" si="113"/>
        <v>0.84</v>
      </c>
      <c r="CD73" s="61">
        <f t="shared" si="114"/>
        <v>1.4</v>
      </c>
      <c r="CE73" s="61">
        <f t="shared" si="115"/>
        <v>0.98561538461538412</v>
      </c>
      <c r="CF73" s="14"/>
      <c r="CG73" s="35">
        <f t="shared" si="98"/>
        <v>1.0686294063758444</v>
      </c>
      <c r="CH73" s="15">
        <f t="shared" si="116"/>
        <v>1.4249999999999545</v>
      </c>
      <c r="CI73" s="35">
        <f t="shared" si="99"/>
        <v>1.7813705936240647</v>
      </c>
      <c r="CK73" s="14"/>
      <c r="CL73" s="17">
        <f t="shared" si="100"/>
        <v>0.46666666666666645</v>
      </c>
      <c r="CM73" s="17">
        <f t="shared" si="101"/>
        <v>0.65333333333333321</v>
      </c>
      <c r="CN73" s="17">
        <f t="shared" si="102"/>
        <v>1.0266666666666664</v>
      </c>
      <c r="CO73" s="38">
        <f t="shared" si="117"/>
        <v>1.2133333333333332</v>
      </c>
      <c r="CP73" s="17">
        <f t="shared" si="103"/>
        <v>1.5866666666666664</v>
      </c>
      <c r="CQ73" s="17">
        <f t="shared" si="104"/>
        <v>1.773333333333333</v>
      </c>
      <c r="CR73" s="17">
        <f t="shared" si="105"/>
        <v>2.1466666666666665</v>
      </c>
      <c r="CS73" s="2" cm="1">
        <f t="array" aca="1" ref="CS73" ca="1">MAX(_xlfn._xlws.FILTER(CL73:CR73,CL73:CR73&lt;BN73))</f>
        <v>1.0266666666666664</v>
      </c>
      <c r="CT73" s="2" cm="1">
        <f t="array" aca="1" ref="CT73" ca="1">MIN(_xlfn._xlws.FILTER($CL73:$CR73,$CL73:$CR73&gt;BN73))</f>
        <v>1.2133333333333332</v>
      </c>
      <c r="CU73" s="16">
        <f t="shared" ca="1" si="80"/>
        <v>0.18181818181818188</v>
      </c>
      <c r="CV73" s="20">
        <f t="shared" ca="1" si="81"/>
        <v>-9.0909090909090939E-2</v>
      </c>
      <c r="CW73" s="20">
        <f t="shared" ca="1" si="82"/>
        <v>-6.0606060606060629E-2</v>
      </c>
      <c r="CX73" s="20">
        <f t="shared" ca="1" si="83"/>
        <v>-3.6363636363636376E-2</v>
      </c>
      <c r="CY73" s="20">
        <f t="shared" ca="1" si="84"/>
        <v>-2.0202020202020207E-2</v>
      </c>
      <c r="CZ73" s="20">
        <f t="shared" ca="1" si="85"/>
        <v>-1.0695187165775404E-2</v>
      </c>
      <c r="DA73" s="20">
        <f t="shared" ca="1" si="86"/>
        <v>-5.5096418732782388E-3</v>
      </c>
      <c r="DB73" s="20">
        <f t="shared" ca="1" si="87"/>
        <v>-2.7972027972027981E-3</v>
      </c>
      <c r="DC73" s="21">
        <f t="shared" ca="1" si="88"/>
        <v>2.7972027972027981E-3</v>
      </c>
      <c r="DD73" s="21">
        <f t="shared" ca="1" si="89"/>
        <v>5.5096418732782388E-3</v>
      </c>
      <c r="DE73" s="21">
        <f t="shared" ca="1" si="90"/>
        <v>1.0695187165775404E-2</v>
      </c>
      <c r="DF73" s="21">
        <f t="shared" ca="1" si="91"/>
        <v>2.0202020202020207E-2</v>
      </c>
      <c r="DG73" s="21">
        <f t="shared" ca="1" si="92"/>
        <v>3.6363636363636376E-2</v>
      </c>
      <c r="DH73" s="21">
        <f t="shared" ca="1" si="93"/>
        <v>6.0606060606060629E-2</v>
      </c>
      <c r="DI73" s="21">
        <f t="shared" ca="1" si="94"/>
        <v>9.0909090909090939E-2</v>
      </c>
      <c r="DK73" s="16" cm="1">
        <f t="array" aca="1" ref="DK73" ca="1">MAX(_xlfn._xlws.FILTER(CV73:DI73,CV73:DI73&lt;BT73))</f>
        <v>-3.6363636363636376E-2</v>
      </c>
      <c r="DL73" s="16" cm="1">
        <f t="array" aca="1" ref="DL73" ca="1">MIN(_xlfn._xlws.FILTER(CV73:DI73,CV73:DI73&gt;BT73))</f>
        <v>-2.0202020202020207E-2</v>
      </c>
      <c r="DM73" s="2" cm="1">
        <f t="array" aca="1" ref="DM73" ca="1">_FV(EB73,"Fechamento anterior",TRUE)</f>
        <v>1.24</v>
      </c>
      <c r="DN73" s="28">
        <f t="shared" ca="1" si="106"/>
        <v>0.75302419354838324</v>
      </c>
      <c r="DO73" s="15">
        <f t="shared" ca="1" si="95"/>
        <v>1.1949090909090909</v>
      </c>
      <c r="DP73" s="15">
        <f t="shared" ca="1" si="96"/>
        <v>1.214949494949495</v>
      </c>
      <c r="DQ73" s="9"/>
      <c r="DR73" s="9"/>
      <c r="DS73" s="9"/>
      <c r="DT73" s="89">
        <v>1.6161616161616169E-2</v>
      </c>
      <c r="DU73" s="89">
        <f t="shared" ca="1" si="107"/>
        <v>1.6161616161616169E-2</v>
      </c>
      <c r="DV73" s="72">
        <f t="shared" ca="1" si="108"/>
        <v>-0.6033045482611582</v>
      </c>
      <c r="DW73" s="37"/>
      <c r="DX73" s="35">
        <f t="shared" si="118"/>
        <v>0.17818529681205508</v>
      </c>
      <c r="DY73" s="56"/>
      <c r="DZ73" s="56"/>
      <c r="EB73" s="2" t="e" vm="73">
        <v>#VALUE!</v>
      </c>
      <c r="ED73" s="10" cm="1">
        <f t="array" aca="1" ref="ED73" ca="1">_FV(EB73,"Ações em circulação",TRUE)</f>
        <v>124061300</v>
      </c>
      <c r="EE73" s="18">
        <f>VLOOKUP(BO73,Fundamentus!A:U,5,FALSE)</f>
        <v>1.609</v>
      </c>
      <c r="EF73" s="2">
        <f t="shared" ca="1" si="109"/>
        <v>93296564.94717215</v>
      </c>
      <c r="EG73" s="17">
        <v>-34958222.885705404</v>
      </c>
      <c r="EH73" s="17">
        <f t="shared" ca="1" si="110"/>
        <v>-34958222.885705404</v>
      </c>
      <c r="EJ73" s="16">
        <f t="shared" ca="1" si="97"/>
        <v>0</v>
      </c>
      <c r="EK73" s="32" t="str">
        <f>IF(VLOOKUP(BO73,Fundamentus!A:U,3,FALSE)&lt;15,"Bom",IF(VLOOKUP(BO73,Fundamentus!A:U,3,FALSE)&gt;15,"Ruim","n/a"))</f>
        <v>Bom</v>
      </c>
      <c r="EL73" s="28" t="str">
        <f>IF(VLOOKUP(BO73,Fundamentus!A:U,4,FALSE)&lt;1,"Baixo",IF(VLOOKUP(BO73,Fundamentus!A:U,4,FALSE)&lt;1.5,"Moderado",IF(VLOOKUP(BO73,Fundamentus!A:U,4,FALSE)&gt;1.5,"Alto","n/a")))</f>
        <v>Baixo</v>
      </c>
      <c r="EM73" s="17" t="str">
        <f>IF(VLOOKUP(BO73,Fundamentus!A:U,8,FALSE)&lt;0,"Risco elevado",IF(VLOOKUP(BO73,Fundamentus!A:U,8,FALSE)&lt;1,"Saudável",IF(VLOOKUP(BO73,Fundamentus!A:U,8,FALSE)&lt;3,"Estável",IF(VLOOKUP(BO73,Fundamentus!A:U,8,FALSE)&gt;3,"Alerta","n/a"))))</f>
        <v>Risco elevado</v>
      </c>
      <c r="EN73" s="28" t="str">
        <f t="shared" si="111"/>
        <v>Bom</v>
      </c>
      <c r="EO73" s="17" t="str">
        <f>IF(VLOOKUP(BO73,Fundamentus!A:U,12,FALSE)&lt;2,"Subvalorizada",IF(VLOOKUP(BO73,Fundamentus!A:U,12,FALSE)&lt;6,"Muita barata",IF(VLOOKUP(BO73,Fundamentus!A:U,12,FALSE)&lt;6,"Barata",IF(VLOOKUP(BO73,Fundamentus!A:U,12,FALSE)&lt;8,"Atrativa",IF(VLOOKUP(BO73,Fundamentus!A:U,12,FALSE)&gt;8,"Supervalorizada","n/a")))))</f>
        <v>Supervalorizada</v>
      </c>
      <c r="EQ73" s="17" t="str">
        <f>IF(VLOOKUP(BO73,Fundamentus!A:U,17,FALSE)&lt;0.1,"Fraco retorno",IF(VLOOKUP(BO73,Fundamentus!A:U,17,FALSE)&gt;0.1,"Bom retorno","n/a"))</f>
        <v>Fraco retorno</v>
      </c>
      <c r="ER73" s="17" t="str">
        <f>IF(VLOOKUP(BO73,Fundamentus!A:U,16,FALSE)&lt;0.1,"Ineficiente",IF(VLOOKUP(BO73,Fundamentus!A:U,16,FALSE)&gt;0.1,"Eficiente","n/a"))</f>
        <v>Ineficiente</v>
      </c>
      <c r="ES73" s="33" t="str">
        <f>IF(VLOOKUP(BO73,Fundamentus!A:U,16,FALSE)&lt;0.1,"Oper. Ineficiente",IF(VLOOKUP(BO73,Fundamentus!A:U,16,FALSE)&gt;0.1,"Oper.Eficiente","n/a"))</f>
        <v>Oper. Ineficiente</v>
      </c>
      <c r="ET73" s="34">
        <f>VLOOKUP(BO73,Fundamentus!A:U,14,FALSE)</f>
        <v>-0.37469999999999998</v>
      </c>
      <c r="EU73" s="17" t="str">
        <f>IF(VLOOKUP(BO73,Fundamentus!A:U,21,FALSE)&lt;0,"Negativo",IF(VLOOKUP(BO73,Fundamentus!A:U,21,FALSE)&lt;0.05,"Fraco",IF(VLOOKUP(BO73,Fundamentus!A:U,21,FALSE)&lt;0.1,"Bom",IF(VLOOKUP(BO73,Fundamentus!A:U,21,FALSE)&gt;0.1,"Muito bom","n/a"))))</f>
        <v>Muito bom</v>
      </c>
      <c r="EW73" s="29" t="str">
        <f>IF(VLOOKUP(BO73,Fundamentus!A:U,15,FALSE)&gt;1,"Bom",IF(VLOOKUP(BO73,Fundamentus!A:U,15,FALSE)&lt;1,"Ruim","n/a"))</f>
        <v>Ruim</v>
      </c>
      <c r="EX73" s="17" t="str">
        <f>IF(VLOOKUP(BO73,Fundamentus!A:U,20,FALSE)&lt;0.5,"Baixa",IF(VLOOKUP(BO73,Fundamentus!A:U,20,FALSE)&lt;1,"Moderada",IF(VLOOKUP(BO73,Fundamentus!A:U,20,FALSE)&lt;2,"Alerta",IF(VLOOKUP(BO73,Fundamentus!A:U,20,FALSE)&gt;2,"Alta","n/a"))))</f>
        <v>Alerta</v>
      </c>
      <c r="EY73" s="10"/>
    </row>
    <row r="74" spans="1:155" s="2" customFormat="1" ht="11.25"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5">
        <v>2.21</v>
      </c>
      <c r="BC74" s="52">
        <v>2.2200000000000002</v>
      </c>
      <c r="BD74" s="52">
        <v>2.2400000000000002</v>
      </c>
      <c r="BE74" s="52">
        <v>2.37</v>
      </c>
      <c r="BF74" s="52">
        <v>2.54</v>
      </c>
      <c r="BG74" s="67">
        <v>2.31</v>
      </c>
      <c r="BH74" s="52">
        <v>2.29</v>
      </c>
      <c r="BI74" s="52">
        <v>2.35</v>
      </c>
      <c r="BJ74" s="52">
        <v>2.4900000000000002</v>
      </c>
      <c r="BK74" s="52">
        <v>2.37</v>
      </c>
      <c r="BL74" s="52">
        <v>2.39</v>
      </c>
      <c r="BM74" s="52">
        <v>2.42</v>
      </c>
      <c r="BN74" s="52" cm="1">
        <f t="array" aca="1" ref="BN74" ca="1">_FV(EB74,"Preço")</f>
        <v>2.42</v>
      </c>
      <c r="BO74" s="69" t="s">
        <v>71</v>
      </c>
      <c r="BP74" s="36" cm="1">
        <f t="array" aca="1" ref="BP74" ca="1">_FV(EB74,"Média de volume",TRUE)</f>
        <v>9684720</v>
      </c>
      <c r="BQ74" s="36">
        <v>6245900</v>
      </c>
      <c r="BR74" s="36" cm="1">
        <f t="array" aca="1" ref="BR74" ca="1">_FV(EB74,"Volume")</f>
        <v>6245900</v>
      </c>
      <c r="BS74" s="24" cm="1">
        <f t="array" aca="1" ref="BS74" ca="1">_FV(EB74,"Beta")</f>
        <v>2.4611000000000001</v>
      </c>
      <c r="BT74" s="71" cm="1">
        <f t="array" aca="1" ref="BT74" ca="1">_FV(EB74,"Variação (%)",TRUE)</f>
        <v>8.3330000000000001E-3</v>
      </c>
      <c r="BV74" s="17" cm="1">
        <f t="array" aca="1" ref="BV74" ca="1">_FV(EB74,"Baixo")</f>
        <v>2.38</v>
      </c>
      <c r="BW74" s="17" cm="1">
        <f t="array" aca="1" ref="BW74" ca="1">_FV(EB74,"Alto")</f>
        <v>2.4500000000000002</v>
      </c>
      <c r="BX74" s="24"/>
      <c r="BY74" s="63" t="e">
        <f ca="1">SQRT(22.5*(BN74/VLOOKUP(BO74,Fundamentus!A:U,3,FALSE))*(BN74/VLOOKUP(BO74,Fundamentus!A:U,4,FALSE)))</f>
        <v>#NUM!</v>
      </c>
      <c r="CA74" s="62">
        <f t="shared" ca="1" si="112"/>
        <v>0</v>
      </c>
      <c r="CB74" s="8"/>
      <c r="CC74" s="61">
        <f t="shared" si="113"/>
        <v>1.4</v>
      </c>
      <c r="CD74" s="61">
        <f t="shared" si="114"/>
        <v>2.54</v>
      </c>
      <c r="CE74" s="61">
        <f t="shared" si="115"/>
        <v>2.045692307692307</v>
      </c>
      <c r="CF74" s="14"/>
      <c r="CG74" s="35">
        <f t="shared" si="98"/>
        <v>2.2790329730067032</v>
      </c>
      <c r="CH74" s="15">
        <f t="shared" si="116"/>
        <v>2.3700000000000045</v>
      </c>
      <c r="CI74" s="35">
        <f t="shared" si="99"/>
        <v>2.4609670269933059</v>
      </c>
      <c r="CK74" s="14"/>
      <c r="CL74" s="17">
        <f t="shared" si="100"/>
        <v>0.53999999999999959</v>
      </c>
      <c r="CM74" s="17">
        <f t="shared" si="101"/>
        <v>0.96999999999999975</v>
      </c>
      <c r="CN74" s="17">
        <f t="shared" si="102"/>
        <v>1.6799999999999997</v>
      </c>
      <c r="CO74" s="38">
        <f t="shared" si="117"/>
        <v>2.11</v>
      </c>
      <c r="CP74" s="17">
        <f t="shared" si="103"/>
        <v>2.82</v>
      </c>
      <c r="CQ74" s="17">
        <f t="shared" si="104"/>
        <v>3.25</v>
      </c>
      <c r="CR74" s="17">
        <f t="shared" si="105"/>
        <v>3.96</v>
      </c>
      <c r="CS74" s="2" cm="1">
        <f t="array" aca="1" ref="CS74" ca="1">MAX(_xlfn._xlws.FILTER(CL74:CR74,CL74:CR74&lt;BN74))</f>
        <v>2.11</v>
      </c>
      <c r="CT74" s="2" cm="1">
        <f t="array" aca="1" ref="CT74" ca="1">MIN(_xlfn._xlws.FILTER($CL74:$CR74,$CL74:$CR74&gt;BN74))</f>
        <v>2.82</v>
      </c>
      <c r="CU74" s="16">
        <f t="shared" ca="1" si="80"/>
        <v>0.3364928909952607</v>
      </c>
      <c r="CV74" s="20">
        <f t="shared" ca="1" si="81"/>
        <v>-0.16824644549763035</v>
      </c>
      <c r="CW74" s="20">
        <f t="shared" ca="1" si="82"/>
        <v>-0.11216429699842023</v>
      </c>
      <c r="CX74" s="20">
        <f t="shared" ca="1" si="83"/>
        <v>-6.7298578199052134E-2</v>
      </c>
      <c r="CY74" s="20">
        <f t="shared" ca="1" si="84"/>
        <v>-3.7388098999473408E-2</v>
      </c>
      <c r="CZ74" s="20">
        <f t="shared" ca="1" si="85"/>
        <v>-1.9793699470309453E-2</v>
      </c>
      <c r="DA74" s="20">
        <f t="shared" ca="1" si="86"/>
        <v>-1.0196754272583658E-2</v>
      </c>
      <c r="DB74" s="20">
        <f t="shared" ca="1" si="87"/>
        <v>-5.1768137076193951E-3</v>
      </c>
      <c r="DC74" s="21">
        <f t="shared" ca="1" si="88"/>
        <v>5.1768137076193951E-3</v>
      </c>
      <c r="DD74" s="21">
        <f t="shared" ca="1" si="89"/>
        <v>1.0196754272583658E-2</v>
      </c>
      <c r="DE74" s="21">
        <f t="shared" ca="1" si="90"/>
        <v>1.9793699470309453E-2</v>
      </c>
      <c r="DF74" s="21">
        <f t="shared" ca="1" si="91"/>
        <v>3.7388098999473408E-2</v>
      </c>
      <c r="DG74" s="21">
        <f t="shared" ca="1" si="92"/>
        <v>6.7298578199052134E-2</v>
      </c>
      <c r="DH74" s="21">
        <f t="shared" ca="1" si="93"/>
        <v>0.11216429699842023</v>
      </c>
      <c r="DI74" s="21">
        <f t="shared" ca="1" si="94"/>
        <v>0.16824644549763035</v>
      </c>
      <c r="DK74" s="16" cm="1">
        <f t="array" aca="1" ref="DK74" ca="1">MAX(_xlfn._xlws.FILTER(CV74:DI74,CV74:DI74&lt;BT74))</f>
        <v>5.1768137076193951E-3</v>
      </c>
      <c r="DL74" s="16" cm="1">
        <f t="array" aca="1" ref="DL74" ca="1">MIN(_xlfn._xlws.FILTER(CV74:DI74,CV74:DI74&gt;BT74))</f>
        <v>1.0196754272583658E-2</v>
      </c>
      <c r="DM74" s="2" cm="1">
        <f t="array" aca="1" ref="DM74" ca="1">_FV(EB74,"Fechamento anterior",TRUE)</f>
        <v>2.4</v>
      </c>
      <c r="DN74" s="28">
        <f t="shared" ca="1" si="106"/>
        <v>0.62879621478872849</v>
      </c>
      <c r="DO74" s="15">
        <f t="shared" ca="1" si="95"/>
        <v>2.4124243528982863</v>
      </c>
      <c r="DP74" s="15">
        <f t="shared" ca="1" si="96"/>
        <v>2.4244722102542009</v>
      </c>
      <c r="DQ74" s="9"/>
      <c r="DR74" s="9"/>
      <c r="DS74" s="9"/>
      <c r="DT74" s="89">
        <v>5.0199405649642625E-3</v>
      </c>
      <c r="DU74" s="89">
        <f t="shared" ca="1" si="107"/>
        <v>5.0199405649642625E-3</v>
      </c>
      <c r="DV74" s="72">
        <f t="shared" ca="1" si="108"/>
        <v>0.54964970992926121</v>
      </c>
      <c r="DW74" s="37"/>
      <c r="DX74" s="35">
        <f t="shared" si="118"/>
        <v>4.5483513496650668E-2</v>
      </c>
      <c r="DY74" s="56"/>
      <c r="DZ74" s="56"/>
      <c r="EB74" s="2" t="e" vm="74">
        <v>#VALUE!</v>
      </c>
      <c r="ED74" s="10" cm="1">
        <f t="array" aca="1" ref="ED74" ca="1">_FV(EB74,"Ações em circulação",TRUE)</f>
        <v>525591100</v>
      </c>
      <c r="EE74" s="18">
        <f>VLOOKUP(BO74,Fundamentus!A:U,5,FALSE)</f>
        <v>0.88500000000000001</v>
      </c>
      <c r="EF74" s="2">
        <f t="shared" ca="1" si="109"/>
        <v>1437209561.5819209</v>
      </c>
      <c r="EG74" s="17">
        <v>-76028385.807683617</v>
      </c>
      <c r="EH74" s="17">
        <f t="shared" ca="1" si="110"/>
        <v>-76028385.807683617</v>
      </c>
      <c r="EJ74" s="16">
        <f t="shared" ca="1" si="97"/>
        <v>0</v>
      </c>
      <c r="EK74" s="32" t="str">
        <f>IF(VLOOKUP(BO74,Fundamentus!A:U,3,FALSE)&lt;15,"Bom",IF(VLOOKUP(BO74,Fundamentus!A:U,3,FALSE)&gt;15,"Ruim","n/a"))</f>
        <v>Bom</v>
      </c>
      <c r="EL74" s="28" t="str">
        <f>IF(VLOOKUP(BO74,Fundamentus!A:U,4,FALSE)&lt;1,"Baixo",IF(VLOOKUP(BO74,Fundamentus!A:U,4,FALSE)&lt;1.5,"Moderado",IF(VLOOKUP(BO74,Fundamentus!A:U,4,FALSE)&gt;1.5,"Alto","n/a")))</f>
        <v>Alto</v>
      </c>
      <c r="EM74" s="17" t="str">
        <f>IF(VLOOKUP(BO74,Fundamentus!A:U,8,FALSE)&lt;0,"Risco elevado",IF(VLOOKUP(BO74,Fundamentus!A:U,8,FALSE)&lt;1,"Saudável",IF(VLOOKUP(BO74,Fundamentus!A:U,8,FALSE)&lt;3,"Estável",IF(VLOOKUP(BO74,Fundamentus!A:U,8,FALSE)&gt;3,"Alerta","n/a"))))</f>
        <v>Risco elevado</v>
      </c>
      <c r="EN74" s="28" t="str">
        <f t="shared" si="111"/>
        <v>Ruim</v>
      </c>
      <c r="EO74" s="17" t="str">
        <f>IF(VLOOKUP(BO74,Fundamentus!A:U,12,FALSE)&lt;2,"Subvalorizada",IF(VLOOKUP(BO74,Fundamentus!A:U,12,FALSE)&lt;6,"Muita barata",IF(VLOOKUP(BO74,Fundamentus!A:U,12,FALSE)&lt;6,"Barata",IF(VLOOKUP(BO74,Fundamentus!A:U,12,FALSE)&lt;8,"Atrativa",IF(VLOOKUP(BO74,Fundamentus!A:U,12,FALSE)&gt;8,"Supervalorizada","n/a")))))</f>
        <v>Muita barata</v>
      </c>
      <c r="EQ74" s="17" t="str">
        <f>IF(VLOOKUP(BO74,Fundamentus!A:U,17,FALSE)&lt;0.1,"Fraco retorno",IF(VLOOKUP(BO74,Fundamentus!A:U,17,FALSE)&gt;0.1,"Bom retorno","n/a"))</f>
        <v>Fraco retorno</v>
      </c>
      <c r="ER74" s="17" t="str">
        <f>IF(VLOOKUP(BO74,Fundamentus!A:U,16,FALSE)&lt;0.1,"Ineficiente",IF(VLOOKUP(BO74,Fundamentus!A:U,16,FALSE)&gt;0.1,"Eficiente","n/a"))</f>
        <v>Ineficiente</v>
      </c>
      <c r="ES74" s="33" t="str">
        <f>IF(VLOOKUP(BO74,Fundamentus!A:U,16,FALSE)&lt;0.1,"Oper. Ineficiente",IF(VLOOKUP(BO74,Fundamentus!A:U,16,FALSE)&gt;0.1,"Oper.Eficiente","n/a"))</f>
        <v>Oper. Ineficiente</v>
      </c>
      <c r="ET74" s="34">
        <f>VLOOKUP(BO74,Fundamentus!A:U,14,FALSE)</f>
        <v>-5.2900000000000003E-2</v>
      </c>
      <c r="EU74" s="17" t="str">
        <f>IF(VLOOKUP(BO74,Fundamentus!A:U,21,FALSE)&lt;0,"Negativo",IF(VLOOKUP(BO74,Fundamentus!A:U,21,FALSE)&lt;0.05,"Fraco",IF(VLOOKUP(BO74,Fundamentus!A:U,21,FALSE)&lt;0.1,"Bom",IF(VLOOKUP(BO74,Fundamentus!A:U,21,FALSE)&gt;0.1,"Muito bom","n/a"))))</f>
        <v>Muito bom</v>
      </c>
      <c r="EW74" s="29" t="str">
        <f>IF(VLOOKUP(BO74,Fundamentus!A:U,15,FALSE)&gt;1,"Bom",IF(VLOOKUP(BO74,Fundamentus!A:U,15,FALSE)&lt;1,"Ruim","n/a"))</f>
        <v>Ruim</v>
      </c>
      <c r="EX74" s="17" t="str">
        <f>IF(VLOOKUP(BO74,Fundamentus!A:U,20,FALSE)&lt;0.5,"Baixa",IF(VLOOKUP(BO74,Fundamentus!A:U,20,FALSE)&lt;1,"Moderada",IF(VLOOKUP(BO74,Fundamentus!A:U,20,FALSE)&lt;2,"Alerta",IF(VLOOKUP(BO74,Fundamentus!A:U,20,FALSE)&gt;2,"Alta","n/a"))))</f>
        <v>Alerta</v>
      </c>
      <c r="EY74" s="10"/>
    </row>
    <row r="75" spans="1:155" s="2" customFormat="1" ht="11.25"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5">
        <v>48.03</v>
      </c>
      <c r="BC75" s="52">
        <v>51.8</v>
      </c>
      <c r="BD75" s="52">
        <v>51.55</v>
      </c>
      <c r="BE75" s="52">
        <v>51.91</v>
      </c>
      <c r="BF75" s="52">
        <v>53.21</v>
      </c>
      <c r="BG75" s="67">
        <v>51.72</v>
      </c>
      <c r="BH75" s="52">
        <v>52.5</v>
      </c>
      <c r="BI75" s="52">
        <v>53.51</v>
      </c>
      <c r="BJ75" s="52">
        <v>53.6</v>
      </c>
      <c r="BK75" s="52">
        <v>51.22</v>
      </c>
      <c r="BL75" s="52">
        <v>49</v>
      </c>
      <c r="BM75" s="52">
        <v>48.27</v>
      </c>
      <c r="BN75" s="52" cm="1">
        <f t="array" aca="1" ref="BN75" ca="1">_FV(EB75,"Preço")</f>
        <v>48.27</v>
      </c>
      <c r="BO75" s="69" t="s">
        <v>72</v>
      </c>
      <c r="BP75" s="36" cm="1">
        <f t="array" aca="1" ref="BP75" ca="1">_FV(EB75,"Média de volume",TRUE)</f>
        <v>454120</v>
      </c>
      <c r="BQ75" s="36">
        <v>448200</v>
      </c>
      <c r="BR75" s="36" cm="1">
        <f t="array" aca="1" ref="BR75" ca="1">_FV(EB75,"Volume")</f>
        <v>448200</v>
      </c>
      <c r="BS75" s="24" cm="1">
        <f t="array" aca="1" ref="BS75" ca="1">_FV(EB75,"Beta")</f>
        <v>0.91520000000000001</v>
      </c>
      <c r="BT75" s="71" cm="1">
        <f t="array" aca="1" ref="BT75" ca="1">_FV(EB75,"Variação (%)",TRUE)</f>
        <v>1.1102000000000001E-2</v>
      </c>
      <c r="BV75" s="17" cm="1">
        <f t="array" aca="1" ref="BV75" ca="1">_FV(EB75,"Baixo")</f>
        <v>47.53</v>
      </c>
      <c r="BW75" s="17" cm="1">
        <f t="array" aca="1" ref="BW75" ca="1">_FV(EB75,"Alto")</f>
        <v>48.65</v>
      </c>
      <c r="BX75" s="24"/>
      <c r="BY75" s="63">
        <f ca="1">SQRT(22.5*(BN75/VLOOKUP(BO75,Fundamentus!A:U,3,FALSE))*(BN75/VLOOKUP(BO75,Fundamentus!A:U,4,FALSE)))</f>
        <v>7.3898917383496894</v>
      </c>
      <c r="CA75" s="62">
        <f t="shared" ca="1" si="112"/>
        <v>0</v>
      </c>
      <c r="CB75" s="8"/>
      <c r="CC75" s="61">
        <f t="shared" si="113"/>
        <v>36.76</v>
      </c>
      <c r="CD75" s="61">
        <f t="shared" si="114"/>
        <v>53.6</v>
      </c>
      <c r="CE75" s="61">
        <f t="shared" si="115"/>
        <v>44.352538461538458</v>
      </c>
      <c r="CF75" s="14"/>
      <c r="CG75" s="35">
        <f t="shared" si="98"/>
        <v>41.804753908830179</v>
      </c>
      <c r="CH75" s="15">
        <f t="shared" si="116"/>
        <v>45.969999999999345</v>
      </c>
      <c r="CI75" s="35">
        <f t="shared" si="99"/>
        <v>50.135246091168511</v>
      </c>
      <c r="CK75" s="14"/>
      <c r="CL75" s="17">
        <f t="shared" si="100"/>
        <v>22.466666666666676</v>
      </c>
      <c r="CM75" s="17">
        <f t="shared" si="101"/>
        <v>29.613333333333337</v>
      </c>
      <c r="CN75" s="17">
        <f t="shared" si="102"/>
        <v>39.306666666666679</v>
      </c>
      <c r="CO75" s="38">
        <f t="shared" si="117"/>
        <v>46.45333333333334</v>
      </c>
      <c r="CP75" s="17">
        <f t="shared" si="103"/>
        <v>56.146666666666682</v>
      </c>
      <c r="CQ75" s="17">
        <f t="shared" si="104"/>
        <v>63.293333333333344</v>
      </c>
      <c r="CR75" s="17">
        <f t="shared" si="105"/>
        <v>72.986666666666679</v>
      </c>
      <c r="CS75" s="2" cm="1">
        <f t="array" aca="1" ref="CS75" ca="1">MAX(_xlfn._xlws.FILTER(CL75:CR75,CL75:CR75&lt;BN75))</f>
        <v>46.45333333333334</v>
      </c>
      <c r="CT75" s="2" cm="1">
        <f t="array" aca="1" ref="CT75" ca="1">MIN(_xlfn._xlws.FILTER($CL75:$CR75,$CL75:$CR75&gt;BN75))</f>
        <v>56.146666666666682</v>
      </c>
      <c r="CU75" s="16">
        <f t="shared" ca="1" si="80"/>
        <v>0.20866819747416776</v>
      </c>
      <c r="CV75" s="20">
        <f t="shared" ca="1" si="81"/>
        <v>-0.10433409873708388</v>
      </c>
      <c r="CW75" s="20">
        <f t="shared" ca="1" si="82"/>
        <v>-6.9556065824722582E-2</v>
      </c>
      <c r="CX75" s="20">
        <f t="shared" ca="1" si="83"/>
        <v>-4.1733639494833552E-2</v>
      </c>
      <c r="CY75" s="20">
        <f t="shared" ca="1" si="84"/>
        <v>-2.3185355274907529E-2</v>
      </c>
      <c r="CZ75" s="20">
        <f t="shared" ca="1" si="85"/>
        <v>-1.2274599851421633E-2</v>
      </c>
      <c r="DA75" s="20">
        <f t="shared" ca="1" si="86"/>
        <v>-6.3232787113384169E-3</v>
      </c>
      <c r="DB75" s="20">
        <f t="shared" ca="1" si="87"/>
        <v>-3.2102799611410425E-3</v>
      </c>
      <c r="DC75" s="21">
        <f t="shared" ca="1" si="88"/>
        <v>3.2102799611410425E-3</v>
      </c>
      <c r="DD75" s="21">
        <f t="shared" ca="1" si="89"/>
        <v>6.3232787113384169E-3</v>
      </c>
      <c r="DE75" s="21">
        <f t="shared" ca="1" si="90"/>
        <v>1.2274599851421633E-2</v>
      </c>
      <c r="DF75" s="21">
        <f t="shared" ca="1" si="91"/>
        <v>2.3185355274907529E-2</v>
      </c>
      <c r="DG75" s="21">
        <f t="shared" ca="1" si="92"/>
        <v>4.1733639494833552E-2</v>
      </c>
      <c r="DH75" s="21">
        <f t="shared" ca="1" si="93"/>
        <v>6.9556065824722582E-2</v>
      </c>
      <c r="DI75" s="21">
        <f t="shared" ca="1" si="94"/>
        <v>0.10433409873708388</v>
      </c>
      <c r="DK75" s="16" cm="1">
        <f t="array" aca="1" ref="DK75" ca="1">MAX(_xlfn._xlws.FILTER(CV75:DI75,CV75:DI75&lt;BT75))</f>
        <v>6.3232787113384169E-3</v>
      </c>
      <c r="DL75" s="16" cm="1">
        <f t="array" aca="1" ref="DL75" ca="1">MIN(_xlfn._xlws.FILTER(CV75:DI75,CV75:DI75&gt;BT75))</f>
        <v>1.2274599851421633E-2</v>
      </c>
      <c r="DM75" s="2" cm="1">
        <f t="array" aca="1" ref="DM75" ca="1">_FV(EB75,"Fechamento anterior",TRUE)</f>
        <v>47.74</v>
      </c>
      <c r="DN75" s="28">
        <f t="shared" ca="1" si="106"/>
        <v>0.80293477709671623</v>
      </c>
      <c r="DO75" s="15">
        <f t="shared" ca="1" si="95"/>
        <v>48.041873325679298</v>
      </c>
      <c r="DP75" s="15">
        <f t="shared" ca="1" si="96"/>
        <v>48.32598939690687</v>
      </c>
      <c r="DQ75" s="9"/>
      <c r="DR75" s="9"/>
      <c r="DS75" s="9"/>
      <c r="DT75" s="89">
        <v>5.9513211400832166E-3</v>
      </c>
      <c r="DU75" s="89">
        <f t="shared" ca="1" si="107"/>
        <v>5.9513211400832166E-3</v>
      </c>
      <c r="DV75" s="72">
        <f t="shared" ca="1" si="108"/>
        <v>0.55218826202776849</v>
      </c>
      <c r="DW75" s="37"/>
      <c r="DX75" s="35">
        <f t="shared" si="118"/>
        <v>2.0826230455845813</v>
      </c>
      <c r="DY75" s="56"/>
      <c r="DZ75" s="56"/>
      <c r="EB75" s="2" t="e" vm="75">
        <v>#VALUE!</v>
      </c>
      <c r="ED75" s="10" cm="1">
        <f t="array" aca="1" ref="ED75" ca="1">_FV(EB75,"Ações em circulação",TRUE)</f>
        <v>88656280</v>
      </c>
      <c r="EE75" s="18">
        <f>VLOOKUP(BO75,Fundamentus!A:U,5,FALSE)</f>
        <v>4.9589999999999996</v>
      </c>
      <c r="EF75" s="2">
        <f t="shared" ca="1" si="109"/>
        <v>862964032.18390822</v>
      </c>
      <c r="EG75" s="17">
        <v>37625231.803218402</v>
      </c>
      <c r="EH75" s="17">
        <f t="shared" ca="1" si="110"/>
        <v>37625231.803218402</v>
      </c>
      <c r="EJ75" s="16">
        <f t="shared" ca="1" si="97"/>
        <v>0</v>
      </c>
      <c r="EK75" s="32" t="str">
        <f>IF(VLOOKUP(BO75,Fundamentus!A:U,3,FALSE)&lt;15,"Bom",IF(VLOOKUP(BO75,Fundamentus!A:U,3,FALSE)&gt;15,"Ruim","n/a"))</f>
        <v>Ruim</v>
      </c>
      <c r="EL75" s="28" t="str">
        <f>IF(VLOOKUP(BO75,Fundamentus!A:U,4,FALSE)&lt;1,"Baixo",IF(VLOOKUP(BO75,Fundamentus!A:U,4,FALSE)&lt;1.5,"Moderado",IF(VLOOKUP(BO75,Fundamentus!A:U,4,FALSE)&gt;1.5,"Alto","n/a")))</f>
        <v>Alto</v>
      </c>
      <c r="EM75" s="17" t="str">
        <f>IF(VLOOKUP(BO75,Fundamentus!A:U,8,FALSE)&lt;0,"Risco elevado",IF(VLOOKUP(BO75,Fundamentus!A:U,8,FALSE)&lt;1,"Saudável",IF(VLOOKUP(BO75,Fundamentus!A:U,8,FALSE)&lt;3,"Estável",IF(VLOOKUP(BO75,Fundamentus!A:U,8,FALSE)&gt;3,"Alerta","n/a"))))</f>
        <v>Alerta</v>
      </c>
      <c r="EN75" s="28" t="str">
        <f t="shared" si="111"/>
        <v>Bom</v>
      </c>
      <c r="EO75" s="17" t="str">
        <f>IF(VLOOKUP(BO75,Fundamentus!A:U,12,FALSE)&lt;2,"Subvalorizada",IF(VLOOKUP(BO75,Fundamentus!A:U,12,FALSE)&lt;6,"Muita barata",IF(VLOOKUP(BO75,Fundamentus!A:U,12,FALSE)&lt;6,"Barata",IF(VLOOKUP(BO75,Fundamentus!A:U,12,FALSE)&lt;8,"Atrativa",IF(VLOOKUP(BO75,Fundamentus!A:U,12,FALSE)&gt;8,"Supervalorizada","n/a")))))</f>
        <v>Supervalorizada</v>
      </c>
      <c r="EQ75" s="17" t="str">
        <f>IF(VLOOKUP(BO75,Fundamentus!A:U,17,FALSE)&lt;0.1,"Fraco retorno",IF(VLOOKUP(BO75,Fundamentus!A:U,17,FALSE)&gt;0.1,"Bom retorno","n/a"))</f>
        <v>Fraco retorno</v>
      </c>
      <c r="ER75" s="17" t="str">
        <f>IF(VLOOKUP(BO75,Fundamentus!A:U,16,FALSE)&lt;0.1,"Ineficiente",IF(VLOOKUP(BO75,Fundamentus!A:U,16,FALSE)&gt;0.1,"Eficiente","n/a"))</f>
        <v>Ineficiente</v>
      </c>
      <c r="ES75" s="33" t="str">
        <f>IF(VLOOKUP(BO75,Fundamentus!A:U,16,FALSE)&lt;0.1,"Oper. Ineficiente",IF(VLOOKUP(BO75,Fundamentus!A:U,16,FALSE)&gt;0.1,"Oper.Eficiente","n/a"))</f>
        <v>Oper. Ineficiente</v>
      </c>
      <c r="ET75" s="34">
        <f>VLOOKUP(BO75,Fundamentus!A:U,14,FALSE)</f>
        <v>4.36E-2</v>
      </c>
      <c r="EU75" s="17" t="str">
        <f>IF(VLOOKUP(BO75,Fundamentus!A:U,21,FALSE)&lt;0,"Negativo",IF(VLOOKUP(BO75,Fundamentus!A:U,21,FALSE)&lt;0.05,"Fraco",IF(VLOOKUP(BO75,Fundamentus!A:U,21,FALSE)&lt;0.1,"Bom",IF(VLOOKUP(BO75,Fundamentus!A:U,21,FALSE)&gt;0.1,"Muito bom","n/a"))))</f>
        <v>Muito bom</v>
      </c>
      <c r="EW75" s="29" t="str">
        <f>IF(VLOOKUP(BO75,Fundamentus!A:U,15,FALSE)&gt;1,"Bom",IF(VLOOKUP(BO75,Fundamentus!A:U,15,FALSE)&lt;1,"Ruim","n/a"))</f>
        <v>Bom</v>
      </c>
      <c r="EX75" s="17" t="str">
        <f>IF(VLOOKUP(BO75,Fundamentus!A:U,20,FALSE)&lt;0.5,"Baixa",IF(VLOOKUP(BO75,Fundamentus!A:U,20,FALSE)&lt;1,"Moderada",IF(VLOOKUP(BO75,Fundamentus!A:U,20,FALSE)&lt;2,"Alerta",IF(VLOOKUP(BO75,Fundamentus!A:U,20,FALSE)&gt;2,"Alta","n/a"))))</f>
        <v>Alta</v>
      </c>
      <c r="EY75" s="10"/>
    </row>
    <row r="76" spans="1:155" s="2" customFormat="1" ht="11.25"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5">
        <v>47.32</v>
      </c>
      <c r="BC76" s="52">
        <v>46.76</v>
      </c>
      <c r="BD76" s="52">
        <v>46.45</v>
      </c>
      <c r="BE76" s="52">
        <v>49.16</v>
      </c>
      <c r="BF76" s="52">
        <v>50.79</v>
      </c>
      <c r="BG76" s="67">
        <v>47.05</v>
      </c>
      <c r="BH76" s="52">
        <v>47.32</v>
      </c>
      <c r="BI76" s="52">
        <v>44.28</v>
      </c>
      <c r="BJ76" s="52">
        <v>46.6</v>
      </c>
      <c r="BK76" s="52">
        <v>44.36</v>
      </c>
      <c r="BL76" s="52">
        <v>44.2</v>
      </c>
      <c r="BM76" s="52">
        <v>44.6</v>
      </c>
      <c r="BN76" s="52" cm="1">
        <f t="array" aca="1" ref="BN76" ca="1">_FV(EB76,"Preço")</f>
        <v>44.6</v>
      </c>
      <c r="BO76" s="69" t="s">
        <v>73</v>
      </c>
      <c r="BP76" s="36" cm="1">
        <f t="array" aca="1" ref="BP76" ca="1">_FV(EB76,"Média de volume",TRUE)</f>
        <v>694250</v>
      </c>
      <c r="BQ76" s="36">
        <v>421200</v>
      </c>
      <c r="BR76" s="36" cm="1">
        <f t="array" aca="1" ref="BR76" ca="1">_FV(EB76,"Volume")</f>
        <v>421200</v>
      </c>
      <c r="BS76" s="24" cm="1">
        <f t="array" aca="1" ref="BS76" ca="1">_FV(EB76,"Beta")</f>
        <v>1.4265000000000001</v>
      </c>
      <c r="BT76" s="71" cm="1">
        <f t="array" aca="1" ref="BT76" ca="1">_FV(EB76,"Variação (%)",TRUE)</f>
        <v>-2.2370000000000003E-3</v>
      </c>
      <c r="BV76" s="17" cm="1">
        <f t="array" aca="1" ref="BV76" ca="1">_FV(EB76,"Baixo")</f>
        <v>44.28</v>
      </c>
      <c r="BW76" s="17" cm="1">
        <f t="array" aca="1" ref="BW76" ca="1">_FV(EB76,"Alto")</f>
        <v>44.98</v>
      </c>
      <c r="BX76" s="24"/>
      <c r="BY76" s="63" t="e">
        <f ca="1">SQRT(22.5*(BN76/VLOOKUP(BO76,Fundamentus!A:U,3,FALSE))*(BN76/VLOOKUP(BO76,Fundamentus!A:U,4,FALSE)))</f>
        <v>#NUM!</v>
      </c>
      <c r="CA76" s="62">
        <f t="shared" ca="1" si="112"/>
        <v>0</v>
      </c>
      <c r="CB76" s="8"/>
      <c r="CC76" s="61">
        <f t="shared" si="113"/>
        <v>28.65</v>
      </c>
      <c r="CD76" s="61">
        <f t="shared" si="114"/>
        <v>57.08</v>
      </c>
      <c r="CE76" s="61">
        <f t="shared" si="115"/>
        <v>43.124230769230778</v>
      </c>
      <c r="CF76" s="14"/>
      <c r="CG76" s="35">
        <f t="shared" si="98"/>
        <v>41.462166157793796</v>
      </c>
      <c r="CH76" s="15">
        <f t="shared" si="116"/>
        <v>43.400000000000091</v>
      </c>
      <c r="CI76" s="35">
        <f t="shared" si="99"/>
        <v>45.337833842206386</v>
      </c>
      <c r="CK76" s="14"/>
      <c r="CL76" s="17">
        <f t="shared" si="100"/>
        <v>1.1100000000000065</v>
      </c>
      <c r="CM76" s="17">
        <f t="shared" si="101"/>
        <v>14.880000000000003</v>
      </c>
      <c r="CN76" s="17">
        <f t="shared" si="102"/>
        <v>29.540000000000006</v>
      </c>
      <c r="CO76" s="38">
        <f t="shared" si="117"/>
        <v>43.31</v>
      </c>
      <c r="CP76" s="17">
        <f t="shared" si="103"/>
        <v>57.970000000000006</v>
      </c>
      <c r="CQ76" s="17">
        <f t="shared" si="104"/>
        <v>71.740000000000009</v>
      </c>
      <c r="CR76" s="17">
        <f t="shared" si="105"/>
        <v>86.4</v>
      </c>
      <c r="CS76" s="2" cm="1">
        <f t="array" aca="1" ref="CS76" ca="1">MAX(_xlfn._xlws.FILTER(CL76:CR76,CL76:CR76&lt;BN76))</f>
        <v>43.31</v>
      </c>
      <c r="CT76" s="2" cm="1">
        <f t="array" aca="1" ref="CT76" ca="1">MIN(_xlfn._xlws.FILTER($CL76:$CR76,$CL76:$CR76&gt;BN76))</f>
        <v>57.970000000000006</v>
      </c>
      <c r="CU76" s="16">
        <f t="shared" ca="1" si="80"/>
        <v>0.33848995613022392</v>
      </c>
      <c r="CV76" s="20">
        <f t="shared" ca="1" si="81"/>
        <v>-0.16924497806511196</v>
      </c>
      <c r="CW76" s="20">
        <f t="shared" ca="1" si="82"/>
        <v>-0.11282998537674131</v>
      </c>
      <c r="CX76" s="20">
        <f t="shared" ca="1" si="83"/>
        <v>-6.7697991226044779E-2</v>
      </c>
      <c r="CY76" s="20">
        <f t="shared" ca="1" si="84"/>
        <v>-3.7609995125580435E-2</v>
      </c>
      <c r="CZ76" s="20">
        <f t="shared" ca="1" si="85"/>
        <v>-1.9911173890013172E-2</v>
      </c>
      <c r="DA76" s="20">
        <f t="shared" ca="1" si="86"/>
        <v>-1.0257271397885574E-2</v>
      </c>
      <c r="DB76" s="20">
        <f t="shared" ca="1" si="87"/>
        <v>-5.2075377866188299E-3</v>
      </c>
      <c r="DC76" s="21">
        <f t="shared" ca="1" si="88"/>
        <v>5.2075377866188299E-3</v>
      </c>
      <c r="DD76" s="21">
        <f t="shared" ca="1" si="89"/>
        <v>1.0257271397885574E-2</v>
      </c>
      <c r="DE76" s="21">
        <f t="shared" ca="1" si="90"/>
        <v>1.9911173890013172E-2</v>
      </c>
      <c r="DF76" s="21">
        <f t="shared" ca="1" si="91"/>
        <v>3.7609995125580435E-2</v>
      </c>
      <c r="DG76" s="21">
        <f t="shared" ca="1" si="92"/>
        <v>6.7697991226044779E-2</v>
      </c>
      <c r="DH76" s="21">
        <f t="shared" ca="1" si="93"/>
        <v>0.11282998537674131</v>
      </c>
      <c r="DI76" s="21">
        <f t="shared" ca="1" si="94"/>
        <v>0.16924497806511196</v>
      </c>
      <c r="DK76" s="16" cm="1">
        <f t="array" aca="1" ref="DK76" ca="1">MAX(_xlfn._xlws.FILTER(CV76:DI76,CV76:DI76&lt;BT76))</f>
        <v>-5.2075377866188299E-3</v>
      </c>
      <c r="DL76" s="16" cm="1">
        <f t="array" aca="1" ref="DL76" ca="1">MIN(_xlfn._xlws.FILTER(CV76:DI76,CV76:DI76&gt;BT76))</f>
        <v>5.2075377866188299E-3</v>
      </c>
      <c r="DM76" s="2" cm="1">
        <f t="array" aca="1" ref="DM76" ca="1">_FV(EB76,"Fechamento anterior",TRUE)</f>
        <v>44.7</v>
      </c>
      <c r="DN76" s="28">
        <f t="shared" ca="1" si="106"/>
        <v>0.28520209002871877</v>
      </c>
      <c r="DO76" s="15">
        <f t="shared" ca="1" si="95"/>
        <v>44.467223060938139</v>
      </c>
      <c r="DP76" s="15">
        <f t="shared" ca="1" si="96"/>
        <v>44.932776939061867</v>
      </c>
      <c r="DQ76" s="9"/>
      <c r="DR76" s="9"/>
      <c r="DS76" s="9"/>
      <c r="DT76" s="89">
        <v>1.041507557323766E-2</v>
      </c>
      <c r="DU76" s="89">
        <f t="shared" ca="1" si="107"/>
        <v>1.041507557323766E-2</v>
      </c>
      <c r="DV76" s="72">
        <f t="shared" ca="1" si="108"/>
        <v>0.61924813875356111</v>
      </c>
      <c r="DW76" s="37"/>
      <c r="DX76" s="35">
        <f t="shared" si="118"/>
        <v>0.96891692110314598</v>
      </c>
      <c r="DY76" s="56"/>
      <c r="DZ76" s="56"/>
      <c r="EB76" s="2" t="e" vm="76">
        <v>#VALUE!</v>
      </c>
      <c r="ED76" s="10" cm="1">
        <f t="array" aca="1" ref="ED76" ca="1">_FV(EB76,"Ações em circulação",TRUE)</f>
        <v>81842890</v>
      </c>
      <c r="EE76" s="18">
        <f>VLOOKUP(BO76,Fundamentus!A:U,5,FALSE)</f>
        <v>0.61</v>
      </c>
      <c r="EF76" s="2">
        <f t="shared" ca="1" si="109"/>
        <v>5983922777.04918</v>
      </c>
      <c r="EG76" s="17">
        <v>-102325079.48754098</v>
      </c>
      <c r="EH76" s="17">
        <f t="shared" ca="1" si="110"/>
        <v>-102325079.48754098</v>
      </c>
      <c r="EJ76" s="16">
        <f t="shared" ca="1" si="97"/>
        <v>0</v>
      </c>
      <c r="EK76" s="32" t="str">
        <f>IF(VLOOKUP(BO76,Fundamentus!A:U,3,FALSE)&lt;15,"Bom",IF(VLOOKUP(BO76,Fundamentus!A:U,3,FALSE)&gt;15,"Ruim","n/a"))</f>
        <v>Bom</v>
      </c>
      <c r="EL76" s="28" t="str">
        <f>IF(VLOOKUP(BO76,Fundamentus!A:U,4,FALSE)&lt;1,"Baixo",IF(VLOOKUP(BO76,Fundamentus!A:U,4,FALSE)&lt;1.5,"Moderado",IF(VLOOKUP(BO76,Fundamentus!A:U,4,FALSE)&gt;1.5,"Alto","n/a")))</f>
        <v>Baixo</v>
      </c>
      <c r="EM76" s="17" t="str">
        <f>IF(VLOOKUP(BO76,Fundamentus!A:U,8,FALSE)&lt;0,"Risco elevado",IF(VLOOKUP(BO76,Fundamentus!A:U,8,FALSE)&lt;1,"Saudável",IF(VLOOKUP(BO76,Fundamentus!A:U,8,FALSE)&lt;3,"Estável",IF(VLOOKUP(BO76,Fundamentus!A:U,8,FALSE)&gt;3,"Alerta","n/a"))))</f>
        <v>Saudável</v>
      </c>
      <c r="EN76" s="28" t="str">
        <f t="shared" si="111"/>
        <v>Ruim</v>
      </c>
      <c r="EO76" s="17" t="str">
        <f>IF(VLOOKUP(BO76,Fundamentus!A:U,12,FALSE)&lt;2,"Subvalorizada",IF(VLOOKUP(BO76,Fundamentus!A:U,12,FALSE)&lt;6,"Muita barata",IF(VLOOKUP(BO76,Fundamentus!A:U,12,FALSE)&lt;6,"Barata",IF(VLOOKUP(BO76,Fundamentus!A:U,12,FALSE)&lt;8,"Atrativa",IF(VLOOKUP(BO76,Fundamentus!A:U,12,FALSE)&gt;8,"Supervalorizada","n/a")))))</f>
        <v>Subvalorizada</v>
      </c>
      <c r="EQ76" s="17" t="str">
        <f>IF(VLOOKUP(BO76,Fundamentus!A:U,17,FALSE)&lt;0.1,"Fraco retorno",IF(VLOOKUP(BO76,Fundamentus!A:U,17,FALSE)&gt;0.1,"Bom retorno","n/a"))</f>
        <v>Fraco retorno</v>
      </c>
      <c r="ER76" s="17" t="str">
        <f>IF(VLOOKUP(BO76,Fundamentus!A:U,16,FALSE)&lt;0.1,"Ineficiente",IF(VLOOKUP(BO76,Fundamentus!A:U,16,FALSE)&gt;0.1,"Eficiente","n/a"))</f>
        <v>Ineficiente</v>
      </c>
      <c r="ES76" s="33" t="str">
        <f>IF(VLOOKUP(BO76,Fundamentus!A:U,16,FALSE)&lt;0.1,"Oper. Ineficiente",IF(VLOOKUP(BO76,Fundamentus!A:U,16,FALSE)&gt;0.1,"Oper.Eficiente","n/a"))</f>
        <v>Oper. Ineficiente</v>
      </c>
      <c r="ET76" s="34">
        <f>VLOOKUP(BO76,Fundamentus!A:U,14,FALSE)</f>
        <v>-1.7100000000000001E-2</v>
      </c>
      <c r="EU76" s="17" t="str">
        <f>IF(VLOOKUP(BO76,Fundamentus!A:U,21,FALSE)&lt;0,"Negativo",IF(VLOOKUP(BO76,Fundamentus!A:U,21,FALSE)&lt;0.05,"Fraco",IF(VLOOKUP(BO76,Fundamentus!A:U,21,FALSE)&lt;0.1,"Bom",IF(VLOOKUP(BO76,Fundamentus!A:U,21,FALSE)&gt;0.1,"Muito bom","n/a"))))</f>
        <v>Fraco</v>
      </c>
      <c r="EW76" s="29" t="str">
        <f>IF(VLOOKUP(BO76,Fundamentus!A:U,15,FALSE)&gt;1,"Bom",IF(VLOOKUP(BO76,Fundamentus!A:U,15,FALSE)&lt;1,"Ruim","n/a"))</f>
        <v>Ruim</v>
      </c>
      <c r="EX76" s="17" t="str">
        <f>IF(VLOOKUP(BO76,Fundamentus!A:U,20,FALSE)&lt;0.5,"Baixa",IF(VLOOKUP(BO76,Fundamentus!A:U,20,FALSE)&lt;1,"Moderada",IF(VLOOKUP(BO76,Fundamentus!A:U,20,FALSE)&lt;2,"Alerta",IF(VLOOKUP(BO76,Fundamentus!A:U,20,FALSE)&gt;2,"Alta","n/a"))))</f>
        <v>Baixa</v>
      </c>
      <c r="EY76" s="10"/>
    </row>
    <row r="77" spans="1:155" s="2" customFormat="1" ht="11.25"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5">
        <v>14.07</v>
      </c>
      <c r="BC77" s="52">
        <v>15.38</v>
      </c>
      <c r="BD77" s="52">
        <v>14.57</v>
      </c>
      <c r="BE77" s="52">
        <v>14.62</v>
      </c>
      <c r="BF77" s="52">
        <v>14.42</v>
      </c>
      <c r="BG77" s="67">
        <v>14.65</v>
      </c>
      <c r="BH77" s="52">
        <v>14.05</v>
      </c>
      <c r="BI77" s="52">
        <v>14.1</v>
      </c>
      <c r="BJ77" s="52">
        <v>14.5</v>
      </c>
      <c r="BK77" s="52">
        <v>14.3</v>
      </c>
      <c r="BL77" s="52">
        <v>14.14</v>
      </c>
      <c r="BM77" s="52">
        <v>13.91</v>
      </c>
      <c r="BN77" s="52" cm="1">
        <f t="array" aca="1" ref="BN77" ca="1">_FV(EB77,"Preço")</f>
        <v>13.91</v>
      </c>
      <c r="BO77" s="69" t="s">
        <v>74</v>
      </c>
      <c r="BP77" s="36" cm="1">
        <f t="array" aca="1" ref="BP77" ca="1">_FV(EB77,"Média de volume",TRUE)</f>
        <v>10810</v>
      </c>
      <c r="BQ77" s="36">
        <v>24300</v>
      </c>
      <c r="BR77" s="36" cm="1">
        <f t="array" aca="1" ref="BR77" ca="1">_FV(EB77,"Volume")</f>
        <v>24300</v>
      </c>
      <c r="BS77" s="24" cm="1">
        <f t="array" aca="1" ref="BS77" ca="1">_FV(EB77,"Beta")</f>
        <v>0.51749999999999996</v>
      </c>
      <c r="BT77" s="71" cm="1">
        <f t="array" aca="1" ref="BT77" ca="1">_FV(EB77,"Variação (%)",TRUE)</f>
        <v>-1.3474999999999999E-2</v>
      </c>
      <c r="BV77" s="17" cm="1">
        <f t="array" aca="1" ref="BV77" ca="1">_FV(EB77,"Baixo")</f>
        <v>13.91</v>
      </c>
      <c r="BW77" s="17" cm="1">
        <f t="array" aca="1" ref="BW77" ca="1">_FV(EB77,"Alto")</f>
        <v>14.33</v>
      </c>
      <c r="BX77" s="24"/>
      <c r="BY77" s="63">
        <f ca="1">SQRT(22.5*(BN77/VLOOKUP(BO77,Fundamentus!A:U,3,FALSE))*(BN77/VLOOKUP(BO77,Fundamentus!A:U,4,FALSE)))</f>
        <v>37.663436612688521</v>
      </c>
      <c r="CA77" s="62">
        <f t="shared" ca="1" si="112"/>
        <v>0</v>
      </c>
      <c r="CB77" s="8"/>
      <c r="CC77" s="61">
        <f t="shared" si="113"/>
        <v>9.85</v>
      </c>
      <c r="CD77" s="61">
        <f t="shared" si="114"/>
        <v>15.86</v>
      </c>
      <c r="CE77" s="61">
        <f t="shared" si="115"/>
        <v>13.37915384615385</v>
      </c>
      <c r="CF77" s="14"/>
      <c r="CG77" s="35">
        <f t="shared" si="98"/>
        <v>13.297478324242606</v>
      </c>
      <c r="CH77" s="15">
        <f t="shared" si="116"/>
        <v>13.730000000000018</v>
      </c>
      <c r="CI77" s="35">
        <f t="shared" si="99"/>
        <v>14.16252167575743</v>
      </c>
      <c r="CK77" s="14"/>
      <c r="CL77" s="17">
        <f t="shared" si="100"/>
        <v>4.6966666666666672</v>
      </c>
      <c r="CM77" s="17">
        <f t="shared" si="101"/>
        <v>7.2733333333333334</v>
      </c>
      <c r="CN77" s="17">
        <f t="shared" si="102"/>
        <v>10.706666666666667</v>
      </c>
      <c r="CO77" s="38">
        <f t="shared" si="117"/>
        <v>13.283333333333333</v>
      </c>
      <c r="CP77" s="17">
        <f t="shared" si="103"/>
        <v>16.716666666666669</v>
      </c>
      <c r="CQ77" s="17">
        <f t="shared" si="104"/>
        <v>19.293333333333333</v>
      </c>
      <c r="CR77" s="17">
        <f t="shared" si="105"/>
        <v>22.726666666666667</v>
      </c>
      <c r="CS77" s="2" cm="1">
        <f t="array" aca="1" ref="CS77" ca="1">MAX(_xlfn._xlws.FILTER(CL77:CR77,CL77:CR77&lt;BN77))</f>
        <v>13.283333333333333</v>
      </c>
      <c r="CT77" s="2" cm="1">
        <f t="array" aca="1" ref="CT77" ca="1">MIN(_xlfn._xlws.FILTER($CL77:$CR77,$CL77:$CR77&gt;BN77))</f>
        <v>16.716666666666669</v>
      </c>
      <c r="CU77" s="16">
        <f t="shared" ca="1" si="80"/>
        <v>0.25846925972396506</v>
      </c>
      <c r="CV77" s="20">
        <f t="shared" ca="1" si="81"/>
        <v>-0.12923462986198253</v>
      </c>
      <c r="CW77" s="20">
        <f t="shared" ca="1" si="82"/>
        <v>-8.6156419907988349E-2</v>
      </c>
      <c r="CX77" s="20">
        <f t="shared" ca="1" si="83"/>
        <v>-5.1693851944793014E-2</v>
      </c>
      <c r="CY77" s="20">
        <f t="shared" ca="1" si="84"/>
        <v>-2.8718806635996116E-2</v>
      </c>
      <c r="CZ77" s="20">
        <f t="shared" ca="1" si="85"/>
        <v>-1.520407410140971E-2</v>
      </c>
      <c r="DA77" s="20">
        <f t="shared" ca="1" si="86"/>
        <v>-7.8324018098171223E-3</v>
      </c>
      <c r="DB77" s="20">
        <f t="shared" ca="1" si="87"/>
        <v>-3.9764501495994625E-3</v>
      </c>
      <c r="DC77" s="21">
        <f t="shared" ca="1" si="88"/>
        <v>3.9764501495994625E-3</v>
      </c>
      <c r="DD77" s="21">
        <f t="shared" ca="1" si="89"/>
        <v>7.8324018098171223E-3</v>
      </c>
      <c r="DE77" s="21">
        <f t="shared" ca="1" si="90"/>
        <v>1.520407410140971E-2</v>
      </c>
      <c r="DF77" s="21">
        <f t="shared" ca="1" si="91"/>
        <v>2.8718806635996116E-2</v>
      </c>
      <c r="DG77" s="21">
        <f t="shared" ca="1" si="92"/>
        <v>5.1693851944793014E-2</v>
      </c>
      <c r="DH77" s="21">
        <f t="shared" ca="1" si="93"/>
        <v>8.6156419907988349E-2</v>
      </c>
      <c r="DI77" s="21">
        <f t="shared" ca="1" si="94"/>
        <v>0.12923462986198253</v>
      </c>
      <c r="DK77" s="16" cm="1">
        <f t="array" aca="1" ref="DK77" ca="1">MAX(_xlfn._xlws.FILTER(CV77:DI77,CV77:DI77&lt;BT77))</f>
        <v>-1.520407410140971E-2</v>
      </c>
      <c r="DL77" s="16" cm="1">
        <f t="array" aca="1" ref="DL77" ca="1">MIN(_xlfn._xlws.FILTER(CV77:DI77,CV77:DI77&gt;BT77))</f>
        <v>-7.8324018098171223E-3</v>
      </c>
      <c r="DM77" s="2" cm="1">
        <f t="array" aca="1" ref="DM77" ca="1">_FV(EB77,"Fechamento anterior",TRUE)</f>
        <v>14.1</v>
      </c>
      <c r="DN77" s="28">
        <f t="shared" ca="1" si="106"/>
        <v>0.23453250877918269</v>
      </c>
      <c r="DO77" s="15">
        <f t="shared" ca="1" si="95"/>
        <v>13.885622555170123</v>
      </c>
      <c r="DP77" s="15">
        <f t="shared" ca="1" si="96"/>
        <v>13.989563134481578</v>
      </c>
      <c r="DQ77" s="9"/>
      <c r="DR77" s="9"/>
      <c r="DS77" s="9"/>
      <c r="DT77" s="89">
        <v>7.3716722915925879E-3</v>
      </c>
      <c r="DU77" s="89">
        <f t="shared" ca="1" si="107"/>
        <v>7.3716722915925879E-3</v>
      </c>
      <c r="DV77" s="72">
        <f t="shared" ca="1" si="108"/>
        <v>0.41616411405225917</v>
      </c>
      <c r="DW77" s="37"/>
      <c r="DX77" s="35">
        <f t="shared" si="118"/>
        <v>0.21626083787870606</v>
      </c>
      <c r="DY77" s="56"/>
      <c r="DZ77" s="56"/>
      <c r="EB77" s="2" t="e" vm="77">
        <v>#VALUE!</v>
      </c>
      <c r="ED77" s="10" cm="1">
        <f t="array" aca="1" ref="ED77" ca="1">_FV(EB77,"Ações em circulação",TRUE)</f>
        <v>22500000</v>
      </c>
      <c r="EE77" s="18">
        <f>VLOOKUP(BO77,Fundamentus!A:U,5,FALSE)</f>
        <v>0.53200000000000003</v>
      </c>
      <c r="EF77" s="2">
        <f t="shared" ca="1" si="109"/>
        <v>588298872.18045115</v>
      </c>
      <c r="EG77" s="17">
        <v>94892608.082706764</v>
      </c>
      <c r="EH77" s="17">
        <f t="shared" ca="1" si="110"/>
        <v>94892608.082706764</v>
      </c>
      <c r="EJ77" s="16">
        <f t="shared" ca="1" si="97"/>
        <v>0</v>
      </c>
      <c r="EK77" s="32" t="str">
        <f>IF(VLOOKUP(BO77,Fundamentus!A:U,3,FALSE)&lt;15,"Bom",IF(VLOOKUP(BO77,Fundamentus!A:U,3,FALSE)&gt;15,"Ruim","n/a"))</f>
        <v>Bom</v>
      </c>
      <c r="EL77" s="28" t="str">
        <f>IF(VLOOKUP(BO77,Fundamentus!A:U,4,FALSE)&lt;1,"Baixo",IF(VLOOKUP(BO77,Fundamentus!A:U,4,FALSE)&lt;1.5,"Moderado",IF(VLOOKUP(BO77,Fundamentus!A:U,4,FALSE)&gt;1.5,"Alto","n/a")))</f>
        <v>Baixo</v>
      </c>
      <c r="EM77" s="17" t="str">
        <f>IF(VLOOKUP(BO77,Fundamentus!A:U,8,FALSE)&lt;0,"Risco elevado",IF(VLOOKUP(BO77,Fundamentus!A:U,8,FALSE)&lt;1,"Saudável",IF(VLOOKUP(BO77,Fundamentus!A:U,8,FALSE)&lt;3,"Estável",IF(VLOOKUP(BO77,Fundamentus!A:U,8,FALSE)&gt;3,"Alerta","n/a"))))</f>
        <v>Alerta</v>
      </c>
      <c r="EN77" s="28" t="str">
        <f t="shared" si="111"/>
        <v>Ruim</v>
      </c>
      <c r="EO77" s="17" t="str">
        <f>IF(VLOOKUP(BO77,Fundamentus!A:U,12,FALSE)&lt;2,"Subvalorizada",IF(VLOOKUP(BO77,Fundamentus!A:U,12,FALSE)&lt;6,"Muita barata",IF(VLOOKUP(BO77,Fundamentus!A:U,12,FALSE)&lt;6,"Barata",IF(VLOOKUP(BO77,Fundamentus!A:U,12,FALSE)&lt;8,"Atrativa",IF(VLOOKUP(BO77,Fundamentus!A:U,12,FALSE)&gt;8,"Supervalorizada","n/a")))))</f>
        <v>Muita barata</v>
      </c>
      <c r="EQ77" s="17" t="str">
        <f>IF(VLOOKUP(BO77,Fundamentus!A:U,17,FALSE)&lt;0.1,"Fraco retorno",IF(VLOOKUP(BO77,Fundamentus!A:U,17,FALSE)&gt;0.1,"Bom retorno","n/a"))</f>
        <v>Bom retorno</v>
      </c>
      <c r="ER77" s="17" t="str">
        <f>IF(VLOOKUP(BO77,Fundamentus!A:U,16,FALSE)&lt;0.1,"Ineficiente",IF(VLOOKUP(BO77,Fundamentus!A:U,16,FALSE)&gt;0.1,"Eficiente","n/a"))</f>
        <v>Eficiente</v>
      </c>
      <c r="ES77" s="33" t="str">
        <f>IF(VLOOKUP(BO77,Fundamentus!A:U,16,FALSE)&lt;0.1,"Oper. Ineficiente",IF(VLOOKUP(BO77,Fundamentus!A:U,16,FALSE)&gt;0.1,"Oper.Eficiente","n/a"))</f>
        <v>Oper.Eficiente</v>
      </c>
      <c r="ET77" s="34">
        <f>VLOOKUP(BO77,Fundamentus!A:U,14,FALSE)</f>
        <v>0.1613</v>
      </c>
      <c r="EU77" s="17" t="str">
        <f>IF(VLOOKUP(BO77,Fundamentus!A:U,21,FALSE)&lt;0,"Negativo",IF(VLOOKUP(BO77,Fundamentus!A:U,21,FALSE)&lt;0.05,"Fraco",IF(VLOOKUP(BO77,Fundamentus!A:U,21,FALSE)&lt;0.1,"Bom",IF(VLOOKUP(BO77,Fundamentus!A:U,21,FALSE)&gt;0.1,"Muito bom","n/a"))))</f>
        <v>Muito bom</v>
      </c>
      <c r="EW77" s="29" t="str">
        <f>IF(VLOOKUP(BO77,Fundamentus!A:U,15,FALSE)&gt;1,"Bom",IF(VLOOKUP(BO77,Fundamentus!A:U,15,FALSE)&lt;1,"Ruim","n/a"))</f>
        <v>Bom</v>
      </c>
      <c r="EX77" s="17" t="str">
        <f>IF(VLOOKUP(BO77,Fundamentus!A:U,20,FALSE)&lt;0.5,"Baixa",IF(VLOOKUP(BO77,Fundamentus!A:U,20,FALSE)&lt;1,"Moderada",IF(VLOOKUP(BO77,Fundamentus!A:U,20,FALSE)&lt;2,"Alerta",IF(VLOOKUP(BO77,Fundamentus!A:U,20,FALSE)&gt;2,"Alta","n/a"))))</f>
        <v>Baixa</v>
      </c>
      <c r="EY77" s="10"/>
    </row>
    <row r="78" spans="1:155" s="2" customFormat="1" ht="11.25"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5">
        <v>5.64</v>
      </c>
      <c r="BC78" s="52">
        <v>5.39</v>
      </c>
      <c r="BD78" s="52">
        <v>5.28</v>
      </c>
      <c r="BE78" s="52">
        <v>5.39</v>
      </c>
      <c r="BF78" s="52">
        <v>5.32</v>
      </c>
      <c r="BG78" s="67">
        <v>5.5</v>
      </c>
      <c r="BH78" s="52">
        <v>5.38</v>
      </c>
      <c r="BI78" s="52">
        <v>5.4</v>
      </c>
      <c r="BJ78" s="52">
        <v>5.46</v>
      </c>
      <c r="BK78" s="52">
        <v>5.31</v>
      </c>
      <c r="BL78" s="52">
        <v>5.0999999999999996</v>
      </c>
      <c r="BM78" s="52">
        <v>5.0199999999999996</v>
      </c>
      <c r="BN78" s="52" cm="1">
        <f t="array" aca="1" ref="BN78" ca="1">_FV(EB78,"Preço")</f>
        <v>5.0199999999999996</v>
      </c>
      <c r="BO78" s="69" t="s">
        <v>75</v>
      </c>
      <c r="BP78" s="36" cm="1">
        <f t="array" aca="1" ref="BP78" ca="1">_FV(EB78,"Média de volume",TRUE)</f>
        <v>2447180</v>
      </c>
      <c r="BQ78" s="36">
        <v>1082000</v>
      </c>
      <c r="BR78" s="36" cm="1">
        <f t="array" aca="1" ref="BR78" ca="1">_FV(EB78,"Volume")</f>
        <v>1082000</v>
      </c>
      <c r="BS78" s="24" cm="1">
        <f t="array" aca="1" ref="BS78" ca="1">_FV(EB78,"Beta")</f>
        <v>0.8831</v>
      </c>
      <c r="BT78" s="71" cm="1">
        <f t="array" aca="1" ref="BT78" ca="1">_FV(EB78,"Variação (%)",TRUE)</f>
        <v>-3.9680000000000002E-3</v>
      </c>
      <c r="BV78" s="17" cm="1">
        <f t="array" aca="1" ref="BV78" ca="1">_FV(EB78,"Baixo")</f>
        <v>5.01</v>
      </c>
      <c r="BW78" s="17" cm="1">
        <f t="array" aca="1" ref="BW78" ca="1">_FV(EB78,"Alto")</f>
        <v>5.07</v>
      </c>
      <c r="BX78" s="24"/>
      <c r="BY78" s="63">
        <f ca="1">SQRT(22.5*(BN78/VLOOKUP(BO78,Fundamentus!A:U,3,FALSE))*(BN78/VLOOKUP(BO78,Fundamentus!A:U,4,FALSE)))</f>
        <v>8.5651174481140107</v>
      </c>
      <c r="CA78" s="62">
        <f t="shared" ca="1" si="112"/>
        <v>0</v>
      </c>
      <c r="CB78" s="8"/>
      <c r="CC78" s="61">
        <f t="shared" si="113"/>
        <v>5.01</v>
      </c>
      <c r="CD78" s="61">
        <f t="shared" si="114"/>
        <v>6.44</v>
      </c>
      <c r="CE78" s="61">
        <f t="shared" si="115"/>
        <v>5.6233846153846132</v>
      </c>
      <c r="CF78" s="14"/>
      <c r="CG78" s="35">
        <f t="shared" si="98"/>
        <v>4.4934816022200579</v>
      </c>
      <c r="CH78" s="15">
        <f t="shared" si="116"/>
        <v>4.8400000000000318</v>
      </c>
      <c r="CI78" s="35">
        <f t="shared" si="99"/>
        <v>5.1865183977800058</v>
      </c>
      <c r="CK78" s="14"/>
      <c r="CL78" s="17">
        <f t="shared" si="100"/>
        <v>3.1633333333333304</v>
      </c>
      <c r="CM78" s="17">
        <f t="shared" si="101"/>
        <v>4.0866666666666651</v>
      </c>
      <c r="CN78" s="17">
        <f t="shared" si="102"/>
        <v>4.593333333333331</v>
      </c>
      <c r="CO78" s="38">
        <f t="shared" si="117"/>
        <v>5.5166666666666657</v>
      </c>
      <c r="CP78" s="17">
        <f t="shared" si="103"/>
        <v>6.0233333333333317</v>
      </c>
      <c r="CQ78" s="17">
        <f t="shared" si="104"/>
        <v>6.9466666666666663</v>
      </c>
      <c r="CR78" s="17">
        <f t="shared" si="105"/>
        <v>7.4533333333333323</v>
      </c>
      <c r="CS78" s="2" cm="1">
        <f t="array" aca="1" ref="CS78" ca="1">MAX(_xlfn._xlws.FILTER(CL78:CR78,CL78:CR78&lt;BN78))</f>
        <v>4.593333333333331</v>
      </c>
      <c r="CT78" s="2" cm="1">
        <f t="array" aca="1" ref="CT78" ca="1">MIN(_xlfn._xlws.FILTER($CL78:$CR78,$CL78:$CR78&gt;BN78))</f>
        <v>5.5166666666666657</v>
      </c>
      <c r="CU78" s="16">
        <f t="shared" ca="1" si="80"/>
        <v>0.20101596516690901</v>
      </c>
      <c r="CV78" s="20">
        <f t="shared" ca="1" si="81"/>
        <v>-0.1005079825834545</v>
      </c>
      <c r="CW78" s="20">
        <f t="shared" ca="1" si="82"/>
        <v>-6.7005321722303002E-2</v>
      </c>
      <c r="CX78" s="20">
        <f t="shared" ca="1" si="83"/>
        <v>-4.0203193033381802E-2</v>
      </c>
      <c r="CY78" s="20">
        <f t="shared" ca="1" si="84"/>
        <v>-2.2335107240767666E-2</v>
      </c>
      <c r="CZ78" s="20">
        <f t="shared" ca="1" si="85"/>
        <v>-1.1824468539229941E-2</v>
      </c>
      <c r="DA78" s="20">
        <f t="shared" ca="1" si="86"/>
        <v>-6.0913928838457277E-3</v>
      </c>
      <c r="DB78" s="20">
        <f t="shared" ca="1" si="87"/>
        <v>-3.0925533102601384E-3</v>
      </c>
      <c r="DC78" s="21">
        <f t="shared" ca="1" si="88"/>
        <v>3.0925533102601384E-3</v>
      </c>
      <c r="DD78" s="21">
        <f t="shared" ca="1" si="89"/>
        <v>6.0913928838457277E-3</v>
      </c>
      <c r="DE78" s="21">
        <f t="shared" ca="1" si="90"/>
        <v>1.1824468539229941E-2</v>
      </c>
      <c r="DF78" s="21">
        <f t="shared" ca="1" si="91"/>
        <v>2.2335107240767666E-2</v>
      </c>
      <c r="DG78" s="21">
        <f t="shared" ca="1" si="92"/>
        <v>4.0203193033381802E-2</v>
      </c>
      <c r="DH78" s="21">
        <f t="shared" ca="1" si="93"/>
        <v>6.7005321722303002E-2</v>
      </c>
      <c r="DI78" s="21">
        <f t="shared" ca="1" si="94"/>
        <v>0.1005079825834545</v>
      </c>
      <c r="DK78" s="16" cm="1">
        <f t="array" aca="1" ref="DK78" ca="1">MAX(_xlfn._xlws.FILTER(CV78:DI78,CV78:DI78&lt;BT78))</f>
        <v>-6.0913928838457277E-3</v>
      </c>
      <c r="DL78" s="16" cm="1">
        <f t="array" aca="1" ref="DL78" ca="1">MIN(_xlfn._xlws.FILTER(CV78:DI78,CV78:DI78&gt;BT78))</f>
        <v>-3.0925533102601384E-3</v>
      </c>
      <c r="DM78" s="2" cm="1">
        <f t="array" aca="1" ref="DM78" ca="1">_FV(EB78,"Fechamento anterior",TRUE)</f>
        <v>5.04</v>
      </c>
      <c r="DN78" s="28">
        <f t="shared" ca="1" si="106"/>
        <v>0.70798682740241858</v>
      </c>
      <c r="DO78" s="15">
        <f t="shared" ca="1" si="95"/>
        <v>5.0092993798654177</v>
      </c>
      <c r="DP78" s="15">
        <f t="shared" ca="1" si="96"/>
        <v>5.0244135313162888</v>
      </c>
      <c r="DQ78" s="9"/>
      <c r="DR78" s="9"/>
      <c r="DS78" s="9"/>
      <c r="DT78" s="89">
        <v>2.9988395735855893E-3</v>
      </c>
      <c r="DU78" s="89">
        <f t="shared" ca="1" si="107"/>
        <v>2.9988395735855893E-3</v>
      </c>
      <c r="DV78" s="72">
        <f t="shared" ca="1" si="108"/>
        <v>0.51945293858325214</v>
      </c>
      <c r="DW78" s="37"/>
      <c r="DX78" s="35">
        <f t="shared" si="118"/>
        <v>0.17325919888998692</v>
      </c>
      <c r="DY78" s="56"/>
      <c r="DZ78" s="56"/>
      <c r="EB78" s="2" t="e" vm="78">
        <v>#VALUE!</v>
      </c>
      <c r="ED78" s="10" cm="1">
        <f t="array" aca="1" ref="ED78" ca="1">_FV(EB78,"Ações em circulação",TRUE)</f>
        <v>902160000</v>
      </c>
      <c r="EE78" s="18">
        <f>VLOOKUP(BO78,Fundamentus!A:U,5,FALSE)</f>
        <v>1.7509999999999999</v>
      </c>
      <c r="EF78" s="2">
        <f t="shared" ca="1" si="109"/>
        <v>2586432438.6065106</v>
      </c>
      <c r="EG78" s="17">
        <v>691094747.59565961</v>
      </c>
      <c r="EH78" s="17">
        <f t="shared" ca="1" si="110"/>
        <v>691094747.59565961</v>
      </c>
      <c r="EJ78" s="16">
        <f t="shared" ca="1" si="97"/>
        <v>0</v>
      </c>
      <c r="EK78" s="32" t="str">
        <f>IF(VLOOKUP(BO78,Fundamentus!A:U,3,FALSE)&lt;15,"Bom",IF(VLOOKUP(BO78,Fundamentus!A:U,3,FALSE)&gt;15,"Ruim","n/a"))</f>
        <v>Bom</v>
      </c>
      <c r="EL78" s="28" t="str">
        <f>IF(VLOOKUP(BO78,Fundamentus!A:U,4,FALSE)&lt;1,"Baixo",IF(VLOOKUP(BO78,Fundamentus!A:U,4,FALSE)&lt;1.5,"Moderado",IF(VLOOKUP(BO78,Fundamentus!A:U,4,FALSE)&gt;1.5,"Alto","n/a")))</f>
        <v>Moderado</v>
      </c>
      <c r="EM78" s="17" t="str">
        <f>IF(VLOOKUP(BO78,Fundamentus!A:U,8,FALSE)&lt;0,"Risco elevado",IF(VLOOKUP(BO78,Fundamentus!A:U,8,FALSE)&lt;1,"Saudável",IF(VLOOKUP(BO78,Fundamentus!A:U,8,FALSE)&lt;3,"Estável",IF(VLOOKUP(BO78,Fundamentus!A:U,8,FALSE)&gt;3,"Alerta","n/a"))))</f>
        <v>Estável</v>
      </c>
      <c r="EN78" s="28" t="str">
        <f t="shared" si="111"/>
        <v>Bom</v>
      </c>
      <c r="EO78" s="17" t="str">
        <f>IF(VLOOKUP(BO78,Fundamentus!A:U,12,FALSE)&lt;2,"Subvalorizada",IF(VLOOKUP(BO78,Fundamentus!A:U,12,FALSE)&lt;6,"Muita barata",IF(VLOOKUP(BO78,Fundamentus!A:U,12,FALSE)&lt;6,"Barata",IF(VLOOKUP(BO78,Fundamentus!A:U,12,FALSE)&lt;8,"Atrativa",IF(VLOOKUP(BO78,Fundamentus!A:U,12,FALSE)&gt;8,"Supervalorizada","n/a")))))</f>
        <v>Muita barata</v>
      </c>
      <c r="EQ78" s="17" t="str">
        <f>IF(VLOOKUP(BO78,Fundamentus!A:U,17,FALSE)&lt;0.1,"Fraco retorno",IF(VLOOKUP(BO78,Fundamentus!A:U,17,FALSE)&gt;0.1,"Bom retorno","n/a"))</f>
        <v>Bom retorno</v>
      </c>
      <c r="ER78" s="17" t="str">
        <f>IF(VLOOKUP(BO78,Fundamentus!A:U,16,FALSE)&lt;0.1,"Ineficiente",IF(VLOOKUP(BO78,Fundamentus!A:U,16,FALSE)&gt;0.1,"Eficiente","n/a"))</f>
        <v>Eficiente</v>
      </c>
      <c r="ES78" s="33" t="str">
        <f>IF(VLOOKUP(BO78,Fundamentus!A:U,16,FALSE)&lt;0.1,"Oper. Ineficiente",IF(VLOOKUP(BO78,Fundamentus!A:U,16,FALSE)&gt;0.1,"Oper.Eficiente","n/a"))</f>
        <v>Oper.Eficiente</v>
      </c>
      <c r="ET78" s="34">
        <f>VLOOKUP(BO78,Fundamentus!A:U,14,FALSE)</f>
        <v>0.26719999999999999</v>
      </c>
      <c r="EU78" s="17" t="str">
        <f>IF(VLOOKUP(BO78,Fundamentus!A:U,21,FALSE)&lt;0,"Negativo",IF(VLOOKUP(BO78,Fundamentus!A:U,21,FALSE)&lt;0.05,"Fraco",IF(VLOOKUP(BO78,Fundamentus!A:U,21,FALSE)&lt;0.1,"Bom",IF(VLOOKUP(BO78,Fundamentus!A:U,21,FALSE)&gt;0.1,"Muito bom","n/a"))))</f>
        <v>Bom</v>
      </c>
      <c r="EW78" s="29" t="str">
        <f>IF(VLOOKUP(BO78,Fundamentus!A:U,15,FALSE)&gt;1,"Bom",IF(VLOOKUP(BO78,Fundamentus!A:U,15,FALSE)&lt;1,"Ruim","n/a"))</f>
        <v>Bom</v>
      </c>
      <c r="EX78" s="17" t="str">
        <f>IF(VLOOKUP(BO78,Fundamentus!A:U,20,FALSE)&lt;0.5,"Baixa",IF(VLOOKUP(BO78,Fundamentus!A:U,20,FALSE)&lt;1,"Moderada",IF(VLOOKUP(BO78,Fundamentus!A:U,20,FALSE)&lt;2,"Alerta",IF(VLOOKUP(BO78,Fundamentus!A:U,20,FALSE)&gt;2,"Alta","n/a"))))</f>
        <v>Baixa</v>
      </c>
      <c r="EY78" s="10"/>
    </row>
    <row r="79" spans="1:155" s="2" customFormat="1" ht="11.25"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5">
        <v>7.89</v>
      </c>
      <c r="BC79" s="52">
        <v>7.74</v>
      </c>
      <c r="BD79" s="52">
        <v>8.57</v>
      </c>
      <c r="BE79" s="52">
        <v>9.1</v>
      </c>
      <c r="BF79" s="52">
        <v>8.19</v>
      </c>
      <c r="BG79" s="67">
        <v>8.15</v>
      </c>
      <c r="BH79" s="52">
        <v>8.1999999999999993</v>
      </c>
      <c r="BI79" s="52">
        <v>8.07</v>
      </c>
      <c r="BJ79" s="52">
        <v>7.8</v>
      </c>
      <c r="BK79" s="52">
        <v>7.43</v>
      </c>
      <c r="BL79" s="52">
        <v>7.6</v>
      </c>
      <c r="BM79" s="52">
        <v>7.93</v>
      </c>
      <c r="BN79" s="52" cm="1">
        <f t="array" aca="1" ref="BN79" ca="1">_FV(EB79,"Preço")</f>
        <v>7.93</v>
      </c>
      <c r="BO79" s="69" t="s">
        <v>76</v>
      </c>
      <c r="BP79" s="36" cm="1">
        <f t="array" aca="1" ref="BP79" ca="1">_FV(EB79,"Média de volume",TRUE)</f>
        <v>1805780</v>
      </c>
      <c r="BQ79" s="36">
        <v>1080700</v>
      </c>
      <c r="BR79" s="36" cm="1">
        <f t="array" aca="1" ref="BR79" ca="1">_FV(EB79,"Volume")</f>
        <v>1080700</v>
      </c>
      <c r="BS79" s="24" cm="1">
        <f t="array" aca="1" ref="BS79" ca="1">_FV(EB79,"Beta")</f>
        <v>1.5217000000000001</v>
      </c>
      <c r="BT79" s="71" cm="1">
        <f t="array" aca="1" ref="BT79" ca="1">_FV(EB79,"Variação (%)",TRUE)</f>
        <v>2.5873E-2</v>
      </c>
      <c r="BV79" s="17" cm="1">
        <f t="array" aca="1" ref="BV79" ca="1">_FV(EB79,"Baixo")</f>
        <v>7.7</v>
      </c>
      <c r="BW79" s="17" cm="1">
        <f t="array" aca="1" ref="BW79" ca="1">_FV(EB79,"Alto")</f>
        <v>7.93</v>
      </c>
      <c r="BX79" s="24"/>
      <c r="BY79" s="63">
        <f ca="1">SQRT(22.5*(BN79/VLOOKUP(BO79,Fundamentus!A:U,3,FALSE))*(BN79/VLOOKUP(BO79,Fundamentus!A:U,4,FALSE)))</f>
        <v>9.240246049738662</v>
      </c>
      <c r="CA79" s="62">
        <f t="shared" ca="1" si="112"/>
        <v>0</v>
      </c>
      <c r="CB79" s="8"/>
      <c r="CC79" s="61">
        <f t="shared" si="113"/>
        <v>6.18</v>
      </c>
      <c r="CD79" s="61">
        <f t="shared" si="114"/>
        <v>10.72</v>
      </c>
      <c r="CE79" s="61">
        <f t="shared" si="115"/>
        <v>8.1779999999999955</v>
      </c>
      <c r="CF79" s="14"/>
      <c r="CG79" s="35">
        <f t="shared" si="98"/>
        <v>7.4486864807012321</v>
      </c>
      <c r="CH79" s="15">
        <f t="shared" si="116"/>
        <v>7.8299999999999841</v>
      </c>
      <c r="CI79" s="35">
        <f t="shared" si="99"/>
        <v>8.2113135192987361</v>
      </c>
      <c r="CK79" s="14"/>
      <c r="CL79" s="17">
        <f t="shared" si="100"/>
        <v>1.0733333333333306</v>
      </c>
      <c r="CM79" s="17">
        <f t="shared" si="101"/>
        <v>3.6266666666666652</v>
      </c>
      <c r="CN79" s="17">
        <f t="shared" si="102"/>
        <v>5.6133333333333315</v>
      </c>
      <c r="CO79" s="38">
        <f t="shared" si="117"/>
        <v>8.1666666666666661</v>
      </c>
      <c r="CP79" s="17">
        <f t="shared" si="103"/>
        <v>10.153333333333332</v>
      </c>
      <c r="CQ79" s="17">
        <f t="shared" si="104"/>
        <v>12.706666666666667</v>
      </c>
      <c r="CR79" s="17">
        <f t="shared" si="105"/>
        <v>14.693333333333333</v>
      </c>
      <c r="CS79" s="2" cm="1">
        <f t="array" aca="1" ref="CS79" ca="1">MAX(_xlfn._xlws.FILTER(CL79:CR79,CL79:CR79&lt;BN79))</f>
        <v>5.6133333333333315</v>
      </c>
      <c r="CT79" s="2" cm="1">
        <f t="array" aca="1" ref="CT79" ca="1">MIN(_xlfn._xlws.FILTER($CL79:$CR79,$CL79:$CR79&gt;BN79))</f>
        <v>8.1666666666666661</v>
      </c>
      <c r="CU79" s="16">
        <f t="shared" ca="1" si="80"/>
        <v>0.45486935866983402</v>
      </c>
      <c r="CV79" s="20">
        <f t="shared" ca="1" si="81"/>
        <v>-0.22743467933491701</v>
      </c>
      <c r="CW79" s="20">
        <f t="shared" ca="1" si="82"/>
        <v>-0.15162311955661134</v>
      </c>
      <c r="CX79" s="20">
        <f t="shared" ca="1" si="83"/>
        <v>-9.0973871733966802E-2</v>
      </c>
      <c r="CY79" s="20">
        <f t="shared" ca="1" si="84"/>
        <v>-5.0541039852203783E-2</v>
      </c>
      <c r="CZ79" s="20">
        <f t="shared" ca="1" si="85"/>
        <v>-2.6757021098225531E-2</v>
      </c>
      <c r="DA79" s="20">
        <f t="shared" ca="1" si="86"/>
        <v>-1.3783919959691941E-2</v>
      </c>
      <c r="DB79" s="20">
        <f t="shared" ca="1" si="87"/>
        <v>-6.9979901333820623E-3</v>
      </c>
      <c r="DC79" s="21">
        <f t="shared" ca="1" si="88"/>
        <v>6.9979901333820623E-3</v>
      </c>
      <c r="DD79" s="21">
        <f t="shared" ca="1" si="89"/>
        <v>1.3783919959691941E-2</v>
      </c>
      <c r="DE79" s="21">
        <f t="shared" ca="1" si="90"/>
        <v>2.6757021098225531E-2</v>
      </c>
      <c r="DF79" s="21">
        <f t="shared" ca="1" si="91"/>
        <v>5.0541039852203783E-2</v>
      </c>
      <c r="DG79" s="21">
        <f t="shared" ca="1" si="92"/>
        <v>9.0973871733966802E-2</v>
      </c>
      <c r="DH79" s="21">
        <f t="shared" ca="1" si="93"/>
        <v>0.15162311955661134</v>
      </c>
      <c r="DI79" s="21">
        <f t="shared" ca="1" si="94"/>
        <v>0.22743467933491701</v>
      </c>
      <c r="DK79" s="16" cm="1">
        <f t="array" aca="1" ref="DK79" ca="1">MAX(_xlfn._xlws.FILTER(CV79:DI79,CV79:DI79&lt;BT79))</f>
        <v>1.3783919959691941E-2</v>
      </c>
      <c r="DL79" s="16" cm="1">
        <f t="array" aca="1" ref="DL79" ca="1">MIN(_xlfn._xlws.FILTER(CV79:DI79,CV79:DI79&gt;BT79))</f>
        <v>2.6757021098225531E-2</v>
      </c>
      <c r="DM79" s="2" cm="1">
        <f t="array" aca="1" ref="DM79" ca="1">_FV(EB79,"Fechamento anterior",TRUE)</f>
        <v>7.73</v>
      </c>
      <c r="DN79" s="28">
        <f t="shared" ca="1" si="106"/>
        <v>0.93187443212331733</v>
      </c>
      <c r="DO79" s="15">
        <f t="shared" ca="1" si="95"/>
        <v>7.8365497012884191</v>
      </c>
      <c r="DP79" s="15">
        <f t="shared" ca="1" si="96"/>
        <v>7.9368317730892839</v>
      </c>
      <c r="DQ79" s="9"/>
      <c r="DR79" s="9"/>
      <c r="DS79" s="9"/>
      <c r="DT79" s="89">
        <v>1.297310113853359E-2</v>
      </c>
      <c r="DU79" s="89">
        <f t="shared" ca="1" si="107"/>
        <v>1.297310113853359E-2</v>
      </c>
      <c r="DV79" s="72">
        <f t="shared" ca="1" si="108"/>
        <v>0.26225138878872928</v>
      </c>
      <c r="DW79" s="37"/>
      <c r="DX79" s="35">
        <f t="shared" si="118"/>
        <v>0.1906567596493762</v>
      </c>
      <c r="DY79" s="56"/>
      <c r="DZ79" s="56"/>
      <c r="EB79" s="2" t="e" vm="79">
        <v>#VALUE!</v>
      </c>
      <c r="ED79" s="10" cm="1">
        <f t="array" aca="1" ref="ED79" ca="1">_FV(EB79,"Ações em circulação",TRUE)</f>
        <v>611509500</v>
      </c>
      <c r="EE79" s="18">
        <f>VLOOKUP(BO79,Fundamentus!A:U,5,FALSE)</f>
        <v>0</v>
      </c>
      <c r="EF79" s="2" t="e">
        <f t="shared" ca="1" si="109"/>
        <v>#DIV/0!</v>
      </c>
      <c r="EG79" s="17" t="e">
        <v>#DIV/0!</v>
      </c>
      <c r="EH79" s="17" t="e">
        <f t="shared" ca="1" si="110"/>
        <v>#DIV/0!</v>
      </c>
      <c r="EJ79" s="16" t="e">
        <f t="shared" ca="1" si="97"/>
        <v>#DIV/0!</v>
      </c>
      <c r="EK79" s="32" t="str">
        <f>IF(VLOOKUP(BO79,Fundamentus!A:U,3,FALSE)&lt;15,"Bom",IF(VLOOKUP(BO79,Fundamentus!A:U,3,FALSE)&gt;15,"Ruim","n/a"))</f>
        <v>Bom</v>
      </c>
      <c r="EL79" s="28" t="str">
        <f>IF(VLOOKUP(BO79,Fundamentus!A:U,4,FALSE)&lt;1,"Baixo",IF(VLOOKUP(BO79,Fundamentus!A:U,4,FALSE)&lt;1.5,"Moderado",IF(VLOOKUP(BO79,Fundamentus!A:U,4,FALSE)&gt;1.5,"Alto","n/a")))</f>
        <v>Moderado</v>
      </c>
      <c r="EM79" s="17" t="str">
        <f>IF(VLOOKUP(BO79,Fundamentus!A:U,8,FALSE)&lt;0,"Risco elevado",IF(VLOOKUP(BO79,Fundamentus!A:U,8,FALSE)&lt;1,"Saudável",IF(VLOOKUP(BO79,Fundamentus!A:U,8,FALSE)&lt;3,"Estável",IF(VLOOKUP(BO79,Fundamentus!A:U,8,FALSE)&gt;3,"Alerta","n/a"))))</f>
        <v>Saudável</v>
      </c>
      <c r="EN79" s="28" t="str">
        <f t="shared" si="111"/>
        <v>Ruim</v>
      </c>
      <c r="EO79" s="17" t="str">
        <f>IF(VLOOKUP(BO79,Fundamentus!A:U,12,FALSE)&lt;2,"Subvalorizada",IF(VLOOKUP(BO79,Fundamentus!A:U,12,FALSE)&lt;6,"Muita barata",IF(VLOOKUP(BO79,Fundamentus!A:U,12,FALSE)&lt;6,"Barata",IF(VLOOKUP(BO79,Fundamentus!A:U,12,FALSE)&lt;8,"Atrativa",IF(VLOOKUP(BO79,Fundamentus!A:U,12,FALSE)&gt;8,"Supervalorizada","n/a")))))</f>
        <v>Subvalorizada</v>
      </c>
      <c r="EQ79" s="17" t="str">
        <f>IF(VLOOKUP(BO79,Fundamentus!A:U,17,FALSE)&lt;0.1,"Fraco retorno",IF(VLOOKUP(BO79,Fundamentus!A:U,17,FALSE)&gt;0.1,"Bom retorno","n/a"))</f>
        <v>Bom retorno</v>
      </c>
      <c r="ER79" s="17" t="str">
        <f>IF(VLOOKUP(BO79,Fundamentus!A:U,16,FALSE)&lt;0.1,"Ineficiente",IF(VLOOKUP(BO79,Fundamentus!A:U,16,FALSE)&gt;0.1,"Eficiente","n/a"))</f>
        <v>Ineficiente</v>
      </c>
      <c r="ES79" s="33" t="str">
        <f>IF(VLOOKUP(BO79,Fundamentus!A:U,16,FALSE)&lt;0.1,"Oper. Ineficiente",IF(VLOOKUP(BO79,Fundamentus!A:U,16,FALSE)&gt;0.1,"Oper.Eficiente","n/a"))</f>
        <v>Oper. Ineficiente</v>
      </c>
      <c r="ET79" s="34">
        <f>VLOOKUP(BO79,Fundamentus!A:U,14,FALSE)</f>
        <v>0</v>
      </c>
      <c r="EU79" s="17" t="str">
        <f>IF(VLOOKUP(BO79,Fundamentus!A:U,21,FALSE)&lt;0,"Negativo",IF(VLOOKUP(BO79,Fundamentus!A:U,21,FALSE)&lt;0.05,"Fraco",IF(VLOOKUP(BO79,Fundamentus!A:U,21,FALSE)&lt;0.1,"Bom",IF(VLOOKUP(BO79,Fundamentus!A:U,21,FALSE)&gt;0.1,"Muito bom","n/a"))))</f>
        <v>Fraco</v>
      </c>
      <c r="EW79" s="29" t="str">
        <f>IF(VLOOKUP(BO79,Fundamentus!A:U,15,FALSE)&gt;1,"Bom",IF(VLOOKUP(BO79,Fundamentus!A:U,15,FALSE)&lt;1,"Ruim","n/a"))</f>
        <v>Ruim</v>
      </c>
      <c r="EX79" s="17" t="str">
        <f>IF(VLOOKUP(BO79,Fundamentus!A:U,20,FALSE)&lt;0.5,"Baixa",IF(VLOOKUP(BO79,Fundamentus!A:U,20,FALSE)&lt;1,"Moderada",IF(VLOOKUP(BO79,Fundamentus!A:U,20,FALSE)&lt;2,"Alerta",IF(VLOOKUP(BO79,Fundamentus!A:U,20,FALSE)&gt;2,"Alta","n/a"))))</f>
        <v>Baixa</v>
      </c>
      <c r="EY79" s="10"/>
    </row>
    <row r="80" spans="1:155" s="2" customFormat="1" ht="11.25"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5">
        <v>42.21</v>
      </c>
      <c r="BC80" s="52">
        <v>44.17</v>
      </c>
      <c r="BD80" s="52">
        <v>43.69</v>
      </c>
      <c r="BE80" s="52">
        <v>42.35</v>
      </c>
      <c r="BF80" s="52">
        <v>42.57</v>
      </c>
      <c r="BG80" s="67">
        <v>42.39</v>
      </c>
      <c r="BH80" s="52">
        <v>41.64</v>
      </c>
      <c r="BI80" s="52">
        <v>42.35</v>
      </c>
      <c r="BJ80" s="52">
        <v>43</v>
      </c>
      <c r="BK80" s="52">
        <v>39.450000000000003</v>
      </c>
      <c r="BL80" s="52">
        <v>42.37</v>
      </c>
      <c r="BM80" s="52">
        <v>36.17</v>
      </c>
      <c r="BN80" s="52" cm="1">
        <f t="array" aca="1" ref="BN80" ca="1">_FV(EB80,"Preço")</f>
        <v>36.17</v>
      </c>
      <c r="BO80" s="69" t="s">
        <v>77</v>
      </c>
      <c r="BP80" s="36" cm="1">
        <f t="array" aca="1" ref="BP80" ca="1">_FV(EB80,"Média de volume",TRUE)</f>
        <v>15194050</v>
      </c>
      <c r="BQ80" s="36">
        <v>19052300</v>
      </c>
      <c r="BR80" s="36" cm="1">
        <f t="array" aca="1" ref="BR80" ca="1">_FV(EB80,"Volume")</f>
        <v>19052300</v>
      </c>
      <c r="BS80" s="24" cm="1">
        <f t="array" aca="1" ref="BS80" ca="1">_FV(EB80,"Beta")</f>
        <v>0.36130000000000001</v>
      </c>
      <c r="BT80" s="71" cm="1">
        <f t="array" aca="1" ref="BT80" ca="1">_FV(EB80,"Variação (%)",TRUE)</f>
        <v>-1.6559999999999999E-3</v>
      </c>
      <c r="BV80" s="17" cm="1">
        <f t="array" aca="1" ref="BV80" ca="1">_FV(EB80,"Baixo")</f>
        <v>35.94</v>
      </c>
      <c r="BW80" s="17" cm="1">
        <f t="array" aca="1" ref="BW80" ca="1">_FV(EB80,"Alto")</f>
        <v>36.6</v>
      </c>
      <c r="BX80" s="24"/>
      <c r="BY80" s="63">
        <f ca="1">SQRT(22.5*(BN80/VLOOKUP(BO80,Fundamentus!A:U,3,FALSE))*(BN80/VLOOKUP(BO80,Fundamentus!A:U,4,FALSE)))</f>
        <v>12.834090499540283</v>
      </c>
      <c r="CA80" s="62">
        <f t="shared" ca="1" si="112"/>
        <v>0</v>
      </c>
      <c r="CB80" s="8"/>
      <c r="CC80" s="61">
        <f t="shared" si="113"/>
        <v>36.17</v>
      </c>
      <c r="CD80" s="61">
        <f t="shared" si="114"/>
        <v>57.87</v>
      </c>
      <c r="CE80" s="61">
        <f t="shared" si="115"/>
        <v>48.082846153846127</v>
      </c>
      <c r="CF80" s="14"/>
      <c r="CG80" s="35">
        <f t="shared" si="98"/>
        <v>30.438056673731513</v>
      </c>
      <c r="CH80" s="15">
        <f t="shared" si="116"/>
        <v>35.854999999999563</v>
      </c>
      <c r="CI80" s="35">
        <f t="shared" si="99"/>
        <v>41.271943326267618</v>
      </c>
      <c r="CK80" s="14"/>
      <c r="CL80" s="17">
        <f t="shared" si="100"/>
        <v>11.370000000000005</v>
      </c>
      <c r="CM80" s="17">
        <f t="shared" si="101"/>
        <v>23.770000000000003</v>
      </c>
      <c r="CN80" s="17">
        <f t="shared" si="102"/>
        <v>33.07</v>
      </c>
      <c r="CO80" s="38">
        <f t="shared" si="117"/>
        <v>45.47</v>
      </c>
      <c r="CP80" s="17">
        <f t="shared" si="103"/>
        <v>54.769999999999996</v>
      </c>
      <c r="CQ80" s="17">
        <f t="shared" si="104"/>
        <v>67.169999999999987</v>
      </c>
      <c r="CR80" s="17">
        <f t="shared" si="105"/>
        <v>76.47</v>
      </c>
      <c r="CS80" s="2" cm="1">
        <f t="array" aca="1" ref="CS80" ca="1">MAX(_xlfn._xlws.FILTER(CL80:CR80,CL80:CR80&lt;BN80))</f>
        <v>33.07</v>
      </c>
      <c r="CT80" s="2" cm="1">
        <f t="array" aca="1" ref="CT80" ca="1">MIN(_xlfn._xlws.FILTER($CL80:$CR80,$CL80:$CR80&gt;BN80))</f>
        <v>45.47</v>
      </c>
      <c r="CU80" s="16">
        <f t="shared" ca="1" si="80"/>
        <v>0.37496220139098879</v>
      </c>
      <c r="CV80" s="20">
        <f t="shared" ca="1" si="81"/>
        <v>-0.1874811006954944</v>
      </c>
      <c r="CW80" s="20">
        <f t="shared" ca="1" si="82"/>
        <v>-0.12498740046366293</v>
      </c>
      <c r="CX80" s="20">
        <f t="shared" ca="1" si="83"/>
        <v>-7.4992440278197764E-2</v>
      </c>
      <c r="CY80" s="20">
        <f t="shared" ca="1" si="84"/>
        <v>-4.1662466821220975E-2</v>
      </c>
      <c r="CZ80" s="20">
        <f t="shared" ca="1" si="85"/>
        <v>-2.2056600081822871E-2</v>
      </c>
      <c r="DA80" s="20">
        <f t="shared" ca="1" si="86"/>
        <v>-1.1362490951242084E-2</v>
      </c>
      <c r="DB80" s="20">
        <f t="shared" ca="1" si="87"/>
        <v>-5.768649252169058E-3</v>
      </c>
      <c r="DC80" s="21">
        <f t="shared" ca="1" si="88"/>
        <v>5.768649252169058E-3</v>
      </c>
      <c r="DD80" s="21">
        <f t="shared" ca="1" si="89"/>
        <v>1.1362490951242084E-2</v>
      </c>
      <c r="DE80" s="21">
        <f t="shared" ca="1" si="90"/>
        <v>2.2056600081822871E-2</v>
      </c>
      <c r="DF80" s="21">
        <f t="shared" ca="1" si="91"/>
        <v>4.1662466821220975E-2</v>
      </c>
      <c r="DG80" s="21">
        <f t="shared" ca="1" si="92"/>
        <v>7.4992440278197764E-2</v>
      </c>
      <c r="DH80" s="21">
        <f t="shared" ca="1" si="93"/>
        <v>0.12498740046366293</v>
      </c>
      <c r="DI80" s="21">
        <f t="shared" ca="1" si="94"/>
        <v>0.1874811006954944</v>
      </c>
      <c r="DK80" s="16" cm="1">
        <f t="array" aca="1" ref="DK80" ca="1">MAX(_xlfn._xlws.FILTER(CV80:DI80,CV80:DI80&lt;BT80))</f>
        <v>-5.768649252169058E-3</v>
      </c>
      <c r="DL80" s="16" cm="1">
        <f t="array" aca="1" ref="DL80" ca="1">MIN(_xlfn._xlws.FILTER(CV80:DI80,CV80:DI80&gt;BT80))</f>
        <v>5.768649252169058E-3</v>
      </c>
      <c r="DM80" s="2" cm="1">
        <f t="array" aca="1" ref="DM80" ca="1">_FV(EB80,"Fechamento anterior",TRUE)</f>
        <v>36.229999999999997</v>
      </c>
      <c r="DN80" s="28">
        <f t="shared" ca="1" si="106"/>
        <v>0.35645806807761449</v>
      </c>
      <c r="DO80" s="15">
        <f t="shared" ca="1" si="95"/>
        <v>36.021001837593914</v>
      </c>
      <c r="DP80" s="15">
        <f t="shared" ca="1" si="96"/>
        <v>36.438998162406079</v>
      </c>
      <c r="DQ80" s="9"/>
      <c r="DR80" s="9"/>
      <c r="DS80" s="9"/>
      <c r="DT80" s="89">
        <v>1.1537298504338116E-2</v>
      </c>
      <c r="DU80" s="89">
        <f t="shared" ca="1" si="107"/>
        <v>1.1537298504338116E-2</v>
      </c>
      <c r="DV80" s="72">
        <f t="shared" ca="1" si="108"/>
        <v>5.8150876061953259E-2</v>
      </c>
      <c r="DW80" s="37"/>
      <c r="DX80" s="35">
        <f t="shared" si="118"/>
        <v>2.7084716631340253</v>
      </c>
      <c r="DY80" s="56"/>
      <c r="DZ80" s="56"/>
      <c r="EB80" s="2" t="e" vm="80">
        <v>#VALUE!</v>
      </c>
      <c r="ED80" s="10" cm="1">
        <f t="array" aca="1" ref="ED80" ca="1">_FV(EB80,"Ações em circulação",TRUE)</f>
        <v>4197318000</v>
      </c>
      <c r="EE80" s="18">
        <f>VLOOKUP(BO80,Fundamentus!A:U,5,FALSE)</f>
        <v>3.895</v>
      </c>
      <c r="EF80" s="2">
        <f t="shared" ca="1" si="109"/>
        <v>38977404893.453148</v>
      </c>
      <c r="EG80" s="17">
        <v>6431271807.4197693</v>
      </c>
      <c r="EH80" s="17">
        <f t="shared" ca="1" si="110"/>
        <v>6431271807.4197693</v>
      </c>
      <c r="EJ80" s="16">
        <f t="shared" ca="1" si="97"/>
        <v>0</v>
      </c>
      <c r="EK80" s="32" t="str">
        <f>IF(VLOOKUP(BO80,Fundamentus!A:U,3,FALSE)&lt;15,"Bom",IF(VLOOKUP(BO80,Fundamentus!A:U,3,FALSE)&gt;15,"Ruim","n/a"))</f>
        <v>Ruim</v>
      </c>
      <c r="EL80" s="28" t="str">
        <f>IF(VLOOKUP(BO80,Fundamentus!A:U,4,FALSE)&lt;1,"Baixo",IF(VLOOKUP(BO80,Fundamentus!A:U,4,FALSE)&lt;1.5,"Moderado",IF(VLOOKUP(BO80,Fundamentus!A:U,4,FALSE)&gt;1.5,"Alto","n/a")))</f>
        <v>Alto</v>
      </c>
      <c r="EM80" s="17" t="str">
        <f>IF(VLOOKUP(BO80,Fundamentus!A:U,8,FALSE)&lt;0,"Risco elevado",IF(VLOOKUP(BO80,Fundamentus!A:U,8,FALSE)&lt;1,"Saudável",IF(VLOOKUP(BO80,Fundamentus!A:U,8,FALSE)&lt;3,"Estável",IF(VLOOKUP(BO80,Fundamentus!A:U,8,FALSE)&gt;3,"Alerta","n/a"))))</f>
        <v>Alerta</v>
      </c>
      <c r="EN80" s="28" t="str">
        <f t="shared" si="111"/>
        <v>Bom</v>
      </c>
      <c r="EO80" s="17" t="str">
        <f>IF(VLOOKUP(BO80,Fundamentus!A:U,12,FALSE)&lt;2,"Subvalorizada",IF(VLOOKUP(BO80,Fundamentus!A:U,12,FALSE)&lt;6,"Muita barata",IF(VLOOKUP(BO80,Fundamentus!A:U,12,FALSE)&lt;6,"Barata",IF(VLOOKUP(BO80,Fundamentus!A:U,12,FALSE)&lt;8,"Atrativa",IF(VLOOKUP(BO80,Fundamentus!A:U,12,FALSE)&gt;8,"Supervalorizada","n/a")))))</f>
        <v>Supervalorizada</v>
      </c>
      <c r="EQ80" s="17" t="str">
        <f>IF(VLOOKUP(BO80,Fundamentus!A:U,17,FALSE)&lt;0.1,"Fraco retorno",IF(VLOOKUP(BO80,Fundamentus!A:U,17,FALSE)&gt;0.1,"Bom retorno","n/a"))</f>
        <v>Bom retorno</v>
      </c>
      <c r="ER80" s="17" t="str">
        <f>IF(VLOOKUP(BO80,Fundamentus!A:U,16,FALSE)&lt;0.1,"Ineficiente",IF(VLOOKUP(BO80,Fundamentus!A:U,16,FALSE)&gt;0.1,"Eficiente","n/a"))</f>
        <v>Eficiente</v>
      </c>
      <c r="ES80" s="33" t="str">
        <f>IF(VLOOKUP(BO80,Fundamentus!A:U,16,FALSE)&lt;0.1,"Oper. Ineficiente",IF(VLOOKUP(BO80,Fundamentus!A:U,16,FALSE)&gt;0.1,"Oper.Eficiente","n/a"))</f>
        <v>Oper.Eficiente</v>
      </c>
      <c r="ET80" s="34">
        <f>VLOOKUP(BO80,Fundamentus!A:U,14,FALSE)</f>
        <v>0.16500000000000001</v>
      </c>
      <c r="EU80" s="17" t="str">
        <f>IF(VLOOKUP(BO80,Fundamentus!A:U,21,FALSE)&lt;0,"Negativo",IF(VLOOKUP(BO80,Fundamentus!A:U,21,FALSE)&lt;0.05,"Fraco",IF(VLOOKUP(BO80,Fundamentus!A:U,21,FALSE)&lt;0.1,"Bom",IF(VLOOKUP(BO80,Fundamentus!A:U,21,FALSE)&gt;0.1,"Muito bom","n/a"))))</f>
        <v>Muito bom</v>
      </c>
      <c r="EW80" s="29" t="str">
        <f>IF(VLOOKUP(BO80,Fundamentus!A:U,15,FALSE)&gt;1,"Bom",IF(VLOOKUP(BO80,Fundamentus!A:U,15,FALSE)&lt;1,"Ruim","n/a"))</f>
        <v>Bom</v>
      </c>
      <c r="EX80" s="17" t="str">
        <f>IF(VLOOKUP(BO80,Fundamentus!A:U,20,FALSE)&lt;0.5,"Baixa",IF(VLOOKUP(BO80,Fundamentus!A:U,20,FALSE)&lt;1,"Moderada",IF(VLOOKUP(BO80,Fundamentus!A:U,20,FALSE)&lt;2,"Alerta",IF(VLOOKUP(BO80,Fundamentus!A:U,20,FALSE)&gt;2,"Alta","n/a"))))</f>
        <v>Baixa</v>
      </c>
      <c r="EY80" s="10"/>
    </row>
    <row r="81" spans="1:155" s="2" customFormat="1" ht="11.25"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5">
        <v>39.82</v>
      </c>
      <c r="BC81" s="52">
        <v>40.74</v>
      </c>
      <c r="BD81" s="52">
        <v>40.450000000000003</v>
      </c>
      <c r="BE81" s="52">
        <v>41.06</v>
      </c>
      <c r="BF81" s="52">
        <v>40.6</v>
      </c>
      <c r="BG81" s="67">
        <v>40.46</v>
      </c>
      <c r="BH81" s="52">
        <v>40.049999999999997</v>
      </c>
      <c r="BI81" s="52">
        <v>45.03</v>
      </c>
      <c r="BJ81" s="52">
        <v>46.3</v>
      </c>
      <c r="BK81" s="52">
        <v>41.6</v>
      </c>
      <c r="BL81" s="52">
        <v>41.71</v>
      </c>
      <c r="BM81" s="52">
        <v>42.15</v>
      </c>
      <c r="BN81" s="52" cm="1">
        <f t="array" aca="1" ref="BN81" ca="1">_FV(EB81,"Preço")</f>
        <v>42.15</v>
      </c>
      <c r="BO81" s="69" t="s">
        <v>78</v>
      </c>
      <c r="BP81" s="36" cm="1">
        <f t="array" aca="1" ref="BP81" ca="1">_FV(EB81,"Média de volume",TRUE)</f>
        <v>1140320</v>
      </c>
      <c r="BQ81" s="36">
        <v>403200</v>
      </c>
      <c r="BR81" s="36" cm="1">
        <f t="array" aca="1" ref="BR81" ca="1">_FV(EB81,"Volume")</f>
        <v>403200</v>
      </c>
      <c r="BS81" s="24" cm="1">
        <f t="array" aca="1" ref="BS81" ca="1">_FV(EB81,"Beta")</f>
        <v>0.57940000000000003</v>
      </c>
      <c r="BT81" s="71" cm="1">
        <f t="array" aca="1" ref="BT81" ca="1">_FV(EB81,"Variação (%)",TRUE)</f>
        <v>-9.8659999999999998E-3</v>
      </c>
      <c r="BV81" s="17" cm="1">
        <f t="array" aca="1" ref="BV81" ca="1">_FV(EB81,"Baixo")</f>
        <v>42.08</v>
      </c>
      <c r="BW81" s="17" cm="1">
        <f t="array" aca="1" ref="BW81" ca="1">_FV(EB81,"Alto")</f>
        <v>42.99</v>
      </c>
      <c r="BX81" s="24"/>
      <c r="BY81" s="63">
        <f ca="1">SQRT(22.5*(BN81/VLOOKUP(BO81,Fundamentus!A:U,3,FALSE))*(BN81/VLOOKUP(BO81,Fundamentus!A:U,4,FALSE)))</f>
        <v>36.737368200617674</v>
      </c>
      <c r="CA81" s="62">
        <f t="shared" ca="1" si="112"/>
        <v>0</v>
      </c>
      <c r="CB81" s="8"/>
      <c r="CC81" s="61">
        <f t="shared" si="113"/>
        <v>34.950000000000003</v>
      </c>
      <c r="CD81" s="61">
        <f t="shared" si="114"/>
        <v>46.61</v>
      </c>
      <c r="CE81" s="61">
        <f t="shared" si="115"/>
        <v>40.962846153846158</v>
      </c>
      <c r="CF81" s="14"/>
      <c r="CG81" s="35">
        <f t="shared" si="98"/>
        <v>35.953436210952923</v>
      </c>
      <c r="CH81" s="15">
        <f t="shared" si="116"/>
        <v>39.854999999999563</v>
      </c>
      <c r="CI81" s="35">
        <f t="shared" si="99"/>
        <v>43.756563789046204</v>
      </c>
      <c r="CK81" s="14"/>
      <c r="CL81" s="17">
        <f t="shared" si="100"/>
        <v>23.910000000000011</v>
      </c>
      <c r="CM81" s="17">
        <f t="shared" si="101"/>
        <v>29.430000000000007</v>
      </c>
      <c r="CN81" s="17">
        <f t="shared" si="102"/>
        <v>35.570000000000007</v>
      </c>
      <c r="CO81" s="38">
        <f t="shared" si="117"/>
        <v>41.09</v>
      </c>
      <c r="CP81" s="17">
        <f t="shared" si="103"/>
        <v>47.230000000000004</v>
      </c>
      <c r="CQ81" s="17">
        <f t="shared" si="104"/>
        <v>52.75</v>
      </c>
      <c r="CR81" s="17">
        <f t="shared" si="105"/>
        <v>58.89</v>
      </c>
      <c r="CS81" s="2" cm="1">
        <f t="array" aca="1" ref="CS81" ca="1">MAX(_xlfn._xlws.FILTER(CL81:CR81,CL81:CR81&lt;BN81))</f>
        <v>41.09</v>
      </c>
      <c r="CT81" s="2" cm="1">
        <f t="array" aca="1" ref="CT81" ca="1">MIN(_xlfn._xlws.FILTER($CL81:$CR81,$CL81:$CR81&gt;BN81))</f>
        <v>47.230000000000004</v>
      </c>
      <c r="CU81" s="16">
        <f t="shared" ca="1" si="80"/>
        <v>0.1494280846921392</v>
      </c>
      <c r="CV81" s="20">
        <f t="shared" ca="1" si="81"/>
        <v>-7.4714042346069598E-2</v>
      </c>
      <c r="CW81" s="20">
        <f t="shared" ca="1" si="82"/>
        <v>-4.9809361564046396E-2</v>
      </c>
      <c r="CX81" s="20">
        <f t="shared" ca="1" si="83"/>
        <v>-2.9885616938427839E-2</v>
      </c>
      <c r="CY81" s="20">
        <f t="shared" ca="1" si="84"/>
        <v>-1.66031205213488E-2</v>
      </c>
      <c r="CZ81" s="20">
        <f t="shared" ca="1" si="85"/>
        <v>-8.7898873348317176E-3</v>
      </c>
      <c r="DA81" s="20">
        <f t="shared" ca="1" si="86"/>
        <v>-4.5281237785496729E-3</v>
      </c>
      <c r="DB81" s="20">
        <f t="shared" ca="1" si="87"/>
        <v>-2.2988936106482952E-3</v>
      </c>
      <c r="DC81" s="21">
        <f t="shared" ca="1" si="88"/>
        <v>2.2988936106482952E-3</v>
      </c>
      <c r="DD81" s="21">
        <f t="shared" ca="1" si="89"/>
        <v>4.5281237785496729E-3</v>
      </c>
      <c r="DE81" s="21">
        <f t="shared" ca="1" si="90"/>
        <v>8.7898873348317176E-3</v>
      </c>
      <c r="DF81" s="21">
        <f t="shared" ca="1" si="91"/>
        <v>1.66031205213488E-2</v>
      </c>
      <c r="DG81" s="21">
        <f t="shared" ca="1" si="92"/>
        <v>2.9885616938427839E-2</v>
      </c>
      <c r="DH81" s="21">
        <f t="shared" ca="1" si="93"/>
        <v>4.9809361564046396E-2</v>
      </c>
      <c r="DI81" s="21">
        <f t="shared" ca="1" si="94"/>
        <v>7.4714042346069598E-2</v>
      </c>
      <c r="DK81" s="16" cm="1">
        <f t="array" aca="1" ref="DK81" ca="1">MAX(_xlfn._xlws.FILTER(CV81:DI81,CV81:DI81&lt;BT81))</f>
        <v>-1.66031205213488E-2</v>
      </c>
      <c r="DL81" s="16" cm="1">
        <f t="array" aca="1" ref="DL81" ca="1">MIN(_xlfn._xlws.FILTER(CV81:DI81,CV81:DI81&gt;BT81))</f>
        <v>-8.7898873348317176E-3</v>
      </c>
      <c r="DM81" s="2" cm="1">
        <f t="array" aca="1" ref="DM81" ca="1">_FV(EB81,"Fechamento anterior",TRUE)</f>
        <v>42.57</v>
      </c>
      <c r="DN81" s="28">
        <f t="shared" ca="1" si="106"/>
        <v>0.8622573358767448</v>
      </c>
      <c r="DO81" s="15">
        <f t="shared" ca="1" si="95"/>
        <v>41.863205159406185</v>
      </c>
      <c r="DP81" s="15">
        <f t="shared" ca="1" si="96"/>
        <v>42.195814496156217</v>
      </c>
      <c r="DQ81" s="9"/>
      <c r="DR81" s="9"/>
      <c r="DS81" s="9"/>
      <c r="DT81" s="89">
        <v>7.8132331865170823E-3</v>
      </c>
      <c r="DU81" s="89">
        <f t="shared" ca="1" si="107"/>
        <v>7.8132331865170823E-3</v>
      </c>
      <c r="DV81" s="72">
        <f t="shared" ca="1" si="108"/>
        <v>0.58822567670006631</v>
      </c>
      <c r="DW81" s="37"/>
      <c r="DX81" s="35">
        <f t="shared" si="118"/>
        <v>1.9507818945233202</v>
      </c>
      <c r="DY81" s="56"/>
      <c r="DZ81" s="56"/>
      <c r="EB81" s="2" t="e" vm="81">
        <v>#VALUE!</v>
      </c>
      <c r="ED81" s="10" cm="1">
        <f t="array" aca="1" ref="ED81" ca="1">_FV(EB81,"Ações em circulação",TRUE)</f>
        <v>815927700</v>
      </c>
      <c r="EE81" s="18">
        <f>VLOOKUP(BO81,Fundamentus!A:U,5,FALSE)</f>
        <v>2.9860000000000002</v>
      </c>
      <c r="EF81" s="2">
        <f t="shared" ca="1" si="109"/>
        <v>11517532670.797052</v>
      </c>
      <c r="EG81" s="17">
        <v>3413796683.6242461</v>
      </c>
      <c r="EH81" s="17">
        <f t="shared" ca="1" si="110"/>
        <v>3413796683.6242461</v>
      </c>
      <c r="EJ81" s="16">
        <f t="shared" ca="1" si="97"/>
        <v>0</v>
      </c>
      <c r="EK81" s="32" t="str">
        <f>IF(VLOOKUP(BO81,Fundamentus!A:U,3,FALSE)&lt;15,"Bom",IF(VLOOKUP(BO81,Fundamentus!A:U,3,FALSE)&gt;15,"Ruim","n/a"))</f>
        <v>Bom</v>
      </c>
      <c r="EL81" s="28" t="str">
        <f>IF(VLOOKUP(BO81,Fundamentus!A:U,4,FALSE)&lt;1,"Baixo",IF(VLOOKUP(BO81,Fundamentus!A:U,4,FALSE)&lt;1.5,"Moderado",IF(VLOOKUP(BO81,Fundamentus!A:U,4,FALSE)&gt;1.5,"Alto","n/a")))</f>
        <v>Alto</v>
      </c>
      <c r="EM81" s="17" t="str">
        <f>IF(VLOOKUP(BO81,Fundamentus!A:U,8,FALSE)&lt;0,"Risco elevado",IF(VLOOKUP(BO81,Fundamentus!A:U,8,FALSE)&lt;1,"Saudável",IF(VLOOKUP(BO81,Fundamentus!A:U,8,FALSE)&lt;3,"Estável",IF(VLOOKUP(BO81,Fundamentus!A:U,8,FALSE)&gt;3,"Alerta","n/a"))))</f>
        <v>Alerta</v>
      </c>
      <c r="EN81" s="28" t="str">
        <f t="shared" si="111"/>
        <v>Bom</v>
      </c>
      <c r="EO81" s="17" t="str">
        <f>IF(VLOOKUP(BO81,Fundamentus!A:U,12,FALSE)&lt;2,"Subvalorizada",IF(VLOOKUP(BO81,Fundamentus!A:U,12,FALSE)&lt;6,"Muita barata",IF(VLOOKUP(BO81,Fundamentus!A:U,12,FALSE)&lt;6,"Barata",IF(VLOOKUP(BO81,Fundamentus!A:U,12,FALSE)&lt;8,"Atrativa",IF(VLOOKUP(BO81,Fundamentus!A:U,12,FALSE)&gt;8,"Supervalorizada","n/a")))))</f>
        <v>Atrativa</v>
      </c>
      <c r="EQ81" s="17" t="str">
        <f>IF(VLOOKUP(BO81,Fundamentus!A:U,17,FALSE)&lt;0.1,"Fraco retorno",IF(VLOOKUP(BO81,Fundamentus!A:U,17,FALSE)&gt;0.1,"Bom retorno","n/a"))</f>
        <v>Bom retorno</v>
      </c>
      <c r="ER81" s="17" t="str">
        <f>IF(VLOOKUP(BO81,Fundamentus!A:U,16,FALSE)&lt;0.1,"Ineficiente",IF(VLOOKUP(BO81,Fundamentus!A:U,16,FALSE)&gt;0.1,"Eficiente","n/a"))</f>
        <v>Eficiente</v>
      </c>
      <c r="ES81" s="33" t="str">
        <f>IF(VLOOKUP(BO81,Fundamentus!A:U,16,FALSE)&lt;0.1,"Oper. Ineficiente",IF(VLOOKUP(BO81,Fundamentus!A:U,16,FALSE)&gt;0.1,"Oper.Eficiente","n/a"))</f>
        <v>Oper.Eficiente</v>
      </c>
      <c r="ET81" s="34">
        <f>VLOOKUP(BO81,Fundamentus!A:U,14,FALSE)</f>
        <v>0.2964</v>
      </c>
      <c r="EU81" s="17" t="str">
        <f>IF(VLOOKUP(BO81,Fundamentus!A:U,21,FALSE)&lt;0,"Negativo",IF(VLOOKUP(BO81,Fundamentus!A:U,21,FALSE)&lt;0.05,"Fraco",IF(VLOOKUP(BO81,Fundamentus!A:U,21,FALSE)&lt;0.1,"Bom",IF(VLOOKUP(BO81,Fundamentus!A:U,21,FALSE)&gt;0.1,"Muito bom","n/a"))))</f>
        <v>Negativo</v>
      </c>
      <c r="EW81" s="29" t="str">
        <f>IF(VLOOKUP(BO81,Fundamentus!A:U,15,FALSE)&gt;1,"Bom",IF(VLOOKUP(BO81,Fundamentus!A:U,15,FALSE)&lt;1,"Ruim","n/a"))</f>
        <v>Bom</v>
      </c>
      <c r="EX81" s="17" t="str">
        <f>IF(VLOOKUP(BO81,Fundamentus!A:U,20,FALSE)&lt;0.5,"Baixa",IF(VLOOKUP(BO81,Fundamentus!A:U,20,FALSE)&lt;1,"Moderada",IF(VLOOKUP(BO81,Fundamentus!A:U,20,FALSE)&lt;2,"Alerta",IF(VLOOKUP(BO81,Fundamentus!A:U,20,FALSE)&gt;2,"Alta","n/a"))))</f>
        <v>Alta</v>
      </c>
      <c r="EY81" s="10"/>
    </row>
    <row r="82" spans="1:155" s="2" customFormat="1" ht="11.25"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5">
        <v>42.5</v>
      </c>
      <c r="BC82" s="52">
        <v>39.18</v>
      </c>
      <c r="BD82" s="52">
        <v>41.74</v>
      </c>
      <c r="BE82" s="52">
        <v>40.119999999999997</v>
      </c>
      <c r="BF82" s="52">
        <v>39.03</v>
      </c>
      <c r="BG82" s="67">
        <v>39.03</v>
      </c>
      <c r="BH82" s="52">
        <v>39.03</v>
      </c>
      <c r="BI82" s="52">
        <v>39.03</v>
      </c>
      <c r="BJ82" s="52">
        <v>39.03</v>
      </c>
      <c r="BK82" s="52">
        <v>39.03</v>
      </c>
      <c r="BL82" s="52">
        <v>39.03</v>
      </c>
      <c r="BM82" s="52">
        <v>39.03</v>
      </c>
      <c r="BN82" s="52" cm="1">
        <f t="array" aca="1" ref="BN82" ca="1">_FV(EB82,"Preço")</f>
        <v>39.03</v>
      </c>
      <c r="BO82" s="69" t="s">
        <v>79</v>
      </c>
      <c r="BP82" s="36" cm="1">
        <f t="array" aca="1" ref="BP82" ca="1">_FV(EB82,"Média de volume",TRUE)</f>
        <v>23419940</v>
      </c>
      <c r="BQ82" s="36">
        <v>94391100</v>
      </c>
      <c r="BR82" s="36" cm="1">
        <f t="array" aca="1" ref="BR82" ca="1">_FV(EB82,"Volume")</f>
        <v>94391100</v>
      </c>
      <c r="BS82" s="24" cm="1">
        <f t="array" aca="1" ref="BS82" ca="1">_FV(EB82,"Beta")</f>
        <v>0.49909999999999999</v>
      </c>
      <c r="BT82" s="71" cm="1">
        <f t="array" aca="1" ref="BT82" ca="1">_FV(EB82,"Variação (%)",TRUE)</f>
        <v>0</v>
      </c>
      <c r="BV82" s="17" cm="1">
        <f t="array" aca="1" ref="BV82" ca="1">_FV(EB82,"Baixo")</f>
        <v>38.4</v>
      </c>
      <c r="BW82" s="17" cm="1">
        <f t="array" aca="1" ref="BW82" ca="1">_FV(EB82,"Alto")</f>
        <v>40.06</v>
      </c>
      <c r="BX82" s="24"/>
      <c r="BY82" s="63">
        <f ca="1">SQRT(22.5*(BN82/VLOOKUP(BO82,Fundamentus!A:U,3,FALSE))*(BN82/VLOOKUP(BO82,Fundamentus!A:U,4,FALSE)))</f>
        <v>118.86727711875339</v>
      </c>
      <c r="CA82" s="62">
        <f t="shared" ca="1" si="112"/>
        <v>0</v>
      </c>
      <c r="CB82" s="8"/>
      <c r="CC82" s="61">
        <f t="shared" si="113"/>
        <v>23.86</v>
      </c>
      <c r="CD82" s="61">
        <f t="shared" si="114"/>
        <v>47.87</v>
      </c>
      <c r="CE82" s="61">
        <f t="shared" si="115"/>
        <v>35.338000000000015</v>
      </c>
      <c r="CF82" s="14"/>
      <c r="CG82" s="35">
        <f t="shared" si="98"/>
        <v>39.03</v>
      </c>
      <c r="CH82" s="15">
        <f t="shared" si="116"/>
        <v>39.03</v>
      </c>
      <c r="CI82" s="35">
        <f t="shared" si="99"/>
        <v>39.03</v>
      </c>
      <c r="CK82" s="14"/>
      <c r="CL82" s="17">
        <f t="shared" si="100"/>
        <v>1.9599999999999937</v>
      </c>
      <c r="CM82" s="17">
        <f t="shared" si="101"/>
        <v>12.909999999999997</v>
      </c>
      <c r="CN82" s="17">
        <f t="shared" si="102"/>
        <v>25.969999999999992</v>
      </c>
      <c r="CO82" s="38">
        <f t="shared" si="117"/>
        <v>36.919999999999995</v>
      </c>
      <c r="CP82" s="17">
        <f t="shared" si="103"/>
        <v>49.97999999999999</v>
      </c>
      <c r="CQ82" s="17">
        <f t="shared" si="104"/>
        <v>60.929999999999993</v>
      </c>
      <c r="CR82" s="17">
        <f t="shared" si="105"/>
        <v>73.989999999999981</v>
      </c>
      <c r="CS82" s="2" cm="1">
        <f t="array" aca="1" ref="CS82" ca="1">MAX(_xlfn._xlws.FILTER(CL82:CR82,CL82:CR82&lt;BN82))</f>
        <v>36.919999999999995</v>
      </c>
      <c r="CT82" s="2" cm="1">
        <f t="array" aca="1" ref="CT82" ca="1">MIN(_xlfn._xlws.FILTER($CL82:$CR82,$CL82:$CR82&gt;BN82))</f>
        <v>49.97999999999999</v>
      </c>
      <c r="CU82" s="16">
        <f t="shared" ca="1" si="80"/>
        <v>0.35373781148429018</v>
      </c>
      <c r="CV82" s="20">
        <f t="shared" ca="1" si="81"/>
        <v>-0.17686890574214509</v>
      </c>
      <c r="CW82" s="20">
        <f t="shared" ca="1" si="82"/>
        <v>-0.11791260382809672</v>
      </c>
      <c r="CX82" s="20">
        <f t="shared" ca="1" si="83"/>
        <v>-7.0747562296858038E-2</v>
      </c>
      <c r="CY82" s="20">
        <f t="shared" ca="1" si="84"/>
        <v>-3.9304201276032243E-2</v>
      </c>
      <c r="CZ82" s="20">
        <f t="shared" ca="1" si="85"/>
        <v>-2.0808106557899421E-2</v>
      </c>
      <c r="DA82" s="20">
        <f t="shared" ca="1" si="86"/>
        <v>-1.0719327620736066E-2</v>
      </c>
      <c r="DB82" s="20">
        <f t="shared" ca="1" si="87"/>
        <v>-5.4421201766813873E-3</v>
      </c>
      <c r="DC82" s="21">
        <f t="shared" ca="1" si="88"/>
        <v>5.4421201766813873E-3</v>
      </c>
      <c r="DD82" s="21">
        <f t="shared" ca="1" si="89"/>
        <v>1.0719327620736066E-2</v>
      </c>
      <c r="DE82" s="21">
        <f t="shared" ca="1" si="90"/>
        <v>2.0808106557899421E-2</v>
      </c>
      <c r="DF82" s="21">
        <f t="shared" ca="1" si="91"/>
        <v>3.9304201276032243E-2</v>
      </c>
      <c r="DG82" s="21">
        <f t="shared" ca="1" si="92"/>
        <v>7.0747562296858038E-2</v>
      </c>
      <c r="DH82" s="21">
        <f t="shared" ca="1" si="93"/>
        <v>0.11791260382809672</v>
      </c>
      <c r="DI82" s="21">
        <f t="shared" ca="1" si="94"/>
        <v>0.17686890574214509</v>
      </c>
      <c r="DK82" s="16" cm="1">
        <f t="array" aca="1" ref="DK82" ca="1">MAX(_xlfn._xlws.FILTER(CV82:DI82,CV82:DI82&lt;BT82))</f>
        <v>-5.4421201766813873E-3</v>
      </c>
      <c r="DL82" s="16" cm="1">
        <f t="array" aca="1" ref="DL82" ca="1">MIN(_xlfn._xlws.FILTER(CV82:DI82,CV82:DI82&gt;BT82))</f>
        <v>5.4421201766813873E-3</v>
      </c>
      <c r="DM82" s="2" cm="1">
        <f t="array" aca="1" ref="DM82" ca="1">_FV(EB82,"Fechamento anterior",TRUE)</f>
        <v>38.29</v>
      </c>
      <c r="DN82" s="28">
        <f t="shared" ca="1" si="106"/>
        <v>2.2756126474151319</v>
      </c>
      <c r="DO82" s="15">
        <f t="shared" ca="1" si="95"/>
        <v>38.081621218434869</v>
      </c>
      <c r="DP82" s="15">
        <f t="shared" ca="1" si="96"/>
        <v>38.49837878156513</v>
      </c>
      <c r="DQ82" s="9"/>
      <c r="DR82" s="9"/>
      <c r="DS82" s="9"/>
      <c r="DT82" s="89">
        <v>1.0884240353362775E-2</v>
      </c>
      <c r="DU82" s="89">
        <f t="shared" ca="1" si="107"/>
        <v>1.0884240353362775E-2</v>
      </c>
      <c r="DV82" s="72" t="e">
        <f t="shared" ca="1" si="108"/>
        <v>#DIV/0!</v>
      </c>
      <c r="DW82" s="37"/>
      <c r="DX82" s="35">
        <f t="shared" si="118"/>
        <v>0</v>
      </c>
      <c r="DY82" s="56"/>
      <c r="DZ82" s="56"/>
      <c r="EB82" s="2" t="e" vm="82">
        <v>#VALUE!</v>
      </c>
      <c r="ED82" s="10" cm="1">
        <f t="array" aca="1" ref="ED82" ca="1">_FV(EB82,"Ações em circulação",TRUE)</f>
        <v>2218116000</v>
      </c>
      <c r="EE82" s="18">
        <f>VLOOKUP(BO82,Fundamentus!A:U,5,FALSE)</f>
        <v>7.6999999999999999E-2</v>
      </c>
      <c r="EF82" s="2">
        <f t="shared" ca="1" si="109"/>
        <v>1124325551688.3118</v>
      </c>
      <c r="EG82" s="17">
        <v>30918952671.428574</v>
      </c>
      <c r="EH82" s="17">
        <f t="shared" ca="1" si="110"/>
        <v>30918952671.428574</v>
      </c>
      <c r="EJ82" s="16">
        <f t="shared" ca="1" si="97"/>
        <v>0</v>
      </c>
      <c r="EK82" s="32" t="str">
        <f>IF(VLOOKUP(BO82,Fundamentus!A:U,3,FALSE)&lt;15,"Bom",IF(VLOOKUP(BO82,Fundamentus!A:U,3,FALSE)&gt;15,"Ruim","n/a"))</f>
        <v>Bom</v>
      </c>
      <c r="EL82" s="28" t="str">
        <f>IF(VLOOKUP(BO82,Fundamentus!A:U,4,FALSE)&lt;1,"Baixo",IF(VLOOKUP(BO82,Fundamentus!A:U,4,FALSE)&lt;1.5,"Moderado",IF(VLOOKUP(BO82,Fundamentus!A:U,4,FALSE)&gt;1.5,"Alto","n/a")))</f>
        <v>Baixo</v>
      </c>
      <c r="EM82" s="17" t="str">
        <f>IF(VLOOKUP(BO82,Fundamentus!A:U,8,FALSE)&lt;0,"Risco elevado",IF(VLOOKUP(BO82,Fundamentus!A:U,8,FALSE)&lt;1,"Saudável",IF(VLOOKUP(BO82,Fundamentus!A:U,8,FALSE)&lt;3,"Estável",IF(VLOOKUP(BO82,Fundamentus!A:U,8,FALSE)&gt;3,"Alerta","n/a"))))</f>
        <v>Saudável</v>
      </c>
      <c r="EN82" s="28" t="str">
        <f t="shared" si="111"/>
        <v>Ruim</v>
      </c>
      <c r="EO82" s="17" t="str">
        <f>IF(VLOOKUP(BO82,Fundamentus!A:U,12,FALSE)&lt;2,"Subvalorizada",IF(VLOOKUP(BO82,Fundamentus!A:U,12,FALSE)&lt;6,"Muita barata",IF(VLOOKUP(BO82,Fundamentus!A:U,12,FALSE)&lt;6,"Barata",IF(VLOOKUP(BO82,Fundamentus!A:U,12,FALSE)&lt;8,"Atrativa",IF(VLOOKUP(BO82,Fundamentus!A:U,12,FALSE)&gt;8,"Supervalorizada","n/a")))))</f>
        <v>Muita barata</v>
      </c>
      <c r="EQ82" s="17" t="str">
        <f>IF(VLOOKUP(BO82,Fundamentus!A:U,17,FALSE)&lt;0.1,"Fraco retorno",IF(VLOOKUP(BO82,Fundamentus!A:U,17,FALSE)&gt;0.1,"Bom retorno","n/a"))</f>
        <v>Bom retorno</v>
      </c>
      <c r="ER82" s="17" t="str">
        <f>IF(VLOOKUP(BO82,Fundamentus!A:U,16,FALSE)&lt;0.1,"Ineficiente",IF(VLOOKUP(BO82,Fundamentus!A:U,16,FALSE)&gt;0.1,"Eficiente","n/a"))</f>
        <v>Eficiente</v>
      </c>
      <c r="ES82" s="33" t="str">
        <f>IF(VLOOKUP(BO82,Fundamentus!A:U,16,FALSE)&lt;0.1,"Oper. Ineficiente",IF(VLOOKUP(BO82,Fundamentus!A:U,16,FALSE)&gt;0.1,"Oper.Eficiente","n/a"))</f>
        <v>Oper.Eficiente</v>
      </c>
      <c r="ET82" s="34">
        <f>VLOOKUP(BO82,Fundamentus!A:U,14,FALSE)</f>
        <v>2.75E-2</v>
      </c>
      <c r="EU82" s="17" t="str">
        <f>IF(VLOOKUP(BO82,Fundamentus!A:U,21,FALSE)&lt;0,"Negativo",IF(VLOOKUP(BO82,Fundamentus!A:U,21,FALSE)&lt;0.05,"Fraco",IF(VLOOKUP(BO82,Fundamentus!A:U,21,FALSE)&lt;0.1,"Bom",IF(VLOOKUP(BO82,Fundamentus!A:U,21,FALSE)&gt;0.1,"Muito bom","n/a"))))</f>
        <v>Bom</v>
      </c>
      <c r="EW82" s="29" t="str">
        <f>IF(VLOOKUP(BO82,Fundamentus!A:U,15,FALSE)&gt;1,"Bom",IF(VLOOKUP(BO82,Fundamentus!A:U,15,FALSE)&lt;1,"Ruim","n/a"))</f>
        <v>Bom</v>
      </c>
      <c r="EX82" s="17" t="str">
        <f>IF(VLOOKUP(BO82,Fundamentus!A:U,20,FALSE)&lt;0.5,"Baixa",IF(VLOOKUP(BO82,Fundamentus!A:U,20,FALSE)&lt;1,"Moderada",IF(VLOOKUP(BO82,Fundamentus!A:U,20,FALSE)&lt;2,"Alerta",IF(VLOOKUP(BO82,Fundamentus!A:U,20,FALSE)&gt;2,"Alta","n/a"))))</f>
        <v>Alta</v>
      </c>
      <c r="EY82" s="10"/>
    </row>
    <row r="83" spans="1:155" s="2" customFormat="1" ht="11.25"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5">
        <v>8.2100000000000009</v>
      </c>
      <c r="BC83" s="52">
        <v>8.15</v>
      </c>
      <c r="BD83" s="52">
        <v>8.5399999999999991</v>
      </c>
      <c r="BE83" s="52">
        <v>8.7200000000000006</v>
      </c>
      <c r="BF83" s="52">
        <v>8.43</v>
      </c>
      <c r="BG83" s="67">
        <v>8.69</v>
      </c>
      <c r="BH83" s="52">
        <v>8.86</v>
      </c>
      <c r="BI83" s="52">
        <v>8.52</v>
      </c>
      <c r="BJ83" s="52">
        <v>8.4700000000000006</v>
      </c>
      <c r="BK83" s="52">
        <v>8.2899999999999991</v>
      </c>
      <c r="BL83" s="52">
        <v>8.02</v>
      </c>
      <c r="BM83" s="52">
        <v>7.79</v>
      </c>
      <c r="BN83" s="52" cm="1">
        <f t="array" aca="1" ref="BN83" ca="1">_FV(EB83,"Preço")</f>
        <v>7.79</v>
      </c>
      <c r="BO83" s="69" t="s">
        <v>80</v>
      </c>
      <c r="BP83" s="36" cm="1">
        <f t="array" aca="1" ref="BP83" ca="1">_FV(EB83,"Média de volume",TRUE)</f>
        <v>142100</v>
      </c>
      <c r="BQ83" s="36">
        <v>80300</v>
      </c>
      <c r="BR83" s="36" cm="1">
        <f t="array" aca="1" ref="BR83" ca="1">_FV(EB83,"Volume")</f>
        <v>80300</v>
      </c>
      <c r="BS83" s="24" cm="1">
        <f t="array" aca="1" ref="BS83" ca="1">_FV(EB83,"Beta")</f>
        <v>1.3047</v>
      </c>
      <c r="BT83" s="71" cm="1">
        <f t="array" aca="1" ref="BT83" ca="1">_FV(EB83,"Variação (%)",TRUE)</f>
        <v>0</v>
      </c>
      <c r="BV83" s="17" cm="1">
        <f t="array" aca="1" ref="BV83" ca="1">_FV(EB83,"Baixo")</f>
        <v>7.75</v>
      </c>
      <c r="BW83" s="17" cm="1">
        <f t="array" aca="1" ref="BW83" ca="1">_FV(EB83,"Alto")</f>
        <v>7.87</v>
      </c>
      <c r="BX83" s="24"/>
      <c r="BY83" s="63">
        <f ca="1">SQRT(22.5*(BN83/VLOOKUP(BO83,Fundamentus!A:U,3,FALSE))*(BN83/VLOOKUP(BO83,Fundamentus!A:U,4,FALSE)))</f>
        <v>14.957676904555433</v>
      </c>
      <c r="CA83" s="62">
        <f t="shared" ca="1" si="112"/>
        <v>0</v>
      </c>
      <c r="CB83" s="8"/>
      <c r="CC83" s="61">
        <f t="shared" si="113"/>
        <v>5.0999999999999996</v>
      </c>
      <c r="CD83" s="61">
        <f t="shared" si="114"/>
        <v>8.86</v>
      </c>
      <c r="CE83" s="61">
        <f t="shared" si="115"/>
        <v>6.6870769230769245</v>
      </c>
      <c r="CF83" s="14"/>
      <c r="CG83" s="35">
        <f t="shared" si="98"/>
        <v>7.0470472994566213</v>
      </c>
      <c r="CH83" s="15">
        <f t="shared" si="116"/>
        <v>7.5649999999998272</v>
      </c>
      <c r="CI83" s="35">
        <f t="shared" si="99"/>
        <v>8.0829527005430339</v>
      </c>
      <c r="CK83" s="14"/>
      <c r="CL83" s="17">
        <f t="shared" si="100"/>
        <v>2.0333333333333314</v>
      </c>
      <c r="CM83" s="17">
        <f t="shared" si="101"/>
        <v>3.5666666666666655</v>
      </c>
      <c r="CN83" s="17">
        <f t="shared" si="102"/>
        <v>5.7933333333333312</v>
      </c>
      <c r="CO83" s="38">
        <f t="shared" si="117"/>
        <v>7.3266666666666653</v>
      </c>
      <c r="CP83" s="17">
        <f t="shared" si="103"/>
        <v>9.553333333333331</v>
      </c>
      <c r="CQ83" s="17">
        <f t="shared" si="104"/>
        <v>11.086666666666666</v>
      </c>
      <c r="CR83" s="17">
        <f t="shared" si="105"/>
        <v>13.313333333333331</v>
      </c>
      <c r="CS83" s="2" cm="1">
        <f t="array" aca="1" ref="CS83" ca="1">MAX(_xlfn._xlws.FILTER(CL83:CR83,CL83:CR83&lt;BN83))</f>
        <v>7.3266666666666653</v>
      </c>
      <c r="CT83" s="2" cm="1">
        <f t="array" aca="1" ref="CT83" ca="1">MIN(_xlfn._xlws.FILTER($CL83:$CR83,$CL83:$CR83&gt;BN83))</f>
        <v>9.553333333333331</v>
      </c>
      <c r="CU83" s="16">
        <f t="shared" ref="CU83:CU114" ca="1" si="119">(CT83/CS83)-1</f>
        <v>0.30391264786169248</v>
      </c>
      <c r="CV83" s="20">
        <f t="shared" ref="CV83:CV114" ca="1" si="120">-$CU83/2</f>
        <v>-0.15195632393084624</v>
      </c>
      <c r="CW83" s="20">
        <f t="shared" ref="CW83:CW114" ca="1" si="121">-$CU83/3</f>
        <v>-0.10130421595389749</v>
      </c>
      <c r="CX83" s="20">
        <f t="shared" ref="CX83:CX114" ca="1" si="122">-$CU83/5</f>
        <v>-6.0782529572338498E-2</v>
      </c>
      <c r="CY83" s="20">
        <f t="shared" ref="CY83:CY114" ca="1" si="123">-$CU83/9</f>
        <v>-3.3768071984632497E-2</v>
      </c>
      <c r="CZ83" s="20">
        <f t="shared" ref="CZ83:CZ114" ca="1" si="124">-$CU83/17</f>
        <v>-1.7877214580099558E-2</v>
      </c>
      <c r="DA83" s="20">
        <f t="shared" ref="DA83:DA114" ca="1" si="125">-$CU83/33</f>
        <v>-9.2094741776270455E-3</v>
      </c>
      <c r="DB83" s="20">
        <f t="shared" ref="DB83:DB114" ca="1" si="126">-$CU83/65</f>
        <v>-4.6755791978721917E-3</v>
      </c>
      <c r="DC83" s="21">
        <f t="shared" ref="DC83:DC114" ca="1" si="127">-$CU83/65*-1</f>
        <v>4.6755791978721917E-3</v>
      </c>
      <c r="DD83" s="21">
        <f t="shared" ref="DD83:DD114" ca="1" si="128">-$CU83/33*-1</f>
        <v>9.2094741776270455E-3</v>
      </c>
      <c r="DE83" s="21">
        <f t="shared" ref="DE83:DE114" ca="1" si="129">-$CU83/17*-1</f>
        <v>1.7877214580099558E-2</v>
      </c>
      <c r="DF83" s="21">
        <f t="shared" ref="DF83:DF114" ca="1" si="130">-$CU83/9*-1</f>
        <v>3.3768071984632497E-2</v>
      </c>
      <c r="DG83" s="21">
        <f t="shared" ref="DG83:DG114" ca="1" si="131">-$CU83/5*-1</f>
        <v>6.0782529572338498E-2</v>
      </c>
      <c r="DH83" s="21">
        <f t="shared" ref="DH83:DH114" ca="1" si="132">-$CU83/3*-1</f>
        <v>0.10130421595389749</v>
      </c>
      <c r="DI83" s="21">
        <f t="shared" ref="DI83:DI114" ca="1" si="133">-$CU83/2*-1</f>
        <v>0.15195632393084624</v>
      </c>
      <c r="DK83" s="16" cm="1">
        <f t="array" aca="1" ref="DK83" ca="1">MAX(_xlfn._xlws.FILTER(CV83:DI83,CV83:DI83&lt;BT83))</f>
        <v>-4.6755791978721917E-3</v>
      </c>
      <c r="DL83" s="16" cm="1">
        <f t="array" aca="1" ref="DL83" ca="1">MIN(_xlfn._xlws.FILTER(CV83:DI83,CV83:DI83&gt;BT83))</f>
        <v>4.6755791978721917E-3</v>
      </c>
      <c r="DM83" s="2" cm="1">
        <f t="array" aca="1" ref="DM83" ca="1">_FV(EB83,"Fechamento anterior",TRUE)</f>
        <v>7.79</v>
      </c>
      <c r="DN83" s="28">
        <f t="shared" ca="1" si="106"/>
        <v>0.5</v>
      </c>
      <c r="DO83" s="15">
        <f t="shared" ref="DO83:DO114" ca="1" si="134">DM83+(DM83*DK83)</f>
        <v>7.7535772380485755</v>
      </c>
      <c r="DP83" s="15">
        <f t="shared" ref="DP83:DP114" ca="1" si="135">DM83+(DM83*DL83)</f>
        <v>7.8264227619514246</v>
      </c>
      <c r="DQ83" s="9"/>
      <c r="DR83" s="9"/>
      <c r="DS83" s="9"/>
      <c r="DT83" s="89">
        <v>9.3511583957443835E-3</v>
      </c>
      <c r="DU83" s="89">
        <f t="shared" ca="1" si="107"/>
        <v>9.3511583957443835E-3</v>
      </c>
      <c r="DV83" s="72">
        <f t="shared" ca="1" si="108"/>
        <v>0.43440260040000334</v>
      </c>
      <c r="DW83" s="37"/>
      <c r="DX83" s="35">
        <f t="shared" si="118"/>
        <v>0.2589763502716031</v>
      </c>
      <c r="DY83" s="56"/>
      <c r="DZ83" s="56"/>
      <c r="EB83" s="2" t="e" vm="83">
        <v>#VALUE!</v>
      </c>
      <c r="ED83" s="10" cm="1">
        <f t="array" aca="1" ref="ED83" ca="1">_FV(EB83,"Ações em circulação",TRUE)</f>
        <v>123812800</v>
      </c>
      <c r="EE83" s="18">
        <f>VLOOKUP(BO83,Fundamentus!A:U,5,FALSE)</f>
        <v>9.4E-2</v>
      </c>
      <c r="EF83" s="2">
        <f t="shared" ca="1" si="109"/>
        <v>10260656510.638298</v>
      </c>
      <c r="EG83" s="17">
        <v>128258206.38297874</v>
      </c>
      <c r="EH83" s="17">
        <f t="shared" ca="1" si="110"/>
        <v>128258206.38297874</v>
      </c>
      <c r="EJ83" s="16">
        <f t="shared" ca="1" si="97"/>
        <v>0</v>
      </c>
      <c r="EK83" s="32" t="str">
        <f>IF(VLOOKUP(BO83,Fundamentus!A:U,3,FALSE)&lt;15,"Bom",IF(VLOOKUP(BO83,Fundamentus!A:U,3,FALSE)&gt;15,"Ruim","n/a"))</f>
        <v>Bom</v>
      </c>
      <c r="EL83" s="28" t="str">
        <f>IF(VLOOKUP(BO83,Fundamentus!A:U,4,FALSE)&lt;1,"Baixo",IF(VLOOKUP(BO83,Fundamentus!A:U,4,FALSE)&lt;1.5,"Moderado",IF(VLOOKUP(BO83,Fundamentus!A:U,4,FALSE)&gt;1.5,"Alto","n/a")))</f>
        <v>Baixo</v>
      </c>
      <c r="EM83" s="17" t="str">
        <f>IF(VLOOKUP(BO83,Fundamentus!A:U,8,FALSE)&lt;0,"Risco elevado",IF(VLOOKUP(BO83,Fundamentus!A:U,8,FALSE)&lt;1,"Saudável",IF(VLOOKUP(BO83,Fundamentus!A:U,8,FALSE)&lt;3,"Estável",IF(VLOOKUP(BO83,Fundamentus!A:U,8,FALSE)&gt;3,"Alerta","n/a"))))</f>
        <v>Estável</v>
      </c>
      <c r="EN83" s="28" t="str">
        <f t="shared" si="111"/>
        <v>Ruim</v>
      </c>
      <c r="EO83" s="17" t="str">
        <f>IF(VLOOKUP(BO83,Fundamentus!A:U,12,FALSE)&lt;2,"Subvalorizada",IF(VLOOKUP(BO83,Fundamentus!A:U,12,FALSE)&lt;6,"Muita barata",IF(VLOOKUP(BO83,Fundamentus!A:U,12,FALSE)&lt;6,"Barata",IF(VLOOKUP(BO83,Fundamentus!A:U,12,FALSE)&lt;8,"Atrativa",IF(VLOOKUP(BO83,Fundamentus!A:U,12,FALSE)&gt;8,"Supervalorizada","n/a")))))</f>
        <v>Muita barata</v>
      </c>
      <c r="EQ83" s="17" t="str">
        <f>IF(VLOOKUP(BO83,Fundamentus!A:U,17,FALSE)&lt;0.1,"Fraco retorno",IF(VLOOKUP(BO83,Fundamentus!A:U,17,FALSE)&gt;0.1,"Bom retorno","n/a"))</f>
        <v>Fraco retorno</v>
      </c>
      <c r="ER83" s="17" t="str">
        <f>IF(VLOOKUP(BO83,Fundamentus!A:U,16,FALSE)&lt;0.1,"Ineficiente",IF(VLOOKUP(BO83,Fundamentus!A:U,16,FALSE)&gt;0.1,"Eficiente","n/a"))</f>
        <v>Ineficiente</v>
      </c>
      <c r="ES83" s="33" t="str">
        <f>IF(VLOOKUP(BO83,Fundamentus!A:U,16,FALSE)&lt;0.1,"Oper. Ineficiente",IF(VLOOKUP(BO83,Fundamentus!A:U,16,FALSE)&gt;0.1,"Oper.Eficiente","n/a"))</f>
        <v>Oper. Ineficiente</v>
      </c>
      <c r="ET83" s="34">
        <f>VLOOKUP(BO83,Fundamentus!A:U,14,FALSE)</f>
        <v>1.2500000000000001E-2</v>
      </c>
      <c r="EU83" s="17" t="str">
        <f>IF(VLOOKUP(BO83,Fundamentus!A:U,21,FALSE)&lt;0,"Negativo",IF(VLOOKUP(BO83,Fundamentus!A:U,21,FALSE)&lt;0.05,"Fraco",IF(VLOOKUP(BO83,Fundamentus!A:U,21,FALSE)&lt;0.1,"Bom",IF(VLOOKUP(BO83,Fundamentus!A:U,21,FALSE)&gt;0.1,"Muito bom","n/a"))))</f>
        <v>Muito bom</v>
      </c>
      <c r="EW83" s="29" t="str">
        <f>IF(VLOOKUP(BO83,Fundamentus!A:U,15,FALSE)&gt;1,"Bom",IF(VLOOKUP(BO83,Fundamentus!A:U,15,FALSE)&lt;1,"Ruim","n/a"))</f>
        <v>Bom</v>
      </c>
      <c r="EX83" s="17" t="str">
        <f>IF(VLOOKUP(BO83,Fundamentus!A:U,20,FALSE)&lt;0.5,"Baixa",IF(VLOOKUP(BO83,Fundamentus!A:U,20,FALSE)&lt;1,"Moderada",IF(VLOOKUP(BO83,Fundamentus!A:U,20,FALSE)&lt;2,"Alerta",IF(VLOOKUP(BO83,Fundamentus!A:U,20,FALSE)&gt;2,"Alta","n/a"))))</f>
        <v>Moderada</v>
      </c>
      <c r="EY83" s="10"/>
    </row>
    <row r="84" spans="1:155" s="2" customFormat="1" ht="11.25"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5">
        <v>36.81</v>
      </c>
      <c r="BC84" s="52">
        <v>36.99</v>
      </c>
      <c r="BD84" s="52">
        <v>36.29</v>
      </c>
      <c r="BE84" s="52">
        <v>36.65</v>
      </c>
      <c r="BF84" s="52">
        <v>36.25</v>
      </c>
      <c r="BG84" s="67">
        <v>36.4</v>
      </c>
      <c r="BH84" s="52">
        <v>35.93</v>
      </c>
      <c r="BI84" s="52">
        <v>35.28</v>
      </c>
      <c r="BJ84" s="52">
        <v>36.07</v>
      </c>
      <c r="BK84" s="52">
        <v>34.340000000000003</v>
      </c>
      <c r="BL84" s="52">
        <v>34.22</v>
      </c>
      <c r="BM84" s="52">
        <v>33.880000000000003</v>
      </c>
      <c r="BN84" s="52" cm="1">
        <f t="array" aca="1" ref="BN84" ca="1">_FV(EB84,"Preço")</f>
        <v>33.880000000000003</v>
      </c>
      <c r="BO84" s="69" t="s">
        <v>81</v>
      </c>
      <c r="BP84" s="36" cm="1">
        <f t="array" aca="1" ref="BP84" ca="1">_FV(EB84,"Média de volume",TRUE)</f>
        <v>5310320</v>
      </c>
      <c r="BQ84" s="36">
        <v>4159100</v>
      </c>
      <c r="BR84" s="36" cm="1">
        <f t="array" aca="1" ref="BR84" ca="1">_FV(EB84,"Volume")</f>
        <v>4159100</v>
      </c>
      <c r="BS84" s="24" cm="1">
        <f t="array" aca="1" ref="BS84" ca="1">_FV(EB84,"Beta")</f>
        <v>0.91190000000000004</v>
      </c>
      <c r="BT84" s="71" cm="1">
        <f t="array" aca="1" ref="BT84" ca="1">_FV(EB84,"Variação (%)",TRUE)</f>
        <v>-7.9059999999999998E-3</v>
      </c>
      <c r="BV84" s="17" cm="1">
        <f t="array" aca="1" ref="BV84" ca="1">_FV(EB84,"Baixo")</f>
        <v>33.729999999999997</v>
      </c>
      <c r="BW84" s="17" cm="1">
        <f t="array" aca="1" ref="BW84" ca="1">_FV(EB84,"Alto")</f>
        <v>34.39</v>
      </c>
      <c r="BX84" s="24"/>
      <c r="BY84" s="63">
        <f ca="1">SQRT(22.5*(BN84/VLOOKUP(BO84,Fundamentus!A:U,3,FALSE))*(BN84/VLOOKUP(BO84,Fundamentus!A:U,4,FALSE)))</f>
        <v>33.673208008283801</v>
      </c>
      <c r="CA84" s="62">
        <f t="shared" ca="1" si="112"/>
        <v>0</v>
      </c>
      <c r="CB84" s="8"/>
      <c r="CC84" s="61">
        <f t="shared" si="113"/>
        <v>26.24</v>
      </c>
      <c r="CD84" s="61">
        <f t="shared" si="114"/>
        <v>36.99</v>
      </c>
      <c r="CE84" s="61">
        <f t="shared" si="115"/>
        <v>32.399461538461537</v>
      </c>
      <c r="CF84" s="14"/>
      <c r="CG84" s="35">
        <f t="shared" si="98"/>
        <v>31.255507428670743</v>
      </c>
      <c r="CH84" s="15">
        <f t="shared" si="116"/>
        <v>32.954999999999018</v>
      </c>
      <c r="CI84" s="35">
        <f t="shared" si="99"/>
        <v>34.654492571327296</v>
      </c>
      <c r="CK84" s="14"/>
      <c r="CL84" s="17">
        <f t="shared" si="100"/>
        <v>17.226666666666663</v>
      </c>
      <c r="CM84" s="17">
        <f t="shared" si="101"/>
        <v>21.733333333333331</v>
      </c>
      <c r="CN84" s="17">
        <f t="shared" si="102"/>
        <v>27.976666666666667</v>
      </c>
      <c r="CO84" s="38">
        <f t="shared" si="117"/>
        <v>32.483333333333334</v>
      </c>
      <c r="CP84" s="17">
        <f t="shared" si="103"/>
        <v>38.726666666666674</v>
      </c>
      <c r="CQ84" s="17">
        <f t="shared" si="104"/>
        <v>43.233333333333334</v>
      </c>
      <c r="CR84" s="17">
        <f t="shared" si="105"/>
        <v>49.476666666666674</v>
      </c>
      <c r="CS84" s="2" cm="1">
        <f t="array" aca="1" ref="CS84" ca="1">MAX(_xlfn._xlws.FILTER(CL84:CR84,CL84:CR84&lt;BN84))</f>
        <v>32.483333333333334</v>
      </c>
      <c r="CT84" s="2" cm="1">
        <f t="array" aca="1" ref="CT84" ca="1">MIN(_xlfn._xlws.FILTER($CL84:$CR84,$CL84:$CR84&gt;BN84))</f>
        <v>38.726666666666674</v>
      </c>
      <c r="CU84" s="16">
        <f t="shared" ca="1" si="119"/>
        <v>0.19220112878399198</v>
      </c>
      <c r="CV84" s="20">
        <f t="shared" ca="1" si="120"/>
        <v>-9.6100564391995991E-2</v>
      </c>
      <c r="CW84" s="20">
        <f t="shared" ca="1" si="121"/>
        <v>-6.4067042927997322E-2</v>
      </c>
      <c r="CX84" s="20">
        <f t="shared" ca="1" si="122"/>
        <v>-3.8440225756798396E-2</v>
      </c>
      <c r="CY84" s="20">
        <f t="shared" ca="1" si="123"/>
        <v>-2.135568097599911E-2</v>
      </c>
      <c r="CZ84" s="20">
        <f t="shared" ca="1" si="124"/>
        <v>-1.1305948751999528E-2</v>
      </c>
      <c r="DA84" s="20">
        <f t="shared" ca="1" si="125"/>
        <v>-5.8242766298179389E-3</v>
      </c>
      <c r="DB84" s="20">
        <f t="shared" ca="1" si="126"/>
        <v>-2.9569404428306458E-3</v>
      </c>
      <c r="DC84" s="21">
        <f t="shared" ca="1" si="127"/>
        <v>2.9569404428306458E-3</v>
      </c>
      <c r="DD84" s="21">
        <f t="shared" ca="1" si="128"/>
        <v>5.8242766298179389E-3</v>
      </c>
      <c r="DE84" s="21">
        <f t="shared" ca="1" si="129"/>
        <v>1.1305948751999528E-2</v>
      </c>
      <c r="DF84" s="21">
        <f t="shared" ca="1" si="130"/>
        <v>2.135568097599911E-2</v>
      </c>
      <c r="DG84" s="21">
        <f t="shared" ca="1" si="131"/>
        <v>3.8440225756798396E-2</v>
      </c>
      <c r="DH84" s="21">
        <f t="shared" ca="1" si="132"/>
        <v>6.4067042927997322E-2</v>
      </c>
      <c r="DI84" s="21">
        <f t="shared" ca="1" si="133"/>
        <v>9.6100564391995991E-2</v>
      </c>
      <c r="DK84" s="16" cm="1">
        <f t="array" aca="1" ref="DK84" ca="1">MAX(_xlfn._xlws.FILTER(CV84:DI84,CV84:DI84&lt;BT84))</f>
        <v>-1.1305948751999528E-2</v>
      </c>
      <c r="DL84" s="16" cm="1">
        <f t="array" aca="1" ref="DL84" ca="1">MIN(_xlfn._xlws.FILTER(CV84:DI84,CV84:DI84&gt;BT84))</f>
        <v>-5.8242766298179389E-3</v>
      </c>
      <c r="DM84" s="2" cm="1">
        <f t="array" aca="1" ref="DM84" ca="1">_FV(EB84,"Fechamento anterior",TRUE)</f>
        <v>34.15</v>
      </c>
      <c r="DN84" s="28">
        <f t="shared" ca="1" si="106"/>
        <v>0.62018539638965231</v>
      </c>
      <c r="DO84" s="15">
        <f t="shared" ca="1" si="134"/>
        <v>33.763901850119211</v>
      </c>
      <c r="DP84" s="15">
        <f t="shared" ca="1" si="135"/>
        <v>33.951100953091718</v>
      </c>
      <c r="DQ84" s="9"/>
      <c r="DR84" s="9"/>
      <c r="DS84" s="9"/>
      <c r="DT84" s="89">
        <v>5.4816721221815894E-3</v>
      </c>
      <c r="DU84" s="89">
        <f t="shared" ca="1" si="107"/>
        <v>5.4816721221815894E-3</v>
      </c>
      <c r="DV84" s="72">
        <f t="shared" ca="1" si="108"/>
        <v>0.54428010784303182</v>
      </c>
      <c r="DW84" s="37"/>
      <c r="DX84" s="35">
        <f t="shared" si="118"/>
        <v>0.84974628566413801</v>
      </c>
      <c r="DY84" s="56"/>
      <c r="DZ84" s="56"/>
      <c r="EB84" s="2" t="e" vm="84">
        <v>#VALUE!</v>
      </c>
      <c r="ED84" s="10" cm="1">
        <f t="array" aca="1" ref="ED84" ca="1">_FV(EB84,"Ações em circulação",TRUE)</f>
        <v>1254548000</v>
      </c>
      <c r="EE84" s="18">
        <f>VLOOKUP(BO84,Fundamentus!A:U,5,FALSE)</f>
        <v>0.92</v>
      </c>
      <c r="EF84" s="2">
        <f t="shared" ca="1" si="109"/>
        <v>46200093739.130432</v>
      </c>
      <c r="EG84" s="17">
        <v>3816127742.8521738</v>
      </c>
      <c r="EH84" s="17">
        <f t="shared" ca="1" si="110"/>
        <v>3816127742.8521738</v>
      </c>
      <c r="EJ84" s="16">
        <f t="shared" ca="1" si="97"/>
        <v>0</v>
      </c>
      <c r="EK84" s="32" t="str">
        <f>IF(VLOOKUP(BO84,Fundamentus!A:U,3,FALSE)&lt;15,"Bom",IF(VLOOKUP(BO84,Fundamentus!A:U,3,FALSE)&gt;15,"Ruim","n/a"))</f>
        <v>Bom</v>
      </c>
      <c r="EL84" s="28" t="str">
        <f>IF(VLOOKUP(BO84,Fundamentus!A:U,4,FALSE)&lt;1,"Baixo",IF(VLOOKUP(BO84,Fundamentus!A:U,4,FALSE)&lt;1.5,"Moderado",IF(VLOOKUP(BO84,Fundamentus!A:U,4,FALSE)&gt;1.5,"Alto","n/a")))</f>
        <v>Alto</v>
      </c>
      <c r="EM84" s="17" t="str">
        <f>IF(VLOOKUP(BO84,Fundamentus!A:U,8,FALSE)&lt;0,"Risco elevado",IF(VLOOKUP(BO84,Fundamentus!A:U,8,FALSE)&lt;1,"Saudável",IF(VLOOKUP(BO84,Fundamentus!A:U,8,FALSE)&lt;3,"Estável",IF(VLOOKUP(BO84,Fundamentus!A:U,8,FALSE)&gt;3,"Alerta","n/a"))))</f>
        <v>Alerta</v>
      </c>
      <c r="EN84" s="28" t="str">
        <f t="shared" si="111"/>
        <v>Ruim</v>
      </c>
      <c r="EO84" s="17" t="str">
        <f>IF(VLOOKUP(BO84,Fundamentus!A:U,12,FALSE)&lt;2,"Subvalorizada",IF(VLOOKUP(BO84,Fundamentus!A:U,12,FALSE)&lt;6,"Muita barata",IF(VLOOKUP(BO84,Fundamentus!A:U,12,FALSE)&lt;6,"Barata",IF(VLOOKUP(BO84,Fundamentus!A:U,12,FALSE)&lt;8,"Atrativa",IF(VLOOKUP(BO84,Fundamentus!A:U,12,FALSE)&gt;8,"Supervalorizada","n/a")))))</f>
        <v>Atrativa</v>
      </c>
      <c r="EQ84" s="17" t="str">
        <f>IF(VLOOKUP(BO84,Fundamentus!A:U,17,FALSE)&lt;0.1,"Fraco retorno",IF(VLOOKUP(BO84,Fundamentus!A:U,17,FALSE)&gt;0.1,"Bom retorno","n/a"))</f>
        <v>Bom retorno</v>
      </c>
      <c r="ER84" s="17" t="str">
        <f>IF(VLOOKUP(BO84,Fundamentus!A:U,16,FALSE)&lt;0.1,"Ineficiente",IF(VLOOKUP(BO84,Fundamentus!A:U,16,FALSE)&gt;0.1,"Eficiente","n/a"))</f>
        <v>Ineficiente</v>
      </c>
      <c r="ES84" s="33" t="str">
        <f>IF(VLOOKUP(BO84,Fundamentus!A:U,16,FALSE)&lt;0.1,"Oper. Ineficiente",IF(VLOOKUP(BO84,Fundamentus!A:U,16,FALSE)&gt;0.1,"Oper.Eficiente","n/a"))</f>
        <v>Oper. Ineficiente</v>
      </c>
      <c r="ET84" s="34">
        <f>VLOOKUP(BO84,Fundamentus!A:U,14,FALSE)</f>
        <v>8.2600000000000007E-2</v>
      </c>
      <c r="EU84" s="17" t="str">
        <f>IF(VLOOKUP(BO84,Fundamentus!A:U,21,FALSE)&lt;0,"Negativo",IF(VLOOKUP(BO84,Fundamentus!A:U,21,FALSE)&lt;0.05,"Fraco",IF(VLOOKUP(BO84,Fundamentus!A:U,21,FALSE)&lt;0.1,"Bom",IF(VLOOKUP(BO84,Fundamentus!A:U,21,FALSE)&gt;0.1,"Muito bom","n/a"))))</f>
        <v>Muito bom</v>
      </c>
      <c r="EW84" s="29" t="str">
        <f>IF(VLOOKUP(BO84,Fundamentus!A:U,15,FALSE)&gt;1,"Bom",IF(VLOOKUP(BO84,Fundamentus!A:U,15,FALSE)&lt;1,"Ruim","n/a"))</f>
        <v>Bom</v>
      </c>
      <c r="EX84" s="17" t="str">
        <f>IF(VLOOKUP(BO84,Fundamentus!A:U,20,FALSE)&lt;0.5,"Baixa",IF(VLOOKUP(BO84,Fundamentus!A:U,20,FALSE)&lt;1,"Moderada",IF(VLOOKUP(BO84,Fundamentus!A:U,20,FALSE)&lt;2,"Alerta",IF(VLOOKUP(BO84,Fundamentus!A:U,20,FALSE)&gt;2,"Alta","n/a"))))</f>
        <v>Alta</v>
      </c>
      <c r="EY84" s="10"/>
    </row>
    <row r="85" spans="1:155" s="2" customFormat="1" ht="11.25"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5">
        <v>22.72</v>
      </c>
      <c r="BC85" s="52">
        <v>23.53</v>
      </c>
      <c r="BD85" s="52">
        <v>24.4</v>
      </c>
      <c r="BE85" s="52">
        <v>25.05</v>
      </c>
      <c r="BF85" s="52">
        <v>24.51</v>
      </c>
      <c r="BG85" s="67">
        <v>24.45</v>
      </c>
      <c r="BH85" s="52">
        <v>24.99</v>
      </c>
      <c r="BI85" s="52">
        <v>24.91</v>
      </c>
      <c r="BJ85" s="52">
        <v>25.96</v>
      </c>
      <c r="BK85" s="52">
        <v>24.23</v>
      </c>
      <c r="BL85" s="52">
        <v>23.5</v>
      </c>
      <c r="BM85" s="52">
        <v>23.8</v>
      </c>
      <c r="BN85" s="52" cm="1">
        <f t="array" aca="1" ref="BN85" ca="1">_FV(EB85,"Preço")</f>
        <v>23.8</v>
      </c>
      <c r="BO85" s="69" t="s">
        <v>82</v>
      </c>
      <c r="BP85" s="36" cm="1">
        <f t="array" aca="1" ref="BP85" ca="1">_FV(EB85,"Média de volume",TRUE)</f>
        <v>1131260</v>
      </c>
      <c r="BQ85" s="36">
        <v>541100</v>
      </c>
      <c r="BR85" s="36" cm="1">
        <f t="array" aca="1" ref="BR85" ca="1">_FV(EB85,"Volume")</f>
        <v>541100</v>
      </c>
      <c r="BS85" s="24" cm="1">
        <f t="array" aca="1" ref="BS85" ca="1">_FV(EB85,"Beta")</f>
        <v>0.76629999999999998</v>
      </c>
      <c r="BT85" s="71" cm="1">
        <f t="array" aca="1" ref="BT85" ca="1">_FV(EB85,"Variação (%)",TRUE)</f>
        <v>-1.3675999999999999E-2</v>
      </c>
      <c r="BV85" s="17" cm="1">
        <f t="array" aca="1" ref="BV85" ca="1">_FV(EB85,"Baixo")</f>
        <v>23.75</v>
      </c>
      <c r="BW85" s="17" cm="1">
        <f t="array" aca="1" ref="BW85" ca="1">_FV(EB85,"Alto")</f>
        <v>24.28</v>
      </c>
      <c r="BX85" s="24"/>
      <c r="BY85" s="63">
        <f ca="1">SQRT(22.5*(BN85/VLOOKUP(BO85,Fundamentus!A:U,3,FALSE))*(BN85/VLOOKUP(BO85,Fundamentus!A:U,4,FALSE)))</f>
        <v>46.994843162232122</v>
      </c>
      <c r="CA85" s="62">
        <f t="shared" ca="1" si="112"/>
        <v>0</v>
      </c>
      <c r="CB85" s="8"/>
      <c r="CC85" s="61">
        <f t="shared" si="113"/>
        <v>18.100000000000001</v>
      </c>
      <c r="CD85" s="61">
        <f t="shared" si="114"/>
        <v>25.96</v>
      </c>
      <c r="CE85" s="61">
        <f t="shared" si="115"/>
        <v>20.360923076923083</v>
      </c>
      <c r="CF85" s="14"/>
      <c r="CG85" s="35">
        <f t="shared" si="98"/>
        <v>20.664881893425594</v>
      </c>
      <c r="CH85" s="15">
        <f t="shared" si="116"/>
        <v>22.570000000000618</v>
      </c>
      <c r="CI85" s="35">
        <f t="shared" si="99"/>
        <v>24.475118106575643</v>
      </c>
      <c r="CK85" s="14"/>
      <c r="CL85" s="17">
        <f t="shared" si="100"/>
        <v>11.219999999999999</v>
      </c>
      <c r="CM85" s="17">
        <f t="shared" si="101"/>
        <v>14.66</v>
      </c>
      <c r="CN85" s="17">
        <f t="shared" si="102"/>
        <v>19.079999999999998</v>
      </c>
      <c r="CO85" s="38">
        <f t="shared" si="117"/>
        <v>22.52</v>
      </c>
      <c r="CP85" s="17">
        <f t="shared" si="103"/>
        <v>26.939999999999998</v>
      </c>
      <c r="CQ85" s="17">
        <f t="shared" si="104"/>
        <v>30.38</v>
      </c>
      <c r="CR85" s="17">
        <f t="shared" si="105"/>
        <v>34.799999999999997</v>
      </c>
      <c r="CS85" s="2" cm="1">
        <f t="array" aca="1" ref="CS85" ca="1">MAX(_xlfn._xlws.FILTER(CL85:CR85,CL85:CR85&lt;BN85))</f>
        <v>22.52</v>
      </c>
      <c r="CT85" s="2" cm="1">
        <f t="array" aca="1" ref="CT85" ca="1">MIN(_xlfn._xlws.FILTER($CL85:$CR85,$CL85:$CR85&gt;BN85))</f>
        <v>26.939999999999998</v>
      </c>
      <c r="CU85" s="16">
        <f t="shared" ca="1" si="119"/>
        <v>0.19626998223801051</v>
      </c>
      <c r="CV85" s="20">
        <f t="shared" ca="1" si="120"/>
        <v>-9.8134991119005255E-2</v>
      </c>
      <c r="CW85" s="20">
        <f t="shared" ca="1" si="121"/>
        <v>-6.5423327412670165E-2</v>
      </c>
      <c r="CX85" s="20">
        <f t="shared" ca="1" si="122"/>
        <v>-3.9253996447602101E-2</v>
      </c>
      <c r="CY85" s="20">
        <f t="shared" ca="1" si="123"/>
        <v>-2.1807775804223391E-2</v>
      </c>
      <c r="CZ85" s="20">
        <f t="shared" ca="1" si="124"/>
        <v>-1.1545293072824148E-2</v>
      </c>
      <c r="DA85" s="20">
        <f t="shared" ca="1" si="125"/>
        <v>-5.947575219333652E-3</v>
      </c>
      <c r="DB85" s="20">
        <f t="shared" ca="1" si="126"/>
        <v>-3.0195381882770849E-3</v>
      </c>
      <c r="DC85" s="21">
        <f t="shared" ca="1" si="127"/>
        <v>3.0195381882770849E-3</v>
      </c>
      <c r="DD85" s="21">
        <f t="shared" ca="1" si="128"/>
        <v>5.947575219333652E-3</v>
      </c>
      <c r="DE85" s="21">
        <f t="shared" ca="1" si="129"/>
        <v>1.1545293072824148E-2</v>
      </c>
      <c r="DF85" s="21">
        <f t="shared" ca="1" si="130"/>
        <v>2.1807775804223391E-2</v>
      </c>
      <c r="DG85" s="21">
        <f t="shared" ca="1" si="131"/>
        <v>3.9253996447602101E-2</v>
      </c>
      <c r="DH85" s="21">
        <f t="shared" ca="1" si="132"/>
        <v>6.5423327412670165E-2</v>
      </c>
      <c r="DI85" s="21">
        <f t="shared" ca="1" si="133"/>
        <v>9.8134991119005255E-2</v>
      </c>
      <c r="DK85" s="16" cm="1">
        <f t="array" aca="1" ref="DK85" ca="1">MAX(_xlfn._xlws.FILTER(CV85:DI85,CV85:DI85&lt;BT85))</f>
        <v>-2.1807775804223391E-2</v>
      </c>
      <c r="DL85" s="16" cm="1">
        <f t="array" aca="1" ref="DL85" ca="1">MIN(_xlfn._xlws.FILTER(CV85:DI85,CV85:DI85&gt;BT85))</f>
        <v>-1.1545293072824148E-2</v>
      </c>
      <c r="DM85" s="2" cm="1">
        <f t="array" aca="1" ref="DM85" ca="1">_FV(EB85,"Fechamento anterior",TRUE)</f>
        <v>24.13</v>
      </c>
      <c r="DN85" s="28">
        <f t="shared" ca="1" si="106"/>
        <v>0.79238659185821103</v>
      </c>
      <c r="DO85" s="15">
        <f t="shared" ca="1" si="134"/>
        <v>23.60377836984409</v>
      </c>
      <c r="DP85" s="15">
        <f t="shared" ca="1" si="135"/>
        <v>23.851412078152752</v>
      </c>
      <c r="DQ85" s="9"/>
      <c r="DR85" s="9"/>
      <c r="DS85" s="9"/>
      <c r="DT85" s="89">
        <v>1.0262482731399243E-2</v>
      </c>
      <c r="DU85" s="89">
        <f t="shared" ca="1" si="107"/>
        <v>1.0262482731399243E-2</v>
      </c>
      <c r="DV85" s="72">
        <f t="shared" ca="1" si="108"/>
        <v>0.64562926348469118</v>
      </c>
      <c r="DW85" s="37"/>
      <c r="DX85" s="35">
        <f t="shared" si="118"/>
        <v>0.95255905328751167</v>
      </c>
      <c r="DY85" s="56"/>
      <c r="DZ85" s="56"/>
      <c r="EB85" s="2" t="e" vm="85">
        <v>#VALUE!</v>
      </c>
      <c r="ED85" s="10" cm="1">
        <f t="array" aca="1" ref="ED85" ca="1">_FV(EB85,"Ações em circulação",TRUE)</f>
        <v>1213797000</v>
      </c>
      <c r="EE85" s="18">
        <f>VLOOKUP(BO85,Fundamentus!A:U,5,FALSE)</f>
        <v>0.58299999999999996</v>
      </c>
      <c r="EF85" s="2">
        <f t="shared" ca="1" si="109"/>
        <v>49551232590.05146</v>
      </c>
      <c r="EG85" s="17">
        <v>4226720139.9313898</v>
      </c>
      <c r="EH85" s="17">
        <f t="shared" ca="1" si="110"/>
        <v>4226720139.9313898</v>
      </c>
      <c r="EJ85" s="16">
        <f t="shared" ca="1" si="97"/>
        <v>0</v>
      </c>
      <c r="EK85" s="32" t="str">
        <f>IF(VLOOKUP(BO85,Fundamentus!A:U,3,FALSE)&lt;15,"Bom",IF(VLOOKUP(BO85,Fundamentus!A:U,3,FALSE)&gt;15,"Ruim","n/a"))</f>
        <v>Bom</v>
      </c>
      <c r="EL85" s="28" t="str">
        <f>IF(VLOOKUP(BO85,Fundamentus!A:U,4,FALSE)&lt;1,"Baixo",IF(VLOOKUP(BO85,Fundamentus!A:U,4,FALSE)&lt;1.5,"Moderado",IF(VLOOKUP(BO85,Fundamentus!A:U,4,FALSE)&gt;1.5,"Alto","n/a")))</f>
        <v>Baixo</v>
      </c>
      <c r="EM85" s="17" t="str">
        <f>IF(VLOOKUP(BO85,Fundamentus!A:U,8,FALSE)&lt;0,"Risco elevado",IF(VLOOKUP(BO85,Fundamentus!A:U,8,FALSE)&lt;1,"Saudável",IF(VLOOKUP(BO85,Fundamentus!A:U,8,FALSE)&lt;3,"Estável",IF(VLOOKUP(BO85,Fundamentus!A:U,8,FALSE)&gt;3,"Alerta","n/a"))))</f>
        <v>Alerta</v>
      </c>
      <c r="EN85" s="28" t="str">
        <f t="shared" si="111"/>
        <v>Ruim</v>
      </c>
      <c r="EO85" s="17" t="str">
        <f>IF(VLOOKUP(BO85,Fundamentus!A:U,12,FALSE)&lt;2,"Subvalorizada",IF(VLOOKUP(BO85,Fundamentus!A:U,12,FALSE)&lt;6,"Muita barata",IF(VLOOKUP(BO85,Fundamentus!A:U,12,FALSE)&lt;6,"Barata",IF(VLOOKUP(BO85,Fundamentus!A:U,12,FALSE)&lt;8,"Atrativa",IF(VLOOKUP(BO85,Fundamentus!A:U,12,FALSE)&gt;8,"Supervalorizada","n/a")))))</f>
        <v>Muita barata</v>
      </c>
      <c r="EQ85" s="17" t="str">
        <f>IF(VLOOKUP(BO85,Fundamentus!A:U,17,FALSE)&lt;0.1,"Fraco retorno",IF(VLOOKUP(BO85,Fundamentus!A:U,17,FALSE)&gt;0.1,"Bom retorno","n/a"))</f>
        <v>Bom retorno</v>
      </c>
      <c r="ER85" s="17" t="str">
        <f>IF(VLOOKUP(BO85,Fundamentus!A:U,16,FALSE)&lt;0.1,"Ineficiente",IF(VLOOKUP(BO85,Fundamentus!A:U,16,FALSE)&gt;0.1,"Eficiente","n/a"))</f>
        <v>Eficiente</v>
      </c>
      <c r="ES85" s="33" t="str">
        <f>IF(VLOOKUP(BO85,Fundamentus!A:U,16,FALSE)&lt;0.1,"Oper. Ineficiente",IF(VLOOKUP(BO85,Fundamentus!A:U,16,FALSE)&gt;0.1,"Oper.Eficiente","n/a"))</f>
        <v>Oper.Eficiente</v>
      </c>
      <c r="ET85" s="34">
        <f>VLOOKUP(BO85,Fundamentus!A:U,14,FALSE)</f>
        <v>8.5300000000000001E-2</v>
      </c>
      <c r="EU85" s="17" t="str">
        <f>IF(VLOOKUP(BO85,Fundamentus!A:U,21,FALSE)&lt;0,"Negativo",IF(VLOOKUP(BO85,Fundamentus!A:U,21,FALSE)&lt;0.05,"Fraco",IF(VLOOKUP(BO85,Fundamentus!A:U,21,FALSE)&lt;0.1,"Bom",IF(VLOOKUP(BO85,Fundamentus!A:U,21,FALSE)&gt;0.1,"Muito bom","n/a"))))</f>
        <v>Bom</v>
      </c>
      <c r="EW85" s="29" t="str">
        <f>IF(VLOOKUP(BO85,Fundamentus!A:U,15,FALSE)&gt;1,"Bom",IF(VLOOKUP(BO85,Fundamentus!A:U,15,FALSE)&lt;1,"Ruim","n/a"))</f>
        <v>Bom</v>
      </c>
      <c r="EX85" s="17" t="str">
        <f>IF(VLOOKUP(BO85,Fundamentus!A:U,20,FALSE)&lt;0.5,"Baixa",IF(VLOOKUP(BO85,Fundamentus!A:U,20,FALSE)&lt;1,"Moderada",IF(VLOOKUP(BO85,Fundamentus!A:U,20,FALSE)&lt;2,"Alerta",IF(VLOOKUP(BO85,Fundamentus!A:U,20,FALSE)&gt;2,"Alta","n/a"))))</f>
        <v>Alerta</v>
      </c>
      <c r="EY85" s="10"/>
    </row>
    <row r="86" spans="1:155" s="2" customFormat="1" ht="11.25"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5">
        <v>5.61</v>
      </c>
      <c r="BC86" s="52">
        <v>5.12</v>
      </c>
      <c r="BD86" s="52">
        <v>4.93</v>
      </c>
      <c r="BE86" s="52">
        <v>4.72</v>
      </c>
      <c r="BF86" s="52">
        <v>4.42</v>
      </c>
      <c r="BG86" s="67">
        <v>4.46</v>
      </c>
      <c r="BH86" s="52">
        <v>4.28</v>
      </c>
      <c r="BI86" s="52">
        <v>4.41</v>
      </c>
      <c r="BJ86" s="52">
        <v>4.67</v>
      </c>
      <c r="BK86" s="52">
        <v>4.62</v>
      </c>
      <c r="BL86" s="52">
        <v>4.3899999999999997</v>
      </c>
      <c r="BM86" s="52">
        <v>4.2</v>
      </c>
      <c r="BN86" s="52" cm="1">
        <f t="array" aca="1" ref="BN86" ca="1">_FV(EB86,"Preço")</f>
        <v>4.2</v>
      </c>
      <c r="BO86" s="69" t="s">
        <v>83</v>
      </c>
      <c r="BP86" s="36" cm="1">
        <f t="array" aca="1" ref="BP86" ca="1">_FV(EB86,"Média de volume",TRUE)</f>
        <v>601260</v>
      </c>
      <c r="BQ86" s="36">
        <v>642400</v>
      </c>
      <c r="BR86" s="36" cm="1">
        <f t="array" aca="1" ref="BR86" ca="1">_FV(EB86,"Volume")</f>
        <v>642400</v>
      </c>
      <c r="BS86" s="24" cm="1">
        <f t="array" aca="1" ref="BS86" ca="1">_FV(EB86,"Beta")</f>
        <v>1.88</v>
      </c>
      <c r="BT86" s="71" cm="1">
        <f t="array" aca="1" ref="BT86" ca="1">_FV(EB86,"Variação (%)",TRUE)</f>
        <v>-1.4085E-2</v>
      </c>
      <c r="BV86" s="17" cm="1">
        <f t="array" aca="1" ref="BV86" ca="1">_FV(EB86,"Baixo")</f>
        <v>4.2</v>
      </c>
      <c r="BW86" s="17" cm="1">
        <f t="array" aca="1" ref="BW86" ca="1">_FV(EB86,"Alto")</f>
        <v>4.32</v>
      </c>
      <c r="BX86" s="24"/>
      <c r="BY86" s="63">
        <f ca="1">SQRT(22.5*(BN86/VLOOKUP(BO86,Fundamentus!A:U,3,FALSE))*(BN86/VLOOKUP(BO86,Fundamentus!A:U,4,FALSE)))</f>
        <v>2.2380226604138747</v>
      </c>
      <c r="CA86" s="62">
        <f t="shared" ca="1" si="112"/>
        <v>0</v>
      </c>
      <c r="CB86" s="8"/>
      <c r="CC86" s="61">
        <f t="shared" si="113"/>
        <v>4.2</v>
      </c>
      <c r="CD86" s="61">
        <f t="shared" si="114"/>
        <v>10.01</v>
      </c>
      <c r="CE86" s="61">
        <f t="shared" si="115"/>
        <v>6.1163846153846153</v>
      </c>
      <c r="CF86" s="14"/>
      <c r="CG86" s="35">
        <f t="shared" si="98"/>
        <v>3.6834365923249184</v>
      </c>
      <c r="CH86" s="15">
        <f t="shared" si="116"/>
        <v>4.0600000000001728</v>
      </c>
      <c r="CI86" s="35">
        <f t="shared" si="99"/>
        <v>4.4365634076754272</v>
      </c>
      <c r="CK86" s="14"/>
      <c r="CL86" s="17">
        <f t="shared" si="100"/>
        <v>-3.419999999999999</v>
      </c>
      <c r="CM86" s="17">
        <f t="shared" si="101"/>
        <v>0.39000000000000057</v>
      </c>
      <c r="CN86" s="17">
        <f t="shared" si="102"/>
        <v>2.3900000000000006</v>
      </c>
      <c r="CO86" s="38">
        <f t="shared" si="117"/>
        <v>6.2</v>
      </c>
      <c r="CP86" s="17">
        <f t="shared" si="103"/>
        <v>8.1999999999999993</v>
      </c>
      <c r="CQ86" s="17">
        <f t="shared" si="104"/>
        <v>12.01</v>
      </c>
      <c r="CR86" s="17">
        <f t="shared" si="105"/>
        <v>14.01</v>
      </c>
      <c r="CS86" s="2" cm="1">
        <f t="array" aca="1" ref="CS86" ca="1">MAX(_xlfn._xlws.FILTER(CL86:CR86,CL86:CR86&lt;BN86))</f>
        <v>2.3900000000000006</v>
      </c>
      <c r="CT86" s="2" cm="1">
        <f t="array" aca="1" ref="CT86" ca="1">MIN(_xlfn._xlws.FILTER($CL86:$CR86,$CL86:$CR86&gt;BN86))</f>
        <v>6.2</v>
      </c>
      <c r="CU86" s="16">
        <f t="shared" ca="1" si="119"/>
        <v>1.5941422594142254</v>
      </c>
      <c r="CV86" s="20">
        <f t="shared" ca="1" si="120"/>
        <v>-0.79707112970711269</v>
      </c>
      <c r="CW86" s="20">
        <f t="shared" ca="1" si="121"/>
        <v>-0.53138075313807509</v>
      </c>
      <c r="CX86" s="20">
        <f t="shared" ca="1" si="122"/>
        <v>-0.31882845188284509</v>
      </c>
      <c r="CY86" s="20">
        <f t="shared" ca="1" si="123"/>
        <v>-0.17712691771269171</v>
      </c>
      <c r="CZ86" s="20">
        <f t="shared" ca="1" si="124"/>
        <v>-9.3773074083189731E-2</v>
      </c>
      <c r="DA86" s="20">
        <f t="shared" ca="1" si="125"/>
        <v>-4.8307341194370468E-2</v>
      </c>
      <c r="DB86" s="20">
        <f t="shared" ca="1" si="126"/>
        <v>-2.4525265529449621E-2</v>
      </c>
      <c r="DC86" s="21">
        <f t="shared" ca="1" si="127"/>
        <v>2.4525265529449621E-2</v>
      </c>
      <c r="DD86" s="21">
        <f t="shared" ca="1" si="128"/>
        <v>4.8307341194370468E-2</v>
      </c>
      <c r="DE86" s="21">
        <f t="shared" ca="1" si="129"/>
        <v>9.3773074083189731E-2</v>
      </c>
      <c r="DF86" s="21">
        <f t="shared" ca="1" si="130"/>
        <v>0.17712691771269171</v>
      </c>
      <c r="DG86" s="21">
        <f t="shared" ca="1" si="131"/>
        <v>0.31882845188284509</v>
      </c>
      <c r="DH86" s="21">
        <f t="shared" ca="1" si="132"/>
        <v>0.53138075313807509</v>
      </c>
      <c r="DI86" s="21">
        <f t="shared" ca="1" si="133"/>
        <v>0.79707112970711269</v>
      </c>
      <c r="DK86" s="16" cm="1">
        <f t="array" aca="1" ref="DK86" ca="1">MAX(_xlfn._xlws.FILTER(CV86:DI86,CV86:DI86&lt;BT86))</f>
        <v>-2.4525265529449621E-2</v>
      </c>
      <c r="DL86" s="16" cm="1">
        <f t="array" aca="1" ref="DL86" ca="1">MIN(_xlfn._xlws.FILTER(CV86:DI86,CV86:DI86&gt;BT86))</f>
        <v>2.4525265529449621E-2</v>
      </c>
      <c r="DM86" s="2" cm="1">
        <f t="array" aca="1" ref="DM86" ca="1">_FV(EB86,"Fechamento anterior",TRUE)</f>
        <v>4.26</v>
      </c>
      <c r="DN86" s="28">
        <f t="shared" ca="1" si="106"/>
        <v>0.21285719566744413</v>
      </c>
      <c r="DO86" s="15">
        <f t="shared" ca="1" si="134"/>
        <v>4.1555223688445446</v>
      </c>
      <c r="DP86" s="15">
        <f t="shared" ca="1" si="135"/>
        <v>4.364477631155455</v>
      </c>
      <c r="DQ86" s="9"/>
      <c r="DR86" s="9"/>
      <c r="DS86" s="9"/>
      <c r="DT86" s="89">
        <v>4.9050531058899241E-2</v>
      </c>
      <c r="DU86" s="89">
        <f t="shared" ca="1" si="107"/>
        <v>4.9050531058899241E-2</v>
      </c>
      <c r="DV86" s="72">
        <f t="shared" ca="1" si="108"/>
        <v>0.37178333620924303</v>
      </c>
      <c r="DW86" s="37"/>
      <c r="DX86" s="35">
        <f t="shared" si="118"/>
        <v>0.1882817038376273</v>
      </c>
      <c r="DY86" s="56"/>
      <c r="DZ86" s="56"/>
      <c r="EB86" s="2" t="e" vm="86">
        <v>#VALUE!</v>
      </c>
      <c r="ED86" s="10" cm="1">
        <f t="array" aca="1" ref="ED86" ca="1">_FV(EB86,"Ações em circulação",TRUE)</f>
        <v>141800000</v>
      </c>
      <c r="EE86" s="18">
        <f>VLOOKUP(BO86,Fundamentus!A:U,5,FALSE)</f>
        <v>0.17899999999999999</v>
      </c>
      <c r="EF86" s="2">
        <f t="shared" ca="1" si="109"/>
        <v>3327150837.9888268</v>
      </c>
      <c r="EG86" s="17">
        <v>7985162.0111731831</v>
      </c>
      <c r="EH86" s="17">
        <f t="shared" ca="1" si="110"/>
        <v>7985162.0111731831</v>
      </c>
      <c r="EJ86" s="16">
        <f t="shared" ca="1" si="97"/>
        <v>0</v>
      </c>
      <c r="EK86" s="32" t="str">
        <f>IF(VLOOKUP(BO86,Fundamentus!A:U,3,FALSE)&lt;15,"Bom",IF(VLOOKUP(BO86,Fundamentus!A:U,3,FALSE)&gt;15,"Ruim","n/a"))</f>
        <v>Ruim</v>
      </c>
      <c r="EL86" s="28" t="str">
        <f>IF(VLOOKUP(BO86,Fundamentus!A:U,4,FALSE)&lt;1,"Baixo",IF(VLOOKUP(BO86,Fundamentus!A:U,4,FALSE)&lt;1.5,"Moderado",IF(VLOOKUP(BO86,Fundamentus!A:U,4,FALSE)&gt;1.5,"Alto","n/a")))</f>
        <v>Baixo</v>
      </c>
      <c r="EM86" s="17" t="str">
        <f>IF(VLOOKUP(BO86,Fundamentus!A:U,8,FALSE)&lt;0,"Risco elevado",IF(VLOOKUP(BO86,Fundamentus!A:U,8,FALSE)&lt;1,"Saudável",IF(VLOOKUP(BO86,Fundamentus!A:U,8,FALSE)&lt;3,"Estável",IF(VLOOKUP(BO86,Fundamentus!A:U,8,FALSE)&gt;3,"Alerta","n/a"))))</f>
        <v>Saudável</v>
      </c>
      <c r="EN86" s="28" t="str">
        <f t="shared" si="111"/>
        <v>Ruim</v>
      </c>
      <c r="EO86" s="17" t="str">
        <f>IF(VLOOKUP(BO86,Fundamentus!A:U,12,FALSE)&lt;2,"Subvalorizada",IF(VLOOKUP(BO86,Fundamentus!A:U,12,FALSE)&lt;6,"Muita barata",IF(VLOOKUP(BO86,Fundamentus!A:U,12,FALSE)&lt;6,"Barata",IF(VLOOKUP(BO86,Fundamentus!A:U,12,FALSE)&lt;8,"Atrativa",IF(VLOOKUP(BO86,Fundamentus!A:U,12,FALSE)&gt;8,"Supervalorizada","n/a")))))</f>
        <v>Muita barata</v>
      </c>
      <c r="EQ86" s="17" t="str">
        <f>IF(VLOOKUP(BO86,Fundamentus!A:U,17,FALSE)&lt;0.1,"Fraco retorno",IF(VLOOKUP(BO86,Fundamentus!A:U,17,FALSE)&gt;0.1,"Bom retorno","n/a"))</f>
        <v>Fraco retorno</v>
      </c>
      <c r="ER86" s="17" t="str">
        <f>IF(VLOOKUP(BO86,Fundamentus!A:U,16,FALSE)&lt;0.1,"Ineficiente",IF(VLOOKUP(BO86,Fundamentus!A:U,16,FALSE)&gt;0.1,"Eficiente","n/a"))</f>
        <v>Ineficiente</v>
      </c>
      <c r="ES86" s="33" t="str">
        <f>IF(VLOOKUP(BO86,Fundamentus!A:U,16,FALSE)&lt;0.1,"Oper. Ineficiente",IF(VLOOKUP(BO86,Fundamentus!A:U,16,FALSE)&gt;0.1,"Oper.Eficiente","n/a"))</f>
        <v>Oper. Ineficiente</v>
      </c>
      <c r="ET86" s="34">
        <f>VLOOKUP(BO86,Fundamentus!A:U,14,FALSE)</f>
        <v>2.3999999999999998E-3</v>
      </c>
      <c r="EU86" s="17" t="str">
        <f>IF(VLOOKUP(BO86,Fundamentus!A:U,21,FALSE)&lt;0,"Negativo",IF(VLOOKUP(BO86,Fundamentus!A:U,21,FALSE)&lt;0.05,"Fraco",IF(VLOOKUP(BO86,Fundamentus!A:U,21,FALSE)&lt;0.1,"Bom",IF(VLOOKUP(BO86,Fundamentus!A:U,21,FALSE)&gt;0.1,"Muito bom","n/a"))))</f>
        <v>Bom</v>
      </c>
      <c r="EW86" s="29" t="str">
        <f>IF(VLOOKUP(BO86,Fundamentus!A:U,15,FALSE)&gt;1,"Bom",IF(VLOOKUP(BO86,Fundamentus!A:U,15,FALSE)&lt;1,"Ruim","n/a"))</f>
        <v>Bom</v>
      </c>
      <c r="EX86" s="17" t="str">
        <f>IF(VLOOKUP(BO86,Fundamentus!A:U,20,FALSE)&lt;0.5,"Baixa",IF(VLOOKUP(BO86,Fundamentus!A:U,20,FALSE)&lt;1,"Moderada",IF(VLOOKUP(BO86,Fundamentus!A:U,20,FALSE)&lt;2,"Alerta",IF(VLOOKUP(BO86,Fundamentus!A:U,20,FALSE)&gt;2,"Alta","n/a"))))</f>
        <v>Moderada</v>
      </c>
      <c r="EY86" s="10"/>
    </row>
    <row r="87" spans="1:155" s="2" customFormat="1" ht="11.25"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5">
        <v>4.8</v>
      </c>
      <c r="BC87" s="52">
        <v>4.67</v>
      </c>
      <c r="BD87" s="52">
        <v>4.33</v>
      </c>
      <c r="BE87" s="52">
        <v>4.3600000000000003</v>
      </c>
      <c r="BF87" s="52">
        <v>4.2</v>
      </c>
      <c r="BG87" s="67">
        <v>4.25</v>
      </c>
      <c r="BH87" s="52">
        <v>4.24</v>
      </c>
      <c r="BI87" s="52">
        <v>3.6</v>
      </c>
      <c r="BJ87" s="52">
        <v>3.67</v>
      </c>
      <c r="BK87" s="52">
        <v>3.57</v>
      </c>
      <c r="BL87" s="52">
        <v>3.63</v>
      </c>
      <c r="BM87" s="52">
        <v>3.58</v>
      </c>
      <c r="BN87" s="52" cm="1">
        <f t="array" aca="1" ref="BN87" ca="1">_FV(EB87,"Preço")</f>
        <v>3.58</v>
      </c>
      <c r="BO87" s="69" t="s">
        <v>84</v>
      </c>
      <c r="BP87" s="36" cm="1">
        <f t="array" aca="1" ref="BP87" ca="1">_FV(EB87,"Média de volume",TRUE)</f>
        <v>1260</v>
      </c>
      <c r="BQ87" s="36">
        <v>1000</v>
      </c>
      <c r="BR87" s="36" cm="1">
        <f t="array" aca="1" ref="BR87" ca="1">_FV(EB87,"Volume")</f>
        <v>1000</v>
      </c>
      <c r="BS87" s="24" cm="1">
        <f t="array" aca="1" ref="BS87" ca="1">_FV(EB87,"Beta")</f>
        <v>1.1336999999999999</v>
      </c>
      <c r="BT87" s="71" cm="1">
        <f t="array" aca="1" ref="BT87" ca="1">_FV(EB87,"Variação (%)",TRUE)</f>
        <v>-5.5560000000000002E-3</v>
      </c>
      <c r="BV87" s="17" cm="1">
        <f t="array" aca="1" ref="BV87" ca="1">_FV(EB87,"Baixo")</f>
        <v>3.56</v>
      </c>
      <c r="BW87" s="17" cm="1">
        <f t="array" aca="1" ref="BW87" ca="1">_FV(EB87,"Alto")</f>
        <v>3.58</v>
      </c>
      <c r="BX87" s="24"/>
      <c r="BY87" s="63" t="e">
        <f ca="1">SQRT(22.5*(BN87/VLOOKUP(BO87,Fundamentus!A:U,3,FALSE))*(BN87/VLOOKUP(BO87,Fundamentus!A:U,4,FALSE)))</f>
        <v>#NUM!</v>
      </c>
      <c r="CA87" s="62">
        <f t="shared" ca="1" si="112"/>
        <v>0</v>
      </c>
      <c r="CB87" s="8"/>
      <c r="CC87" s="61">
        <f t="shared" si="113"/>
        <v>0.5</v>
      </c>
      <c r="CD87" s="61">
        <f t="shared" si="114"/>
        <v>5.5</v>
      </c>
      <c r="CE87" s="61">
        <f t="shared" si="115"/>
        <v>2.4576923076923078</v>
      </c>
      <c r="CF87" s="14"/>
      <c r="CG87" s="35">
        <f t="shared" si="98"/>
        <v>3.4795326153028752</v>
      </c>
      <c r="CH87" s="15">
        <f t="shared" si="116"/>
        <v>3.5600000000000307</v>
      </c>
      <c r="CI87" s="35">
        <f t="shared" si="99"/>
        <v>3.6404673846971862</v>
      </c>
      <c r="CK87" s="14"/>
      <c r="CL87" s="17">
        <f t="shared" si="100"/>
        <v>-4.080000000000001</v>
      </c>
      <c r="CM87" s="17">
        <f t="shared" si="101"/>
        <v>-1.7900000000000005</v>
      </c>
      <c r="CN87" s="17">
        <f t="shared" si="102"/>
        <v>0.91999999999999904</v>
      </c>
      <c r="CO87" s="38">
        <f t="shared" si="117"/>
        <v>3.2099999999999995</v>
      </c>
      <c r="CP87" s="17">
        <f t="shared" si="103"/>
        <v>5.919999999999999</v>
      </c>
      <c r="CQ87" s="17">
        <f t="shared" si="104"/>
        <v>8.2099999999999991</v>
      </c>
      <c r="CR87" s="17">
        <f t="shared" si="105"/>
        <v>10.919999999999998</v>
      </c>
      <c r="CS87" s="2" cm="1">
        <f t="array" aca="1" ref="CS87" ca="1">MAX(_xlfn._xlws.FILTER(CL87:CR87,CL87:CR87&lt;BN87))</f>
        <v>3.2099999999999995</v>
      </c>
      <c r="CT87" s="2" cm="1">
        <f t="array" aca="1" ref="CT87" ca="1">MIN(_xlfn._xlws.FILTER($CL87:$CR87,$CL87:$CR87&gt;BN87))</f>
        <v>5.919999999999999</v>
      </c>
      <c r="CU87" s="16">
        <f t="shared" ca="1" si="119"/>
        <v>0.84423676012461057</v>
      </c>
      <c r="CV87" s="20">
        <f t="shared" ca="1" si="120"/>
        <v>-0.42211838006230529</v>
      </c>
      <c r="CW87" s="20">
        <f t="shared" ca="1" si="121"/>
        <v>-0.28141225337487019</v>
      </c>
      <c r="CX87" s="20">
        <f t="shared" ca="1" si="122"/>
        <v>-0.16884735202492213</v>
      </c>
      <c r="CY87" s="20">
        <f t="shared" ca="1" si="123"/>
        <v>-9.3804084458290068E-2</v>
      </c>
      <c r="CZ87" s="20">
        <f t="shared" ca="1" si="124"/>
        <v>-4.9660985889682978E-2</v>
      </c>
      <c r="DA87" s="20">
        <f t="shared" ca="1" si="125"/>
        <v>-2.55829321249882E-2</v>
      </c>
      <c r="DB87" s="20">
        <f t="shared" ca="1" si="126"/>
        <v>-1.2988257848070933E-2</v>
      </c>
      <c r="DC87" s="21">
        <f t="shared" ca="1" si="127"/>
        <v>1.2988257848070933E-2</v>
      </c>
      <c r="DD87" s="21">
        <f t="shared" ca="1" si="128"/>
        <v>2.55829321249882E-2</v>
      </c>
      <c r="DE87" s="21">
        <f t="shared" ca="1" si="129"/>
        <v>4.9660985889682978E-2</v>
      </c>
      <c r="DF87" s="21">
        <f t="shared" ca="1" si="130"/>
        <v>9.3804084458290068E-2</v>
      </c>
      <c r="DG87" s="21">
        <f t="shared" ca="1" si="131"/>
        <v>0.16884735202492213</v>
      </c>
      <c r="DH87" s="21">
        <f t="shared" ca="1" si="132"/>
        <v>0.28141225337487019</v>
      </c>
      <c r="DI87" s="21">
        <f t="shared" ca="1" si="133"/>
        <v>0.42211838006230529</v>
      </c>
      <c r="DK87" s="16" cm="1">
        <f t="array" aca="1" ref="DK87" ca="1">MAX(_xlfn._xlws.FILTER(CV87:DI87,CV87:DI87&lt;BT87))</f>
        <v>-1.2988257848070933E-2</v>
      </c>
      <c r="DL87" s="16" cm="1">
        <f t="array" aca="1" ref="DL87" ca="1">MIN(_xlfn._xlws.FILTER(CV87:DI87,CV87:DI87&gt;BT87))</f>
        <v>1.2988257848070933E-2</v>
      </c>
      <c r="DM87" s="2" cm="1">
        <f t="array" aca="1" ref="DM87" ca="1">_FV(EB87,"Fechamento anterior",TRUE)</f>
        <v>3.6</v>
      </c>
      <c r="DN87" s="28">
        <f t="shared" ca="1" si="106"/>
        <v>0.28613161131611398</v>
      </c>
      <c r="DO87" s="15">
        <f t="shared" ca="1" si="134"/>
        <v>3.5532422717469445</v>
      </c>
      <c r="DP87" s="15">
        <f t="shared" ca="1" si="135"/>
        <v>3.6467577282530557</v>
      </c>
      <c r="DQ87" s="9"/>
      <c r="DR87" s="9"/>
      <c r="DS87" s="9"/>
      <c r="DT87" s="89">
        <v>2.5976515696141865E-2</v>
      </c>
      <c r="DU87" s="89">
        <f t="shared" ca="1" si="107"/>
        <v>2.5976515696141865E-2</v>
      </c>
      <c r="DV87" s="72">
        <f t="shared" ca="1" si="108"/>
        <v>0.24854790640009905</v>
      </c>
      <c r="DW87" s="37"/>
      <c r="DX87" s="35">
        <f t="shared" si="118"/>
        <v>4.0233692348577696E-2</v>
      </c>
      <c r="DY87" s="56"/>
      <c r="DZ87" s="56"/>
      <c r="EB87" s="2" t="e" vm="87">
        <v>#VALUE!</v>
      </c>
      <c r="ED87" s="10" cm="1">
        <f t="array" aca="1" ref="ED87" ca="1">_FV(EB87,"Ações em circulação",TRUE)</f>
        <v>11109350</v>
      </c>
      <c r="EE87" s="18">
        <f>VLOOKUP(BO87,Fundamentus!A:U,5,FALSE)</f>
        <v>0.25600000000000001</v>
      </c>
      <c r="EF87" s="2">
        <f t="shared" ca="1" si="109"/>
        <v>155357316.40625</v>
      </c>
      <c r="EG87" s="17">
        <v>-19000199.796484377</v>
      </c>
      <c r="EH87" s="17">
        <f t="shared" ca="1" si="110"/>
        <v>-19000199.796484377</v>
      </c>
      <c r="EJ87" s="16">
        <f t="shared" ca="1" si="97"/>
        <v>0</v>
      </c>
      <c r="EK87" s="32" t="str">
        <f>IF(VLOOKUP(BO87,Fundamentus!A:U,3,FALSE)&lt;15,"Bom",IF(VLOOKUP(BO87,Fundamentus!A:U,3,FALSE)&gt;15,"Ruim","n/a"))</f>
        <v>Bom</v>
      </c>
      <c r="EL87" s="28" t="str">
        <f>IF(VLOOKUP(BO87,Fundamentus!A:U,4,FALSE)&lt;1,"Baixo",IF(VLOOKUP(BO87,Fundamentus!A:U,4,FALSE)&lt;1.5,"Moderado",IF(VLOOKUP(BO87,Fundamentus!A:U,4,FALSE)&gt;1.5,"Alto","n/a")))</f>
        <v>Baixo</v>
      </c>
      <c r="EM87" s="17" t="str">
        <f>IF(VLOOKUP(BO87,Fundamentus!A:U,8,FALSE)&lt;0,"Risco elevado",IF(VLOOKUP(BO87,Fundamentus!A:U,8,FALSE)&lt;1,"Saudável",IF(VLOOKUP(BO87,Fundamentus!A:U,8,FALSE)&lt;3,"Estável",IF(VLOOKUP(BO87,Fundamentus!A:U,8,FALSE)&gt;3,"Alerta","n/a"))))</f>
        <v>Saudável</v>
      </c>
      <c r="EN87" s="28" t="str">
        <f t="shared" si="111"/>
        <v>Ruim</v>
      </c>
      <c r="EO87" s="17" t="str">
        <f>IF(VLOOKUP(BO87,Fundamentus!A:U,12,FALSE)&lt;2,"Subvalorizada",IF(VLOOKUP(BO87,Fundamentus!A:U,12,FALSE)&lt;6,"Muita barata",IF(VLOOKUP(BO87,Fundamentus!A:U,12,FALSE)&lt;6,"Barata",IF(VLOOKUP(BO87,Fundamentus!A:U,12,FALSE)&lt;8,"Atrativa",IF(VLOOKUP(BO87,Fundamentus!A:U,12,FALSE)&gt;8,"Supervalorizada","n/a")))))</f>
        <v>Muita barata</v>
      </c>
      <c r="EQ87" s="17" t="str">
        <f>IF(VLOOKUP(BO87,Fundamentus!A:U,17,FALSE)&lt;0.1,"Fraco retorno",IF(VLOOKUP(BO87,Fundamentus!A:U,17,FALSE)&gt;0.1,"Bom retorno","n/a"))</f>
        <v>Fraco retorno</v>
      </c>
      <c r="ER87" s="17" t="str">
        <f>IF(VLOOKUP(BO87,Fundamentus!A:U,16,FALSE)&lt;0.1,"Ineficiente",IF(VLOOKUP(BO87,Fundamentus!A:U,16,FALSE)&gt;0.1,"Eficiente","n/a"))</f>
        <v>Ineficiente</v>
      </c>
      <c r="ES87" s="33" t="str">
        <f>IF(VLOOKUP(BO87,Fundamentus!A:U,16,FALSE)&lt;0.1,"Oper. Ineficiente",IF(VLOOKUP(BO87,Fundamentus!A:U,16,FALSE)&gt;0.1,"Oper.Eficiente","n/a"))</f>
        <v>Oper. Ineficiente</v>
      </c>
      <c r="ET87" s="34">
        <f>VLOOKUP(BO87,Fundamentus!A:U,14,FALSE)</f>
        <v>-0.12230000000000001</v>
      </c>
      <c r="EU87" s="17" t="str">
        <f>IF(VLOOKUP(BO87,Fundamentus!A:U,21,FALSE)&lt;0,"Negativo",IF(VLOOKUP(BO87,Fundamentus!A:U,21,FALSE)&lt;0.05,"Fraco",IF(VLOOKUP(BO87,Fundamentus!A:U,21,FALSE)&lt;0.1,"Bom",IF(VLOOKUP(BO87,Fundamentus!A:U,21,FALSE)&gt;0.1,"Muito bom","n/a"))))</f>
        <v>Negativo</v>
      </c>
      <c r="EW87" s="29" t="str">
        <f>IF(VLOOKUP(BO87,Fundamentus!A:U,15,FALSE)&gt;1,"Bom",IF(VLOOKUP(BO87,Fundamentus!A:U,15,FALSE)&lt;1,"Ruim","n/a"))</f>
        <v>Bom</v>
      </c>
      <c r="EX87" s="17" t="str">
        <f>IF(VLOOKUP(BO87,Fundamentus!A:U,20,FALSE)&lt;0.5,"Baixa",IF(VLOOKUP(BO87,Fundamentus!A:U,20,FALSE)&lt;1,"Moderada",IF(VLOOKUP(BO87,Fundamentus!A:U,20,FALSE)&lt;2,"Alerta",IF(VLOOKUP(BO87,Fundamentus!A:U,20,FALSE)&gt;2,"Alta","n/a"))))</f>
        <v>Baixa</v>
      </c>
      <c r="EY87" s="10"/>
    </row>
    <row r="88" spans="1:155" s="2" customFormat="1" ht="11.25"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5">
        <v>23.56</v>
      </c>
      <c r="BC88" s="52">
        <v>23.97</v>
      </c>
      <c r="BD88" s="52">
        <v>23.61</v>
      </c>
      <c r="BE88" s="52">
        <v>23.78</v>
      </c>
      <c r="BF88" s="52">
        <v>23.5</v>
      </c>
      <c r="BG88" s="67">
        <v>23.11</v>
      </c>
      <c r="BH88" s="52">
        <v>23.33</v>
      </c>
      <c r="BI88" s="52">
        <v>23.9</v>
      </c>
      <c r="BJ88" s="52">
        <v>24.44</v>
      </c>
      <c r="BK88" s="52">
        <v>26.75</v>
      </c>
      <c r="BL88" s="52">
        <v>24.73</v>
      </c>
      <c r="BM88" s="52">
        <v>25.51</v>
      </c>
      <c r="BN88" s="52" cm="1">
        <f t="array" aca="1" ref="BN88" ca="1">_FV(EB88,"Preço")</f>
        <v>25.51</v>
      </c>
      <c r="BO88" s="69" t="s">
        <v>85</v>
      </c>
      <c r="BP88" s="36" cm="1">
        <f t="array" aca="1" ref="BP88" ca="1">_FV(EB88,"Média de volume",TRUE)</f>
        <v>475470</v>
      </c>
      <c r="BQ88" s="36">
        <v>391900</v>
      </c>
      <c r="BR88" s="36" cm="1">
        <f t="array" aca="1" ref="BR88" ca="1">_FV(EB88,"Volume")</f>
        <v>391900</v>
      </c>
      <c r="BS88" s="24" cm="1">
        <f t="array" aca="1" ref="BS88" ca="1">_FV(EB88,"Beta")</f>
        <v>0.8962</v>
      </c>
      <c r="BT88" s="71" cm="1">
        <f t="array" aca="1" ref="BT88" ca="1">_FV(EB88,"Variação (%)",TRUE)</f>
        <v>9.0980000000000002E-3</v>
      </c>
      <c r="BV88" s="17" cm="1">
        <f t="array" aca="1" ref="BV88" ca="1">_FV(EB88,"Baixo")</f>
        <v>24.99</v>
      </c>
      <c r="BW88" s="17" cm="1">
        <f t="array" aca="1" ref="BW88" ca="1">_FV(EB88,"Alto")</f>
        <v>25.85</v>
      </c>
      <c r="BX88" s="24"/>
      <c r="BY88" s="63">
        <f ca="1">SQRT(22.5*(BN88/VLOOKUP(BO88,Fundamentus!A:U,3,FALSE))*(BN88/VLOOKUP(BO88,Fundamentus!A:U,4,FALSE)))</f>
        <v>29.965211358351546</v>
      </c>
      <c r="CA88" s="62">
        <f t="shared" ca="1" si="112"/>
        <v>0</v>
      </c>
      <c r="CB88" s="8"/>
      <c r="CC88" s="61">
        <f t="shared" si="113"/>
        <v>19.28</v>
      </c>
      <c r="CD88" s="61">
        <f t="shared" si="114"/>
        <v>35.57</v>
      </c>
      <c r="CE88" s="61">
        <f t="shared" si="115"/>
        <v>25.472538461538452</v>
      </c>
      <c r="CF88" s="14"/>
      <c r="CG88" s="35">
        <f t="shared" si="98"/>
        <v>23.866739672195322</v>
      </c>
      <c r="CH88" s="15">
        <f t="shared" si="116"/>
        <v>25.654999999999973</v>
      </c>
      <c r="CI88" s="35">
        <f t="shared" si="99"/>
        <v>27.443260327804623</v>
      </c>
      <c r="CK88" s="14"/>
      <c r="CL88" s="17">
        <f t="shared" si="100"/>
        <v>1.1933333333333351</v>
      </c>
      <c r="CM88" s="17">
        <f t="shared" si="101"/>
        <v>10.236666666666668</v>
      </c>
      <c r="CN88" s="17">
        <f t="shared" si="102"/>
        <v>17.483333333333334</v>
      </c>
      <c r="CO88" s="38">
        <f t="shared" si="117"/>
        <v>26.526666666666667</v>
      </c>
      <c r="CP88" s="17">
        <f t="shared" si="103"/>
        <v>33.773333333333333</v>
      </c>
      <c r="CQ88" s="17">
        <f t="shared" si="104"/>
        <v>42.816666666666663</v>
      </c>
      <c r="CR88" s="17">
        <f t="shared" si="105"/>
        <v>50.063333333333333</v>
      </c>
      <c r="CS88" s="2" cm="1">
        <f t="array" aca="1" ref="CS88" ca="1">MAX(_xlfn._xlws.FILTER(CL88:CR88,CL88:CR88&lt;BN88))</f>
        <v>17.483333333333334</v>
      </c>
      <c r="CT88" s="2" cm="1">
        <f t="array" aca="1" ref="CT88" ca="1">MIN(_xlfn._xlws.FILTER($CL88:$CR88,$CL88:$CR88&gt;BN88))</f>
        <v>26.526666666666667</v>
      </c>
      <c r="CU88" s="16">
        <f t="shared" ca="1" si="119"/>
        <v>0.51725452812202088</v>
      </c>
      <c r="CV88" s="20">
        <f t="shared" ca="1" si="120"/>
        <v>-0.25862726406101044</v>
      </c>
      <c r="CW88" s="20">
        <f t="shared" ca="1" si="121"/>
        <v>-0.17241817604067364</v>
      </c>
      <c r="CX88" s="20">
        <f t="shared" ca="1" si="122"/>
        <v>-0.10345090562440418</v>
      </c>
      <c r="CY88" s="20">
        <f t="shared" ca="1" si="123"/>
        <v>-5.7472725346891212E-2</v>
      </c>
      <c r="CZ88" s="20">
        <f t="shared" ca="1" si="124"/>
        <v>-3.0426736948354169E-2</v>
      </c>
      <c r="DA88" s="20">
        <f t="shared" ca="1" si="125"/>
        <v>-1.5674379640061239E-2</v>
      </c>
      <c r="DB88" s="20">
        <f t="shared" ca="1" si="126"/>
        <v>-7.9577619711080141E-3</v>
      </c>
      <c r="DC88" s="21">
        <f t="shared" ca="1" si="127"/>
        <v>7.9577619711080141E-3</v>
      </c>
      <c r="DD88" s="21">
        <f t="shared" ca="1" si="128"/>
        <v>1.5674379640061239E-2</v>
      </c>
      <c r="DE88" s="21">
        <f t="shared" ca="1" si="129"/>
        <v>3.0426736948354169E-2</v>
      </c>
      <c r="DF88" s="21">
        <f t="shared" ca="1" si="130"/>
        <v>5.7472725346891212E-2</v>
      </c>
      <c r="DG88" s="21">
        <f t="shared" ca="1" si="131"/>
        <v>0.10345090562440418</v>
      </c>
      <c r="DH88" s="21">
        <f t="shared" ca="1" si="132"/>
        <v>0.17241817604067364</v>
      </c>
      <c r="DI88" s="21">
        <f t="shared" ca="1" si="133"/>
        <v>0.25862726406101044</v>
      </c>
      <c r="DK88" s="16" cm="1">
        <f t="array" aca="1" ref="DK88" ca="1">MAX(_xlfn._xlws.FILTER(CV88:DI88,CV88:DI88&lt;BT88))</f>
        <v>7.9577619711080141E-3</v>
      </c>
      <c r="DL88" s="16" cm="1">
        <f t="array" aca="1" ref="DL88" ca="1">MIN(_xlfn._xlws.FILTER(CV88:DI88,CV88:DI88&gt;BT88))</f>
        <v>1.5674379640061239E-2</v>
      </c>
      <c r="DM88" s="2" cm="1">
        <f t="array" aca="1" ref="DM88" ca="1">_FV(EB88,"Fechamento anterior",TRUE)</f>
        <v>25.28</v>
      </c>
      <c r="DN88" s="28">
        <f t="shared" ca="1" si="106"/>
        <v>0.14777708882775537</v>
      </c>
      <c r="DO88" s="15">
        <f t="shared" ca="1" si="134"/>
        <v>25.481172222629613</v>
      </c>
      <c r="DP88" s="15">
        <f t="shared" ca="1" si="135"/>
        <v>25.67624831730075</v>
      </c>
      <c r="DQ88" s="9"/>
      <c r="DR88" s="9"/>
      <c r="DS88" s="9"/>
      <c r="DT88" s="89">
        <v>7.7166176689532247E-3</v>
      </c>
      <c r="DU88" s="89">
        <f t="shared" ca="1" si="107"/>
        <v>7.7166176689532247E-3</v>
      </c>
      <c r="DV88" s="72">
        <f t="shared" ca="1" si="108"/>
        <v>-8.1084391207168219E-2</v>
      </c>
      <c r="DW88" s="37"/>
      <c r="DX88" s="35">
        <f t="shared" si="118"/>
        <v>0.89413016390232547</v>
      </c>
      <c r="DY88" s="56"/>
      <c r="DZ88" s="56"/>
      <c r="EB88" s="2" t="e" vm="88">
        <v>#VALUE!</v>
      </c>
      <c r="ED88" s="10" cm="1">
        <f t="array" aca="1" ref="ED88" ca="1">_FV(EB88,"Ações em circulação",TRUE)</f>
        <v>339000000</v>
      </c>
      <c r="EE88" s="18">
        <f>VLOOKUP(BO88,Fundamentus!A:U,5,FALSE)</f>
        <v>0.878</v>
      </c>
      <c r="EF88" s="2">
        <f t="shared" ca="1" si="109"/>
        <v>9849533029.6127567</v>
      </c>
      <c r="EG88" s="17">
        <v>567333102.50569475</v>
      </c>
      <c r="EH88" s="17">
        <f t="shared" ca="1" si="110"/>
        <v>567333102.50569475</v>
      </c>
      <c r="EJ88" s="16">
        <f t="shared" ca="1" si="97"/>
        <v>0</v>
      </c>
      <c r="EK88" s="32" t="str">
        <f>IF(VLOOKUP(BO88,Fundamentus!A:U,3,FALSE)&lt;15,"Bom",IF(VLOOKUP(BO88,Fundamentus!A:U,3,FALSE)&gt;15,"Ruim","n/a"))</f>
        <v>Ruim</v>
      </c>
      <c r="EL88" s="28" t="str">
        <f>IF(VLOOKUP(BO88,Fundamentus!A:U,4,FALSE)&lt;1,"Baixo",IF(VLOOKUP(BO88,Fundamentus!A:U,4,FALSE)&lt;1.5,"Moderado",IF(VLOOKUP(BO88,Fundamentus!A:U,4,FALSE)&gt;1.5,"Alto","n/a")))</f>
        <v>Moderado</v>
      </c>
      <c r="EM88" s="17" t="str">
        <f>IF(VLOOKUP(BO88,Fundamentus!A:U,8,FALSE)&lt;0,"Risco elevado",IF(VLOOKUP(BO88,Fundamentus!A:U,8,FALSE)&lt;1,"Saudável",IF(VLOOKUP(BO88,Fundamentus!A:U,8,FALSE)&lt;3,"Estável",IF(VLOOKUP(BO88,Fundamentus!A:U,8,FALSE)&gt;3,"Alerta","n/a"))))</f>
        <v>Estável</v>
      </c>
      <c r="EN88" s="28" t="str">
        <f t="shared" si="111"/>
        <v>Ruim</v>
      </c>
      <c r="EO88" s="17" t="str">
        <f>IF(VLOOKUP(BO88,Fundamentus!A:U,12,FALSE)&lt;2,"Subvalorizada",IF(VLOOKUP(BO88,Fundamentus!A:U,12,FALSE)&lt;6,"Muita barata",IF(VLOOKUP(BO88,Fundamentus!A:U,12,FALSE)&lt;6,"Barata",IF(VLOOKUP(BO88,Fundamentus!A:U,12,FALSE)&lt;8,"Atrativa",IF(VLOOKUP(BO88,Fundamentus!A:U,12,FALSE)&gt;8,"Supervalorizada","n/a")))))</f>
        <v>Atrativa</v>
      </c>
      <c r="EQ88" s="17" t="str">
        <f>IF(VLOOKUP(BO88,Fundamentus!A:U,17,FALSE)&lt;0.1,"Fraco retorno",IF(VLOOKUP(BO88,Fundamentus!A:U,17,FALSE)&gt;0.1,"Bom retorno","n/a"))</f>
        <v>Fraco retorno</v>
      </c>
      <c r="ER88" s="17" t="str">
        <f>IF(VLOOKUP(BO88,Fundamentus!A:U,16,FALSE)&lt;0.1,"Ineficiente",IF(VLOOKUP(BO88,Fundamentus!A:U,16,FALSE)&gt;0.1,"Eficiente","n/a"))</f>
        <v>Ineficiente</v>
      </c>
      <c r="ES88" s="33" t="str">
        <f>IF(VLOOKUP(BO88,Fundamentus!A:U,16,FALSE)&lt;0.1,"Oper. Ineficiente",IF(VLOOKUP(BO88,Fundamentus!A:U,16,FALSE)&gt;0.1,"Oper.Eficiente","n/a"))</f>
        <v>Oper. Ineficiente</v>
      </c>
      <c r="ET88" s="34">
        <f>VLOOKUP(BO88,Fundamentus!A:U,14,FALSE)</f>
        <v>5.7599999999999998E-2</v>
      </c>
      <c r="EU88" s="17" t="str">
        <f>IF(VLOOKUP(BO88,Fundamentus!A:U,21,FALSE)&lt;0,"Negativo",IF(VLOOKUP(BO88,Fundamentus!A:U,21,FALSE)&lt;0.05,"Fraco",IF(VLOOKUP(BO88,Fundamentus!A:U,21,FALSE)&lt;0.1,"Bom",IF(VLOOKUP(BO88,Fundamentus!A:U,21,FALSE)&gt;0.1,"Muito bom","n/a"))))</f>
        <v>Bom</v>
      </c>
      <c r="EW88" s="29" t="str">
        <f>IF(VLOOKUP(BO88,Fundamentus!A:U,15,FALSE)&gt;1,"Bom",IF(VLOOKUP(BO88,Fundamentus!A:U,15,FALSE)&lt;1,"Ruim","n/a"))</f>
        <v>Bom</v>
      </c>
      <c r="EX88" s="17" t="str">
        <f>IF(VLOOKUP(BO88,Fundamentus!A:U,20,FALSE)&lt;0.5,"Baixa",IF(VLOOKUP(BO88,Fundamentus!A:U,20,FALSE)&lt;1,"Moderada",IF(VLOOKUP(BO88,Fundamentus!A:U,20,FALSE)&lt;2,"Alerta",IF(VLOOKUP(BO88,Fundamentus!A:U,20,FALSE)&gt;2,"Alta","n/a"))))</f>
        <v>Baixa</v>
      </c>
      <c r="EY88" s="10"/>
    </row>
    <row r="89" spans="1:155" s="2" customFormat="1" ht="11.25"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5">
        <v>15.08</v>
      </c>
      <c r="BC89" s="52">
        <v>15.35</v>
      </c>
      <c r="BD89" s="52">
        <v>15.64</v>
      </c>
      <c r="BE89" s="52">
        <v>16.2</v>
      </c>
      <c r="BF89" s="52">
        <v>15.96</v>
      </c>
      <c r="BG89" s="67">
        <v>16.29</v>
      </c>
      <c r="BH89" s="52">
        <v>16.62</v>
      </c>
      <c r="BI89" s="52">
        <v>16.57</v>
      </c>
      <c r="BJ89" s="52">
        <v>16.670000000000002</v>
      </c>
      <c r="BK89" s="52">
        <v>16.05</v>
      </c>
      <c r="BL89" s="52">
        <v>15.67</v>
      </c>
      <c r="BM89" s="52">
        <v>15.56</v>
      </c>
      <c r="BN89" s="52" cm="1">
        <f t="array" aca="1" ref="BN89" ca="1">_FV(EB89,"Preço")</f>
        <v>15.56</v>
      </c>
      <c r="BO89" s="69" t="s">
        <v>110</v>
      </c>
      <c r="BP89" s="36" cm="1">
        <f t="array" aca="1" ref="BP89" ca="1">_FV(EB89,"Média de volume",TRUE)</f>
        <v>25478410</v>
      </c>
      <c r="BQ89" s="36">
        <v>21796200</v>
      </c>
      <c r="BR89" s="36" cm="1">
        <f t="array" aca="1" ref="BR89" ca="1">_FV(EB89,"Volume")</f>
        <v>21796200</v>
      </c>
      <c r="BS89" s="24" cm="1">
        <f t="array" aca="1" ref="BS89" ca="1">_FV(EB89,"Beta")</f>
        <v>1.5051000000000001</v>
      </c>
      <c r="BT89" s="71" cm="1">
        <f t="array" aca="1" ref="BT89" ca="1">_FV(EB89,"Variação (%)",TRUE)</f>
        <v>-7.6530000000000001E-3</v>
      </c>
      <c r="BV89" s="17" cm="1">
        <f t="array" aca="1" ref="BV89" ca="1">_FV(EB89,"Baixo")</f>
        <v>15.49</v>
      </c>
      <c r="BW89" s="17" cm="1">
        <f t="array" aca="1" ref="BW89" ca="1">_FV(EB89,"Alto")</f>
        <v>15.76</v>
      </c>
      <c r="BX89" s="24"/>
      <c r="BY89" s="63">
        <f ca="1">SQRT(22.5*(BN89/VLOOKUP(BO89,Fundamentus!A:U,3,FALSE))*(BN89/VLOOKUP(BO89,Fundamentus!A:U,4,FALSE)))</f>
        <v>25.630406432267538</v>
      </c>
      <c r="CA89" s="62">
        <f t="shared" ca="1" si="112"/>
        <v>0</v>
      </c>
      <c r="CB89" s="8"/>
      <c r="CC89" s="61">
        <f t="shared" si="113"/>
        <v>11.18</v>
      </c>
      <c r="CD89" s="61">
        <f t="shared" si="114"/>
        <v>16.670000000000002</v>
      </c>
      <c r="CE89" s="61">
        <f t="shared" si="115"/>
        <v>13.643153846153851</v>
      </c>
      <c r="CF89" s="14"/>
      <c r="CG89" s="35">
        <f t="shared" si="98"/>
        <v>14.192085833736943</v>
      </c>
      <c r="CH89" s="15">
        <f t="shared" si="116"/>
        <v>15.059999999999945</v>
      </c>
      <c r="CI89" s="35">
        <f t="shared" si="99"/>
        <v>15.927914166262948</v>
      </c>
      <c r="CK89" s="14"/>
      <c r="CL89" s="17">
        <f t="shared" si="100"/>
        <v>6.8533333333333317</v>
      </c>
      <c r="CM89" s="17">
        <f t="shared" si="101"/>
        <v>9.0166666666666657</v>
      </c>
      <c r="CN89" s="17">
        <f t="shared" si="102"/>
        <v>12.343333333333334</v>
      </c>
      <c r="CO89" s="38">
        <f t="shared" si="117"/>
        <v>14.506666666666668</v>
      </c>
      <c r="CP89" s="17">
        <f t="shared" si="103"/>
        <v>17.833333333333336</v>
      </c>
      <c r="CQ89" s="17">
        <f t="shared" si="104"/>
        <v>19.99666666666667</v>
      </c>
      <c r="CR89" s="17">
        <f t="shared" si="105"/>
        <v>23.323333333333338</v>
      </c>
      <c r="CS89" s="2" cm="1">
        <f t="array" aca="1" ref="CS89" ca="1">MAX(_xlfn._xlws.FILTER(CL89:CR89,CL89:CR89&lt;BN89))</f>
        <v>14.506666666666668</v>
      </c>
      <c r="CT89" s="2" cm="1">
        <f t="array" aca="1" ref="CT89" ca="1">MIN(_xlfn._xlws.FILTER($CL89:$CR89,$CL89:$CR89&gt;BN89))</f>
        <v>17.833333333333336</v>
      </c>
      <c r="CU89" s="16">
        <f t="shared" ca="1" si="119"/>
        <v>0.22931985294117663</v>
      </c>
      <c r="CV89" s="20">
        <f t="shared" ca="1" si="120"/>
        <v>-0.11465992647058831</v>
      </c>
      <c r="CW89" s="20">
        <f t="shared" ca="1" si="121"/>
        <v>-7.6439950980392204E-2</v>
      </c>
      <c r="CX89" s="20">
        <f t="shared" ca="1" si="122"/>
        <v>-4.5863970588235325E-2</v>
      </c>
      <c r="CY89" s="20">
        <f t="shared" ca="1" si="123"/>
        <v>-2.5479983660130736E-2</v>
      </c>
      <c r="CZ89" s="20">
        <f t="shared" ca="1" si="124"/>
        <v>-1.348940311418686E-2</v>
      </c>
      <c r="DA89" s="20">
        <f t="shared" ca="1" si="125"/>
        <v>-6.949086452762928E-3</v>
      </c>
      <c r="DB89" s="20">
        <f t="shared" ca="1" si="126"/>
        <v>-3.5279977375565633E-3</v>
      </c>
      <c r="DC89" s="21">
        <f t="shared" ca="1" si="127"/>
        <v>3.5279977375565633E-3</v>
      </c>
      <c r="DD89" s="21">
        <f t="shared" ca="1" si="128"/>
        <v>6.949086452762928E-3</v>
      </c>
      <c r="DE89" s="21">
        <f t="shared" ca="1" si="129"/>
        <v>1.348940311418686E-2</v>
      </c>
      <c r="DF89" s="21">
        <f t="shared" ca="1" si="130"/>
        <v>2.5479983660130736E-2</v>
      </c>
      <c r="DG89" s="21">
        <f t="shared" ca="1" si="131"/>
        <v>4.5863970588235325E-2</v>
      </c>
      <c r="DH89" s="21">
        <f t="shared" ca="1" si="132"/>
        <v>7.6439950980392204E-2</v>
      </c>
      <c r="DI89" s="21">
        <f t="shared" ca="1" si="133"/>
        <v>0.11465992647058831</v>
      </c>
      <c r="DK89" s="16" cm="1">
        <f t="array" aca="1" ref="DK89" ca="1">MAX(_xlfn._xlws.FILTER(CV89:DI89,CV89:DI89&lt;BT89))</f>
        <v>-1.348940311418686E-2</v>
      </c>
      <c r="DL89" s="16" cm="1">
        <f t="array" aca="1" ref="DL89" ca="1">MIN(_xlfn._xlws.FILTER(CV89:DI89,CV89:DI89&gt;BT89))</f>
        <v>-6.949086452762928E-3</v>
      </c>
      <c r="DM89" s="2" cm="1">
        <f t="array" aca="1" ref="DM89" ca="1">_FV(EB89,"Fechamento anterior",TRUE)</f>
        <v>15.68</v>
      </c>
      <c r="DN89" s="28">
        <f t="shared" ca="1" si="106"/>
        <v>0.89236380925116709</v>
      </c>
      <c r="DO89" s="15">
        <f t="shared" ca="1" si="134"/>
        <v>15.468486159169549</v>
      </c>
      <c r="DP89" s="15">
        <f t="shared" ca="1" si="135"/>
        <v>15.571038324420677</v>
      </c>
      <c r="DQ89" s="9"/>
      <c r="DR89" s="9"/>
      <c r="DS89" s="9"/>
      <c r="DT89" s="89">
        <v>6.5403166614239321E-3</v>
      </c>
      <c r="DU89" s="89">
        <f t="shared" ca="1" si="107"/>
        <v>6.5403166614239321E-3</v>
      </c>
      <c r="DV89" s="72">
        <f t="shared" ca="1" si="108"/>
        <v>0.57609383443171158</v>
      </c>
      <c r="DW89" s="37"/>
      <c r="DX89" s="35">
        <f t="shared" si="118"/>
        <v>0.43395708313150105</v>
      </c>
      <c r="DY89" s="56"/>
      <c r="DZ89" s="56"/>
      <c r="EB89" s="2" t="e" vm="89">
        <v>#VALUE!</v>
      </c>
      <c r="ED89" s="10" cm="1">
        <f t="array" aca="1" ref="ED89" ca="1">_FV(EB89,"Ações em circulação",TRUE)</f>
        <v>10592010000</v>
      </c>
      <c r="EE89" s="18">
        <f>VLOOKUP(BO89,Fundamentus!A:U,5,FALSE)</f>
        <v>0</v>
      </c>
      <c r="EF89" s="2" t="e">
        <f t="shared" ca="1" si="109"/>
        <v>#DIV/0!</v>
      </c>
      <c r="EG89" s="17" t="e">
        <v>#DIV/0!</v>
      </c>
      <c r="EH89" s="17" t="e">
        <f t="shared" ca="1" si="110"/>
        <v>#DIV/0!</v>
      </c>
      <c r="EJ89" s="16" t="e">
        <f t="shared" ca="1" si="97"/>
        <v>#DIV/0!</v>
      </c>
      <c r="EK89" s="32" t="str">
        <f>IF(VLOOKUP(BO89,Fundamentus!A:U,3,FALSE)&lt;15,"Bom",IF(VLOOKUP(BO89,Fundamentus!A:U,3,FALSE)&gt;15,"Ruim","n/a"))</f>
        <v>Bom</v>
      </c>
      <c r="EL89" s="28" t="str">
        <f>IF(VLOOKUP(BO89,Fundamentus!A:U,4,FALSE)&lt;1,"Baixo",IF(VLOOKUP(BO89,Fundamentus!A:U,4,FALSE)&lt;1.5,"Moderado",IF(VLOOKUP(BO89,Fundamentus!A:U,4,FALSE)&gt;1.5,"Alto","n/a")))</f>
        <v>Moderado</v>
      </c>
      <c r="EM89" s="17" t="str">
        <f>IF(VLOOKUP(BO89,Fundamentus!A:U,8,FALSE)&lt;0,"Risco elevado",IF(VLOOKUP(BO89,Fundamentus!A:U,8,FALSE)&lt;1,"Saudável",IF(VLOOKUP(BO89,Fundamentus!A:U,8,FALSE)&lt;3,"Estável",IF(VLOOKUP(BO89,Fundamentus!A:U,8,FALSE)&gt;3,"Alerta","n/a"))))</f>
        <v>Saudável</v>
      </c>
      <c r="EN89" s="28" t="str">
        <f t="shared" si="111"/>
        <v>Ruim</v>
      </c>
      <c r="EO89" s="17" t="str">
        <f>IF(VLOOKUP(BO89,Fundamentus!A:U,12,FALSE)&lt;2,"Subvalorizada",IF(VLOOKUP(BO89,Fundamentus!A:U,12,FALSE)&lt;6,"Muita barata",IF(VLOOKUP(BO89,Fundamentus!A:U,12,FALSE)&lt;6,"Barata",IF(VLOOKUP(BO89,Fundamentus!A:U,12,FALSE)&lt;8,"Atrativa",IF(VLOOKUP(BO89,Fundamentus!A:U,12,FALSE)&gt;8,"Supervalorizada","n/a")))))</f>
        <v>Subvalorizada</v>
      </c>
      <c r="EQ89" s="17" t="str">
        <f>IF(VLOOKUP(BO89,Fundamentus!A:U,17,FALSE)&lt;0.1,"Fraco retorno",IF(VLOOKUP(BO89,Fundamentus!A:U,17,FALSE)&gt;0.1,"Bom retorno","n/a"))</f>
        <v>Bom retorno</v>
      </c>
      <c r="ER89" s="17" t="str">
        <f>IF(VLOOKUP(BO89,Fundamentus!A:U,16,FALSE)&lt;0.1,"Ineficiente",IF(VLOOKUP(BO89,Fundamentus!A:U,16,FALSE)&gt;0.1,"Eficiente","n/a"))</f>
        <v>Ineficiente</v>
      </c>
      <c r="ES89" s="33" t="str">
        <f>IF(VLOOKUP(BO89,Fundamentus!A:U,16,FALSE)&lt;0.1,"Oper. Ineficiente",IF(VLOOKUP(BO89,Fundamentus!A:U,16,FALSE)&gt;0.1,"Oper.Eficiente","n/a"))</f>
        <v>Oper. Ineficiente</v>
      </c>
      <c r="ET89" s="34">
        <f>VLOOKUP(BO89,Fundamentus!A:U,14,FALSE)</f>
        <v>0</v>
      </c>
      <c r="EU89" s="17" t="str">
        <f>IF(VLOOKUP(BO89,Fundamentus!A:U,21,FALSE)&lt;0,"Negativo",IF(VLOOKUP(BO89,Fundamentus!A:U,21,FALSE)&lt;0.05,"Fraco",IF(VLOOKUP(BO89,Fundamentus!A:U,21,FALSE)&lt;0.1,"Bom",IF(VLOOKUP(BO89,Fundamentus!A:U,21,FALSE)&gt;0.1,"Muito bom","n/a"))))</f>
        <v>Negativo</v>
      </c>
      <c r="EW89" s="29" t="str">
        <f>IF(VLOOKUP(BO89,Fundamentus!A:U,15,FALSE)&gt;1,"Bom",IF(VLOOKUP(BO89,Fundamentus!A:U,15,FALSE)&lt;1,"Ruim","n/a"))</f>
        <v>Ruim</v>
      </c>
      <c r="EX89" s="17" t="str">
        <f>IF(VLOOKUP(BO89,Fundamentus!A:U,20,FALSE)&lt;0.5,"Baixa",IF(VLOOKUP(BO89,Fundamentus!A:U,20,FALSE)&lt;1,"Moderada",IF(VLOOKUP(BO89,Fundamentus!A:U,20,FALSE)&lt;2,"Alerta",IF(VLOOKUP(BO89,Fundamentus!A:U,20,FALSE)&gt;2,"Alta","n/a"))))</f>
        <v>Baixa</v>
      </c>
      <c r="EY89" s="10">
        <v>2</v>
      </c>
    </row>
    <row r="90" spans="1:155" s="2" customFormat="1" ht="11.25"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5">
        <v>44.15</v>
      </c>
      <c r="BC90" s="52">
        <v>47.59</v>
      </c>
      <c r="BD90" s="52">
        <v>49.5</v>
      </c>
      <c r="BE90" s="52">
        <v>52.07</v>
      </c>
      <c r="BF90" s="52">
        <v>52.51</v>
      </c>
      <c r="BG90" s="67">
        <v>52.99</v>
      </c>
      <c r="BH90" s="52">
        <v>53.5</v>
      </c>
      <c r="BI90" s="52">
        <v>54.18</v>
      </c>
      <c r="BJ90" s="52">
        <v>56.66</v>
      </c>
      <c r="BK90" s="52">
        <v>52.35</v>
      </c>
      <c r="BL90" s="52">
        <v>51.81</v>
      </c>
      <c r="BM90" s="52">
        <v>51.3</v>
      </c>
      <c r="BN90" s="52" cm="1">
        <f t="array" aca="1" ref="BN90" ca="1">_FV(EB90,"Preço")</f>
        <v>51.3</v>
      </c>
      <c r="BO90" s="66" t="s">
        <v>16</v>
      </c>
      <c r="BP90" s="36" cm="1">
        <f t="array" aca="1" ref="BP90" ca="1">_FV(EB90,"Média de volume",TRUE)</f>
        <v>2159590</v>
      </c>
      <c r="BQ90" s="36">
        <v>650000</v>
      </c>
      <c r="BR90" s="36" cm="1">
        <f t="array" aca="1" ref="BR90" ca="1">_FV(EB90,"Volume")</f>
        <v>650000</v>
      </c>
      <c r="BS90" s="24" cm="1">
        <f t="array" aca="1" ref="BS90" ca="1">_FV(EB90,"Beta")</f>
        <v>0.84640000000000004</v>
      </c>
      <c r="BT90" s="71" cm="1">
        <f t="array" aca="1" ref="BT90" ca="1">_FV(EB90,"Variação (%)",TRUE)</f>
        <v>-6.3920000000000001E-3</v>
      </c>
      <c r="BV90" s="17" cm="1">
        <f t="array" aca="1" ref="BV90" ca="1">_FV(EB90,"Baixo")</f>
        <v>51.14</v>
      </c>
      <c r="BW90" s="17" cm="1">
        <f t="array" aca="1" ref="BW90" ca="1">_FV(EB90,"Alto")</f>
        <v>52.1</v>
      </c>
      <c r="BX90" s="24"/>
      <c r="BY90" s="63">
        <f ca="1">SQRT(22.5*(BN90/VLOOKUP(BO90,Fundamentus!A:U,3,FALSE))*(BN90/VLOOKUP(BO90,Fundamentus!A:U,4,FALSE)))</f>
        <v>45.213420084137603</v>
      </c>
      <c r="CA90" s="62">
        <f t="shared" ca="1" si="112"/>
        <v>0</v>
      </c>
      <c r="CB90" s="8"/>
      <c r="CC90" s="61">
        <f t="shared" si="113"/>
        <v>28.77</v>
      </c>
      <c r="CD90" s="61">
        <f t="shared" si="114"/>
        <v>56.66</v>
      </c>
      <c r="CE90" s="61">
        <f t="shared" si="115"/>
        <v>38.700307692307696</v>
      </c>
      <c r="CF90" s="14"/>
      <c r="CG90" s="35">
        <f t="shared" si="98"/>
        <v>44.618170193676988</v>
      </c>
      <c r="CH90" s="15">
        <f t="shared" si="116"/>
        <v>48.875</v>
      </c>
      <c r="CI90" s="35">
        <f t="shared" si="99"/>
        <v>53.131829806323012</v>
      </c>
      <c r="CK90" s="14"/>
      <c r="CL90" s="17">
        <f t="shared" si="100"/>
        <v>6.9433333333333458</v>
      </c>
      <c r="CM90" s="17">
        <f t="shared" si="101"/>
        <v>17.856666666666673</v>
      </c>
      <c r="CN90" s="17">
        <f t="shared" si="102"/>
        <v>34.833333333333343</v>
      </c>
      <c r="CO90" s="38">
        <f t="shared" si="117"/>
        <v>45.74666666666667</v>
      </c>
      <c r="CP90" s="17">
        <f t="shared" si="103"/>
        <v>62.723333333333343</v>
      </c>
      <c r="CQ90" s="17">
        <f t="shared" si="104"/>
        <v>73.63666666666667</v>
      </c>
      <c r="CR90" s="17">
        <f t="shared" si="105"/>
        <v>90.613333333333344</v>
      </c>
      <c r="CS90" s="2" cm="1">
        <f t="array" aca="1" ref="CS90" ca="1">MAX(_xlfn._xlws.FILTER(CL90:CR90,CL90:CR90&lt;BN90))</f>
        <v>45.74666666666667</v>
      </c>
      <c r="CT90" s="2" cm="1">
        <f t="array" aca="1" ref="CT90" ca="1">MIN(_xlfn._xlws.FILTER($CL90:$CR90,$CL90:$CR90&gt;BN90))</f>
        <v>62.723333333333343</v>
      </c>
      <c r="CU90" s="16">
        <f t="shared" ca="1" si="119"/>
        <v>0.37110171961527261</v>
      </c>
      <c r="CV90" s="20">
        <f t="shared" ca="1" si="120"/>
        <v>-0.1855508598076363</v>
      </c>
      <c r="CW90" s="20">
        <f t="shared" ca="1" si="121"/>
        <v>-0.12370057320509087</v>
      </c>
      <c r="CX90" s="20">
        <f t="shared" ca="1" si="122"/>
        <v>-7.4220343923054516E-2</v>
      </c>
      <c r="CY90" s="20">
        <f t="shared" ca="1" si="123"/>
        <v>-4.1233524401696954E-2</v>
      </c>
      <c r="CZ90" s="20">
        <f t="shared" ca="1" si="124"/>
        <v>-2.1829512918545447E-2</v>
      </c>
      <c r="DA90" s="20">
        <f t="shared" ca="1" si="125"/>
        <v>-1.124550665500826E-2</v>
      </c>
      <c r="DB90" s="20">
        <f t="shared" ca="1" si="126"/>
        <v>-5.7092572248503481E-3</v>
      </c>
      <c r="DC90" s="21">
        <f t="shared" ca="1" si="127"/>
        <v>5.7092572248503481E-3</v>
      </c>
      <c r="DD90" s="21">
        <f t="shared" ca="1" si="128"/>
        <v>1.124550665500826E-2</v>
      </c>
      <c r="DE90" s="21">
        <f t="shared" ca="1" si="129"/>
        <v>2.1829512918545447E-2</v>
      </c>
      <c r="DF90" s="21">
        <f t="shared" ca="1" si="130"/>
        <v>4.1233524401696954E-2</v>
      </c>
      <c r="DG90" s="21">
        <f t="shared" ca="1" si="131"/>
        <v>7.4220343923054516E-2</v>
      </c>
      <c r="DH90" s="21">
        <f t="shared" ca="1" si="132"/>
        <v>0.12370057320509087</v>
      </c>
      <c r="DI90" s="21">
        <f t="shared" ca="1" si="133"/>
        <v>0.1855508598076363</v>
      </c>
      <c r="DK90" s="16" cm="1">
        <f t="array" aca="1" ref="DK90" ca="1">MAX(_xlfn._xlws.FILTER(CV90:DI90,CV90:DI90&lt;BT90))</f>
        <v>-1.124550665500826E-2</v>
      </c>
      <c r="DL90" s="16" cm="1">
        <f t="array" aca="1" ref="DL90" ca="1">MIN(_xlfn._xlws.FILTER(CV90:DI90,CV90:DI90&gt;BT90))</f>
        <v>-5.7092572248503481E-3</v>
      </c>
      <c r="DM90" s="2" cm="1">
        <f t="array" aca="1" ref="DM90" ca="1">_FV(EB90,"Fechamento anterior",TRUE)</f>
        <v>51.63</v>
      </c>
      <c r="DN90" s="28">
        <f t="shared" ca="1" si="106"/>
        <v>0.87674407459370451</v>
      </c>
      <c r="DO90" s="15">
        <f t="shared" ca="1" si="134"/>
        <v>51.049394491401927</v>
      </c>
      <c r="DP90" s="15">
        <f t="shared" ca="1" si="135"/>
        <v>51.335231049480981</v>
      </c>
      <c r="DQ90" s="9"/>
      <c r="DR90" s="9"/>
      <c r="DS90" s="9"/>
      <c r="DT90" s="89">
        <v>5.5362494301579119E-3</v>
      </c>
      <c r="DU90" s="89">
        <f t="shared" ca="1" si="107"/>
        <v>5.5362494301579119E-3</v>
      </c>
      <c r="DV90" s="72">
        <f t="shared" ca="1" si="108"/>
        <v>0.56967276361341712</v>
      </c>
      <c r="DW90" s="37"/>
      <c r="DX90" s="35">
        <f t="shared" si="118"/>
        <v>2.1284149031615041</v>
      </c>
      <c r="DY90" s="56"/>
      <c r="DZ90" s="56"/>
      <c r="EB90" s="2" t="e" vm="90">
        <v>#VALUE!</v>
      </c>
      <c r="ED90" s="10" cm="1">
        <f t="array" aca="1" ref="ED90" ca="1">_FV(EB90,"Ações em circulação",TRUE)</f>
        <v>646586100</v>
      </c>
      <c r="EE90" s="18">
        <f>VLOOKUP(BO90,Fundamentus!A:U,5,FALSE)</f>
        <v>0.92900000000000005</v>
      </c>
      <c r="EF90" s="2">
        <f t="shared" ca="1" si="109"/>
        <v>35704915963.401505</v>
      </c>
      <c r="EG90" s="17">
        <v>2827829344.3013992</v>
      </c>
      <c r="EH90" s="17">
        <f t="shared" ca="1" si="110"/>
        <v>2827829344.3013992</v>
      </c>
      <c r="EJ90" s="16">
        <f t="shared" ca="1" si="97"/>
        <v>0</v>
      </c>
      <c r="EK90" s="32" t="str">
        <f>IF(VLOOKUP(BO90,Fundamentus!A:U,3,FALSE)&lt;15,"Bom",IF(VLOOKUP(BO90,Fundamentus!A:U,3,FALSE)&gt;15,"Ruim","n/a"))</f>
        <v>Bom</v>
      </c>
      <c r="EL90" s="28" t="str">
        <f>IF(VLOOKUP(BO90,Fundamentus!A:U,4,FALSE)&lt;1,"Baixo",IF(VLOOKUP(BO90,Fundamentus!A:U,4,FALSE)&lt;1.5,"Moderado",IF(VLOOKUP(BO90,Fundamentus!A:U,4,FALSE)&gt;1.5,"Alto","n/a")))</f>
        <v>Alto</v>
      </c>
      <c r="EM90" s="17" t="str">
        <f>IF(VLOOKUP(BO90,Fundamentus!A:U,8,FALSE)&lt;0,"Risco elevado",IF(VLOOKUP(BO90,Fundamentus!A:U,8,FALSE)&lt;1,"Saudável",IF(VLOOKUP(BO90,Fundamentus!A:U,8,FALSE)&lt;3,"Estável",IF(VLOOKUP(BO90,Fundamentus!A:U,8,FALSE)&gt;3,"Alerta","n/a"))))</f>
        <v>Alerta</v>
      </c>
      <c r="EN90" s="28" t="str">
        <f t="shared" si="111"/>
        <v>Ruim</v>
      </c>
      <c r="EO90" s="17" t="str">
        <f>IF(VLOOKUP(BO90,Fundamentus!A:U,12,FALSE)&lt;2,"Subvalorizada",IF(VLOOKUP(BO90,Fundamentus!A:U,12,FALSE)&lt;6,"Muita barata",IF(VLOOKUP(BO90,Fundamentus!A:U,12,FALSE)&lt;6,"Barata",IF(VLOOKUP(BO90,Fundamentus!A:U,12,FALSE)&lt;8,"Atrativa",IF(VLOOKUP(BO90,Fundamentus!A:U,12,FALSE)&gt;8,"Supervalorizada","n/a")))))</f>
        <v>Subvalorizada</v>
      </c>
      <c r="EQ90" s="17" t="str">
        <f>IF(VLOOKUP(BO90,Fundamentus!A:U,17,FALSE)&lt;0.1,"Fraco retorno",IF(VLOOKUP(BO90,Fundamentus!A:U,17,FALSE)&gt;0.1,"Bom retorno","n/a"))</f>
        <v>Bom retorno</v>
      </c>
      <c r="ER90" s="17" t="str">
        <f>IF(VLOOKUP(BO90,Fundamentus!A:U,16,FALSE)&lt;0.1,"Ineficiente",IF(VLOOKUP(BO90,Fundamentus!A:U,16,FALSE)&gt;0.1,"Eficiente","n/a"))</f>
        <v>Eficiente</v>
      </c>
      <c r="ES90" s="33" t="str">
        <f>IF(VLOOKUP(BO90,Fundamentus!A:U,16,FALSE)&lt;0.1,"Oper. Ineficiente",IF(VLOOKUP(BO90,Fundamentus!A:U,16,FALSE)&gt;0.1,"Oper.Eficiente","n/a"))</f>
        <v>Oper.Eficiente</v>
      </c>
      <c r="ET90" s="34">
        <f>VLOOKUP(BO90,Fundamentus!A:U,14,FALSE)</f>
        <v>7.9200000000000007E-2</v>
      </c>
      <c r="EU90" s="17" t="str">
        <f>IF(VLOOKUP(BO90,Fundamentus!A:U,21,FALSE)&lt;0,"Negativo",IF(VLOOKUP(BO90,Fundamentus!A:U,21,FALSE)&lt;0.05,"Fraco",IF(VLOOKUP(BO90,Fundamentus!A:U,21,FALSE)&lt;0.1,"Bom",IF(VLOOKUP(BO90,Fundamentus!A:U,21,FALSE)&gt;0.1,"Muito bom","n/a"))))</f>
        <v>Muito bom</v>
      </c>
      <c r="EW90" s="29" t="str">
        <f>IF(VLOOKUP(BO90,Fundamentus!A:U,15,FALSE)&gt;1,"Bom",IF(VLOOKUP(BO90,Fundamentus!A:U,15,FALSE)&lt;1,"Ruim","n/a"))</f>
        <v>Bom</v>
      </c>
      <c r="EX90" s="17" t="str">
        <f>IF(VLOOKUP(BO90,Fundamentus!A:U,20,FALSE)&lt;0.5,"Baixa",IF(VLOOKUP(BO90,Fundamentus!A:U,20,FALSE)&lt;1,"Moderada",IF(VLOOKUP(BO90,Fundamentus!A:U,20,FALSE)&lt;2,"Alerta",IF(VLOOKUP(BO90,Fundamentus!A:U,20,FALSE)&gt;2,"Alta","n/a"))))</f>
        <v>Baixa</v>
      </c>
      <c r="EY90" s="10">
        <v>4</v>
      </c>
    </row>
    <row r="91" spans="1:155" s="2" customFormat="1" ht="11.25"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5">
        <v>0.83</v>
      </c>
      <c r="BC91" s="52">
        <v>0.86</v>
      </c>
      <c r="BD91" s="52">
        <v>0.84</v>
      </c>
      <c r="BE91" s="52">
        <v>0.84</v>
      </c>
      <c r="BF91" s="52">
        <v>1.26</v>
      </c>
      <c r="BG91" s="67">
        <v>1.1200000000000001</v>
      </c>
      <c r="BH91" s="52">
        <v>1.1100000000000001</v>
      </c>
      <c r="BI91" s="52">
        <v>0.88</v>
      </c>
      <c r="BJ91" s="52">
        <v>0.95</v>
      </c>
      <c r="BK91" s="52">
        <v>0.99</v>
      </c>
      <c r="BL91" s="52">
        <v>1.31</v>
      </c>
      <c r="BM91" s="52">
        <v>1.1499999999999999</v>
      </c>
      <c r="BN91" s="52" cm="1">
        <f t="array" aca="1" ref="BN91" ca="1">_FV(EB91,"Preço")</f>
        <v>1.1499999999999999</v>
      </c>
      <c r="BO91" s="69" t="s">
        <v>88</v>
      </c>
      <c r="BP91" s="36" cm="1">
        <f t="array" aca="1" ref="BP91" ca="1">_FV(EB91,"Média de volume",TRUE)</f>
        <v>132810</v>
      </c>
      <c r="BQ91" s="36">
        <v>142000</v>
      </c>
      <c r="BR91" s="36" cm="1">
        <f t="array" aca="1" ref="BR91" ca="1">_FV(EB91,"Volume")</f>
        <v>142000</v>
      </c>
      <c r="BS91" s="24" cm="1">
        <f t="array" aca="1" ref="BS91" ca="1">_FV(EB91,"Beta")</f>
        <v>1.2201</v>
      </c>
      <c r="BT91" s="71" cm="1">
        <f t="array" aca="1" ref="BT91" ca="1">_FV(EB91,"Variação (%)",TRUE)</f>
        <v>-3.3612999999999997E-2</v>
      </c>
      <c r="BV91" s="17" cm="1">
        <f t="array" aca="1" ref="BV91" ca="1">_FV(EB91,"Baixo")</f>
        <v>1.1299999999999999</v>
      </c>
      <c r="BW91" s="17" cm="1">
        <f t="array" aca="1" ref="BW91" ca="1">_FV(EB91,"Alto")</f>
        <v>1.23</v>
      </c>
      <c r="BX91" s="24"/>
      <c r="BY91" s="63" t="e">
        <f ca="1">SQRT(22.5*(BN91/VLOOKUP(BO91,Fundamentus!A:U,3,FALSE))*(BN91/VLOOKUP(BO91,Fundamentus!A:U,4,FALSE)))</f>
        <v>#NUM!</v>
      </c>
      <c r="CA91" s="62">
        <f t="shared" ca="1" si="112"/>
        <v>0</v>
      </c>
      <c r="CB91" s="8"/>
      <c r="CC91" s="61">
        <f t="shared" si="113"/>
        <v>0.82</v>
      </c>
      <c r="CD91" s="61">
        <f t="shared" si="114"/>
        <v>1.31</v>
      </c>
      <c r="CE91" s="61">
        <f t="shared" si="115"/>
        <v>0.97230769230769221</v>
      </c>
      <c r="CF91" s="14"/>
      <c r="CG91" s="35">
        <f t="shared" si="98"/>
        <v>1.0450438630245424</v>
      </c>
      <c r="CH91" s="15">
        <f t="shared" si="116"/>
        <v>1.3300000000000409</v>
      </c>
      <c r="CI91" s="35">
        <f t="shared" si="99"/>
        <v>1.6149561369755394</v>
      </c>
      <c r="CK91" s="14"/>
      <c r="CL91" s="17">
        <f t="shared" si="100"/>
        <v>0.49333333333333329</v>
      </c>
      <c r="CM91" s="17">
        <f t="shared" si="101"/>
        <v>0.65666666666666662</v>
      </c>
      <c r="CN91" s="17">
        <f t="shared" si="102"/>
        <v>0.98333333333333339</v>
      </c>
      <c r="CO91" s="38">
        <f t="shared" si="117"/>
        <v>1.1466666666666667</v>
      </c>
      <c r="CP91" s="17">
        <f t="shared" si="103"/>
        <v>1.4733333333333336</v>
      </c>
      <c r="CQ91" s="17">
        <f t="shared" si="104"/>
        <v>1.6366666666666667</v>
      </c>
      <c r="CR91" s="17">
        <f t="shared" si="105"/>
        <v>1.9633333333333336</v>
      </c>
      <c r="CS91" s="2" cm="1">
        <f t="array" aca="1" ref="CS91" ca="1">MAX(_xlfn._xlws.FILTER(CL91:CR91,CL91:CR91&lt;BN91))</f>
        <v>1.1466666666666667</v>
      </c>
      <c r="CT91" s="2" cm="1">
        <f t="array" aca="1" ref="CT91" ca="1">MIN(_xlfn._xlws.FILTER($CL91:$CR91,$CL91:$CR91&gt;BN91))</f>
        <v>1.4733333333333336</v>
      </c>
      <c r="CU91" s="16">
        <f t="shared" ca="1" si="119"/>
        <v>0.28488372093023284</v>
      </c>
      <c r="CV91" s="20">
        <f t="shared" ca="1" si="120"/>
        <v>-0.14244186046511642</v>
      </c>
      <c r="CW91" s="20">
        <f t="shared" ca="1" si="121"/>
        <v>-9.4961240310077619E-2</v>
      </c>
      <c r="CX91" s="20">
        <f t="shared" ca="1" si="122"/>
        <v>-5.697674418604657E-2</v>
      </c>
      <c r="CY91" s="20">
        <f t="shared" ca="1" si="123"/>
        <v>-3.1653746770025873E-2</v>
      </c>
      <c r="CZ91" s="20">
        <f t="shared" ca="1" si="124"/>
        <v>-1.6757865937072521E-2</v>
      </c>
      <c r="DA91" s="20">
        <f t="shared" ca="1" si="125"/>
        <v>-8.6328400281888741E-3</v>
      </c>
      <c r="DB91" s="20">
        <f t="shared" ca="1" si="126"/>
        <v>-4.3828264758497357E-3</v>
      </c>
      <c r="DC91" s="21">
        <f t="shared" ca="1" si="127"/>
        <v>4.3828264758497357E-3</v>
      </c>
      <c r="DD91" s="21">
        <f t="shared" ca="1" si="128"/>
        <v>8.6328400281888741E-3</v>
      </c>
      <c r="DE91" s="21">
        <f t="shared" ca="1" si="129"/>
        <v>1.6757865937072521E-2</v>
      </c>
      <c r="DF91" s="21">
        <f t="shared" ca="1" si="130"/>
        <v>3.1653746770025873E-2</v>
      </c>
      <c r="DG91" s="21">
        <f t="shared" ca="1" si="131"/>
        <v>5.697674418604657E-2</v>
      </c>
      <c r="DH91" s="21">
        <f t="shared" ca="1" si="132"/>
        <v>9.4961240310077619E-2</v>
      </c>
      <c r="DI91" s="21">
        <f t="shared" ca="1" si="133"/>
        <v>0.14244186046511642</v>
      </c>
      <c r="DK91" s="16" cm="1">
        <f t="array" aca="1" ref="DK91" ca="1">MAX(_xlfn._xlws.FILTER(CV91:DI91,CV91:DI91&lt;BT91))</f>
        <v>-5.697674418604657E-2</v>
      </c>
      <c r="DL91" s="16" cm="1">
        <f t="array" aca="1" ref="DL91" ca="1">MIN(_xlfn._xlws.FILTER(CV91:DI91,CV91:DI91&gt;BT91))</f>
        <v>-3.1653746770025873E-2</v>
      </c>
      <c r="DM91" s="2" cm="1">
        <f t="array" aca="1" ref="DM91" ca="1">_FV(EB91,"Fechamento anterior",TRUE)</f>
        <v>1.19</v>
      </c>
      <c r="DN91" s="28">
        <f t="shared" ca="1" si="106"/>
        <v>0.9226119019036213</v>
      </c>
      <c r="DO91" s="15">
        <f t="shared" ca="1" si="134"/>
        <v>1.1221976744186046</v>
      </c>
      <c r="DP91" s="15">
        <f t="shared" ca="1" si="135"/>
        <v>1.1523320413436691</v>
      </c>
      <c r="DQ91" s="9"/>
      <c r="DR91" s="9"/>
      <c r="DS91" s="9"/>
      <c r="DT91" s="89">
        <v>2.5322997416020697E-2</v>
      </c>
      <c r="DU91" s="89">
        <f t="shared" ca="1" si="107"/>
        <v>2.5322997416020697E-2</v>
      </c>
      <c r="DV91" s="72">
        <f t="shared" ca="1" si="108"/>
        <v>-0.63167616570938434</v>
      </c>
      <c r="DW91" s="37"/>
      <c r="DX91" s="35">
        <f t="shared" si="118"/>
        <v>0.14247806848774924</v>
      </c>
      <c r="DY91" s="56"/>
      <c r="DZ91" s="56"/>
      <c r="EB91" s="2" t="e" vm="91">
        <v>#VALUE!</v>
      </c>
      <c r="ED91" s="10" cm="1">
        <f t="array" aca="1" ref="ED91" ca="1">_FV(EB91,"Ações em circulação",TRUE)</f>
        <v>124061300</v>
      </c>
      <c r="EE91" s="18">
        <f>VLOOKUP(BO91,Fundamentus!A:U,5,FALSE)</f>
        <v>1.609</v>
      </c>
      <c r="EF91" s="2">
        <f t="shared" ca="1" si="109"/>
        <v>88670288.999378502</v>
      </c>
      <c r="EG91" s="17">
        <v>-33224757.288067121</v>
      </c>
      <c r="EH91" s="17">
        <f t="shared" ca="1" si="110"/>
        <v>-33224757.288067121</v>
      </c>
      <c r="EJ91" s="16">
        <f t="shared" ca="1" si="97"/>
        <v>0</v>
      </c>
      <c r="EK91" s="32" t="str">
        <f>IF(VLOOKUP(BO91,Fundamentus!A:U,3,FALSE)&lt;15,"Bom",IF(VLOOKUP(BO91,Fundamentus!A:U,3,FALSE)&gt;15,"Ruim","n/a"))</f>
        <v>Bom</v>
      </c>
      <c r="EL91" s="28" t="str">
        <f>IF(VLOOKUP(BO91,Fundamentus!A:U,4,FALSE)&lt;1,"Baixo",IF(VLOOKUP(BO91,Fundamentus!A:U,4,FALSE)&lt;1.5,"Moderado",IF(VLOOKUP(BO91,Fundamentus!A:U,4,FALSE)&gt;1.5,"Alto","n/a")))</f>
        <v>Baixo</v>
      </c>
      <c r="EM91" s="17" t="str">
        <f>IF(VLOOKUP(BO91,Fundamentus!A:U,8,FALSE)&lt;0,"Risco elevado",IF(VLOOKUP(BO91,Fundamentus!A:U,8,FALSE)&lt;1,"Saudável",IF(VLOOKUP(BO91,Fundamentus!A:U,8,FALSE)&lt;3,"Estável",IF(VLOOKUP(BO91,Fundamentus!A:U,8,FALSE)&gt;3,"Alerta","n/a"))))</f>
        <v>Risco elevado</v>
      </c>
      <c r="EN91" s="28" t="str">
        <f t="shared" si="111"/>
        <v>Bom</v>
      </c>
      <c r="EO91" s="17" t="str">
        <f>IF(VLOOKUP(BO91,Fundamentus!A:U,12,FALSE)&lt;2,"Subvalorizada",IF(VLOOKUP(BO91,Fundamentus!A:U,12,FALSE)&lt;6,"Muita barata",IF(VLOOKUP(BO91,Fundamentus!A:U,12,FALSE)&lt;6,"Barata",IF(VLOOKUP(BO91,Fundamentus!A:U,12,FALSE)&lt;8,"Atrativa",IF(VLOOKUP(BO91,Fundamentus!A:U,12,FALSE)&gt;8,"Supervalorizada","n/a")))))</f>
        <v>Supervalorizada</v>
      </c>
      <c r="EQ91" s="17" t="str">
        <f>IF(VLOOKUP(BO91,Fundamentus!A:U,17,FALSE)&lt;0.1,"Fraco retorno",IF(VLOOKUP(BO91,Fundamentus!A:U,17,FALSE)&gt;0.1,"Bom retorno","n/a"))</f>
        <v>Fraco retorno</v>
      </c>
      <c r="ER91" s="17" t="str">
        <f>IF(VLOOKUP(BO91,Fundamentus!A:U,16,FALSE)&lt;0.1,"Ineficiente",IF(VLOOKUP(BO91,Fundamentus!A:U,16,FALSE)&gt;0.1,"Eficiente","n/a"))</f>
        <v>Ineficiente</v>
      </c>
      <c r="ES91" s="33" t="str">
        <f>IF(VLOOKUP(BO91,Fundamentus!A:U,16,FALSE)&lt;0.1,"Oper. Ineficiente",IF(VLOOKUP(BO91,Fundamentus!A:U,16,FALSE)&gt;0.1,"Oper.Eficiente","n/a"))</f>
        <v>Oper. Ineficiente</v>
      </c>
      <c r="ET91" s="34">
        <f>VLOOKUP(BO91,Fundamentus!A:U,14,FALSE)</f>
        <v>-0.37469999999999998</v>
      </c>
      <c r="EU91" s="17" t="str">
        <f>IF(VLOOKUP(BO91,Fundamentus!A:U,21,FALSE)&lt;0,"Negativo",IF(VLOOKUP(BO91,Fundamentus!A:U,21,FALSE)&lt;0.05,"Fraco",IF(VLOOKUP(BO91,Fundamentus!A:U,21,FALSE)&lt;0.1,"Bom",IF(VLOOKUP(BO91,Fundamentus!A:U,21,FALSE)&gt;0.1,"Muito bom","n/a"))))</f>
        <v>Muito bom</v>
      </c>
      <c r="EW91" s="29" t="str">
        <f>IF(VLOOKUP(BO91,Fundamentus!A:U,15,FALSE)&gt;1,"Bom",IF(VLOOKUP(BO91,Fundamentus!A:U,15,FALSE)&lt;1,"Ruim","n/a"))</f>
        <v>Ruim</v>
      </c>
      <c r="EX91" s="17" t="str">
        <f>IF(VLOOKUP(BO91,Fundamentus!A:U,20,FALSE)&lt;0.5,"Baixa",IF(VLOOKUP(BO91,Fundamentus!A:U,20,FALSE)&lt;1,"Moderada",IF(VLOOKUP(BO91,Fundamentus!A:U,20,FALSE)&lt;2,"Alerta",IF(VLOOKUP(BO91,Fundamentus!A:U,20,FALSE)&gt;2,"Alta","n/a"))))</f>
        <v>Alerta</v>
      </c>
      <c r="EY91" s="10"/>
    </row>
    <row r="92" spans="1:155" s="2" customFormat="1" ht="11.25"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5">
        <v>55.14</v>
      </c>
      <c r="BC92" s="52">
        <v>57.54</v>
      </c>
      <c r="BD92" s="52">
        <v>61</v>
      </c>
      <c r="BE92" s="52">
        <v>60.1</v>
      </c>
      <c r="BF92" s="52">
        <v>60.17</v>
      </c>
      <c r="BG92" s="67">
        <v>59.11</v>
      </c>
      <c r="BH92" s="52">
        <v>58.1</v>
      </c>
      <c r="BI92" s="52">
        <v>57.84</v>
      </c>
      <c r="BJ92" s="52">
        <v>59.74</v>
      </c>
      <c r="BK92" s="52">
        <v>58.9</v>
      </c>
      <c r="BL92" s="52">
        <v>56.17</v>
      </c>
      <c r="BM92" s="52">
        <v>55.17</v>
      </c>
      <c r="BN92" s="52" cm="1">
        <f t="array" aca="1" ref="BN92" ca="1">_FV(EB92,"Preço")</f>
        <v>55.17</v>
      </c>
      <c r="BO92" s="69" t="s">
        <v>151</v>
      </c>
      <c r="BP92" s="36" cm="1">
        <f t="array" aca="1" ref="BP92" ca="1">_FV(EB92,"Média de volume",TRUE)</f>
        <v>110440</v>
      </c>
      <c r="BQ92" s="36">
        <v>70100</v>
      </c>
      <c r="BR92" s="36" cm="1">
        <f t="array" aca="1" ref="BR92" ca="1">_FV(EB92,"Volume")</f>
        <v>70100</v>
      </c>
      <c r="BS92" s="24" cm="1">
        <f t="array" aca="1" ref="BS92" ca="1">_FV(EB92,"Beta")</f>
        <v>1.2523</v>
      </c>
      <c r="BT92" s="71" cm="1">
        <f t="array" aca="1" ref="BT92" ca="1">_FV(EB92,"Variação (%)",TRUE)</f>
        <v>-2.3510000000000002E-3</v>
      </c>
      <c r="BV92" s="17" cm="1">
        <f t="array" aca="1" ref="BV92" ca="1">_FV(EB92,"Baixo")</f>
        <v>54.51</v>
      </c>
      <c r="BW92" s="17" cm="1">
        <f t="array" aca="1" ref="BW92" ca="1">_FV(EB92,"Alto")</f>
        <v>55.49</v>
      </c>
      <c r="BX92" s="24"/>
      <c r="BY92" s="63">
        <f ca="1">SQRT(22.5*(BN92/VLOOKUP(BO92,Fundamentus!A:U,3,FALSE))*(BN92/VLOOKUP(BO92,Fundamentus!A:U,4,FALSE)))</f>
        <v>54.778095199733883</v>
      </c>
      <c r="CA92" s="62">
        <f t="shared" ca="1" si="112"/>
        <v>0</v>
      </c>
      <c r="CB92" s="8"/>
      <c r="CC92" s="61">
        <f t="shared" si="113"/>
        <v>44.14</v>
      </c>
      <c r="CD92" s="61">
        <f t="shared" si="114"/>
        <v>61</v>
      </c>
      <c r="CE92" s="61">
        <f t="shared" si="115"/>
        <v>51.030846153846149</v>
      </c>
      <c r="CF92" s="14"/>
      <c r="CG92" s="35">
        <f t="shared" si="98"/>
        <v>49.61999003985585</v>
      </c>
      <c r="CH92" s="15">
        <f t="shared" si="116"/>
        <v>53.385000000002037</v>
      </c>
      <c r="CI92" s="35">
        <f t="shared" si="99"/>
        <v>57.150009960148225</v>
      </c>
      <c r="CK92" s="14"/>
      <c r="CL92" s="17">
        <f t="shared" si="100"/>
        <v>29.680000000000007</v>
      </c>
      <c r="CM92" s="17">
        <f t="shared" si="101"/>
        <v>36.910000000000004</v>
      </c>
      <c r="CN92" s="17">
        <f t="shared" si="102"/>
        <v>46.540000000000006</v>
      </c>
      <c r="CO92" s="38">
        <f t="shared" si="117"/>
        <v>53.77</v>
      </c>
      <c r="CP92" s="17">
        <f t="shared" si="103"/>
        <v>63.400000000000006</v>
      </c>
      <c r="CQ92" s="17">
        <f t="shared" si="104"/>
        <v>70.63</v>
      </c>
      <c r="CR92" s="17">
        <f t="shared" si="105"/>
        <v>80.260000000000005</v>
      </c>
      <c r="CS92" s="2" cm="1">
        <f t="array" aca="1" ref="CS92" ca="1">MAX(_xlfn._xlws.FILTER(CL92:CR92,CL92:CR92&lt;BN92))</f>
        <v>53.77</v>
      </c>
      <c r="CT92" s="2" cm="1">
        <f t="array" aca="1" ref="CT92" ca="1">MIN(_xlfn._xlws.FILTER($CL92:$CR92,$CL92:$CR92&gt;BN92))</f>
        <v>63.400000000000006</v>
      </c>
      <c r="CU92" s="16">
        <f t="shared" ca="1" si="119"/>
        <v>0.17909615026966708</v>
      </c>
      <c r="CV92" s="20">
        <f t="shared" ca="1" si="120"/>
        <v>-8.9548075134833538E-2</v>
      </c>
      <c r="CW92" s="20">
        <f t="shared" ca="1" si="121"/>
        <v>-5.9698716756555692E-2</v>
      </c>
      <c r="CX92" s="20">
        <f t="shared" ca="1" si="122"/>
        <v>-3.5819230053933414E-2</v>
      </c>
      <c r="CY92" s="20">
        <f t="shared" ca="1" si="123"/>
        <v>-1.9899572252185232E-2</v>
      </c>
      <c r="CZ92" s="20">
        <f t="shared" ca="1" si="124"/>
        <v>-1.0535067662921593E-2</v>
      </c>
      <c r="DA92" s="20">
        <f t="shared" ca="1" si="125"/>
        <v>-5.4271560687777906E-3</v>
      </c>
      <c r="DB92" s="20">
        <f t="shared" ca="1" si="126"/>
        <v>-2.7553253887641089E-3</v>
      </c>
      <c r="DC92" s="21">
        <f t="shared" ca="1" si="127"/>
        <v>2.7553253887641089E-3</v>
      </c>
      <c r="DD92" s="21">
        <f t="shared" ca="1" si="128"/>
        <v>5.4271560687777906E-3</v>
      </c>
      <c r="DE92" s="21">
        <f t="shared" ca="1" si="129"/>
        <v>1.0535067662921593E-2</v>
      </c>
      <c r="DF92" s="21">
        <f t="shared" ca="1" si="130"/>
        <v>1.9899572252185232E-2</v>
      </c>
      <c r="DG92" s="21">
        <f t="shared" ca="1" si="131"/>
        <v>3.5819230053933414E-2</v>
      </c>
      <c r="DH92" s="21">
        <f t="shared" ca="1" si="132"/>
        <v>5.9698716756555692E-2</v>
      </c>
      <c r="DI92" s="21">
        <f t="shared" ca="1" si="133"/>
        <v>8.9548075134833538E-2</v>
      </c>
      <c r="DK92" s="16" cm="1">
        <f t="array" aca="1" ref="DK92" ca="1">MAX(_xlfn._xlws.FILTER(CV92:DI92,CV92:DI92&lt;BT92))</f>
        <v>-2.7553253887641089E-3</v>
      </c>
      <c r="DL92" s="16" cm="1">
        <f t="array" aca="1" ref="DL92" ca="1">MIN(_xlfn._xlws.FILTER(CV92:DI92,CV92:DI92&gt;BT92))</f>
        <v>2.7553253887641089E-3</v>
      </c>
      <c r="DM92" s="2" cm="1">
        <f t="array" aca="1" ref="DM92" ca="1">_FV(EB92,"Fechamento anterior",TRUE)</f>
        <v>55.3</v>
      </c>
      <c r="DN92" s="28">
        <f t="shared" ca="1" si="106"/>
        <v>7.3405421950332936E-2</v>
      </c>
      <c r="DO92" s="15">
        <f t="shared" ca="1" si="134"/>
        <v>55.147630506001342</v>
      </c>
      <c r="DP92" s="15">
        <f t="shared" ca="1" si="135"/>
        <v>55.452369493998653</v>
      </c>
      <c r="DQ92" s="9"/>
      <c r="DR92" s="9"/>
      <c r="DS92" s="9"/>
      <c r="DT92" s="89">
        <v>5.5106507775282178E-3</v>
      </c>
      <c r="DU92" s="89">
        <f t="shared" ca="1" si="107"/>
        <v>5.5106507775282178E-3</v>
      </c>
      <c r="DV92" s="72">
        <f t="shared" ca="1" si="108"/>
        <v>0.4741023314394251</v>
      </c>
      <c r="DW92" s="37"/>
      <c r="DX92" s="35">
        <f t="shared" si="118"/>
        <v>1.8825049800730935</v>
      </c>
      <c r="DY92" s="56"/>
      <c r="DZ92" s="56"/>
      <c r="EB92" s="2" t="e" vm="92">
        <v>#VALUE!</v>
      </c>
      <c r="ED92" s="10" cm="1">
        <f t="array" aca="1" ref="ED92" ca="1">_FV(EB92,"Ações em circulação",TRUE)</f>
        <v>113173300</v>
      </c>
      <c r="EE92" s="18">
        <f>VLOOKUP(BO92,Fundamentus!A:U,5,FALSE)</f>
        <v>1.1120000000000001</v>
      </c>
      <c r="EF92" s="2">
        <f t="shared" ca="1" si="109"/>
        <v>5614901943.3453236</v>
      </c>
      <c r="EG92" s="17">
        <v>649082664.6507194</v>
      </c>
      <c r="EH92" s="17">
        <f t="shared" ca="1" si="110"/>
        <v>649082664.6507194</v>
      </c>
      <c r="EJ92" s="16">
        <f t="shared" ca="1" si="97"/>
        <v>0</v>
      </c>
      <c r="EK92" s="32" t="str">
        <f>IF(VLOOKUP(BO92,Fundamentus!A:U,3,FALSE)&lt;15,"Bom",IF(VLOOKUP(BO92,Fundamentus!A:U,3,FALSE)&gt;15,"Ruim","n/a"))</f>
        <v>Bom</v>
      </c>
      <c r="EL92" s="28" t="str">
        <f>IF(VLOOKUP(BO92,Fundamentus!A:U,4,FALSE)&lt;1,"Baixo",IF(VLOOKUP(BO92,Fundamentus!A:U,4,FALSE)&lt;1.5,"Moderado",IF(VLOOKUP(BO92,Fundamentus!A:U,4,FALSE)&gt;1.5,"Alto","n/a")))</f>
        <v>Alto</v>
      </c>
      <c r="EM92" s="17" t="str">
        <f>IF(VLOOKUP(BO92,Fundamentus!A:U,8,FALSE)&lt;0,"Risco elevado",IF(VLOOKUP(BO92,Fundamentus!A:U,8,FALSE)&lt;1,"Saudável",IF(VLOOKUP(BO92,Fundamentus!A:U,8,FALSE)&lt;3,"Estável",IF(VLOOKUP(BO92,Fundamentus!A:U,8,FALSE)&gt;3,"Alerta","n/a"))))</f>
        <v>Alerta</v>
      </c>
      <c r="EN92" s="28" t="str">
        <f t="shared" si="111"/>
        <v>Bom</v>
      </c>
      <c r="EO92" s="17" t="str">
        <f>IF(VLOOKUP(BO92,Fundamentus!A:U,12,FALSE)&lt;2,"Subvalorizada",IF(VLOOKUP(BO92,Fundamentus!A:U,12,FALSE)&lt;6,"Muita barata",IF(VLOOKUP(BO92,Fundamentus!A:U,12,FALSE)&lt;6,"Barata",IF(VLOOKUP(BO92,Fundamentus!A:U,12,FALSE)&lt;8,"Atrativa",IF(VLOOKUP(BO92,Fundamentus!A:U,12,FALSE)&gt;8,"Supervalorizada","n/a")))))</f>
        <v>Atrativa</v>
      </c>
      <c r="EQ92" s="17" t="str">
        <f>IF(VLOOKUP(BO92,Fundamentus!A:U,17,FALSE)&lt;0.1,"Fraco retorno",IF(VLOOKUP(BO92,Fundamentus!A:U,17,FALSE)&gt;0.1,"Bom retorno","n/a"))</f>
        <v>Bom retorno</v>
      </c>
      <c r="ER92" s="17" t="str">
        <f>IF(VLOOKUP(BO92,Fundamentus!A:U,16,FALSE)&lt;0.1,"Ineficiente",IF(VLOOKUP(BO92,Fundamentus!A:U,16,FALSE)&gt;0.1,"Eficiente","n/a"))</f>
        <v>Eficiente</v>
      </c>
      <c r="ES92" s="33" t="str">
        <f>IF(VLOOKUP(BO92,Fundamentus!A:U,16,FALSE)&lt;0.1,"Oper. Ineficiente",IF(VLOOKUP(BO92,Fundamentus!A:U,16,FALSE)&gt;0.1,"Oper.Eficiente","n/a"))</f>
        <v>Oper.Eficiente</v>
      </c>
      <c r="ET92" s="34">
        <f>VLOOKUP(BO92,Fundamentus!A:U,14,FALSE)</f>
        <v>0.11559999999999999</v>
      </c>
      <c r="EU92" s="17" t="str">
        <f>IF(VLOOKUP(BO92,Fundamentus!A:U,21,FALSE)&lt;0,"Negativo",IF(VLOOKUP(BO92,Fundamentus!A:U,21,FALSE)&lt;0.05,"Fraco",IF(VLOOKUP(BO92,Fundamentus!A:U,21,FALSE)&lt;0.1,"Bom",IF(VLOOKUP(BO92,Fundamentus!A:U,21,FALSE)&gt;0.1,"Muito bom","n/a"))))</f>
        <v>Fraco</v>
      </c>
      <c r="EW92" s="29" t="str">
        <f>IF(VLOOKUP(BO92,Fundamentus!A:U,15,FALSE)&gt;1,"Bom",IF(VLOOKUP(BO92,Fundamentus!A:U,15,FALSE)&lt;1,"Ruim","n/a"))</f>
        <v>Bom</v>
      </c>
      <c r="EX92" s="17" t="str">
        <f>IF(VLOOKUP(BO92,Fundamentus!A:U,20,FALSE)&lt;0.5,"Baixa",IF(VLOOKUP(BO92,Fundamentus!A:U,20,FALSE)&lt;1,"Moderada",IF(VLOOKUP(BO92,Fundamentus!A:U,20,FALSE)&lt;2,"Alerta",IF(VLOOKUP(BO92,Fundamentus!A:U,20,FALSE)&gt;2,"Alta","n/a"))))</f>
        <v>Moderada</v>
      </c>
      <c r="EY92" s="10"/>
    </row>
    <row r="93" spans="1:155" s="2" customFormat="1" ht="11.25"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5">
        <v>13.75</v>
      </c>
      <c r="BC93" s="52">
        <v>13.7</v>
      </c>
      <c r="BD93" s="52">
        <v>13.17</v>
      </c>
      <c r="BE93" s="52">
        <v>13.33</v>
      </c>
      <c r="BF93" s="52">
        <v>13.57</v>
      </c>
      <c r="BG93" s="67">
        <v>13.29</v>
      </c>
      <c r="BH93" s="52">
        <v>13.04</v>
      </c>
      <c r="BI93" s="52">
        <v>13.46</v>
      </c>
      <c r="BJ93" s="52">
        <v>14.02</v>
      </c>
      <c r="BK93" s="52">
        <v>13.26</v>
      </c>
      <c r="BL93" s="52">
        <v>13.09</v>
      </c>
      <c r="BM93" s="52">
        <v>13.36</v>
      </c>
      <c r="BN93" s="52" cm="1">
        <f t="array" aca="1" ref="BN93" ca="1">_FV(EB93,"Preço")</f>
        <v>13.36</v>
      </c>
      <c r="BO93" s="69" t="s">
        <v>90</v>
      </c>
      <c r="BP93" s="36" cm="1">
        <f t="array" aca="1" ref="BP93" ca="1">_FV(EB93,"Média de volume",TRUE)</f>
        <v>914970</v>
      </c>
      <c r="BQ93" s="36">
        <v>744100</v>
      </c>
      <c r="BR93" s="36" cm="1">
        <f t="array" aca="1" ref="BR93" ca="1">_FV(EB93,"Volume")</f>
        <v>744100</v>
      </c>
      <c r="BS93" s="24" cm="1">
        <f t="array" aca="1" ref="BS93" ca="1">_FV(EB93,"Beta")</f>
        <v>1.6411</v>
      </c>
      <c r="BT93" s="71" cm="1">
        <f t="array" aca="1" ref="BT93" ca="1">_FV(EB93,"Variação (%)",TRUE)</f>
        <v>1.9847E-2</v>
      </c>
      <c r="BV93" s="17" cm="1">
        <f t="array" aca="1" ref="BV93" ca="1">_FV(EB93,"Baixo")</f>
        <v>13.06</v>
      </c>
      <c r="BW93" s="17" cm="1">
        <f t="array" aca="1" ref="BW93" ca="1">_FV(EB93,"Alto")</f>
        <v>13.44</v>
      </c>
      <c r="BX93" s="24"/>
      <c r="BY93" s="63">
        <f ca="1">SQRT(22.5*(BN93/VLOOKUP(BO93,Fundamentus!A:U,3,FALSE))*(BN93/VLOOKUP(BO93,Fundamentus!A:U,4,FALSE)))</f>
        <v>31.773519809520202</v>
      </c>
      <c r="CA93" s="62">
        <f t="shared" ca="1" si="112"/>
        <v>0</v>
      </c>
      <c r="CB93" s="8"/>
      <c r="CC93" s="61">
        <f t="shared" si="113"/>
        <v>10.59</v>
      </c>
      <c r="CD93" s="61">
        <f t="shared" si="114"/>
        <v>15.64</v>
      </c>
      <c r="CE93" s="61">
        <f t="shared" si="115"/>
        <v>13.468076923076923</v>
      </c>
      <c r="CF93" s="14"/>
      <c r="CG93" s="35">
        <f t="shared" si="98"/>
        <v>12.189680923269457</v>
      </c>
      <c r="CH93" s="15">
        <f t="shared" si="116"/>
        <v>12.894999999999982</v>
      </c>
      <c r="CI93" s="35">
        <f t="shared" si="99"/>
        <v>13.600319076730507</v>
      </c>
      <c r="CK93" s="14"/>
      <c r="CL93" s="17">
        <f t="shared" si="100"/>
        <v>5.5233333333333334</v>
      </c>
      <c r="CM93" s="17">
        <f t="shared" si="101"/>
        <v>8.0566666666666666</v>
      </c>
      <c r="CN93" s="17">
        <f t="shared" si="102"/>
        <v>10.573333333333334</v>
      </c>
      <c r="CO93" s="38">
        <f t="shared" si="117"/>
        <v>13.106666666666667</v>
      </c>
      <c r="CP93" s="17">
        <f t="shared" si="103"/>
        <v>15.623333333333335</v>
      </c>
      <c r="CQ93" s="17">
        <f t="shared" si="104"/>
        <v>18.156666666666666</v>
      </c>
      <c r="CR93" s="17">
        <f t="shared" si="105"/>
        <v>20.673333333333336</v>
      </c>
      <c r="CS93" s="2" cm="1">
        <f t="array" aca="1" ref="CS93" ca="1">MAX(_xlfn._xlws.FILTER(CL93:CR93,CL93:CR93&lt;BN93))</f>
        <v>13.106666666666667</v>
      </c>
      <c r="CT93" s="2" cm="1">
        <f t="array" aca="1" ref="CT93" ca="1">MIN(_xlfn._xlws.FILTER($CL93:$CR93,$CL93:$CR93&gt;BN93))</f>
        <v>15.623333333333335</v>
      </c>
      <c r="CU93" s="16">
        <f t="shared" ca="1" si="119"/>
        <v>0.19201424211597162</v>
      </c>
      <c r="CV93" s="20">
        <f t="shared" ca="1" si="120"/>
        <v>-9.6007121057985811E-2</v>
      </c>
      <c r="CW93" s="20">
        <f t="shared" ca="1" si="121"/>
        <v>-6.4004747371990536E-2</v>
      </c>
      <c r="CX93" s="20">
        <f t="shared" ca="1" si="122"/>
        <v>-3.8402848423194323E-2</v>
      </c>
      <c r="CY93" s="20">
        <f t="shared" ca="1" si="123"/>
        <v>-2.1334915790663513E-2</v>
      </c>
      <c r="CZ93" s="20">
        <f t="shared" ca="1" si="124"/>
        <v>-1.1294955418586565E-2</v>
      </c>
      <c r="DA93" s="20">
        <f t="shared" ca="1" si="125"/>
        <v>-5.8186133974536857E-3</v>
      </c>
      <c r="DB93" s="20">
        <f t="shared" ca="1" si="126"/>
        <v>-2.9540652633226402E-3</v>
      </c>
      <c r="DC93" s="21">
        <f t="shared" ca="1" si="127"/>
        <v>2.9540652633226402E-3</v>
      </c>
      <c r="DD93" s="21">
        <f t="shared" ca="1" si="128"/>
        <v>5.8186133974536857E-3</v>
      </c>
      <c r="DE93" s="21">
        <f t="shared" ca="1" si="129"/>
        <v>1.1294955418586565E-2</v>
      </c>
      <c r="DF93" s="21">
        <f t="shared" ca="1" si="130"/>
        <v>2.1334915790663513E-2</v>
      </c>
      <c r="DG93" s="21">
        <f t="shared" ca="1" si="131"/>
        <v>3.8402848423194323E-2</v>
      </c>
      <c r="DH93" s="21">
        <f t="shared" ca="1" si="132"/>
        <v>6.4004747371990536E-2</v>
      </c>
      <c r="DI93" s="21">
        <f t="shared" ca="1" si="133"/>
        <v>9.6007121057985811E-2</v>
      </c>
      <c r="DK93" s="16" cm="1">
        <f t="array" aca="1" ref="DK93" ca="1">MAX(_xlfn._xlws.FILTER(CV93:DI93,CV93:DI93&lt;BT93))</f>
        <v>1.1294955418586565E-2</v>
      </c>
      <c r="DL93" s="16" cm="1">
        <f t="array" aca="1" ref="DL93" ca="1">MIN(_xlfn._xlws.FILTER(CV93:DI93,CV93:DI93&gt;BT93))</f>
        <v>2.1334915790663513E-2</v>
      </c>
      <c r="DM93" s="2" cm="1">
        <f t="array" aca="1" ref="DM93" ca="1">_FV(EB93,"Fechamento anterior",TRUE)</f>
        <v>13.1</v>
      </c>
      <c r="DN93" s="28">
        <f t="shared" ca="1" si="106"/>
        <v>0.85183332490774288</v>
      </c>
      <c r="DO93" s="15">
        <f t="shared" ca="1" si="134"/>
        <v>13.247963915983483</v>
      </c>
      <c r="DP93" s="15">
        <f t="shared" ca="1" si="135"/>
        <v>13.379487396857691</v>
      </c>
      <c r="DQ93" s="9"/>
      <c r="DR93" s="9"/>
      <c r="DS93" s="9"/>
      <c r="DT93" s="89">
        <v>1.0039960372076948E-2</v>
      </c>
      <c r="DU93" s="89">
        <f t="shared" ca="1" si="107"/>
        <v>1.0039960372076948E-2</v>
      </c>
      <c r="DV93" s="72">
        <f t="shared" ca="1" si="108"/>
        <v>0.65927608559165041</v>
      </c>
      <c r="DW93" s="37"/>
      <c r="DX93" s="35">
        <f t="shared" si="118"/>
        <v>0.35265953836526237</v>
      </c>
      <c r="DY93" s="56"/>
      <c r="DZ93" s="56"/>
      <c r="EB93" s="2" t="e" vm="93">
        <v>#VALUE!</v>
      </c>
      <c r="ED93" s="10" cm="1">
        <f t="array" aca="1" ref="ED93" ca="1">_FV(EB93,"Ações em circulação",TRUE)</f>
        <v>220989100</v>
      </c>
      <c r="EE93" s="18">
        <f>VLOOKUP(BO93,Fundamentus!A:U,5,FALSE)</f>
        <v>1.796</v>
      </c>
      <c r="EF93" s="2">
        <f t="shared" ca="1" si="109"/>
        <v>1643883282.8507795</v>
      </c>
      <c r="EG93" s="17">
        <v>472616443.81959909</v>
      </c>
      <c r="EH93" s="17">
        <f t="shared" ca="1" si="110"/>
        <v>472616443.81959909</v>
      </c>
      <c r="EJ93" s="16">
        <f t="shared" ca="1" si="97"/>
        <v>0</v>
      </c>
      <c r="EK93" s="32" t="str">
        <f>IF(VLOOKUP(BO93,Fundamentus!A:U,3,FALSE)&lt;15,"Bom",IF(VLOOKUP(BO93,Fundamentus!A:U,3,FALSE)&gt;15,"Ruim","n/a"))</f>
        <v>Bom</v>
      </c>
      <c r="EL93" s="28" t="str">
        <f>IF(VLOOKUP(BO93,Fundamentus!A:U,4,FALSE)&lt;1,"Baixo",IF(VLOOKUP(BO93,Fundamentus!A:U,4,FALSE)&lt;1.5,"Moderado",IF(VLOOKUP(BO93,Fundamentus!A:U,4,FALSE)&gt;1.5,"Alto","n/a")))</f>
        <v>Baixo</v>
      </c>
      <c r="EM93" s="17" t="str">
        <f>IF(VLOOKUP(BO93,Fundamentus!A:U,8,FALSE)&lt;0,"Risco elevado",IF(VLOOKUP(BO93,Fundamentus!A:U,8,FALSE)&lt;1,"Saudável",IF(VLOOKUP(BO93,Fundamentus!A:U,8,FALSE)&lt;3,"Estável",IF(VLOOKUP(BO93,Fundamentus!A:U,8,FALSE)&gt;3,"Alerta","n/a"))))</f>
        <v>Estável</v>
      </c>
      <c r="EN93" s="28" t="str">
        <f t="shared" si="111"/>
        <v>Bom</v>
      </c>
      <c r="EO93" s="17" t="str">
        <f>IF(VLOOKUP(BO93,Fundamentus!A:U,12,FALSE)&lt;2,"Subvalorizada",IF(VLOOKUP(BO93,Fundamentus!A:U,12,FALSE)&lt;6,"Muita barata",IF(VLOOKUP(BO93,Fundamentus!A:U,12,FALSE)&lt;6,"Barata",IF(VLOOKUP(BO93,Fundamentus!A:U,12,FALSE)&lt;8,"Atrativa",IF(VLOOKUP(BO93,Fundamentus!A:U,12,FALSE)&gt;8,"Supervalorizada","n/a")))))</f>
        <v>Supervalorizada</v>
      </c>
      <c r="EQ93" s="17" t="str">
        <f>IF(VLOOKUP(BO93,Fundamentus!A:U,17,FALSE)&lt;0.1,"Fraco retorno",IF(VLOOKUP(BO93,Fundamentus!A:U,17,FALSE)&gt;0.1,"Bom retorno","n/a"))</f>
        <v>Fraco retorno</v>
      </c>
      <c r="ER93" s="17" t="str">
        <f>IF(VLOOKUP(BO93,Fundamentus!A:U,16,FALSE)&lt;0.1,"Ineficiente",IF(VLOOKUP(BO93,Fundamentus!A:U,16,FALSE)&gt;0.1,"Eficiente","n/a"))</f>
        <v>Ineficiente</v>
      </c>
      <c r="ES93" s="33" t="str">
        <f>IF(VLOOKUP(BO93,Fundamentus!A:U,16,FALSE)&lt;0.1,"Oper. Ineficiente",IF(VLOOKUP(BO93,Fundamentus!A:U,16,FALSE)&gt;0.1,"Oper.Eficiente","n/a"))</f>
        <v>Oper. Ineficiente</v>
      </c>
      <c r="ET93" s="34">
        <f>VLOOKUP(BO93,Fundamentus!A:U,14,FALSE)</f>
        <v>0.28749999999999998</v>
      </c>
      <c r="EU93" s="17" t="str">
        <f>IF(VLOOKUP(BO93,Fundamentus!A:U,21,FALSE)&lt;0,"Negativo",IF(VLOOKUP(BO93,Fundamentus!A:U,21,FALSE)&lt;0.05,"Fraco",IF(VLOOKUP(BO93,Fundamentus!A:U,21,FALSE)&lt;0.1,"Bom",IF(VLOOKUP(BO93,Fundamentus!A:U,21,FALSE)&gt;0.1,"Muito bom","n/a"))))</f>
        <v>Muito bom</v>
      </c>
      <c r="EW93" s="29" t="str">
        <f>IF(VLOOKUP(BO93,Fundamentus!A:U,15,FALSE)&gt;1,"Bom",IF(VLOOKUP(BO93,Fundamentus!A:U,15,FALSE)&lt;1,"Ruim","n/a"))</f>
        <v>Bom</v>
      </c>
      <c r="EX93" s="17" t="str">
        <f>IF(VLOOKUP(BO93,Fundamentus!A:U,20,FALSE)&lt;0.5,"Baixa",IF(VLOOKUP(BO93,Fundamentus!A:U,20,FALSE)&lt;1,"Moderada",IF(VLOOKUP(BO93,Fundamentus!A:U,20,FALSE)&lt;2,"Alerta",IF(VLOOKUP(BO93,Fundamentus!A:U,20,FALSE)&gt;2,"Alta","n/a"))))</f>
        <v>Baixa</v>
      </c>
      <c r="EY93" s="10"/>
    </row>
    <row r="94" spans="1:155" s="2" customFormat="1" ht="11.25"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5">
        <v>51.47</v>
      </c>
      <c r="BC94" s="52">
        <v>53.82</v>
      </c>
      <c r="BD94" s="52">
        <v>52.96</v>
      </c>
      <c r="BE94" s="52">
        <v>49.65</v>
      </c>
      <c r="BF94" s="52">
        <v>53.42</v>
      </c>
      <c r="BG94" s="67">
        <v>54.11</v>
      </c>
      <c r="BH94" s="52">
        <v>51.87</v>
      </c>
      <c r="BI94" s="52">
        <v>51.15</v>
      </c>
      <c r="BJ94" s="52">
        <v>51.95</v>
      </c>
      <c r="BK94" s="52">
        <v>49.74</v>
      </c>
      <c r="BL94" s="52">
        <v>50.61</v>
      </c>
      <c r="BM94" s="52">
        <v>52.57</v>
      </c>
      <c r="BN94" s="52" cm="1">
        <f t="array" aca="1" ref="BN94" ca="1">_FV(EB94,"Preço")</f>
        <v>52.57</v>
      </c>
      <c r="BO94" s="69" t="s">
        <v>91</v>
      </c>
      <c r="BP94" s="36" cm="1">
        <f t="array" aca="1" ref="BP94" ca="1">_FV(EB94,"Média de volume",TRUE)</f>
        <v>4092280</v>
      </c>
      <c r="BQ94" s="36">
        <v>4313000</v>
      </c>
      <c r="BR94" s="36" cm="1">
        <f t="array" aca="1" ref="BR94" ca="1">_FV(EB94,"Volume")</f>
        <v>4313000</v>
      </c>
      <c r="BS94" s="24" cm="1">
        <f t="array" aca="1" ref="BS94" ca="1">_FV(EB94,"Beta")</f>
        <v>0.33879999999999999</v>
      </c>
      <c r="BT94" s="71" cm="1">
        <f t="array" aca="1" ref="BT94" ca="1">_FV(EB94,"Variação (%)",TRUE)</f>
        <v>2.0777E-2</v>
      </c>
      <c r="BV94" s="17" cm="1">
        <f t="array" aca="1" ref="BV94" ca="1">_FV(EB94,"Baixo")</f>
        <v>51.37</v>
      </c>
      <c r="BW94" s="17" cm="1">
        <f t="array" aca="1" ref="BW94" ca="1">_FV(EB94,"Alto")</f>
        <v>52.76</v>
      </c>
      <c r="BX94" s="24"/>
      <c r="BY94" s="63" t="e">
        <f ca="1">SQRT(22.5*(BN94/VLOOKUP(BO94,Fundamentus!A:U,3,FALSE))*(BN94/VLOOKUP(BO94,Fundamentus!A:U,4,FALSE)))</f>
        <v>#NUM!</v>
      </c>
      <c r="CA94" s="62">
        <f t="shared" ca="1" si="112"/>
        <v>0</v>
      </c>
      <c r="CB94" s="8"/>
      <c r="CC94" s="61">
        <f t="shared" si="113"/>
        <v>48.65</v>
      </c>
      <c r="CD94" s="61">
        <f t="shared" si="114"/>
        <v>65.430000000000007</v>
      </c>
      <c r="CE94" s="61">
        <f t="shared" si="115"/>
        <v>55.152307692307708</v>
      </c>
      <c r="CF94" s="14"/>
      <c r="CG94" s="35">
        <f t="shared" si="98"/>
        <v>49.682371762445158</v>
      </c>
      <c r="CH94" s="15">
        <f t="shared" si="116"/>
        <v>51.899999999999864</v>
      </c>
      <c r="CI94" s="35">
        <f t="shared" si="99"/>
        <v>54.11762823755457</v>
      </c>
      <c r="CK94" s="14"/>
      <c r="CL94" s="17">
        <f t="shared" si="100"/>
        <v>27.583333333333321</v>
      </c>
      <c r="CM94" s="17">
        <f t="shared" si="101"/>
        <v>38.11666666666666</v>
      </c>
      <c r="CN94" s="17">
        <f t="shared" si="102"/>
        <v>44.36333333333333</v>
      </c>
      <c r="CO94" s="38">
        <f t="shared" si="117"/>
        <v>54.896666666666668</v>
      </c>
      <c r="CP94" s="17">
        <f t="shared" si="103"/>
        <v>61.143333333333338</v>
      </c>
      <c r="CQ94" s="17">
        <f t="shared" si="104"/>
        <v>71.676666666666677</v>
      </c>
      <c r="CR94" s="17">
        <f t="shared" si="105"/>
        <v>77.923333333333346</v>
      </c>
      <c r="CS94" s="2" cm="1">
        <f t="array" aca="1" ref="CS94" ca="1">MAX(_xlfn._xlws.FILTER(CL94:CR94,CL94:CR94&lt;BN94))</f>
        <v>44.36333333333333</v>
      </c>
      <c r="CT94" s="2" cm="1">
        <f t="array" aca="1" ref="CT94" ca="1">MIN(_xlfn._xlws.FILTER($CL94:$CR94,$CL94:$CR94&gt;BN94))</f>
        <v>54.896666666666668</v>
      </c>
      <c r="CU94" s="16">
        <f t="shared" ca="1" si="119"/>
        <v>0.23743331580133753</v>
      </c>
      <c r="CV94" s="20">
        <f t="shared" ca="1" si="120"/>
        <v>-0.11871665790066877</v>
      </c>
      <c r="CW94" s="20">
        <f t="shared" ca="1" si="121"/>
        <v>-7.9144438600445843E-2</v>
      </c>
      <c r="CX94" s="20">
        <f t="shared" ca="1" si="122"/>
        <v>-4.7486663160267506E-2</v>
      </c>
      <c r="CY94" s="20">
        <f t="shared" ca="1" si="123"/>
        <v>-2.6381479533481949E-2</v>
      </c>
      <c r="CZ94" s="20">
        <f t="shared" ca="1" si="124"/>
        <v>-1.3966665635372796E-2</v>
      </c>
      <c r="DA94" s="20">
        <f t="shared" ca="1" si="125"/>
        <v>-7.1949489636768948E-3</v>
      </c>
      <c r="DB94" s="20">
        <f t="shared" ca="1" si="126"/>
        <v>-3.6528202430975007E-3</v>
      </c>
      <c r="DC94" s="21">
        <f t="shared" ca="1" si="127"/>
        <v>3.6528202430975007E-3</v>
      </c>
      <c r="DD94" s="21">
        <f t="shared" ca="1" si="128"/>
        <v>7.1949489636768948E-3</v>
      </c>
      <c r="DE94" s="21">
        <f t="shared" ca="1" si="129"/>
        <v>1.3966665635372796E-2</v>
      </c>
      <c r="DF94" s="21">
        <f t="shared" ca="1" si="130"/>
        <v>2.6381479533481949E-2</v>
      </c>
      <c r="DG94" s="21">
        <f t="shared" ca="1" si="131"/>
        <v>4.7486663160267506E-2</v>
      </c>
      <c r="DH94" s="21">
        <f t="shared" ca="1" si="132"/>
        <v>7.9144438600445843E-2</v>
      </c>
      <c r="DI94" s="21">
        <f t="shared" ca="1" si="133"/>
        <v>0.11871665790066877</v>
      </c>
      <c r="DK94" s="16" cm="1">
        <f t="array" aca="1" ref="DK94" ca="1">MAX(_xlfn._xlws.FILTER(CV94:DI94,CV94:DI94&lt;BT94))</f>
        <v>1.3966665635372796E-2</v>
      </c>
      <c r="DL94" s="16" cm="1">
        <f t="array" aca="1" ref="DL94" ca="1">MIN(_xlfn._xlws.FILTER(CV94:DI94,CV94:DI94&gt;BT94))</f>
        <v>2.6381479533481949E-2</v>
      </c>
      <c r="DM94" s="2" cm="1">
        <f t="array" aca="1" ref="DM94" ca="1">_FV(EB94,"Fechamento anterior",TRUE)</f>
        <v>51.5</v>
      </c>
      <c r="DN94" s="28">
        <f t="shared" ca="1" si="106"/>
        <v>0.54854091649256453</v>
      </c>
      <c r="DO94" s="15">
        <f t="shared" ca="1" si="134"/>
        <v>52.219283280221696</v>
      </c>
      <c r="DP94" s="15">
        <f t="shared" ca="1" si="135"/>
        <v>52.858646195974323</v>
      </c>
      <c r="DQ94" s="9"/>
      <c r="DR94" s="9"/>
      <c r="DS94" s="9"/>
      <c r="DT94" s="89">
        <v>1.2414813898109153E-2</v>
      </c>
      <c r="DU94" s="89">
        <f t="shared" ca="1" si="107"/>
        <v>1.2414813898109153E-2</v>
      </c>
      <c r="DV94" s="72">
        <f t="shared" ca="1" si="108"/>
        <v>0.30212458005987519</v>
      </c>
      <c r="DW94" s="37"/>
      <c r="DX94" s="35">
        <f t="shared" si="118"/>
        <v>1.1088141187773539</v>
      </c>
      <c r="DY94" s="56"/>
      <c r="DZ94" s="56"/>
      <c r="EB94" s="2" t="e" vm="94">
        <v>#VALUE!</v>
      </c>
      <c r="ED94" s="10" cm="1">
        <f t="array" aca="1" ref="ED94" ca="1">_FV(EB94,"Ações em circulação",TRUE)</f>
        <v>1264118000</v>
      </c>
      <c r="EE94" s="18">
        <f>VLOOKUP(BO94,Fundamentus!A:U,5,FALSE)</f>
        <v>1.3220000000000001</v>
      </c>
      <c r="EF94" s="2">
        <f t="shared" ca="1" si="109"/>
        <v>50268292934.947044</v>
      </c>
      <c r="EG94" s="17">
        <v>-929963419.29652023</v>
      </c>
      <c r="EH94" s="17">
        <f t="shared" ca="1" si="110"/>
        <v>-929963419.29652023</v>
      </c>
      <c r="EJ94" s="16">
        <f t="shared" ca="1" si="97"/>
        <v>0</v>
      </c>
      <c r="EK94" s="32" t="str">
        <f>IF(VLOOKUP(BO94,Fundamentus!A:U,3,FALSE)&lt;15,"Bom",IF(VLOOKUP(BO94,Fundamentus!A:U,3,FALSE)&gt;15,"Ruim","n/a"))</f>
        <v>Bom</v>
      </c>
      <c r="EL94" s="28" t="str">
        <f>IF(VLOOKUP(BO94,Fundamentus!A:U,4,FALSE)&lt;1,"Baixo",IF(VLOOKUP(BO94,Fundamentus!A:U,4,FALSE)&lt;1.5,"Moderado",IF(VLOOKUP(BO94,Fundamentus!A:U,4,FALSE)&gt;1.5,"Alto","n/a")))</f>
        <v>Alto</v>
      </c>
      <c r="EM94" s="17" t="str">
        <f>IF(VLOOKUP(BO94,Fundamentus!A:U,8,FALSE)&lt;0,"Risco elevado",IF(VLOOKUP(BO94,Fundamentus!A:U,8,FALSE)&lt;1,"Saudável",IF(VLOOKUP(BO94,Fundamentus!A:U,8,FALSE)&lt;3,"Estável",IF(VLOOKUP(BO94,Fundamentus!A:U,8,FALSE)&gt;3,"Alerta","n/a"))))</f>
        <v>Alerta</v>
      </c>
      <c r="EN94" s="28" t="str">
        <f t="shared" si="111"/>
        <v>Bom</v>
      </c>
      <c r="EO94" s="17" t="str">
        <f>IF(VLOOKUP(BO94,Fundamentus!A:U,12,FALSE)&lt;2,"Subvalorizada",IF(VLOOKUP(BO94,Fundamentus!A:U,12,FALSE)&lt;6,"Muita barata",IF(VLOOKUP(BO94,Fundamentus!A:U,12,FALSE)&lt;6,"Barata",IF(VLOOKUP(BO94,Fundamentus!A:U,12,FALSE)&lt;8,"Atrativa",IF(VLOOKUP(BO94,Fundamentus!A:U,12,FALSE)&gt;8,"Supervalorizada","n/a")))))</f>
        <v>Muita barata</v>
      </c>
      <c r="EQ94" s="17" t="str">
        <f>IF(VLOOKUP(BO94,Fundamentus!A:U,17,FALSE)&lt;0.1,"Fraco retorno",IF(VLOOKUP(BO94,Fundamentus!A:U,17,FALSE)&gt;0.1,"Bom retorno","n/a"))</f>
        <v>Fraco retorno</v>
      </c>
      <c r="ER94" s="17" t="str">
        <f>IF(VLOOKUP(BO94,Fundamentus!A:U,16,FALSE)&lt;0.1,"Ineficiente",IF(VLOOKUP(BO94,Fundamentus!A:U,16,FALSE)&gt;0.1,"Eficiente","n/a"))</f>
        <v>Eficiente</v>
      </c>
      <c r="ES94" s="33" t="str">
        <f>IF(VLOOKUP(BO94,Fundamentus!A:U,16,FALSE)&lt;0.1,"Oper. Ineficiente",IF(VLOOKUP(BO94,Fundamentus!A:U,16,FALSE)&gt;0.1,"Oper.Eficiente","n/a"))</f>
        <v>Oper.Eficiente</v>
      </c>
      <c r="ET94" s="34">
        <f>VLOOKUP(BO94,Fundamentus!A:U,14,FALSE)</f>
        <v>-1.8499999999999999E-2</v>
      </c>
      <c r="EU94" s="17" t="str">
        <f>IF(VLOOKUP(BO94,Fundamentus!A:U,21,FALSE)&lt;0,"Negativo",IF(VLOOKUP(BO94,Fundamentus!A:U,21,FALSE)&lt;0.05,"Fraco",IF(VLOOKUP(BO94,Fundamentus!A:U,21,FALSE)&lt;0.1,"Bom",IF(VLOOKUP(BO94,Fundamentus!A:U,21,FALSE)&gt;0.1,"Muito bom","n/a"))))</f>
        <v>Bom</v>
      </c>
      <c r="EW94" s="29" t="str">
        <f>IF(VLOOKUP(BO94,Fundamentus!A:U,15,FALSE)&gt;1,"Bom",IF(VLOOKUP(BO94,Fundamentus!A:U,15,FALSE)&lt;1,"Ruim","n/a"))</f>
        <v>Bom</v>
      </c>
      <c r="EX94" s="17" t="str">
        <f>IF(VLOOKUP(BO94,Fundamentus!A:U,20,FALSE)&lt;0.5,"Baixa",IF(VLOOKUP(BO94,Fundamentus!A:U,20,FALSE)&lt;1,"Moderada",IF(VLOOKUP(BO94,Fundamentus!A:U,20,FALSE)&lt;2,"Alerta",IF(VLOOKUP(BO94,Fundamentus!A:U,20,FALSE)&gt;2,"Alta","n/a"))))</f>
        <v>Alta</v>
      </c>
      <c r="EY94" s="10"/>
    </row>
    <row r="95" spans="1:155" s="2" customFormat="1" ht="11.25"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5">
        <v>33.08</v>
      </c>
      <c r="BC95" s="52">
        <v>37.44</v>
      </c>
      <c r="BD95" s="52">
        <v>39.47</v>
      </c>
      <c r="BE95" s="52">
        <v>39.590000000000003</v>
      </c>
      <c r="BF95" s="52">
        <v>39.68</v>
      </c>
      <c r="BG95" s="67">
        <v>40.6</v>
      </c>
      <c r="BH95" s="52">
        <v>40</v>
      </c>
      <c r="BI95" s="52">
        <v>40.01</v>
      </c>
      <c r="BJ95" s="52">
        <v>39.5</v>
      </c>
      <c r="BK95" s="52">
        <v>39.159999999999997</v>
      </c>
      <c r="BL95" s="52">
        <v>38.61</v>
      </c>
      <c r="BM95" s="52">
        <v>39.130000000000003</v>
      </c>
      <c r="BN95" s="52" cm="1">
        <f t="array" aca="1" ref="BN95" ca="1">_FV(EB95,"Preço")</f>
        <v>39.130000000000003</v>
      </c>
      <c r="BO95" s="70" t="s">
        <v>92</v>
      </c>
      <c r="BP95" s="36" cm="1">
        <f t="array" aca="1" ref="BP95" ca="1">_FV(EB95,"Média de volume",TRUE)</f>
        <v>9280</v>
      </c>
      <c r="BQ95" s="36">
        <v>7700</v>
      </c>
      <c r="BR95" s="36" cm="1">
        <f t="array" aca="1" ref="BR95" ca="1">_FV(EB95,"Volume")</f>
        <v>7700</v>
      </c>
      <c r="BS95" s="24" cm="1">
        <f t="array" aca="1" ref="BS95" ca="1">_FV(EB95,"Beta")</f>
        <v>0.1268</v>
      </c>
      <c r="BT95" s="71" cm="1">
        <f t="array" aca="1" ref="BT95" ca="1">_FV(EB95,"Variação (%)",TRUE)</f>
        <v>1.5309E-2</v>
      </c>
      <c r="BV95" s="17" cm="1">
        <f t="array" aca="1" ref="BV95" ca="1">_FV(EB95,"Baixo")</f>
        <v>38.369999999999997</v>
      </c>
      <c r="BW95" s="17" cm="1">
        <f t="array" aca="1" ref="BW95" ca="1">_FV(EB95,"Alto")</f>
        <v>39.340000000000003</v>
      </c>
      <c r="BX95" s="24"/>
      <c r="BY95" s="63">
        <f ca="1">SQRT(22.5*(BN95/VLOOKUP(BO95,Fundamentus!A:U,3,FALSE))*(BN95/VLOOKUP(BO95,Fundamentus!A:U,4,FALSE)))</f>
        <v>56.091111668598423</v>
      </c>
      <c r="CA95" s="62">
        <f t="shared" ca="1" si="112"/>
        <v>0</v>
      </c>
      <c r="CB95" s="8"/>
      <c r="CC95" s="61">
        <f t="shared" si="113"/>
        <v>26</v>
      </c>
      <c r="CD95" s="61">
        <f t="shared" si="114"/>
        <v>43.87</v>
      </c>
      <c r="CE95" s="61">
        <f t="shared" si="115"/>
        <v>36.162846153846147</v>
      </c>
      <c r="CF95" s="14"/>
      <c r="CG95" s="35">
        <f t="shared" si="98"/>
        <v>38.048918244248377</v>
      </c>
      <c r="CH95" s="15">
        <f t="shared" si="116"/>
        <v>38.684999999999945</v>
      </c>
      <c r="CI95" s="35">
        <f t="shared" si="99"/>
        <v>39.321081755751514</v>
      </c>
      <c r="CK95" s="14"/>
      <c r="CL95" s="17">
        <f t="shared" si="100"/>
        <v>10.580000000000013</v>
      </c>
      <c r="CM95" s="17">
        <f t="shared" si="101"/>
        <v>18.290000000000006</v>
      </c>
      <c r="CN95" s="17">
        <f t="shared" si="102"/>
        <v>28.45000000000001</v>
      </c>
      <c r="CO95" s="38">
        <f t="shared" si="117"/>
        <v>36.160000000000004</v>
      </c>
      <c r="CP95" s="17">
        <f t="shared" si="103"/>
        <v>46.320000000000007</v>
      </c>
      <c r="CQ95" s="17">
        <f t="shared" si="104"/>
        <v>54.03</v>
      </c>
      <c r="CR95" s="17">
        <f t="shared" si="105"/>
        <v>64.19</v>
      </c>
      <c r="CS95" s="2" cm="1">
        <f t="array" aca="1" ref="CS95" ca="1">MAX(_xlfn._xlws.FILTER(CL95:CR95,CL95:CR95&lt;BN95))</f>
        <v>36.160000000000004</v>
      </c>
      <c r="CT95" s="2" cm="1">
        <f t="array" aca="1" ref="CT95" ca="1">MIN(_xlfn._xlws.FILTER($CL95:$CR95,$CL95:$CR95&gt;BN95))</f>
        <v>46.320000000000007</v>
      </c>
      <c r="CU95" s="16">
        <f t="shared" ca="1" si="119"/>
        <v>0.28097345132743379</v>
      </c>
      <c r="CV95" s="20">
        <f t="shared" ca="1" si="120"/>
        <v>-0.14048672566371689</v>
      </c>
      <c r="CW95" s="20">
        <f t="shared" ca="1" si="121"/>
        <v>-9.36578171091446E-2</v>
      </c>
      <c r="CX95" s="20">
        <f t="shared" ca="1" si="122"/>
        <v>-5.6194690265486756E-2</v>
      </c>
      <c r="CY95" s="20">
        <f t="shared" ca="1" si="123"/>
        <v>-3.1219272369714866E-2</v>
      </c>
      <c r="CZ95" s="20">
        <f t="shared" ca="1" si="124"/>
        <v>-1.6527850078084341E-2</v>
      </c>
      <c r="DA95" s="20">
        <f t="shared" ca="1" si="125"/>
        <v>-8.5143470099222351E-3</v>
      </c>
      <c r="DB95" s="20">
        <f t="shared" ca="1" si="126"/>
        <v>-4.3226684819605201E-3</v>
      </c>
      <c r="DC95" s="21">
        <f t="shared" ca="1" si="127"/>
        <v>4.3226684819605201E-3</v>
      </c>
      <c r="DD95" s="21">
        <f t="shared" ca="1" si="128"/>
        <v>8.5143470099222351E-3</v>
      </c>
      <c r="DE95" s="21">
        <f t="shared" ca="1" si="129"/>
        <v>1.6527850078084341E-2</v>
      </c>
      <c r="DF95" s="21">
        <f t="shared" ca="1" si="130"/>
        <v>3.1219272369714866E-2</v>
      </c>
      <c r="DG95" s="21">
        <f t="shared" ca="1" si="131"/>
        <v>5.6194690265486756E-2</v>
      </c>
      <c r="DH95" s="21">
        <f t="shared" ca="1" si="132"/>
        <v>9.36578171091446E-2</v>
      </c>
      <c r="DI95" s="21">
        <f t="shared" ca="1" si="133"/>
        <v>0.14048672566371689</v>
      </c>
      <c r="DK95" s="16" cm="1">
        <f t="array" aca="1" ref="DK95" ca="1">MAX(_xlfn._xlws.FILTER(CV95:DI95,CV95:DI95&lt;BT95))</f>
        <v>8.5143470099222351E-3</v>
      </c>
      <c r="DL95" s="16" cm="1">
        <f t="array" aca="1" ref="DL95" ca="1">MIN(_xlfn._xlws.FILTER(CV95:DI95,CV95:DI95&gt;BT95))</f>
        <v>1.6527850078084341E-2</v>
      </c>
      <c r="DM95" s="2" cm="1">
        <f t="array" aca="1" ref="DM95" ca="1">_FV(EB95,"Fechamento anterior",TRUE)</f>
        <v>38.54</v>
      </c>
      <c r="DN95" s="28">
        <f t="shared" ca="1" si="106"/>
        <v>0.84787177857957685</v>
      </c>
      <c r="DO95" s="15">
        <f t="shared" ca="1" si="134"/>
        <v>38.8681429337624</v>
      </c>
      <c r="DP95" s="15">
        <f t="shared" ca="1" si="135"/>
        <v>39.176983342009372</v>
      </c>
      <c r="DQ95" s="9"/>
      <c r="DR95" s="9"/>
      <c r="DS95" s="9"/>
      <c r="DT95" s="89">
        <v>8.0135030681621061E-3</v>
      </c>
      <c r="DU95" s="89">
        <f t="shared" ca="1" si="107"/>
        <v>8.0135030681621061E-3</v>
      </c>
      <c r="DV95" s="72">
        <f t="shared" ca="1" si="108"/>
        <v>0.69959560382967267</v>
      </c>
      <c r="DW95" s="37"/>
      <c r="DX95" s="35">
        <f t="shared" si="118"/>
        <v>0.31804087787578511</v>
      </c>
      <c r="DY95" s="56"/>
      <c r="DZ95" s="56"/>
      <c r="EB95" s="2" t="e" vm="95">
        <v>#VALUE!</v>
      </c>
      <c r="ED95" s="10" cm="1">
        <f t="array" aca="1" ref="ED95" ca="1">_FV(EB95,"Ações em circulação",TRUE)</f>
        <v>104831600</v>
      </c>
      <c r="EE95" s="18">
        <f>VLOOKUP(BO95,Fundamentus!A:U,5,FALSE)</f>
        <v>0</v>
      </c>
      <c r="EF95" s="2" t="e">
        <f t="shared" ca="1" si="109"/>
        <v>#DIV/0!</v>
      </c>
      <c r="EG95" s="17" t="e">
        <v>#DIV/0!</v>
      </c>
      <c r="EH95" s="17" t="e">
        <f t="shared" ca="1" si="110"/>
        <v>#DIV/0!</v>
      </c>
      <c r="EJ95" s="16" t="e">
        <f t="shared" ca="1" si="97"/>
        <v>#DIV/0!</v>
      </c>
      <c r="EK95" s="32" t="str">
        <f>IF(VLOOKUP(BO95,Fundamentus!A:U,3,FALSE)&lt;15,"Bom",IF(VLOOKUP(BO95,Fundamentus!A:U,3,FALSE)&gt;15,"Ruim","n/a"))</f>
        <v>Bom</v>
      </c>
      <c r="EL95" s="28" t="str">
        <f>IF(VLOOKUP(BO95,Fundamentus!A:U,4,FALSE)&lt;1,"Baixo",IF(VLOOKUP(BO95,Fundamentus!A:U,4,FALSE)&lt;1.5,"Moderado",IF(VLOOKUP(BO95,Fundamentus!A:U,4,FALSE)&gt;1.5,"Alto","n/a")))</f>
        <v>Alto</v>
      </c>
      <c r="EM95" s="17" t="str">
        <f>IF(VLOOKUP(BO95,Fundamentus!A:U,8,FALSE)&lt;0,"Risco elevado",IF(VLOOKUP(BO95,Fundamentus!A:U,8,FALSE)&lt;1,"Saudável",IF(VLOOKUP(BO95,Fundamentus!A:U,8,FALSE)&lt;3,"Estável",IF(VLOOKUP(BO95,Fundamentus!A:U,8,FALSE)&gt;3,"Alerta","n/a"))))</f>
        <v>Saudável</v>
      </c>
      <c r="EN95" s="28" t="str">
        <f t="shared" si="111"/>
        <v>Ruim</v>
      </c>
      <c r="EO95" s="17" t="str">
        <f>IF(VLOOKUP(BO95,Fundamentus!A:U,12,FALSE)&lt;2,"Subvalorizada",IF(VLOOKUP(BO95,Fundamentus!A:U,12,FALSE)&lt;6,"Muita barata",IF(VLOOKUP(BO95,Fundamentus!A:U,12,FALSE)&lt;6,"Barata",IF(VLOOKUP(BO95,Fundamentus!A:U,12,FALSE)&lt;8,"Atrativa",IF(VLOOKUP(BO95,Fundamentus!A:U,12,FALSE)&gt;8,"Supervalorizada","n/a")))))</f>
        <v>Subvalorizada</v>
      </c>
      <c r="EQ95" s="17" t="str">
        <f>IF(VLOOKUP(BO95,Fundamentus!A:U,17,FALSE)&lt;0.1,"Fraco retorno",IF(VLOOKUP(BO95,Fundamentus!A:U,17,FALSE)&gt;0.1,"Bom retorno","n/a"))</f>
        <v>Bom retorno</v>
      </c>
      <c r="ER95" s="17" t="str">
        <f>IF(VLOOKUP(BO95,Fundamentus!A:U,16,FALSE)&lt;0.1,"Ineficiente",IF(VLOOKUP(BO95,Fundamentus!A:U,16,FALSE)&gt;0.1,"Eficiente","n/a"))</f>
        <v>Ineficiente</v>
      </c>
      <c r="ES95" s="33" t="str">
        <f>IF(VLOOKUP(BO95,Fundamentus!A:U,16,FALSE)&lt;0.1,"Oper. Ineficiente",IF(VLOOKUP(BO95,Fundamentus!A:U,16,FALSE)&gt;0.1,"Oper.Eficiente","n/a"))</f>
        <v>Oper. Ineficiente</v>
      </c>
      <c r="ET95" s="34">
        <f>VLOOKUP(BO95,Fundamentus!A:U,14,FALSE)</f>
        <v>0</v>
      </c>
      <c r="EU95" s="17" t="str">
        <f>IF(VLOOKUP(BO95,Fundamentus!A:U,21,FALSE)&lt;0,"Negativo",IF(VLOOKUP(BO95,Fundamentus!A:U,21,FALSE)&lt;0.05,"Fraco",IF(VLOOKUP(BO95,Fundamentus!A:U,21,FALSE)&lt;0.1,"Bom",IF(VLOOKUP(BO95,Fundamentus!A:U,21,FALSE)&gt;0.1,"Muito bom","n/a"))))</f>
        <v>Muito bom</v>
      </c>
      <c r="EW95" s="29" t="str">
        <f>IF(VLOOKUP(BO95,Fundamentus!A:U,15,FALSE)&gt;1,"Bom",IF(VLOOKUP(BO95,Fundamentus!A:U,15,FALSE)&lt;1,"Ruim","n/a"))</f>
        <v>Ruim</v>
      </c>
      <c r="EX95" s="17" t="str">
        <f>IF(VLOOKUP(BO95,Fundamentus!A:U,20,FALSE)&lt;0.5,"Baixa",IF(VLOOKUP(BO95,Fundamentus!A:U,20,FALSE)&lt;1,"Moderada",IF(VLOOKUP(BO95,Fundamentus!A:U,20,FALSE)&lt;2,"Alerta",IF(VLOOKUP(BO95,Fundamentus!A:U,20,FALSE)&gt;2,"Alta","n/a"))))</f>
        <v>Baixa</v>
      </c>
      <c r="EY95" s="10"/>
    </row>
    <row r="96" spans="1:155" s="2" customFormat="1" ht="11.25"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5">
        <v>10.99</v>
      </c>
      <c r="BC96" s="52">
        <v>11.48</v>
      </c>
      <c r="BD96" s="52">
        <v>11.44</v>
      </c>
      <c r="BE96" s="52">
        <v>11.66</v>
      </c>
      <c r="BF96" s="52">
        <v>11.51</v>
      </c>
      <c r="BG96" s="67">
        <v>11.56</v>
      </c>
      <c r="BH96" s="52">
        <v>11.66</v>
      </c>
      <c r="BI96" s="52">
        <v>11.43</v>
      </c>
      <c r="BJ96" s="52">
        <v>11.55</v>
      </c>
      <c r="BK96" s="52">
        <v>11.21</v>
      </c>
      <c r="BL96" s="52">
        <v>11.11</v>
      </c>
      <c r="BM96" s="52">
        <v>10.89</v>
      </c>
      <c r="BN96" s="52" cm="1">
        <f t="array" aca="1" ref="BN96" ca="1">_FV(EB96,"Preço")</f>
        <v>10.89</v>
      </c>
      <c r="BO96" s="69" t="s">
        <v>93</v>
      </c>
      <c r="BP96" s="36" cm="1">
        <f t="array" aca="1" ref="BP96" ca="1">_FV(EB96,"Média de volume",TRUE)</f>
        <v>10023440</v>
      </c>
      <c r="BQ96" s="36">
        <v>1931500</v>
      </c>
      <c r="BR96" s="36" cm="1">
        <f t="array" aca="1" ref="BR96" ca="1">_FV(EB96,"Volume")</f>
        <v>1931500</v>
      </c>
      <c r="BS96" s="24" cm="1">
        <f t="array" aca="1" ref="BS96" ca="1">_FV(EB96,"Beta")</f>
        <v>0.86270000000000002</v>
      </c>
      <c r="BT96" s="71" cm="1">
        <f t="array" aca="1" ref="BT96" ca="1">_FV(EB96,"Variação (%)",TRUE)</f>
        <v>-4.5700000000000003E-3</v>
      </c>
      <c r="BV96" s="17" cm="1">
        <f t="array" aca="1" ref="BV96" ca="1">_FV(EB96,"Baixo")</f>
        <v>10.78</v>
      </c>
      <c r="BW96" s="17" cm="1">
        <f t="array" aca="1" ref="BW96" ca="1">_FV(EB96,"Alto")</f>
        <v>10.93</v>
      </c>
      <c r="BX96" s="24"/>
      <c r="BY96" s="63">
        <f ca="1">SQRT(22.5*(BN96/VLOOKUP(BO96,Fundamentus!A:U,3,FALSE))*(BN96/VLOOKUP(BO96,Fundamentus!A:U,4,FALSE)))</f>
        <v>13.720110370234949</v>
      </c>
      <c r="CA96" s="62">
        <f t="shared" ca="1" si="112"/>
        <v>0</v>
      </c>
      <c r="CB96" s="8"/>
      <c r="CC96" s="61">
        <f t="shared" si="113"/>
        <v>7.93</v>
      </c>
      <c r="CD96" s="61">
        <f t="shared" si="114"/>
        <v>11.66</v>
      </c>
      <c r="CE96" s="61">
        <f t="shared" si="115"/>
        <v>9.355076923076922</v>
      </c>
      <c r="CF96" s="14"/>
      <c r="CG96" s="35">
        <f t="shared" si="98"/>
        <v>10.19418490986526</v>
      </c>
      <c r="CH96" s="15">
        <f t="shared" si="116"/>
        <v>10.670000000000073</v>
      </c>
      <c r="CI96" s="35">
        <f t="shared" si="99"/>
        <v>11.145815090134885</v>
      </c>
      <c r="CK96" s="14"/>
      <c r="CL96" s="17">
        <f t="shared" si="100"/>
        <v>5.0766666666666644</v>
      </c>
      <c r="CM96" s="17">
        <f t="shared" si="101"/>
        <v>6.5033333333333321</v>
      </c>
      <c r="CN96" s="17">
        <f t="shared" si="102"/>
        <v>8.8066666666666649</v>
      </c>
      <c r="CO96" s="38">
        <f t="shared" si="117"/>
        <v>10.233333333333333</v>
      </c>
      <c r="CP96" s="17">
        <f t="shared" si="103"/>
        <v>12.536666666666665</v>
      </c>
      <c r="CQ96" s="17">
        <f t="shared" si="104"/>
        <v>13.963333333333333</v>
      </c>
      <c r="CR96" s="17">
        <f t="shared" si="105"/>
        <v>16.266666666666666</v>
      </c>
      <c r="CS96" s="2" cm="1">
        <f t="array" aca="1" ref="CS96" ca="1">MAX(_xlfn._xlws.FILTER(CL96:CR96,CL96:CR96&lt;BN96))</f>
        <v>10.233333333333333</v>
      </c>
      <c r="CT96" s="2" cm="1">
        <f t="array" aca="1" ref="CT96" ca="1">MIN(_xlfn._xlws.FILTER($CL96:$CR96,$CL96:$CR96&gt;BN96))</f>
        <v>12.536666666666665</v>
      </c>
      <c r="CU96" s="16">
        <f t="shared" ca="1" si="119"/>
        <v>0.22508143322475571</v>
      </c>
      <c r="CV96" s="20">
        <f t="shared" ca="1" si="120"/>
        <v>-0.11254071661237786</v>
      </c>
      <c r="CW96" s="20">
        <f t="shared" ca="1" si="121"/>
        <v>-7.5027144408251908E-2</v>
      </c>
      <c r="CX96" s="20">
        <f t="shared" ca="1" si="122"/>
        <v>-4.5016286644951144E-2</v>
      </c>
      <c r="CY96" s="20">
        <f t="shared" ca="1" si="123"/>
        <v>-2.5009048136083969E-2</v>
      </c>
      <c r="CZ96" s="20">
        <f t="shared" ca="1" si="124"/>
        <v>-1.324008430733857E-2</v>
      </c>
      <c r="DA96" s="20">
        <f t="shared" ca="1" si="125"/>
        <v>-6.8206494916592643E-3</v>
      </c>
      <c r="DB96" s="20">
        <f t="shared" ca="1" si="126"/>
        <v>-3.4627912803808572E-3</v>
      </c>
      <c r="DC96" s="21">
        <f t="shared" ca="1" si="127"/>
        <v>3.4627912803808572E-3</v>
      </c>
      <c r="DD96" s="21">
        <f t="shared" ca="1" si="128"/>
        <v>6.8206494916592643E-3</v>
      </c>
      <c r="DE96" s="21">
        <f t="shared" ca="1" si="129"/>
        <v>1.324008430733857E-2</v>
      </c>
      <c r="DF96" s="21">
        <f t="shared" ca="1" si="130"/>
        <v>2.5009048136083969E-2</v>
      </c>
      <c r="DG96" s="21">
        <f t="shared" ca="1" si="131"/>
        <v>4.5016286644951144E-2</v>
      </c>
      <c r="DH96" s="21">
        <f t="shared" ca="1" si="132"/>
        <v>7.5027144408251908E-2</v>
      </c>
      <c r="DI96" s="21">
        <f t="shared" ca="1" si="133"/>
        <v>0.11254071661237786</v>
      </c>
      <c r="DK96" s="16" cm="1">
        <f t="array" aca="1" ref="DK96" ca="1">MAX(_xlfn._xlws.FILTER(CV96:DI96,CV96:DI96&lt;BT96))</f>
        <v>-6.8206494916592643E-3</v>
      </c>
      <c r="DL96" s="16" cm="1">
        <f t="array" aca="1" ref="DL96" ca="1">MIN(_xlfn._xlws.FILTER(CV96:DI96,CV96:DI96&gt;BT96))</f>
        <v>-3.4627912803808572E-3</v>
      </c>
      <c r="DM96" s="2" cm="1">
        <f t="array" aca="1" ref="DM96" ca="1">_FV(EB96,"Fechamento anterior",TRUE)</f>
        <v>10.94</v>
      </c>
      <c r="DN96" s="28">
        <f t="shared" ca="1" si="106"/>
        <v>0.67014907653114808</v>
      </c>
      <c r="DO96" s="15">
        <f t="shared" ca="1" si="134"/>
        <v>10.865382094561248</v>
      </c>
      <c r="DP96" s="15">
        <f t="shared" ca="1" si="135"/>
        <v>10.902117063392632</v>
      </c>
      <c r="DQ96" s="9"/>
      <c r="DR96" s="9"/>
      <c r="DS96" s="9"/>
      <c r="DT96" s="89">
        <v>3.3578582112784071E-3</v>
      </c>
      <c r="DU96" s="89">
        <f t="shared" ca="1" si="107"/>
        <v>3.3578582112784071E-3</v>
      </c>
      <c r="DV96" s="72">
        <f t="shared" ca="1" si="108"/>
        <v>0.46236448687996706</v>
      </c>
      <c r="DW96" s="37"/>
      <c r="DX96" s="35">
        <f t="shared" si="118"/>
        <v>0.23790754506740655</v>
      </c>
      <c r="DY96" s="56"/>
      <c r="DZ96" s="56"/>
      <c r="EB96" s="2" t="e" vm="96">
        <v>#VALUE!</v>
      </c>
      <c r="ED96" s="10" cm="1">
        <f t="array" aca="1" ref="ED96" ca="1">_FV(EB96,"Ações em circulação",TRUE)</f>
        <v>2982811000</v>
      </c>
      <c r="EE96" s="18">
        <f>VLOOKUP(BO96,Fundamentus!A:U,5,FALSE)</f>
        <v>1.4319999999999999</v>
      </c>
      <c r="EF96" s="2">
        <f t="shared" ca="1" si="109"/>
        <v>22683527786.312851</v>
      </c>
      <c r="EG96" s="17">
        <v>2874002970.5258384</v>
      </c>
      <c r="EH96" s="17">
        <f t="shared" ca="1" si="110"/>
        <v>2874002970.5258384</v>
      </c>
      <c r="EJ96" s="16">
        <f t="shared" ca="1" si="97"/>
        <v>0</v>
      </c>
      <c r="EK96" s="32" t="str">
        <f>IF(VLOOKUP(BO96,Fundamentus!A:U,3,FALSE)&lt;15,"Bom",IF(VLOOKUP(BO96,Fundamentus!A:U,3,FALSE)&gt;15,"Ruim","n/a"))</f>
        <v>Bom</v>
      </c>
      <c r="EL96" s="28" t="str">
        <f>IF(VLOOKUP(BO96,Fundamentus!A:U,4,FALSE)&lt;1,"Baixo",IF(VLOOKUP(BO96,Fundamentus!A:U,4,FALSE)&lt;1.5,"Moderado",IF(VLOOKUP(BO96,Fundamentus!A:U,4,FALSE)&gt;1.5,"Alto","n/a")))</f>
        <v>Moderado</v>
      </c>
      <c r="EM96" s="17" t="str">
        <f>IF(VLOOKUP(BO96,Fundamentus!A:U,8,FALSE)&lt;0,"Risco elevado",IF(VLOOKUP(BO96,Fundamentus!A:U,8,FALSE)&lt;1,"Saudável",IF(VLOOKUP(BO96,Fundamentus!A:U,8,FALSE)&lt;3,"Estável",IF(VLOOKUP(BO96,Fundamentus!A:U,8,FALSE)&gt;3,"Alerta","n/a"))))</f>
        <v>Alerta</v>
      </c>
      <c r="EN96" s="28" t="str">
        <f t="shared" si="111"/>
        <v>Bom</v>
      </c>
      <c r="EO96" s="17" t="str">
        <f>IF(VLOOKUP(BO96,Fundamentus!A:U,12,FALSE)&lt;2,"Subvalorizada",IF(VLOOKUP(BO96,Fundamentus!A:U,12,FALSE)&lt;6,"Muita barata",IF(VLOOKUP(BO96,Fundamentus!A:U,12,FALSE)&lt;6,"Barata",IF(VLOOKUP(BO96,Fundamentus!A:U,12,FALSE)&lt;8,"Atrativa",IF(VLOOKUP(BO96,Fundamentus!A:U,12,FALSE)&gt;8,"Supervalorizada","n/a")))))</f>
        <v>Supervalorizada</v>
      </c>
      <c r="EQ96" s="17" t="str">
        <f>IF(VLOOKUP(BO96,Fundamentus!A:U,17,FALSE)&lt;0.1,"Fraco retorno",IF(VLOOKUP(BO96,Fundamentus!A:U,17,FALSE)&gt;0.1,"Bom retorno","n/a"))</f>
        <v>Bom retorno</v>
      </c>
      <c r="ER96" s="17" t="str">
        <f>IF(VLOOKUP(BO96,Fundamentus!A:U,16,FALSE)&lt;0.1,"Ineficiente",IF(VLOOKUP(BO96,Fundamentus!A:U,16,FALSE)&gt;0.1,"Eficiente","n/a"))</f>
        <v>Ineficiente</v>
      </c>
      <c r="ES96" s="33" t="str">
        <f>IF(VLOOKUP(BO96,Fundamentus!A:U,16,FALSE)&lt;0.1,"Oper. Ineficiente",IF(VLOOKUP(BO96,Fundamentus!A:U,16,FALSE)&gt;0.1,"Oper.Eficiente","n/a"))</f>
        <v>Oper. Ineficiente</v>
      </c>
      <c r="ET96" s="34">
        <f>VLOOKUP(BO96,Fundamentus!A:U,14,FALSE)</f>
        <v>0.12670000000000001</v>
      </c>
      <c r="EU96" s="17" t="str">
        <f>IF(VLOOKUP(BO96,Fundamentus!A:U,21,FALSE)&lt;0,"Negativo",IF(VLOOKUP(BO96,Fundamentus!A:U,21,FALSE)&lt;0.05,"Fraco",IF(VLOOKUP(BO96,Fundamentus!A:U,21,FALSE)&lt;0.1,"Bom",IF(VLOOKUP(BO96,Fundamentus!A:U,21,FALSE)&gt;0.1,"Muito bom","n/a"))))</f>
        <v>Fraco</v>
      </c>
      <c r="EW96" s="29" t="str">
        <f>IF(VLOOKUP(BO96,Fundamentus!A:U,15,FALSE)&gt;1,"Bom",IF(VLOOKUP(BO96,Fundamentus!A:U,15,FALSE)&lt;1,"Ruim","n/a"))</f>
        <v>Bom</v>
      </c>
      <c r="EX96" s="17" t="str">
        <f>IF(VLOOKUP(BO96,Fundamentus!A:U,20,FALSE)&lt;0.5,"Baixa",IF(VLOOKUP(BO96,Fundamentus!A:U,20,FALSE)&lt;1,"Moderada",IF(VLOOKUP(BO96,Fundamentus!A:U,20,FALSE)&lt;2,"Alerta",IF(VLOOKUP(BO96,Fundamentus!A:U,20,FALSE)&gt;2,"Alta","n/a"))))</f>
        <v>Moderada</v>
      </c>
      <c r="EY96" s="10"/>
    </row>
    <row r="97" spans="1:155" s="2" customFormat="1" ht="11.25"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5">
        <v>33.03</v>
      </c>
      <c r="BC97" s="52">
        <v>34.19</v>
      </c>
      <c r="BD97" s="52">
        <v>33.479999999999997</v>
      </c>
      <c r="BE97" s="52">
        <v>32.909999999999997</v>
      </c>
      <c r="BF97" s="52">
        <v>31.57</v>
      </c>
      <c r="BG97" s="67">
        <v>34.979999999999997</v>
      </c>
      <c r="BH97" s="52">
        <v>35.909999999999997</v>
      </c>
      <c r="BI97" s="52">
        <v>33.799999999999997</v>
      </c>
      <c r="BJ97" s="52">
        <v>35.15</v>
      </c>
      <c r="BK97" s="52">
        <v>35.54</v>
      </c>
      <c r="BL97" s="52">
        <v>33.64</v>
      </c>
      <c r="BM97" s="52">
        <v>35.04</v>
      </c>
      <c r="BN97" s="52" cm="1">
        <f t="array" aca="1" ref="BN97" ca="1">_FV(EB97,"Preço")</f>
        <v>35.04</v>
      </c>
      <c r="BO97" s="69" t="s">
        <v>94</v>
      </c>
      <c r="BP97" s="36" cm="1">
        <f t="array" aca="1" ref="BP97" ca="1">_FV(EB97,"Média de volume",TRUE)</f>
        <v>25405980</v>
      </c>
      <c r="BQ97" s="36">
        <v>4858900</v>
      </c>
      <c r="BR97" s="36" cm="1">
        <f t="array" aca="1" ref="BR97" ca="1">_FV(EB97,"Volume")</f>
        <v>4858900</v>
      </c>
      <c r="BS97" s="24" cm="1">
        <f t="array" aca="1" ref="BS97" ca="1">_FV(EB97,"Beta")</f>
        <v>1.0266</v>
      </c>
      <c r="BT97" s="71" cm="1">
        <f t="array" aca="1" ref="BT97" ca="1">_FV(EB97,"Variação (%)",TRUE)</f>
        <v>4.5869999999999999E-3</v>
      </c>
      <c r="BV97" s="17" cm="1">
        <f t="array" aca="1" ref="BV97" ca="1">_FV(EB97,"Baixo")</f>
        <v>34.869999999999997</v>
      </c>
      <c r="BW97" s="17" cm="1">
        <f t="array" aca="1" ref="BW97" ca="1">_FV(EB97,"Alto")</f>
        <v>35.200000000000003</v>
      </c>
      <c r="BX97" s="24"/>
      <c r="BY97" s="63">
        <f ca="1">SQRT(22.5*(BN97/VLOOKUP(BO97,Fundamentus!A:U,3,FALSE))*(BN97/VLOOKUP(BO97,Fundamentus!A:U,4,FALSE)))</f>
        <v>51.188842935414158</v>
      </c>
      <c r="CA97" s="62">
        <f t="shared" ca="1" si="112"/>
        <v>0</v>
      </c>
      <c r="CB97" s="8"/>
      <c r="CC97" s="61">
        <f t="shared" si="113"/>
        <v>31.57</v>
      </c>
      <c r="CD97" s="61">
        <f t="shared" si="114"/>
        <v>44.47</v>
      </c>
      <c r="CE97" s="61">
        <f t="shared" si="115"/>
        <v>38.683076923076932</v>
      </c>
      <c r="CF97" s="14"/>
      <c r="CG97" s="35">
        <f t="shared" si="98"/>
        <v>32.84761522200894</v>
      </c>
      <c r="CH97" s="15">
        <f t="shared" si="116"/>
        <v>34.284999999999854</v>
      </c>
      <c r="CI97" s="35">
        <f t="shared" si="99"/>
        <v>35.722384777990769</v>
      </c>
      <c r="CK97" s="14"/>
      <c r="CL97" s="17">
        <f t="shared" si="100"/>
        <v>15.749999999999993</v>
      </c>
      <c r="CM97" s="17">
        <f t="shared" si="101"/>
        <v>23.659999999999997</v>
      </c>
      <c r="CN97" s="17">
        <f t="shared" si="102"/>
        <v>28.649999999999991</v>
      </c>
      <c r="CO97" s="38">
        <f t="shared" si="117"/>
        <v>36.559999999999995</v>
      </c>
      <c r="CP97" s="17">
        <f t="shared" si="103"/>
        <v>41.54999999999999</v>
      </c>
      <c r="CQ97" s="17">
        <f t="shared" si="104"/>
        <v>49.459999999999994</v>
      </c>
      <c r="CR97" s="17">
        <f t="shared" si="105"/>
        <v>54.449999999999989</v>
      </c>
      <c r="CS97" s="2" cm="1">
        <f t="array" aca="1" ref="CS97" ca="1">MAX(_xlfn._xlws.FILTER(CL97:CR97,CL97:CR97&lt;BN97))</f>
        <v>28.649999999999991</v>
      </c>
      <c r="CT97" s="2" cm="1">
        <f t="array" aca="1" ref="CT97" ca="1">MIN(_xlfn._xlws.FILTER($CL97:$CR97,$CL97:$CR97&gt;BN97))</f>
        <v>36.559999999999995</v>
      </c>
      <c r="CU97" s="16">
        <f t="shared" ca="1" si="119"/>
        <v>0.27609075043630038</v>
      </c>
      <c r="CV97" s="20">
        <f t="shared" ca="1" si="120"/>
        <v>-0.13804537521815019</v>
      </c>
      <c r="CW97" s="20">
        <f t="shared" ca="1" si="121"/>
        <v>-9.2030250145433465E-2</v>
      </c>
      <c r="CX97" s="20">
        <f t="shared" ca="1" si="122"/>
        <v>-5.5218150087260075E-2</v>
      </c>
      <c r="CY97" s="20">
        <f t="shared" ca="1" si="123"/>
        <v>-3.0676750048477822E-2</v>
      </c>
      <c r="CZ97" s="20">
        <f t="shared" ca="1" si="124"/>
        <v>-1.6240632378605905E-2</v>
      </c>
      <c r="DA97" s="20">
        <f t="shared" ca="1" si="125"/>
        <v>-8.3663863768575868E-3</v>
      </c>
      <c r="DB97" s="20">
        <f t="shared" ca="1" si="126"/>
        <v>-4.247550006712314E-3</v>
      </c>
      <c r="DC97" s="21">
        <f t="shared" ca="1" si="127"/>
        <v>4.247550006712314E-3</v>
      </c>
      <c r="DD97" s="21">
        <f t="shared" ca="1" si="128"/>
        <v>8.3663863768575868E-3</v>
      </c>
      <c r="DE97" s="21">
        <f t="shared" ca="1" si="129"/>
        <v>1.6240632378605905E-2</v>
      </c>
      <c r="DF97" s="21">
        <f t="shared" ca="1" si="130"/>
        <v>3.0676750048477822E-2</v>
      </c>
      <c r="DG97" s="21">
        <f t="shared" ca="1" si="131"/>
        <v>5.5218150087260075E-2</v>
      </c>
      <c r="DH97" s="21">
        <f t="shared" ca="1" si="132"/>
        <v>9.2030250145433465E-2</v>
      </c>
      <c r="DI97" s="21">
        <f t="shared" ca="1" si="133"/>
        <v>0.13804537521815019</v>
      </c>
      <c r="DK97" s="16" cm="1">
        <f t="array" aca="1" ref="DK97" ca="1">MAX(_xlfn._xlws.FILTER(CV97:DI97,CV97:DI97&lt;BT97))</f>
        <v>4.247550006712314E-3</v>
      </c>
      <c r="DL97" s="16" cm="1">
        <f t="array" aca="1" ref="DL97" ca="1">MIN(_xlfn._xlws.FILTER(CV97:DI97,CV97:DI97&gt;BT97))</f>
        <v>8.3663863768575868E-3</v>
      </c>
      <c r="DM97" s="2" cm="1">
        <f t="array" aca="1" ref="DM97" ca="1">_FV(EB97,"Fechamento anterior",TRUE)</f>
        <v>34.880000000000003</v>
      </c>
      <c r="DN97" s="28">
        <f t="shared" ca="1" si="106"/>
        <v>8.2451917500766719E-2</v>
      </c>
      <c r="DO97" s="15">
        <f t="shared" ca="1" si="134"/>
        <v>35.028154544234127</v>
      </c>
      <c r="DP97" s="15">
        <f t="shared" ca="1" si="135"/>
        <v>35.171819556824794</v>
      </c>
      <c r="DQ97" s="9"/>
      <c r="DR97" s="9"/>
      <c r="DS97" s="9"/>
      <c r="DT97" s="89">
        <v>4.1188363701452728E-3</v>
      </c>
      <c r="DU97" s="89">
        <f t="shared" ca="1" si="107"/>
        <v>4.1188363701452728E-3</v>
      </c>
      <c r="DV97" s="72">
        <f t="shared" ca="1" si="108"/>
        <v>0.52525949318555887</v>
      </c>
      <c r="DW97" s="37"/>
      <c r="DX97" s="35">
        <f t="shared" si="118"/>
        <v>0.71869238899545818</v>
      </c>
      <c r="DY97" s="56"/>
      <c r="DZ97" s="56"/>
      <c r="EB97" s="2" t="e" vm="97">
        <v>#VALUE!</v>
      </c>
      <c r="ED97" s="10" cm="1">
        <f t="array" aca="1" ref="ED97" ca="1">_FV(EB97,"Ações em circulação",TRUE)</f>
        <v>12888730000</v>
      </c>
      <c r="EE97" s="18">
        <f>VLOOKUP(BO97,Fundamentus!A:U,5,FALSE)</f>
        <v>0.90500000000000003</v>
      </c>
      <c r="EF97" s="2">
        <f t="shared" ca="1" si="109"/>
        <v>499028838895.02759</v>
      </c>
      <c r="EG97" s="17">
        <v>48805020443.933701</v>
      </c>
      <c r="EH97" s="17">
        <f t="shared" ca="1" si="110"/>
        <v>48805020443.933701</v>
      </c>
      <c r="EJ97" s="16">
        <f t="shared" ca="1" si="97"/>
        <v>0</v>
      </c>
      <c r="EK97" s="32" t="str">
        <f>IF(VLOOKUP(BO97,Fundamentus!A:U,3,FALSE)&lt;15,"Bom",IF(VLOOKUP(BO97,Fundamentus!A:U,3,FALSE)&gt;15,"Ruim","n/a"))</f>
        <v>Bom</v>
      </c>
      <c r="EL97" s="28" t="str">
        <f>IF(VLOOKUP(BO97,Fundamentus!A:U,4,FALSE)&lt;1,"Baixo",IF(VLOOKUP(BO97,Fundamentus!A:U,4,FALSE)&lt;1.5,"Moderado",IF(VLOOKUP(BO97,Fundamentus!A:U,4,FALSE)&gt;1.5,"Alto","n/a")))</f>
        <v>Moderado</v>
      </c>
      <c r="EM97" s="17" t="str">
        <f>IF(VLOOKUP(BO97,Fundamentus!A:U,8,FALSE)&lt;0,"Risco elevado",IF(VLOOKUP(BO97,Fundamentus!A:U,8,FALSE)&lt;1,"Saudável",IF(VLOOKUP(BO97,Fundamentus!A:U,8,FALSE)&lt;3,"Estável",IF(VLOOKUP(BO97,Fundamentus!A:U,8,FALSE)&gt;3,"Alerta","n/a"))))</f>
        <v>Risco elevado</v>
      </c>
      <c r="EN97" s="28" t="str">
        <f t="shared" si="111"/>
        <v>Ruim</v>
      </c>
      <c r="EO97" s="17" t="str">
        <f>IF(VLOOKUP(BO97,Fundamentus!A:U,12,FALSE)&lt;2,"Subvalorizada",IF(VLOOKUP(BO97,Fundamentus!A:U,12,FALSE)&lt;6,"Muita barata",IF(VLOOKUP(BO97,Fundamentus!A:U,12,FALSE)&lt;6,"Barata",IF(VLOOKUP(BO97,Fundamentus!A:U,12,FALSE)&lt;8,"Atrativa",IF(VLOOKUP(BO97,Fundamentus!A:U,12,FALSE)&gt;8,"Supervalorizada","n/a")))))</f>
        <v>Muita barata</v>
      </c>
      <c r="EQ97" s="17" t="str">
        <f>IF(VLOOKUP(BO97,Fundamentus!A:U,17,FALSE)&lt;0.1,"Fraco retorno",IF(VLOOKUP(BO97,Fundamentus!A:U,17,FALSE)&gt;0.1,"Bom retorno","n/a"))</f>
        <v>Bom retorno</v>
      </c>
      <c r="ER97" s="17" t="str">
        <f>IF(VLOOKUP(BO97,Fundamentus!A:U,16,FALSE)&lt;0.1,"Ineficiente",IF(VLOOKUP(BO97,Fundamentus!A:U,16,FALSE)&gt;0.1,"Eficiente","n/a"))</f>
        <v>Eficiente</v>
      </c>
      <c r="ES97" s="33" t="str">
        <f>IF(VLOOKUP(BO97,Fundamentus!A:U,16,FALSE)&lt;0.1,"Oper. Ineficiente",IF(VLOOKUP(BO97,Fundamentus!A:U,16,FALSE)&gt;0.1,"Oper.Eficiente","n/a"))</f>
        <v>Oper.Eficiente</v>
      </c>
      <c r="ET97" s="34">
        <f>VLOOKUP(BO97,Fundamentus!A:U,14,FALSE)</f>
        <v>9.7799999999999998E-2</v>
      </c>
      <c r="EU97" s="17" t="str">
        <f>IF(VLOOKUP(BO97,Fundamentus!A:U,21,FALSE)&lt;0,"Negativo",IF(VLOOKUP(BO97,Fundamentus!A:U,21,FALSE)&lt;0.05,"Fraco",IF(VLOOKUP(BO97,Fundamentus!A:U,21,FALSE)&lt;0.1,"Bom",IF(VLOOKUP(BO97,Fundamentus!A:U,21,FALSE)&gt;0.1,"Muito bom","n/a"))))</f>
        <v>Muito bom</v>
      </c>
      <c r="EW97" s="29" t="str">
        <f>IF(VLOOKUP(BO97,Fundamentus!A:U,15,FALSE)&gt;1,"Bom",IF(VLOOKUP(BO97,Fundamentus!A:U,15,FALSE)&lt;1,"Ruim","n/a"))</f>
        <v>Ruim</v>
      </c>
      <c r="EX97" s="17" t="str">
        <f>IF(VLOOKUP(BO97,Fundamentus!A:U,20,FALSE)&lt;0.5,"Baixa",IF(VLOOKUP(BO97,Fundamentus!A:U,20,FALSE)&lt;1,"Moderada",IF(VLOOKUP(BO97,Fundamentus!A:U,20,FALSE)&lt;2,"Alerta",IF(VLOOKUP(BO97,Fundamentus!A:U,20,FALSE)&gt;2,"Alta","n/a"))))</f>
        <v>Moderada</v>
      </c>
      <c r="EY97" s="10"/>
    </row>
    <row r="98" spans="1:155" s="2" customFormat="1" ht="11.25"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5">
        <v>13.4</v>
      </c>
      <c r="BC98" s="52">
        <v>13.4</v>
      </c>
      <c r="BD98" s="52">
        <v>13.53</v>
      </c>
      <c r="BE98" s="52">
        <v>13.98</v>
      </c>
      <c r="BF98" s="52">
        <v>13.78</v>
      </c>
      <c r="BG98" s="67">
        <v>14.11</v>
      </c>
      <c r="BH98" s="52">
        <v>14.29</v>
      </c>
      <c r="BI98" s="52">
        <v>14.28</v>
      </c>
      <c r="BJ98" s="52">
        <v>14.41</v>
      </c>
      <c r="BK98" s="52">
        <v>13.83</v>
      </c>
      <c r="BL98" s="52">
        <v>13.45</v>
      </c>
      <c r="BM98" s="52">
        <v>13.38</v>
      </c>
      <c r="BN98" s="52" cm="1">
        <f t="array" aca="1" ref="BN98" ca="1">_FV(EB98,"Preço")</f>
        <v>13.38</v>
      </c>
      <c r="BO98" s="69" t="s">
        <v>95</v>
      </c>
      <c r="BP98" s="36" cm="1">
        <f t="array" aca="1" ref="BP98" ca="1">_FV(EB98,"Média de volume",TRUE)</f>
        <v>25478410</v>
      </c>
      <c r="BQ98" s="36">
        <v>4172200</v>
      </c>
      <c r="BR98" s="36" cm="1">
        <f t="array" aca="1" ref="BR98" ca="1">_FV(EB98,"Volume")</f>
        <v>4172200</v>
      </c>
      <c r="BS98" s="24" cm="1">
        <f t="array" aca="1" ref="BS98" ca="1">_FV(EB98,"Beta")</f>
        <v>1.5051000000000001</v>
      </c>
      <c r="BT98" s="71" cm="1">
        <f t="array" aca="1" ref="BT98" ca="1">_FV(EB98,"Variação (%)",TRUE)</f>
        <v>-8.1539999999999998E-3</v>
      </c>
      <c r="BV98" s="17" cm="1">
        <f t="array" aca="1" ref="BV98" ca="1">_FV(EB98,"Baixo")</f>
        <v>13.37</v>
      </c>
      <c r="BW98" s="17" cm="1">
        <f t="array" aca="1" ref="BW98" ca="1">_FV(EB98,"Alto")</f>
        <v>13.56</v>
      </c>
      <c r="BX98" s="24"/>
      <c r="BY98" s="63">
        <f ca="1">SQRT(22.5*(BN98/VLOOKUP(BO98,Fundamentus!A:U,3,FALSE))*(BN98/VLOOKUP(BO98,Fundamentus!A:U,4,FALSE)))</f>
        <v>25.608157080094855</v>
      </c>
      <c r="CA98" s="62">
        <f t="shared" ca="1" si="112"/>
        <v>0</v>
      </c>
      <c r="CB98" s="8"/>
      <c r="CC98" s="61">
        <f t="shared" si="113"/>
        <v>10.31</v>
      </c>
      <c r="CD98" s="61">
        <f t="shared" si="114"/>
        <v>14.41</v>
      </c>
      <c r="CE98" s="61">
        <f t="shared" si="115"/>
        <v>12.175999999999997</v>
      </c>
      <c r="CF98" s="14"/>
      <c r="CG98" s="35">
        <f t="shared" si="98"/>
        <v>12.082886176839573</v>
      </c>
      <c r="CH98" s="15">
        <f t="shared" si="116"/>
        <v>12.900000000000091</v>
      </c>
      <c r="CI98" s="35">
        <f t="shared" si="99"/>
        <v>13.717113823160609</v>
      </c>
      <c r="CK98" s="14"/>
      <c r="CL98" s="17">
        <f t="shared" si="100"/>
        <v>6.9366666666666692</v>
      </c>
      <c r="CM98" s="17">
        <f t="shared" si="101"/>
        <v>8.6233333333333348</v>
      </c>
      <c r="CN98" s="17">
        <f t="shared" si="102"/>
        <v>11.036666666666669</v>
      </c>
      <c r="CO98" s="38">
        <f t="shared" si="117"/>
        <v>12.723333333333334</v>
      </c>
      <c r="CP98" s="17">
        <f t="shared" si="103"/>
        <v>15.136666666666668</v>
      </c>
      <c r="CQ98" s="17">
        <f t="shared" si="104"/>
        <v>16.823333333333334</v>
      </c>
      <c r="CR98" s="17">
        <f t="shared" si="105"/>
        <v>19.236666666666668</v>
      </c>
      <c r="CS98" s="2" cm="1">
        <f t="array" aca="1" ref="CS98" ca="1">MAX(_xlfn._xlws.FILTER(CL98:CR98,CL98:CR98&lt;BN98))</f>
        <v>12.723333333333334</v>
      </c>
      <c r="CT98" s="2" cm="1">
        <f t="array" aca="1" ref="CT98" ca="1">MIN(_xlfn._xlws.FILTER($CL98:$CR98,$CL98:$CR98&gt;BN98))</f>
        <v>15.136666666666668</v>
      </c>
      <c r="CU98" s="16">
        <f t="shared" ca="1" si="119"/>
        <v>0.18967775740110038</v>
      </c>
      <c r="CV98" s="20">
        <f t="shared" ca="1" si="120"/>
        <v>-9.4838878700550189E-2</v>
      </c>
      <c r="CW98" s="20">
        <f t="shared" ca="1" si="121"/>
        <v>-6.3225919133700126E-2</v>
      </c>
      <c r="CX98" s="20">
        <f t="shared" ca="1" si="122"/>
        <v>-3.7935551480220077E-2</v>
      </c>
      <c r="CY98" s="20">
        <f t="shared" ca="1" si="123"/>
        <v>-2.1075306377900043E-2</v>
      </c>
      <c r="CZ98" s="20">
        <f t="shared" ca="1" si="124"/>
        <v>-1.1157515141241199E-2</v>
      </c>
      <c r="DA98" s="20">
        <f t="shared" ca="1" si="125"/>
        <v>-5.7478108303363751E-3</v>
      </c>
      <c r="DB98" s="20">
        <f t="shared" ca="1" si="126"/>
        <v>-2.9181193446323134E-3</v>
      </c>
      <c r="DC98" s="21">
        <f t="shared" ca="1" si="127"/>
        <v>2.9181193446323134E-3</v>
      </c>
      <c r="DD98" s="21">
        <f t="shared" ca="1" si="128"/>
        <v>5.7478108303363751E-3</v>
      </c>
      <c r="DE98" s="21">
        <f t="shared" ca="1" si="129"/>
        <v>1.1157515141241199E-2</v>
      </c>
      <c r="DF98" s="21">
        <f t="shared" ca="1" si="130"/>
        <v>2.1075306377900043E-2</v>
      </c>
      <c r="DG98" s="21">
        <f t="shared" ca="1" si="131"/>
        <v>3.7935551480220077E-2</v>
      </c>
      <c r="DH98" s="21">
        <f t="shared" ca="1" si="132"/>
        <v>6.3225919133700126E-2</v>
      </c>
      <c r="DI98" s="21">
        <f t="shared" ca="1" si="133"/>
        <v>9.4838878700550189E-2</v>
      </c>
      <c r="DK98" s="16" cm="1">
        <f t="array" aca="1" ref="DK98" ca="1">MAX(_xlfn._xlws.FILTER(CV98:DI98,CV98:DI98&lt;BT98))</f>
        <v>-1.1157515141241199E-2</v>
      </c>
      <c r="DL98" s="16" cm="1">
        <f t="array" aca="1" ref="DL98" ca="1">MIN(_xlfn._xlws.FILTER(CV98:DI98,CV98:DI98&gt;BT98))</f>
        <v>-5.7478108303363751E-3</v>
      </c>
      <c r="DM98" s="2" cm="1">
        <f t="array" aca="1" ref="DM98" ca="1">_FV(EB98,"Fechamento anterior",TRUE)</f>
        <v>13.49</v>
      </c>
      <c r="DN98" s="28">
        <f t="shared" ca="1" si="106"/>
        <v>0.55517393946406679</v>
      </c>
      <c r="DO98" s="15">
        <f t="shared" ca="1" si="134"/>
        <v>13.339485120744657</v>
      </c>
      <c r="DP98" s="15">
        <f t="shared" ca="1" si="135"/>
        <v>13.412462031898762</v>
      </c>
      <c r="DQ98" s="9"/>
      <c r="DR98" s="9"/>
      <c r="DS98" s="9"/>
      <c r="DT98" s="89">
        <v>5.409704310904824E-3</v>
      </c>
      <c r="DU98" s="89">
        <f t="shared" ca="1" si="107"/>
        <v>5.409704310904824E-3</v>
      </c>
      <c r="DV98" s="72">
        <f t="shared" ca="1" si="108"/>
        <v>0.5874334595678673</v>
      </c>
      <c r="DW98" s="37"/>
      <c r="DX98" s="35">
        <f t="shared" si="118"/>
        <v>0.40855691158025953</v>
      </c>
      <c r="DY98" s="56"/>
      <c r="DZ98" s="56"/>
      <c r="EB98" s="2" t="e" vm="98">
        <v>#VALUE!</v>
      </c>
      <c r="ED98" s="10" cm="1">
        <f t="array" aca="1" ref="ED98" ca="1">_FV(EB98,"Ações em circulação",TRUE)</f>
        <v>10592010000</v>
      </c>
      <c r="EE98" s="18">
        <f>VLOOKUP(BO98,Fundamentus!A:U,5,FALSE)</f>
        <v>0</v>
      </c>
      <c r="EF98" s="2" t="e">
        <f t="shared" ca="1" si="109"/>
        <v>#DIV/0!</v>
      </c>
      <c r="EG98" s="17" t="e">
        <v>#DIV/0!</v>
      </c>
      <c r="EH98" s="17" t="e">
        <f t="shared" ca="1" si="110"/>
        <v>#DIV/0!</v>
      </c>
      <c r="EJ98" s="16" t="e">
        <f t="shared" ca="1" si="97"/>
        <v>#DIV/0!</v>
      </c>
      <c r="EK98" s="32" t="str">
        <f>IF(VLOOKUP(BO98,Fundamentus!A:U,3,FALSE)&lt;15,"Bom",IF(VLOOKUP(BO98,Fundamentus!A:U,3,FALSE)&gt;15,"Ruim","n/a"))</f>
        <v>Bom</v>
      </c>
      <c r="EL98" s="28" t="str">
        <f>IF(VLOOKUP(BO98,Fundamentus!A:U,4,FALSE)&lt;1,"Baixo",IF(VLOOKUP(BO98,Fundamentus!A:U,4,FALSE)&lt;1.5,"Moderado",IF(VLOOKUP(BO98,Fundamentus!A:U,4,FALSE)&gt;1.5,"Alto","n/a")))</f>
        <v>Baixo</v>
      </c>
      <c r="EM98" s="17" t="str">
        <f>IF(VLOOKUP(BO98,Fundamentus!A:U,8,FALSE)&lt;0,"Risco elevado",IF(VLOOKUP(BO98,Fundamentus!A:U,8,FALSE)&lt;1,"Saudável",IF(VLOOKUP(BO98,Fundamentus!A:U,8,FALSE)&lt;3,"Estável",IF(VLOOKUP(BO98,Fundamentus!A:U,8,FALSE)&gt;3,"Alerta","n/a"))))</f>
        <v>Saudável</v>
      </c>
      <c r="EN98" s="28" t="str">
        <f t="shared" si="111"/>
        <v>Ruim</v>
      </c>
      <c r="EO98" s="17" t="str">
        <f>IF(VLOOKUP(BO98,Fundamentus!A:U,12,FALSE)&lt;2,"Subvalorizada",IF(VLOOKUP(BO98,Fundamentus!A:U,12,FALSE)&lt;6,"Muita barata",IF(VLOOKUP(BO98,Fundamentus!A:U,12,FALSE)&lt;6,"Barata",IF(VLOOKUP(BO98,Fundamentus!A:U,12,FALSE)&lt;8,"Atrativa",IF(VLOOKUP(BO98,Fundamentus!A:U,12,FALSE)&gt;8,"Supervalorizada","n/a")))))</f>
        <v>Subvalorizada</v>
      </c>
      <c r="EQ98" s="17" t="str">
        <f>IF(VLOOKUP(BO98,Fundamentus!A:U,17,FALSE)&lt;0.1,"Fraco retorno",IF(VLOOKUP(BO98,Fundamentus!A:U,17,FALSE)&gt;0.1,"Bom retorno","n/a"))</f>
        <v>Bom retorno</v>
      </c>
      <c r="ER98" s="17" t="str">
        <f>IF(VLOOKUP(BO98,Fundamentus!A:U,16,FALSE)&lt;0.1,"Ineficiente",IF(VLOOKUP(BO98,Fundamentus!A:U,16,FALSE)&gt;0.1,"Eficiente","n/a"))</f>
        <v>Ineficiente</v>
      </c>
      <c r="ES98" s="33" t="str">
        <f>IF(VLOOKUP(BO98,Fundamentus!A:U,16,FALSE)&lt;0.1,"Oper. Ineficiente",IF(VLOOKUP(BO98,Fundamentus!A:U,16,FALSE)&gt;0.1,"Oper.Eficiente","n/a"))</f>
        <v>Oper. Ineficiente</v>
      </c>
      <c r="ET98" s="34">
        <f>VLOOKUP(BO98,Fundamentus!A:U,14,FALSE)</f>
        <v>0</v>
      </c>
      <c r="EU98" s="17" t="str">
        <f>IF(VLOOKUP(BO98,Fundamentus!A:U,21,FALSE)&lt;0,"Negativo",IF(VLOOKUP(BO98,Fundamentus!A:U,21,FALSE)&lt;0.05,"Fraco",IF(VLOOKUP(BO98,Fundamentus!A:U,21,FALSE)&lt;0.1,"Bom",IF(VLOOKUP(BO98,Fundamentus!A:U,21,FALSE)&gt;0.1,"Muito bom","n/a"))))</f>
        <v>Negativo</v>
      </c>
      <c r="EW98" s="29" t="str">
        <f>IF(VLOOKUP(BO98,Fundamentus!A:U,15,FALSE)&gt;1,"Bom",IF(VLOOKUP(BO98,Fundamentus!A:U,15,FALSE)&lt;1,"Ruim","n/a"))</f>
        <v>Ruim</v>
      </c>
      <c r="EX98" s="17" t="str">
        <f>IF(VLOOKUP(BO98,Fundamentus!A:U,20,FALSE)&lt;0.5,"Baixa",IF(VLOOKUP(BO98,Fundamentus!A:U,20,FALSE)&lt;1,"Moderada",IF(VLOOKUP(BO98,Fundamentus!A:U,20,FALSE)&lt;2,"Alerta",IF(VLOOKUP(BO98,Fundamentus!A:U,20,FALSE)&gt;2,"Alta","n/a"))))</f>
        <v>Baixa</v>
      </c>
      <c r="EY98" s="10"/>
    </row>
    <row r="99" spans="1:155" s="2" customFormat="1" ht="11.25"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5">
        <v>6.79</v>
      </c>
      <c r="BC99" s="52">
        <v>7.18</v>
      </c>
      <c r="BD99" s="52">
        <v>6.95</v>
      </c>
      <c r="BE99" s="52">
        <v>7.25</v>
      </c>
      <c r="BF99" s="52">
        <v>7.33</v>
      </c>
      <c r="BG99" s="67">
        <v>7.58</v>
      </c>
      <c r="BH99" s="52">
        <v>7.57</v>
      </c>
      <c r="BI99" s="52">
        <v>7.89</v>
      </c>
      <c r="BJ99" s="52">
        <v>8.15</v>
      </c>
      <c r="BK99" s="52">
        <v>8.0299999999999994</v>
      </c>
      <c r="BL99" s="52">
        <v>8.15</v>
      </c>
      <c r="BM99" s="52">
        <v>8.41</v>
      </c>
      <c r="BN99" s="52" cm="1">
        <f t="array" aca="1" ref="BN99" ca="1">_FV(EB99,"Preço")</f>
        <v>8.41</v>
      </c>
      <c r="BO99" s="69" t="s">
        <v>96</v>
      </c>
      <c r="BP99" s="36" cm="1">
        <f t="array" aca="1" ref="BP99" ca="1">_FV(EB99,"Média de volume",TRUE)</f>
        <v>7143500</v>
      </c>
      <c r="BQ99" s="36">
        <v>8149300</v>
      </c>
      <c r="BR99" s="36" cm="1">
        <f t="array" aca="1" ref="BR99" ca="1">_FV(EB99,"Volume")</f>
        <v>8149300</v>
      </c>
      <c r="BS99" s="24" cm="1">
        <f t="array" aca="1" ref="BS99" ca="1">_FV(EB99,"Beta")</f>
        <v>0.80769999999999997</v>
      </c>
      <c r="BT99" s="71" cm="1">
        <f t="array" aca="1" ref="BT99" ca="1">_FV(EB99,"Variação (%)",TRUE)</f>
        <v>1.4475E-2</v>
      </c>
      <c r="BV99" s="17" cm="1">
        <f t="array" aca="1" ref="BV99" ca="1">_FV(EB99,"Baixo")</f>
        <v>8.2799999999999994</v>
      </c>
      <c r="BW99" s="17" cm="1">
        <f t="array" aca="1" ref="BW99" ca="1">_FV(EB99,"Alto")</f>
        <v>8.49</v>
      </c>
      <c r="BX99" s="24"/>
      <c r="BY99" s="63">
        <f ca="1">SQRT(22.5*(BN99/VLOOKUP(BO99,Fundamentus!A:U,3,FALSE))*(BN99/VLOOKUP(BO99,Fundamentus!A:U,4,FALSE)))</f>
        <v>8.8846841028335319</v>
      </c>
      <c r="CA99" s="62">
        <f t="shared" ca="1" si="112"/>
        <v>0</v>
      </c>
      <c r="CB99" s="8"/>
      <c r="CC99" s="61">
        <f t="shared" si="113"/>
        <v>6.02</v>
      </c>
      <c r="CD99" s="61">
        <f t="shared" si="114"/>
        <v>9.56</v>
      </c>
      <c r="CE99" s="61">
        <f t="shared" si="115"/>
        <v>7.4505384615384607</v>
      </c>
      <c r="CF99" s="14"/>
      <c r="CG99" s="35">
        <f t="shared" si="98"/>
        <v>8.1323311324616707</v>
      </c>
      <c r="CH99" s="15">
        <f t="shared" si="116"/>
        <v>8.4099999999999682</v>
      </c>
      <c r="CI99" s="35">
        <f t="shared" si="99"/>
        <v>8.6876688675382656</v>
      </c>
      <c r="CK99" s="14"/>
      <c r="CL99" s="17">
        <f t="shared" si="100"/>
        <v>2.7199999999999989</v>
      </c>
      <c r="CM99" s="17">
        <f t="shared" si="101"/>
        <v>4.3699999999999992</v>
      </c>
      <c r="CN99" s="17">
        <f t="shared" si="102"/>
        <v>6.26</v>
      </c>
      <c r="CO99" s="38">
        <f t="shared" si="117"/>
        <v>7.91</v>
      </c>
      <c r="CP99" s="17">
        <f t="shared" si="103"/>
        <v>9.8000000000000007</v>
      </c>
      <c r="CQ99" s="17">
        <f t="shared" si="104"/>
        <v>11.450000000000001</v>
      </c>
      <c r="CR99" s="17">
        <f t="shared" si="105"/>
        <v>13.340000000000002</v>
      </c>
      <c r="CS99" s="2" cm="1">
        <f t="array" aca="1" ref="CS99" ca="1">MAX(_xlfn._xlws.FILTER(CL99:CR99,CL99:CR99&lt;BN99))</f>
        <v>7.91</v>
      </c>
      <c r="CT99" s="2" cm="1">
        <f t="array" aca="1" ref="CT99" ca="1">MIN(_xlfn._xlws.FILTER($CL99:$CR99,$CL99:$CR99&gt;BN99))</f>
        <v>9.8000000000000007</v>
      </c>
      <c r="CU99" s="16">
        <f t="shared" ca="1" si="119"/>
        <v>0.23893805309734528</v>
      </c>
      <c r="CV99" s="20">
        <f t="shared" ca="1" si="120"/>
        <v>-0.11946902654867264</v>
      </c>
      <c r="CW99" s="20">
        <f t="shared" ca="1" si="121"/>
        <v>-7.9646017699115099E-2</v>
      </c>
      <c r="CX99" s="20">
        <f t="shared" ca="1" si="122"/>
        <v>-4.7787610619469054E-2</v>
      </c>
      <c r="CY99" s="20">
        <f t="shared" ca="1" si="123"/>
        <v>-2.6548672566371698E-2</v>
      </c>
      <c r="CZ99" s="20">
        <f t="shared" ca="1" si="124"/>
        <v>-1.4055179593961487E-2</v>
      </c>
      <c r="DA99" s="20">
        <f t="shared" ca="1" si="125"/>
        <v>-7.2405470635559174E-3</v>
      </c>
      <c r="DB99" s="20">
        <f t="shared" ca="1" si="126"/>
        <v>-3.6759700476514659E-3</v>
      </c>
      <c r="DC99" s="21">
        <f t="shared" ca="1" si="127"/>
        <v>3.6759700476514659E-3</v>
      </c>
      <c r="DD99" s="21">
        <f t="shared" ca="1" si="128"/>
        <v>7.2405470635559174E-3</v>
      </c>
      <c r="DE99" s="21">
        <f t="shared" ca="1" si="129"/>
        <v>1.4055179593961487E-2</v>
      </c>
      <c r="DF99" s="21">
        <f t="shared" ca="1" si="130"/>
        <v>2.6548672566371698E-2</v>
      </c>
      <c r="DG99" s="21">
        <f t="shared" ca="1" si="131"/>
        <v>4.7787610619469054E-2</v>
      </c>
      <c r="DH99" s="21">
        <f t="shared" ca="1" si="132"/>
        <v>7.9646017699115099E-2</v>
      </c>
      <c r="DI99" s="21">
        <f t="shared" ca="1" si="133"/>
        <v>0.11946902654867264</v>
      </c>
      <c r="DK99" s="16" cm="1">
        <f t="array" aca="1" ref="DK99" ca="1">MAX(_xlfn._xlws.FILTER(CV99:DI99,CV99:DI99&lt;BT99))</f>
        <v>1.4055179593961487E-2</v>
      </c>
      <c r="DL99" s="16" cm="1">
        <f t="array" aca="1" ref="DL99" ca="1">MIN(_xlfn._xlws.FILTER(CV99:DI99,CV99:DI99&gt;BT99))</f>
        <v>2.6548672566371698E-2</v>
      </c>
      <c r="DM99" s="2" cm="1">
        <f t="array" aca="1" ref="DM99" ca="1">_FV(EB99,"Fechamento anterior",TRUE)</f>
        <v>8.2899999999999991</v>
      </c>
      <c r="DN99" s="28">
        <f t="shared" ca="1" si="106"/>
        <v>3.3624849215939737E-2</v>
      </c>
      <c r="DO99" s="15">
        <f t="shared" ca="1" si="134"/>
        <v>8.406517438833939</v>
      </c>
      <c r="DP99" s="15">
        <f t="shared" ca="1" si="135"/>
        <v>8.5100884955752214</v>
      </c>
      <c r="DQ99" s="9"/>
      <c r="DR99" s="9"/>
      <c r="DS99" s="9"/>
      <c r="DT99" s="89">
        <v>1.2493492972410212E-2</v>
      </c>
      <c r="DU99" s="89">
        <f t="shared" ca="1" si="107"/>
        <v>1.2493492972410212E-2</v>
      </c>
      <c r="DV99" s="72">
        <f t="shared" ca="1" si="108"/>
        <v>1.1515307204828947E-13</v>
      </c>
      <c r="DW99" s="37"/>
      <c r="DX99" s="35">
        <f t="shared" si="118"/>
        <v>0.13883443376914842</v>
      </c>
      <c r="DY99" s="56"/>
      <c r="DZ99" s="56"/>
      <c r="EB99" s="2" t="e" vm="99">
        <v>#VALUE!</v>
      </c>
      <c r="ED99" s="10" cm="1">
        <f t="array" aca="1" ref="ED99" ca="1">_FV(EB99,"Ações em circulação",TRUE)</f>
        <v>1136271000</v>
      </c>
      <c r="EE99" s="18">
        <f>VLOOKUP(BO99,Fundamentus!A:U,5,FALSE)</f>
        <v>1.1040000000000001</v>
      </c>
      <c r="EF99" s="2">
        <f t="shared" ca="1" si="109"/>
        <v>8655832527.173912</v>
      </c>
      <c r="EG99" s="17">
        <v>1153822475.8722825</v>
      </c>
      <c r="EH99" s="17">
        <f t="shared" ca="1" si="110"/>
        <v>1153822475.8722825</v>
      </c>
      <c r="EJ99" s="16">
        <f t="shared" ca="1" si="97"/>
        <v>0</v>
      </c>
      <c r="EK99" s="32" t="str">
        <f>IF(VLOOKUP(BO99,Fundamentus!A:U,3,FALSE)&lt;15,"Bom",IF(VLOOKUP(BO99,Fundamentus!A:U,3,FALSE)&gt;15,"Ruim","n/a"))</f>
        <v>Bom</v>
      </c>
      <c r="EL99" s="28" t="str">
        <f>IF(VLOOKUP(BO99,Fundamentus!A:U,4,FALSE)&lt;1,"Baixo",IF(VLOOKUP(BO99,Fundamentus!A:U,4,FALSE)&lt;1.5,"Moderado",IF(VLOOKUP(BO99,Fundamentus!A:U,4,FALSE)&gt;1.5,"Alto","n/a")))</f>
        <v>Alto</v>
      </c>
      <c r="EM99" s="17" t="str">
        <f>IF(VLOOKUP(BO99,Fundamentus!A:U,8,FALSE)&lt;0,"Risco elevado",IF(VLOOKUP(BO99,Fundamentus!A:U,8,FALSE)&lt;1,"Saudável",IF(VLOOKUP(BO99,Fundamentus!A:U,8,FALSE)&lt;3,"Estável",IF(VLOOKUP(BO99,Fundamentus!A:U,8,FALSE)&gt;3,"Alerta","n/a"))))</f>
        <v>Alerta</v>
      </c>
      <c r="EN99" s="28" t="str">
        <f t="shared" si="111"/>
        <v>Bom</v>
      </c>
      <c r="EO99" s="17" t="str">
        <f>IF(VLOOKUP(BO99,Fundamentus!A:U,12,FALSE)&lt;2,"Subvalorizada",IF(VLOOKUP(BO99,Fundamentus!A:U,12,FALSE)&lt;6,"Muita barata",IF(VLOOKUP(BO99,Fundamentus!A:U,12,FALSE)&lt;6,"Barata",IF(VLOOKUP(BO99,Fundamentus!A:U,12,FALSE)&lt;8,"Atrativa",IF(VLOOKUP(BO99,Fundamentus!A:U,12,FALSE)&gt;8,"Supervalorizada","n/a")))))</f>
        <v>Atrativa</v>
      </c>
      <c r="EQ99" s="17" t="str">
        <f>IF(VLOOKUP(BO99,Fundamentus!A:U,17,FALSE)&lt;0.1,"Fraco retorno",IF(VLOOKUP(BO99,Fundamentus!A:U,17,FALSE)&gt;0.1,"Bom retorno","n/a"))</f>
        <v>Bom retorno</v>
      </c>
      <c r="ER99" s="17" t="str">
        <f>IF(VLOOKUP(BO99,Fundamentus!A:U,16,FALSE)&lt;0.1,"Ineficiente",IF(VLOOKUP(BO99,Fundamentus!A:U,16,FALSE)&gt;0.1,"Eficiente","n/a"))</f>
        <v>Eficiente</v>
      </c>
      <c r="ES99" s="33" t="str">
        <f>IF(VLOOKUP(BO99,Fundamentus!A:U,16,FALSE)&lt;0.1,"Oper. Ineficiente",IF(VLOOKUP(BO99,Fundamentus!A:U,16,FALSE)&gt;0.1,"Oper.Eficiente","n/a"))</f>
        <v>Oper.Eficiente</v>
      </c>
      <c r="ET99" s="34">
        <f>VLOOKUP(BO99,Fundamentus!A:U,14,FALSE)</f>
        <v>0.1333</v>
      </c>
      <c r="EU99" s="17" t="str">
        <f>IF(VLOOKUP(BO99,Fundamentus!A:U,21,FALSE)&lt;0,"Negativo",IF(VLOOKUP(BO99,Fundamentus!A:U,21,FALSE)&lt;0.05,"Fraco",IF(VLOOKUP(BO99,Fundamentus!A:U,21,FALSE)&lt;0.1,"Bom",IF(VLOOKUP(BO99,Fundamentus!A:U,21,FALSE)&gt;0.1,"Muito bom","n/a"))))</f>
        <v>Muito bom</v>
      </c>
      <c r="EW99" s="29" t="str">
        <f>IF(VLOOKUP(BO99,Fundamentus!A:U,15,FALSE)&gt;1,"Bom",IF(VLOOKUP(BO99,Fundamentus!A:U,15,FALSE)&lt;1,"Ruim","n/a"))</f>
        <v>Bom</v>
      </c>
      <c r="EX99" s="17" t="str">
        <f>IF(VLOOKUP(BO99,Fundamentus!A:U,20,FALSE)&lt;0.5,"Baixa",IF(VLOOKUP(BO99,Fundamentus!A:U,20,FALSE)&lt;1,"Moderada",IF(VLOOKUP(BO99,Fundamentus!A:U,20,FALSE)&lt;2,"Alerta",IF(VLOOKUP(BO99,Fundamentus!A:U,20,FALSE)&gt;2,"Alta","n/a"))))</f>
        <v>Moderada</v>
      </c>
      <c r="EY99" s="10"/>
    </row>
    <row r="100" spans="1:155" s="2" customFormat="1" ht="11.25"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5">
        <v>52.74</v>
      </c>
      <c r="BC100" s="52">
        <v>55.45</v>
      </c>
      <c r="BD100" s="52">
        <v>54.32</v>
      </c>
      <c r="BE100" s="52">
        <v>52.1</v>
      </c>
      <c r="BF100" s="52">
        <v>52.98</v>
      </c>
      <c r="BG100" s="67">
        <v>52.13</v>
      </c>
      <c r="BH100" s="52">
        <v>49.92</v>
      </c>
      <c r="BI100" s="52">
        <v>53</v>
      </c>
      <c r="BJ100" s="52">
        <v>55.2</v>
      </c>
      <c r="BK100" s="52">
        <v>56</v>
      </c>
      <c r="BL100" s="52">
        <v>54.56</v>
      </c>
      <c r="BM100" s="52">
        <v>55.7</v>
      </c>
      <c r="BN100" s="52" cm="1">
        <f t="array" aca="1" ref="BN100" ca="1">_FV(EB100,"Preço")</f>
        <v>55.7</v>
      </c>
      <c r="BO100" s="69" t="s">
        <v>97</v>
      </c>
      <c r="BP100" s="36" cm="1">
        <f t="array" aca="1" ref="BP100" ca="1">_FV(EB100,"Média de volume",TRUE)</f>
        <v>25289060</v>
      </c>
      <c r="BQ100" s="36">
        <v>21904100</v>
      </c>
      <c r="BR100" s="36" cm="1">
        <f t="array" aca="1" ref="BR100" ca="1">_FV(EB100,"Volume")</f>
        <v>21904100</v>
      </c>
      <c r="BS100" s="24" cm="1">
        <f t="array" aca="1" ref="BS100" ca="1">_FV(EB100,"Beta")</f>
        <v>0.76680000000000004</v>
      </c>
      <c r="BT100" s="71" cm="1">
        <f t="array" aca="1" ref="BT100" ca="1">_FV(EB100,"Variação (%)",TRUE)</f>
        <v>-1.4681999999999999E-2</v>
      </c>
      <c r="BV100" s="17" cm="1">
        <f t="array" aca="1" ref="BV100" ca="1">_FV(EB100,"Baixo")</f>
        <v>55.27</v>
      </c>
      <c r="BW100" s="17" cm="1">
        <f t="array" aca="1" ref="BW100" ca="1">_FV(EB100,"Alto")</f>
        <v>56.28</v>
      </c>
      <c r="BX100" s="24"/>
      <c r="BY100" s="63">
        <f ca="1">SQRT(22.5*(BN100/VLOOKUP(BO100,Fundamentus!A:U,3,FALSE))*(BN100/VLOOKUP(BO100,Fundamentus!A:U,4,FALSE)))</f>
        <v>80.841884856502489</v>
      </c>
      <c r="CA100" s="62">
        <f t="shared" ca="1" si="112"/>
        <v>0</v>
      </c>
      <c r="CB100" s="8"/>
      <c r="CC100" s="61">
        <f t="shared" si="113"/>
        <v>49.92</v>
      </c>
      <c r="CD100" s="61">
        <f t="shared" si="114"/>
        <v>66.180000000000007</v>
      </c>
      <c r="CE100" s="61">
        <f t="shared" si="115"/>
        <v>57.468307692307668</v>
      </c>
      <c r="CF100" s="14"/>
      <c r="CG100" s="35">
        <f t="shared" si="98"/>
        <v>54.288807991231607</v>
      </c>
      <c r="CH100" s="15">
        <f t="shared" si="116"/>
        <v>55.379999999999995</v>
      </c>
      <c r="CI100" s="35">
        <f t="shared" si="99"/>
        <v>56.471192008768384</v>
      </c>
      <c r="CK100" s="14"/>
      <c r="CL100" s="17">
        <f t="shared" si="100"/>
        <v>31.333333333333343</v>
      </c>
      <c r="CM100" s="17">
        <f t="shared" si="101"/>
        <v>40.626666666666672</v>
      </c>
      <c r="CN100" s="17">
        <f t="shared" si="102"/>
        <v>47.593333333333348</v>
      </c>
      <c r="CO100" s="38">
        <f t="shared" si="117"/>
        <v>56.886666666666677</v>
      </c>
      <c r="CP100" s="17">
        <f t="shared" si="103"/>
        <v>63.853333333333353</v>
      </c>
      <c r="CQ100" s="17">
        <f t="shared" si="104"/>
        <v>73.146666666666675</v>
      </c>
      <c r="CR100" s="17">
        <f t="shared" si="105"/>
        <v>80.113333333333358</v>
      </c>
      <c r="CS100" s="2" cm="1">
        <f t="array" aca="1" ref="CS100" ca="1">MAX(_xlfn._xlws.FILTER(CL100:CR100,CL100:CR100&lt;BN100))</f>
        <v>47.593333333333348</v>
      </c>
      <c r="CT100" s="2" cm="1">
        <f t="array" aca="1" ref="CT100" ca="1">MIN(_xlfn._xlws.FILTER($CL100:$CR100,$CL100:$CR100&gt;BN100))</f>
        <v>56.886666666666677</v>
      </c>
      <c r="CU100" s="16">
        <f t="shared" ca="1" si="119"/>
        <v>0.19526544333940321</v>
      </c>
      <c r="CV100" s="20">
        <f t="shared" ca="1" si="120"/>
        <v>-9.7632721669701605E-2</v>
      </c>
      <c r="CW100" s="20">
        <f t="shared" ca="1" si="121"/>
        <v>-6.5088481113134408E-2</v>
      </c>
      <c r="CX100" s="20">
        <f t="shared" ca="1" si="122"/>
        <v>-3.9053088667880639E-2</v>
      </c>
      <c r="CY100" s="20">
        <f t="shared" ca="1" si="123"/>
        <v>-2.1696160371044802E-2</v>
      </c>
      <c r="CZ100" s="20">
        <f t="shared" ca="1" si="124"/>
        <v>-1.148620254937666E-2</v>
      </c>
      <c r="DA100" s="20">
        <f t="shared" ca="1" si="125"/>
        <v>-5.917134646648582E-3</v>
      </c>
      <c r="DB100" s="20">
        <f t="shared" ca="1" si="126"/>
        <v>-3.0040837436831262E-3</v>
      </c>
      <c r="DC100" s="21">
        <f t="shared" ca="1" si="127"/>
        <v>3.0040837436831262E-3</v>
      </c>
      <c r="DD100" s="21">
        <f t="shared" ca="1" si="128"/>
        <v>5.917134646648582E-3</v>
      </c>
      <c r="DE100" s="21">
        <f t="shared" ca="1" si="129"/>
        <v>1.148620254937666E-2</v>
      </c>
      <c r="DF100" s="21">
        <f t="shared" ca="1" si="130"/>
        <v>2.1696160371044802E-2</v>
      </c>
      <c r="DG100" s="21">
        <f t="shared" ca="1" si="131"/>
        <v>3.9053088667880639E-2</v>
      </c>
      <c r="DH100" s="21">
        <f t="shared" ca="1" si="132"/>
        <v>6.5088481113134408E-2</v>
      </c>
      <c r="DI100" s="21">
        <f t="shared" ca="1" si="133"/>
        <v>9.7632721669701605E-2</v>
      </c>
      <c r="DK100" s="16" cm="1">
        <f t="array" aca="1" ref="DK100" ca="1">MAX(_xlfn._xlws.FILTER(CV100:DI100,CV100:DI100&lt;BT100))</f>
        <v>-2.1696160371044802E-2</v>
      </c>
      <c r="DL100" s="16" cm="1">
        <f t="array" aca="1" ref="DL100" ca="1">MIN(_xlfn._xlws.FILTER(CV100:DI100,CV100:DI100&gt;BT100))</f>
        <v>-1.148620254937666E-2</v>
      </c>
      <c r="DM100" s="2" cm="1">
        <f t="array" aca="1" ref="DM100" ca="1">_FV(EB100,"Fechamento anterior",TRUE)</f>
        <v>56.53</v>
      </c>
      <c r="DN100" s="28">
        <f t="shared" ca="1" si="106"/>
        <v>0.68694611753742219</v>
      </c>
      <c r="DO100" s="15">
        <f t="shared" ca="1" si="134"/>
        <v>55.303516054224836</v>
      </c>
      <c r="DP100" s="15">
        <f t="shared" ca="1" si="135"/>
        <v>55.880684969883738</v>
      </c>
      <c r="DQ100" s="9"/>
      <c r="DR100" s="9"/>
      <c r="DS100" s="9"/>
      <c r="DT100" s="89">
        <v>1.0209957821668142E-2</v>
      </c>
      <c r="DU100" s="89">
        <f t="shared" ca="1" si="107"/>
        <v>1.0209957821668142E-2</v>
      </c>
      <c r="DV100" s="72">
        <f t="shared" ca="1" si="108"/>
        <v>0.29325727958838932</v>
      </c>
      <c r="DW100" s="37"/>
      <c r="DX100" s="35">
        <f t="shared" si="118"/>
        <v>0.54559600438419575</v>
      </c>
      <c r="DY100" s="56"/>
      <c r="DZ100" s="56"/>
      <c r="EB100" s="2" t="e" vm="100">
        <v>#VALUE!</v>
      </c>
      <c r="ED100" s="10" cm="1">
        <f t="array" aca="1" ref="ED100" ca="1">_FV(EB100,"Ações em circulação",TRUE)</f>
        <v>4539008000</v>
      </c>
      <c r="EE100" s="18">
        <f>VLOOKUP(BO100,Fundamentus!A:U,5,FALSE)</f>
        <v>1.232</v>
      </c>
      <c r="EF100" s="2">
        <f t="shared" ca="1" si="109"/>
        <v>205213267532.46753</v>
      </c>
      <c r="EG100" s="17">
        <v>29366018583.896103</v>
      </c>
      <c r="EH100" s="17">
        <f t="shared" ca="1" si="110"/>
        <v>29366018583.896103</v>
      </c>
      <c r="EJ100" s="16">
        <f t="shared" ca="1" si="97"/>
        <v>0</v>
      </c>
      <c r="EK100" s="32" t="str">
        <f>IF(VLOOKUP(BO100,Fundamentus!A:U,3,FALSE)&lt;15,"Bom",IF(VLOOKUP(BO100,Fundamentus!A:U,3,FALSE)&gt;15,"Ruim","n/a"))</f>
        <v>Bom</v>
      </c>
      <c r="EL100" s="28" t="str">
        <f>IF(VLOOKUP(BO100,Fundamentus!A:U,4,FALSE)&lt;1,"Baixo",IF(VLOOKUP(BO100,Fundamentus!A:U,4,FALSE)&lt;1.5,"Moderado",IF(VLOOKUP(BO100,Fundamentus!A:U,4,FALSE)&gt;1.5,"Alto","n/a")))</f>
        <v>Moderado</v>
      </c>
      <c r="EM100" s="17" t="str">
        <f>IF(VLOOKUP(BO100,Fundamentus!A:U,8,FALSE)&lt;0,"Risco elevado",IF(VLOOKUP(BO100,Fundamentus!A:U,8,FALSE)&lt;1,"Saudável",IF(VLOOKUP(BO100,Fundamentus!A:U,8,FALSE)&lt;3,"Estável",IF(VLOOKUP(BO100,Fundamentus!A:U,8,FALSE)&gt;3,"Alerta","n/a"))))</f>
        <v>Alerta</v>
      </c>
      <c r="EN100" s="28" t="str">
        <f t="shared" si="111"/>
        <v>Bom</v>
      </c>
      <c r="EO100" s="17" t="str">
        <f>IF(VLOOKUP(BO100,Fundamentus!A:U,12,FALSE)&lt;2,"Subvalorizada",IF(VLOOKUP(BO100,Fundamentus!A:U,12,FALSE)&lt;6,"Muita barata",IF(VLOOKUP(BO100,Fundamentus!A:U,12,FALSE)&lt;6,"Barata",IF(VLOOKUP(BO100,Fundamentus!A:U,12,FALSE)&lt;8,"Atrativa",IF(VLOOKUP(BO100,Fundamentus!A:U,12,FALSE)&gt;8,"Supervalorizada","n/a")))))</f>
        <v>Muita barata</v>
      </c>
      <c r="EQ100" s="17" t="str">
        <f>IF(VLOOKUP(BO100,Fundamentus!A:U,17,FALSE)&lt;0.1,"Fraco retorno",IF(VLOOKUP(BO100,Fundamentus!A:U,17,FALSE)&gt;0.1,"Bom retorno","n/a"))</f>
        <v>Bom retorno</v>
      </c>
      <c r="ER100" s="17" t="str">
        <f>IF(VLOOKUP(BO100,Fundamentus!A:U,16,FALSE)&lt;0.1,"Ineficiente",IF(VLOOKUP(BO100,Fundamentus!A:U,16,FALSE)&gt;0.1,"Eficiente","n/a"))</f>
        <v>Eficiente</v>
      </c>
      <c r="ES100" s="33" t="str">
        <f>IF(VLOOKUP(BO100,Fundamentus!A:U,16,FALSE)&lt;0.1,"Oper. Ineficiente",IF(VLOOKUP(BO100,Fundamentus!A:U,16,FALSE)&gt;0.1,"Oper.Eficiente","n/a"))</f>
        <v>Oper.Eficiente</v>
      </c>
      <c r="ET100" s="34">
        <f>VLOOKUP(BO100,Fundamentus!A:U,14,FALSE)</f>
        <v>0.1431</v>
      </c>
      <c r="EU100" s="17" t="str">
        <f>IF(VLOOKUP(BO100,Fundamentus!A:U,21,FALSE)&lt;0,"Negativo",IF(VLOOKUP(BO100,Fundamentus!A:U,21,FALSE)&lt;0.05,"Fraco",IF(VLOOKUP(BO100,Fundamentus!A:U,21,FALSE)&lt;0.1,"Bom",IF(VLOOKUP(BO100,Fundamentus!A:U,21,FALSE)&gt;0.1,"Muito bom","n/a"))))</f>
        <v>Negativo</v>
      </c>
      <c r="EW100" s="29" t="str">
        <f>IF(VLOOKUP(BO100,Fundamentus!A:U,15,FALSE)&gt;1,"Bom",IF(VLOOKUP(BO100,Fundamentus!A:U,15,FALSE)&lt;1,"Ruim","n/a"))</f>
        <v>Bom</v>
      </c>
      <c r="EX100" s="17" t="str">
        <f>IF(VLOOKUP(BO100,Fundamentus!A:U,20,FALSE)&lt;0.5,"Baixa",IF(VLOOKUP(BO100,Fundamentus!A:U,20,FALSE)&lt;1,"Moderada",IF(VLOOKUP(BO100,Fundamentus!A:U,20,FALSE)&lt;2,"Alerta",IF(VLOOKUP(BO100,Fundamentus!A:U,20,FALSE)&gt;2,"Alta","n/a"))))</f>
        <v>Baixa</v>
      </c>
      <c r="EY100" s="10"/>
    </row>
    <row r="101" spans="1:155" s="2" customFormat="1" ht="11.25"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5">
        <v>16.309999999999999</v>
      </c>
      <c r="BC101" s="52">
        <v>15.3</v>
      </c>
      <c r="BD101" s="52">
        <v>14.67</v>
      </c>
      <c r="BE101" s="52">
        <v>14.85</v>
      </c>
      <c r="BF101" s="52">
        <v>15.15</v>
      </c>
      <c r="BG101" s="67">
        <v>13.88</v>
      </c>
      <c r="BH101" s="52">
        <v>14</v>
      </c>
      <c r="BI101" s="52">
        <v>14.99</v>
      </c>
      <c r="BJ101" s="52">
        <v>15.3</v>
      </c>
      <c r="BK101" s="52">
        <v>13.76</v>
      </c>
      <c r="BL101" s="52">
        <v>13.53</v>
      </c>
      <c r="BM101" s="52">
        <v>14.04</v>
      </c>
      <c r="BN101" s="52" cm="1">
        <f t="array" aca="1" ref="BN101" ca="1">_FV(EB101,"Preço")</f>
        <v>14.04</v>
      </c>
      <c r="BO101" s="69" t="s">
        <v>98</v>
      </c>
      <c r="BP101" s="36" cm="1">
        <f t="array" aca="1" ref="BP101" ca="1">_FV(EB101,"Média de volume",TRUE)</f>
        <v>7818670</v>
      </c>
      <c r="BQ101" s="36">
        <v>4604200</v>
      </c>
      <c r="BR101" s="36" cm="1">
        <f t="array" aca="1" ref="BR101" ca="1">_FV(EB101,"Volume")</f>
        <v>4604200</v>
      </c>
      <c r="BS101" s="24" cm="1">
        <f t="array" aca="1" ref="BS101" ca="1">_FV(EB101,"Beta")</f>
        <v>0.78459999999999996</v>
      </c>
      <c r="BT101" s="71" cm="1">
        <f t="array" aca="1" ref="BT101" ca="1">_FV(EB101,"Variação (%)",TRUE)</f>
        <v>-1.3351999999999999E-2</v>
      </c>
      <c r="BV101" s="17" cm="1">
        <f t="array" aca="1" ref="BV101" ca="1">_FV(EB101,"Baixo")</f>
        <v>13.95</v>
      </c>
      <c r="BW101" s="17" cm="1">
        <f t="array" aca="1" ref="BW101" ca="1">_FV(EB101,"Alto")</f>
        <v>14.38</v>
      </c>
      <c r="BX101" s="24"/>
      <c r="BY101" s="63">
        <f ca="1">SQRT(22.5*(BN101/VLOOKUP(BO101,Fundamentus!A:U,3,FALSE))*(BN101/VLOOKUP(BO101,Fundamentus!A:U,4,FALSE)))</f>
        <v>7.5588819048966434</v>
      </c>
      <c r="CA101" s="62">
        <f t="shared" ca="1" si="112"/>
        <v>0</v>
      </c>
      <c r="CB101" s="8"/>
      <c r="CC101" s="61">
        <f t="shared" si="113"/>
        <v>13.53</v>
      </c>
      <c r="CD101" s="61">
        <f t="shared" si="114"/>
        <v>29.5</v>
      </c>
      <c r="CE101" s="61">
        <f t="shared" si="115"/>
        <v>22.127384615384614</v>
      </c>
      <c r="CF101" s="14"/>
      <c r="CG101" s="35">
        <f t="shared" si="98"/>
        <v>11.787200672612865</v>
      </c>
      <c r="CH101" s="15">
        <f t="shared" si="116"/>
        <v>13.154999999999745</v>
      </c>
      <c r="CI101" s="35">
        <f t="shared" si="99"/>
        <v>14.522799327386625</v>
      </c>
      <c r="CK101" s="14"/>
      <c r="CL101" s="17">
        <f t="shared" si="100"/>
        <v>-7.7633333333333301</v>
      </c>
      <c r="CM101" s="17">
        <f t="shared" si="101"/>
        <v>2.8833333333333346</v>
      </c>
      <c r="CN101" s="17">
        <f t="shared" si="102"/>
        <v>8.2066666666666706</v>
      </c>
      <c r="CO101" s="38">
        <f t="shared" si="117"/>
        <v>18.853333333333335</v>
      </c>
      <c r="CP101" s="17">
        <f t="shared" si="103"/>
        <v>24.176666666666669</v>
      </c>
      <c r="CQ101" s="17">
        <f t="shared" si="104"/>
        <v>34.823333333333338</v>
      </c>
      <c r="CR101" s="17">
        <f t="shared" si="105"/>
        <v>40.146666666666675</v>
      </c>
      <c r="CS101" s="2" cm="1">
        <f t="array" aca="1" ref="CS101" ca="1">MAX(_xlfn._xlws.FILTER(CL101:CR101,CL101:CR101&lt;BN101))</f>
        <v>8.2066666666666706</v>
      </c>
      <c r="CT101" s="2" cm="1">
        <f t="array" aca="1" ref="CT101" ca="1">MIN(_xlfn._xlws.FILTER($CL101:$CR101,$CL101:$CR101&gt;BN101))</f>
        <v>18.853333333333335</v>
      </c>
      <c r="CU101" s="16">
        <f t="shared" ca="1" si="119"/>
        <v>1.2973192526401292</v>
      </c>
      <c r="CV101" s="20">
        <f t="shared" ca="1" si="120"/>
        <v>-0.64865962632006458</v>
      </c>
      <c r="CW101" s="20">
        <f t="shared" ca="1" si="121"/>
        <v>-0.43243975088004305</v>
      </c>
      <c r="CX101" s="20">
        <f t="shared" ca="1" si="122"/>
        <v>-0.25946385052802584</v>
      </c>
      <c r="CY101" s="20">
        <f t="shared" ca="1" si="123"/>
        <v>-0.14414658362668101</v>
      </c>
      <c r="CZ101" s="20">
        <f t="shared" ca="1" si="124"/>
        <v>-7.631289721412525E-2</v>
      </c>
      <c r="DA101" s="20">
        <f t="shared" ca="1" si="125"/>
        <v>-3.931270462545846E-2</v>
      </c>
      <c r="DB101" s="20">
        <f t="shared" ca="1" si="126"/>
        <v>-1.9958757732925065E-2</v>
      </c>
      <c r="DC101" s="21">
        <f t="shared" ca="1" si="127"/>
        <v>1.9958757732925065E-2</v>
      </c>
      <c r="DD101" s="21">
        <f t="shared" ca="1" si="128"/>
        <v>3.931270462545846E-2</v>
      </c>
      <c r="DE101" s="21">
        <f t="shared" ca="1" si="129"/>
        <v>7.631289721412525E-2</v>
      </c>
      <c r="DF101" s="21">
        <f t="shared" ca="1" si="130"/>
        <v>0.14414658362668101</v>
      </c>
      <c r="DG101" s="21">
        <f t="shared" ca="1" si="131"/>
        <v>0.25946385052802584</v>
      </c>
      <c r="DH101" s="21">
        <f t="shared" ca="1" si="132"/>
        <v>0.43243975088004305</v>
      </c>
      <c r="DI101" s="21">
        <f t="shared" ca="1" si="133"/>
        <v>0.64865962632006458</v>
      </c>
      <c r="DK101" s="16" cm="1">
        <f t="array" aca="1" ref="DK101" ca="1">MAX(_xlfn._xlws.FILTER(CV101:DI101,CV101:DI101&lt;BT101))</f>
        <v>-1.9958757732925065E-2</v>
      </c>
      <c r="DL101" s="16" cm="1">
        <f t="array" aca="1" ref="DL101" ca="1">MIN(_xlfn._xlws.FILTER(CV101:DI101,CV101:DI101&gt;BT101))</f>
        <v>1.9958757732925065E-2</v>
      </c>
      <c r="DM101" s="2" cm="1">
        <f t="array" aca="1" ref="DM101" ca="1">_FV(EB101,"Fechamento anterior",TRUE)</f>
        <v>14.23</v>
      </c>
      <c r="DN101" s="28">
        <f t="shared" ca="1" si="106"/>
        <v>0.16550841330657023</v>
      </c>
      <c r="DO101" s="15">
        <f t="shared" ca="1" si="134"/>
        <v>13.945986877460477</v>
      </c>
      <c r="DP101" s="15">
        <f t="shared" ca="1" si="135"/>
        <v>14.514013122539524</v>
      </c>
      <c r="DQ101" s="9"/>
      <c r="DR101" s="9"/>
      <c r="DS101" s="9"/>
      <c r="DT101" s="89">
        <v>3.991751546585013E-2</v>
      </c>
      <c r="DU101" s="89">
        <f t="shared" ca="1" si="107"/>
        <v>3.991751546585013E-2</v>
      </c>
      <c r="DV101" s="72">
        <f t="shared" ca="1" si="108"/>
        <v>0.64702473694807783</v>
      </c>
      <c r="DW101" s="37"/>
      <c r="DX101" s="35">
        <f t="shared" si="118"/>
        <v>0.68389966369344024</v>
      </c>
      <c r="DY101" s="56"/>
      <c r="DZ101" s="56"/>
      <c r="EB101" s="2" t="e" vm="101">
        <v>#VALUE!</v>
      </c>
      <c r="ED101" s="10" cm="1">
        <f t="array" aca="1" ref="ED101" ca="1">_FV(EB101,"Ações em circulação",TRUE)</f>
        <v>1718007000</v>
      </c>
      <c r="EE101" s="18">
        <f>VLOOKUP(BO101,Fundamentus!A:U,5,FALSE)</f>
        <v>0.61099999999999999</v>
      </c>
      <c r="EF101" s="2">
        <f t="shared" ca="1" si="109"/>
        <v>39477607659.574471</v>
      </c>
      <c r="EG101" s="17">
        <v>1172484947.4893618</v>
      </c>
      <c r="EH101" s="17">
        <f t="shared" ca="1" si="110"/>
        <v>1172484947.4893618</v>
      </c>
      <c r="EJ101" s="16">
        <f t="shared" ca="1" si="97"/>
        <v>0</v>
      </c>
      <c r="EK101" s="32" t="str">
        <f>IF(VLOOKUP(BO101,Fundamentus!A:U,3,FALSE)&lt;15,"Bom",IF(VLOOKUP(BO101,Fundamentus!A:U,3,FALSE)&gt;15,"Ruim","n/a"))</f>
        <v>Ruim</v>
      </c>
      <c r="EL101" s="28" t="str">
        <f>IF(VLOOKUP(BO101,Fundamentus!A:U,4,FALSE)&lt;1,"Baixo",IF(VLOOKUP(BO101,Fundamentus!A:U,4,FALSE)&lt;1.5,"Moderado",IF(VLOOKUP(BO101,Fundamentus!A:U,4,FALSE)&gt;1.5,"Alto","n/a")))</f>
        <v>Alto</v>
      </c>
      <c r="EM101" s="17" t="str">
        <f>IF(VLOOKUP(BO101,Fundamentus!A:U,8,FALSE)&lt;0,"Risco elevado",IF(VLOOKUP(BO101,Fundamentus!A:U,8,FALSE)&lt;1,"Saudável",IF(VLOOKUP(BO101,Fundamentus!A:U,8,FALSE)&lt;3,"Estável",IF(VLOOKUP(BO101,Fundamentus!A:U,8,FALSE)&gt;3,"Alerta","n/a"))))</f>
        <v>Alerta</v>
      </c>
      <c r="EN101" s="28" t="str">
        <f t="shared" si="111"/>
        <v>Ruim</v>
      </c>
      <c r="EO101" s="17" t="str">
        <f>IF(VLOOKUP(BO101,Fundamentus!A:U,12,FALSE)&lt;2,"Subvalorizada",IF(VLOOKUP(BO101,Fundamentus!A:U,12,FALSE)&lt;6,"Muita barata",IF(VLOOKUP(BO101,Fundamentus!A:U,12,FALSE)&lt;6,"Barata",IF(VLOOKUP(BO101,Fundamentus!A:U,12,FALSE)&lt;8,"Atrativa",IF(VLOOKUP(BO101,Fundamentus!A:U,12,FALSE)&gt;8,"Supervalorizada","n/a")))))</f>
        <v>Atrativa</v>
      </c>
      <c r="EQ101" s="17" t="str">
        <f>IF(VLOOKUP(BO101,Fundamentus!A:U,17,FALSE)&lt;0.1,"Fraco retorno",IF(VLOOKUP(BO101,Fundamentus!A:U,17,FALSE)&gt;0.1,"Bom retorno","n/a"))</f>
        <v>Bom retorno</v>
      </c>
      <c r="ER101" s="17" t="str">
        <f>IF(VLOOKUP(BO101,Fundamentus!A:U,16,FALSE)&lt;0.1,"Ineficiente",IF(VLOOKUP(BO101,Fundamentus!A:U,16,FALSE)&gt;0.1,"Eficiente","n/a"))</f>
        <v>Eficiente</v>
      </c>
      <c r="ES101" s="33" t="str">
        <f>IF(VLOOKUP(BO101,Fundamentus!A:U,16,FALSE)&lt;0.1,"Oper. Ineficiente",IF(VLOOKUP(BO101,Fundamentus!A:U,16,FALSE)&gt;0.1,"Oper.Eficiente","n/a"))</f>
        <v>Oper.Eficiente</v>
      </c>
      <c r="ET101" s="34">
        <f>VLOOKUP(BO101,Fundamentus!A:U,14,FALSE)</f>
        <v>2.9700000000000001E-2</v>
      </c>
      <c r="EU101" s="17" t="str">
        <f>IF(VLOOKUP(BO101,Fundamentus!A:U,21,FALSE)&lt;0,"Negativo",IF(VLOOKUP(BO101,Fundamentus!A:U,21,FALSE)&lt;0.05,"Fraco",IF(VLOOKUP(BO101,Fundamentus!A:U,21,FALSE)&lt;0.1,"Bom",IF(VLOOKUP(BO101,Fundamentus!A:U,21,FALSE)&gt;0.1,"Muito bom","n/a"))))</f>
        <v>Muito bom</v>
      </c>
      <c r="EW101" s="29" t="str">
        <f>IF(VLOOKUP(BO101,Fundamentus!A:U,15,FALSE)&gt;1,"Bom",IF(VLOOKUP(BO101,Fundamentus!A:U,15,FALSE)&lt;1,"Ruim","n/a"))</f>
        <v>Bom</v>
      </c>
      <c r="EX101" s="17" t="str">
        <f>IF(VLOOKUP(BO101,Fundamentus!A:U,20,FALSE)&lt;0.5,"Baixa",IF(VLOOKUP(BO101,Fundamentus!A:U,20,FALSE)&lt;1,"Moderada",IF(VLOOKUP(BO101,Fundamentus!A:U,20,FALSE)&lt;2,"Alerta",IF(VLOOKUP(BO101,Fundamentus!A:U,20,FALSE)&gt;2,"Alta","n/a"))))</f>
        <v>Baixa</v>
      </c>
      <c r="EY101" s="10"/>
    </row>
    <row r="102" spans="1:155" s="2" customFormat="1" ht="11.25"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5">
        <v>15.15</v>
      </c>
      <c r="BC102" s="52">
        <v>15.55</v>
      </c>
      <c r="BD102" s="52">
        <v>14.83</v>
      </c>
      <c r="BE102" s="52">
        <v>15</v>
      </c>
      <c r="BF102" s="52">
        <v>15.08</v>
      </c>
      <c r="BG102" s="67">
        <v>14.85</v>
      </c>
      <c r="BH102" s="52">
        <v>15.05</v>
      </c>
      <c r="BI102" s="52">
        <v>15.17</v>
      </c>
      <c r="BJ102" s="52">
        <v>16.41</v>
      </c>
      <c r="BK102" s="52">
        <v>15.71</v>
      </c>
      <c r="BL102" s="52">
        <v>15.13</v>
      </c>
      <c r="BM102" s="52">
        <v>14.52</v>
      </c>
      <c r="BN102" s="52" cm="1">
        <f t="array" aca="1" ref="BN102" ca="1">_FV(EB102,"Preço")</f>
        <v>14.52</v>
      </c>
      <c r="BO102" s="69" t="s">
        <v>99</v>
      </c>
      <c r="BP102" s="36" cm="1">
        <f t="array" aca="1" ref="BP102" ca="1">_FV(EB102,"Média de volume",TRUE)</f>
        <v>2920730</v>
      </c>
      <c r="BQ102" s="36">
        <v>1489100</v>
      </c>
      <c r="BR102" s="36" cm="1">
        <f t="array" aca="1" ref="BR102" ca="1">_FV(EB102,"Volume")</f>
        <v>1489100</v>
      </c>
      <c r="BS102" s="24" cm="1">
        <f t="array" aca="1" ref="BS102" ca="1">_FV(EB102,"Beta")</f>
        <v>1.2970999999999999</v>
      </c>
      <c r="BT102" s="71" cm="1">
        <f t="array" aca="1" ref="BT102" ca="1">_FV(EB102,"Variação (%)",TRUE)</f>
        <v>1.1142000000000001E-2</v>
      </c>
      <c r="BV102" s="17" cm="1">
        <f t="array" aca="1" ref="BV102" ca="1">_FV(EB102,"Baixo")</f>
        <v>14.33</v>
      </c>
      <c r="BW102" s="17" cm="1">
        <f t="array" aca="1" ref="BW102" ca="1">_FV(EB102,"Alto")</f>
        <v>14.62</v>
      </c>
      <c r="BX102" s="24"/>
      <c r="BY102" s="63">
        <f ca="1">SQRT(22.5*(BN102/VLOOKUP(BO102,Fundamentus!A:U,3,FALSE))*(BN102/VLOOKUP(BO102,Fundamentus!A:U,4,FALSE)))</f>
        <v>10.745046565830828</v>
      </c>
      <c r="CA102" s="62">
        <f t="shared" ca="1" si="112"/>
        <v>0</v>
      </c>
      <c r="CB102" s="8"/>
      <c r="CC102" s="61">
        <f t="shared" si="113"/>
        <v>13.1</v>
      </c>
      <c r="CD102" s="61">
        <f t="shared" si="114"/>
        <v>19.100000000000001</v>
      </c>
      <c r="CE102" s="61">
        <f t="shared" si="115"/>
        <v>16.165615384615386</v>
      </c>
      <c r="CF102" s="14"/>
      <c r="CG102" s="35">
        <f t="shared" si="98"/>
        <v>12.481330989833658</v>
      </c>
      <c r="CH102" s="15">
        <f t="shared" si="116"/>
        <v>13.880000000000109</v>
      </c>
      <c r="CI102" s="35">
        <f t="shared" si="99"/>
        <v>15.27866901016656</v>
      </c>
      <c r="CK102" s="14"/>
      <c r="CL102" s="17">
        <f t="shared" si="100"/>
        <v>6.4533333333333349</v>
      </c>
      <c r="CM102" s="17">
        <f t="shared" si="101"/>
        <v>9.7766666666666673</v>
      </c>
      <c r="CN102" s="17">
        <f t="shared" si="102"/>
        <v>12.453333333333337</v>
      </c>
      <c r="CO102" s="38">
        <f t="shared" si="117"/>
        <v>15.776666666666669</v>
      </c>
      <c r="CP102" s="17">
        <f t="shared" si="103"/>
        <v>18.45333333333334</v>
      </c>
      <c r="CQ102" s="17">
        <f t="shared" si="104"/>
        <v>21.776666666666671</v>
      </c>
      <c r="CR102" s="17">
        <f t="shared" si="105"/>
        <v>24.45333333333334</v>
      </c>
      <c r="CS102" s="2" cm="1">
        <f t="array" aca="1" ref="CS102" ca="1">MAX(_xlfn._xlws.FILTER(CL102:CR102,CL102:CR102&lt;BN102))</f>
        <v>12.453333333333337</v>
      </c>
      <c r="CT102" s="2" cm="1">
        <f t="array" aca="1" ref="CT102" ca="1">MIN(_xlfn._xlws.FILTER($CL102:$CR102,$CL102:$CR102&gt;BN102))</f>
        <v>15.776666666666669</v>
      </c>
      <c r="CU102" s="16">
        <f t="shared" ca="1" si="119"/>
        <v>0.26686295503211976</v>
      </c>
      <c r="CV102" s="20">
        <f t="shared" ca="1" si="120"/>
        <v>-0.13343147751605988</v>
      </c>
      <c r="CW102" s="20">
        <f t="shared" ca="1" si="121"/>
        <v>-8.8954318344039926E-2</v>
      </c>
      <c r="CX102" s="20">
        <f t="shared" ca="1" si="122"/>
        <v>-5.3372591006423956E-2</v>
      </c>
      <c r="CY102" s="20">
        <f t="shared" ca="1" si="123"/>
        <v>-2.9651439448013309E-2</v>
      </c>
      <c r="CZ102" s="20">
        <f t="shared" ca="1" si="124"/>
        <v>-1.569782088424234E-2</v>
      </c>
      <c r="DA102" s="20">
        <f t="shared" ca="1" si="125"/>
        <v>-8.086756213094539E-3</v>
      </c>
      <c r="DB102" s="20">
        <f t="shared" ca="1" si="126"/>
        <v>-4.1055839235710732E-3</v>
      </c>
      <c r="DC102" s="21">
        <f t="shared" ca="1" si="127"/>
        <v>4.1055839235710732E-3</v>
      </c>
      <c r="DD102" s="21">
        <f t="shared" ca="1" si="128"/>
        <v>8.086756213094539E-3</v>
      </c>
      <c r="DE102" s="21">
        <f t="shared" ca="1" si="129"/>
        <v>1.569782088424234E-2</v>
      </c>
      <c r="DF102" s="21">
        <f t="shared" ca="1" si="130"/>
        <v>2.9651439448013309E-2</v>
      </c>
      <c r="DG102" s="21">
        <f t="shared" ca="1" si="131"/>
        <v>5.3372591006423956E-2</v>
      </c>
      <c r="DH102" s="21">
        <f t="shared" ca="1" si="132"/>
        <v>8.8954318344039926E-2</v>
      </c>
      <c r="DI102" s="21">
        <f t="shared" ca="1" si="133"/>
        <v>0.13343147751605988</v>
      </c>
      <c r="DK102" s="16" cm="1">
        <f t="array" aca="1" ref="DK102" ca="1">MAX(_xlfn._xlws.FILTER(CV102:DI102,CV102:DI102&lt;BT102))</f>
        <v>8.086756213094539E-3</v>
      </c>
      <c r="DL102" s="16" cm="1">
        <f t="array" aca="1" ref="DL102" ca="1">MIN(_xlfn._xlws.FILTER(CV102:DI102,CV102:DI102&gt;BT102))</f>
        <v>1.569782088424234E-2</v>
      </c>
      <c r="DM102" s="2" cm="1">
        <f t="array" aca="1" ref="DM102" ca="1">_FV(EB102,"Fechamento anterior",TRUE)</f>
        <v>14.36</v>
      </c>
      <c r="DN102" s="28">
        <f t="shared" ca="1" si="106"/>
        <v>0.40142939263472704</v>
      </c>
      <c r="DO102" s="15">
        <f t="shared" ca="1" si="134"/>
        <v>14.476125819220037</v>
      </c>
      <c r="DP102" s="15">
        <f t="shared" ca="1" si="135"/>
        <v>14.58542070789772</v>
      </c>
      <c r="DQ102" s="9"/>
      <c r="DR102" s="9"/>
      <c r="DS102" s="9"/>
      <c r="DT102" s="89">
        <v>7.6110646711478012E-3</v>
      </c>
      <c r="DU102" s="89">
        <f t="shared" ca="1" si="107"/>
        <v>7.6110646711478012E-3</v>
      </c>
      <c r="DV102" s="72">
        <f t="shared" ca="1" si="108"/>
        <v>0.45757787964696972</v>
      </c>
      <c r="DW102" s="37"/>
      <c r="DX102" s="35">
        <f t="shared" si="118"/>
        <v>0.6993345050832257</v>
      </c>
      <c r="DY102" s="56"/>
      <c r="DZ102" s="56"/>
      <c r="EB102" s="2" t="e" vm="102">
        <v>#VALUE!</v>
      </c>
      <c r="ED102" s="10" cm="1">
        <f t="array" aca="1" ref="ED102" ca="1">_FV(EB102,"Ações em circulação",TRUE)</f>
        <v>677280700</v>
      </c>
      <c r="EE102" s="18">
        <f>VLOOKUP(BO102,Fundamentus!A:U,5,FALSE)</f>
        <v>0.63400000000000001</v>
      </c>
      <c r="EF102" s="2">
        <f t="shared" ca="1" si="109"/>
        <v>15511223602.523659</v>
      </c>
      <c r="EG102" s="17">
        <v>662329247.82776022</v>
      </c>
      <c r="EH102" s="17">
        <f t="shared" ca="1" si="110"/>
        <v>662329247.82776022</v>
      </c>
      <c r="EJ102" s="16">
        <f t="shared" ca="1" si="97"/>
        <v>0</v>
      </c>
      <c r="EK102" s="32" t="str">
        <f>IF(VLOOKUP(BO102,Fundamentus!A:U,3,FALSE)&lt;15,"Bom",IF(VLOOKUP(BO102,Fundamentus!A:U,3,FALSE)&gt;15,"Ruim","n/a"))</f>
        <v>Ruim</v>
      </c>
      <c r="EL102" s="28" t="str">
        <f>IF(VLOOKUP(BO102,Fundamentus!A:U,4,FALSE)&lt;1,"Baixo",IF(VLOOKUP(BO102,Fundamentus!A:U,4,FALSE)&lt;1.5,"Moderado",IF(VLOOKUP(BO102,Fundamentus!A:U,4,FALSE)&gt;1.5,"Alto","n/a")))</f>
        <v>Alto</v>
      </c>
      <c r="EM102" s="17" t="str">
        <f>IF(VLOOKUP(BO102,Fundamentus!A:U,8,FALSE)&lt;0,"Risco elevado",IF(VLOOKUP(BO102,Fundamentus!A:U,8,FALSE)&lt;1,"Saudável",IF(VLOOKUP(BO102,Fundamentus!A:U,8,FALSE)&lt;3,"Estável",IF(VLOOKUP(BO102,Fundamentus!A:U,8,FALSE)&gt;3,"Alerta","n/a"))))</f>
        <v>Estável</v>
      </c>
      <c r="EN102" s="28" t="str">
        <f t="shared" si="111"/>
        <v>Ruim</v>
      </c>
      <c r="EO102" s="17" t="str">
        <f>IF(VLOOKUP(BO102,Fundamentus!A:U,12,FALSE)&lt;2,"Subvalorizada",IF(VLOOKUP(BO102,Fundamentus!A:U,12,FALSE)&lt;6,"Muita barata",IF(VLOOKUP(BO102,Fundamentus!A:U,12,FALSE)&lt;6,"Barata",IF(VLOOKUP(BO102,Fundamentus!A:U,12,FALSE)&lt;8,"Atrativa",IF(VLOOKUP(BO102,Fundamentus!A:U,12,FALSE)&gt;8,"Supervalorizada","n/a")))))</f>
        <v>Atrativa</v>
      </c>
      <c r="EQ102" s="17" t="str">
        <f>IF(VLOOKUP(BO102,Fundamentus!A:U,17,FALSE)&lt;0.1,"Fraco retorno",IF(VLOOKUP(BO102,Fundamentus!A:U,17,FALSE)&gt;0.1,"Bom retorno","n/a"))</f>
        <v>Bom retorno</v>
      </c>
      <c r="ER102" s="17" t="str">
        <f>IF(VLOOKUP(BO102,Fundamentus!A:U,16,FALSE)&lt;0.1,"Ineficiente",IF(VLOOKUP(BO102,Fundamentus!A:U,16,FALSE)&gt;0.1,"Eficiente","n/a"))</f>
        <v>Eficiente</v>
      </c>
      <c r="ES102" s="33" t="str">
        <f>IF(VLOOKUP(BO102,Fundamentus!A:U,16,FALSE)&lt;0.1,"Oper. Ineficiente",IF(VLOOKUP(BO102,Fundamentus!A:U,16,FALSE)&gt;0.1,"Oper.Eficiente","n/a"))</f>
        <v>Oper.Eficiente</v>
      </c>
      <c r="ET102" s="34">
        <f>VLOOKUP(BO102,Fundamentus!A:U,14,FALSE)</f>
        <v>4.2700000000000002E-2</v>
      </c>
      <c r="EU102" s="17" t="str">
        <f>IF(VLOOKUP(BO102,Fundamentus!A:U,21,FALSE)&lt;0,"Negativo",IF(VLOOKUP(BO102,Fundamentus!A:U,21,FALSE)&lt;0.05,"Fraco",IF(VLOOKUP(BO102,Fundamentus!A:U,21,FALSE)&lt;0.1,"Bom",IF(VLOOKUP(BO102,Fundamentus!A:U,21,FALSE)&gt;0.1,"Muito bom","n/a"))))</f>
        <v>Muito bom</v>
      </c>
      <c r="EW102" s="29" t="str">
        <f>IF(VLOOKUP(BO102,Fundamentus!A:U,15,FALSE)&gt;1,"Bom",IF(VLOOKUP(BO102,Fundamentus!A:U,15,FALSE)&lt;1,"Ruim","n/a"))</f>
        <v>Bom</v>
      </c>
      <c r="EX102" s="17" t="str">
        <f>IF(VLOOKUP(BO102,Fundamentus!A:U,20,FALSE)&lt;0.5,"Baixa",IF(VLOOKUP(BO102,Fundamentus!A:U,20,FALSE)&lt;1,"Moderada",IF(VLOOKUP(BO102,Fundamentus!A:U,20,FALSE)&lt;2,"Alerta",IF(VLOOKUP(BO102,Fundamentus!A:U,20,FALSE)&gt;2,"Alta","n/a"))))</f>
        <v>Alerta</v>
      </c>
      <c r="EY102" s="10"/>
    </row>
    <row r="103" spans="1:155" s="2" customFormat="1" ht="11.25"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5">
        <v>2.95</v>
      </c>
      <c r="BC103" s="52">
        <v>2.85</v>
      </c>
      <c r="BD103" s="52">
        <v>2.95</v>
      </c>
      <c r="BE103" s="52">
        <v>3.18</v>
      </c>
      <c r="BF103" s="52">
        <v>3.3</v>
      </c>
      <c r="BG103" s="67">
        <v>3.7</v>
      </c>
      <c r="BH103" s="52">
        <v>3.7</v>
      </c>
      <c r="BI103" s="52">
        <v>3.61</v>
      </c>
      <c r="BJ103" s="52">
        <v>3.53</v>
      </c>
      <c r="BK103" s="52">
        <v>3.47</v>
      </c>
      <c r="BL103" s="52">
        <v>3.62</v>
      </c>
      <c r="BM103" s="52">
        <v>3.75</v>
      </c>
      <c r="BN103" s="52" cm="1">
        <f t="array" aca="1" ref="BN103" ca="1">_FV(EB103,"Preço")</f>
        <v>3.75</v>
      </c>
      <c r="BO103" s="69" t="s">
        <v>100</v>
      </c>
      <c r="BP103" s="36" cm="1">
        <f t="array" aca="1" ref="BP103" ca="1">_FV(EB103,"Média de volume",TRUE)</f>
        <v>2970130</v>
      </c>
      <c r="BQ103" s="36">
        <v>1297200</v>
      </c>
      <c r="BR103" s="36" cm="1">
        <f t="array" aca="1" ref="BR103" ca="1">_FV(EB103,"Volume")</f>
        <v>1297200</v>
      </c>
      <c r="BS103" s="24" cm="1">
        <f t="array" aca="1" ref="BS103" ca="1">_FV(EB103,"Beta")</f>
        <v>1.2108000000000001</v>
      </c>
      <c r="BT103" s="71" cm="1">
        <f t="array" aca="1" ref="BT103" ca="1">_FV(EB103,"Variação (%)",TRUE)</f>
        <v>-7.9369999999999996E-3</v>
      </c>
      <c r="BV103" s="17" cm="1">
        <f t="array" aca="1" ref="BV103" ca="1">_FV(EB103,"Baixo")</f>
        <v>3.68</v>
      </c>
      <c r="BW103" s="17" cm="1">
        <f t="array" aca="1" ref="BW103" ca="1">_FV(EB103,"Alto")</f>
        <v>3.78</v>
      </c>
      <c r="BX103" s="24"/>
      <c r="BY103" s="63" t="e">
        <f ca="1">SQRT(22.5*(BN103/VLOOKUP(BO103,Fundamentus!A:U,3,FALSE))*(BN103/VLOOKUP(BO103,Fundamentus!A:U,4,FALSE)))</f>
        <v>#NUM!</v>
      </c>
      <c r="CA103" s="62">
        <f t="shared" ca="1" si="112"/>
        <v>0</v>
      </c>
      <c r="CB103" s="8"/>
      <c r="CC103" s="61">
        <f t="shared" si="113"/>
        <v>1.98</v>
      </c>
      <c r="CD103" s="61">
        <f t="shared" si="114"/>
        <v>4.45</v>
      </c>
      <c r="CE103" s="61">
        <f t="shared" si="115"/>
        <v>3.2146923076923075</v>
      </c>
      <c r="CF103" s="14"/>
      <c r="CG103" s="35">
        <f t="shared" si="98"/>
        <v>3.5841090329103276</v>
      </c>
      <c r="CH103" s="15">
        <f t="shared" si="116"/>
        <v>3.7949999999999591</v>
      </c>
      <c r="CI103" s="35">
        <f t="shared" si="99"/>
        <v>4.0058909670895906</v>
      </c>
      <c r="CK103" s="14"/>
      <c r="CL103" s="17">
        <f t="shared" si="100"/>
        <v>-0.2200000000000002</v>
      </c>
      <c r="CM103" s="17">
        <f t="shared" si="101"/>
        <v>0.87999999999999989</v>
      </c>
      <c r="CN103" s="17">
        <f t="shared" si="102"/>
        <v>2.25</v>
      </c>
      <c r="CO103" s="38">
        <f t="shared" si="117"/>
        <v>3.35</v>
      </c>
      <c r="CP103" s="17">
        <f t="shared" si="103"/>
        <v>4.7200000000000006</v>
      </c>
      <c r="CQ103" s="17">
        <f t="shared" si="104"/>
        <v>5.82</v>
      </c>
      <c r="CR103" s="17">
        <f t="shared" si="105"/>
        <v>7.19</v>
      </c>
      <c r="CS103" s="2" cm="1">
        <f t="array" aca="1" ref="CS103" ca="1">MAX(_xlfn._xlws.FILTER(CL103:CR103,CL103:CR103&lt;BN103))</f>
        <v>3.35</v>
      </c>
      <c r="CT103" s="2" cm="1">
        <f t="array" aca="1" ref="CT103" ca="1">MIN(_xlfn._xlws.FILTER($CL103:$CR103,$CL103:$CR103&gt;BN103))</f>
        <v>4.7200000000000006</v>
      </c>
      <c r="CU103" s="16">
        <f t="shared" ca="1" si="119"/>
        <v>0.40895522388059713</v>
      </c>
      <c r="CV103" s="20">
        <f t="shared" ca="1" si="120"/>
        <v>-0.20447761194029856</v>
      </c>
      <c r="CW103" s="20">
        <f t="shared" ca="1" si="121"/>
        <v>-0.13631840796019903</v>
      </c>
      <c r="CX103" s="20">
        <f t="shared" ca="1" si="122"/>
        <v>-8.1791044776119426E-2</v>
      </c>
      <c r="CY103" s="20">
        <f t="shared" ca="1" si="123"/>
        <v>-4.5439469320066345E-2</v>
      </c>
      <c r="CZ103" s="20">
        <f t="shared" ca="1" si="124"/>
        <v>-2.4056189640035124E-2</v>
      </c>
      <c r="DA103" s="20">
        <f t="shared" ca="1" si="125"/>
        <v>-1.2392582541836276E-2</v>
      </c>
      <c r="DB103" s="20">
        <f t="shared" ca="1" si="126"/>
        <v>-6.2916188289322637E-3</v>
      </c>
      <c r="DC103" s="21">
        <f t="shared" ca="1" si="127"/>
        <v>6.2916188289322637E-3</v>
      </c>
      <c r="DD103" s="21">
        <f t="shared" ca="1" si="128"/>
        <v>1.2392582541836276E-2</v>
      </c>
      <c r="DE103" s="21">
        <f t="shared" ca="1" si="129"/>
        <v>2.4056189640035124E-2</v>
      </c>
      <c r="DF103" s="21">
        <f t="shared" ca="1" si="130"/>
        <v>4.5439469320066345E-2</v>
      </c>
      <c r="DG103" s="21">
        <f t="shared" ca="1" si="131"/>
        <v>8.1791044776119426E-2</v>
      </c>
      <c r="DH103" s="21">
        <f t="shared" ca="1" si="132"/>
        <v>0.13631840796019903</v>
      </c>
      <c r="DI103" s="21">
        <f t="shared" ca="1" si="133"/>
        <v>0.20447761194029856</v>
      </c>
      <c r="DK103" s="16" cm="1">
        <f t="array" aca="1" ref="DK103" ca="1">MAX(_xlfn._xlws.FILTER(CV103:DI103,CV103:DI103&lt;BT103))</f>
        <v>-1.2392582541836276E-2</v>
      </c>
      <c r="DL103" s="16" cm="1">
        <f t="array" aca="1" ref="DL103" ca="1">MIN(_xlfn._xlws.FILTER(CV103:DI103,CV103:DI103&gt;BT103))</f>
        <v>-6.2916188289322637E-3</v>
      </c>
      <c r="DM103" s="2" cm="1">
        <f t="array" aca="1" ref="DM103" ca="1">_FV(EB103,"Fechamento anterior",TRUE)</f>
        <v>3.78</v>
      </c>
      <c r="DN103" s="28">
        <f t="shared" ca="1" si="106"/>
        <v>0.73038864268335857</v>
      </c>
      <c r="DO103" s="15">
        <f t="shared" ca="1" si="134"/>
        <v>3.7331560379918587</v>
      </c>
      <c r="DP103" s="15">
        <f t="shared" ca="1" si="135"/>
        <v>3.7562176808266359</v>
      </c>
      <c r="DQ103" s="9"/>
      <c r="DR103" s="9"/>
      <c r="DS103" s="9"/>
      <c r="DT103" s="89">
        <v>6.1009637129040128E-3</v>
      </c>
      <c r="DU103" s="89">
        <f t="shared" ca="1" si="107"/>
        <v>6.1009637129040128E-3</v>
      </c>
      <c r="DV103" s="72">
        <f t="shared" ca="1" si="108"/>
        <v>-0.21338040514951723</v>
      </c>
      <c r="DW103" s="37"/>
      <c r="DX103" s="35">
        <f t="shared" si="118"/>
        <v>0.10544548354481569</v>
      </c>
      <c r="DY103" s="56"/>
      <c r="DZ103" s="56"/>
      <c r="EB103" s="2" t="e" vm="103">
        <v>#VALUE!</v>
      </c>
      <c r="ED103" s="10" cm="1">
        <f t="array" aca="1" ref="ED103" ca="1">_FV(EB103,"Ações em circulação",TRUE)</f>
        <v>1360383000</v>
      </c>
      <c r="EE103" s="18">
        <f>VLOOKUP(BO103,Fundamentus!A:U,5,FALSE)</f>
        <v>3.5790000000000002</v>
      </c>
      <c r="EF103" s="2">
        <f t="shared" ca="1" si="109"/>
        <v>1425380343.6714165</v>
      </c>
      <c r="EG103" s="17">
        <v>-524825042.5398156</v>
      </c>
      <c r="EH103" s="17">
        <f t="shared" ca="1" si="110"/>
        <v>-524825042.5398156</v>
      </c>
      <c r="EJ103" s="16">
        <f t="shared" ca="1" si="97"/>
        <v>0</v>
      </c>
      <c r="EK103" s="32" t="str">
        <f>IF(VLOOKUP(BO103,Fundamentus!A:U,3,FALSE)&lt;15,"Bom",IF(VLOOKUP(BO103,Fundamentus!A:U,3,FALSE)&gt;15,"Ruim","n/a"))</f>
        <v>Bom</v>
      </c>
      <c r="EL103" s="28" t="str">
        <f>IF(VLOOKUP(BO103,Fundamentus!A:U,4,FALSE)&lt;1,"Baixo",IF(VLOOKUP(BO103,Fundamentus!A:U,4,FALSE)&lt;1.5,"Moderado",IF(VLOOKUP(BO103,Fundamentus!A:U,4,FALSE)&gt;1.5,"Alto","n/a")))</f>
        <v>Alto</v>
      </c>
      <c r="EM103" s="17" t="str">
        <f>IF(VLOOKUP(BO103,Fundamentus!A:U,8,FALSE)&lt;0,"Risco elevado",IF(VLOOKUP(BO103,Fundamentus!A:U,8,FALSE)&lt;1,"Saudável",IF(VLOOKUP(BO103,Fundamentus!A:U,8,FALSE)&lt;3,"Estável",IF(VLOOKUP(BO103,Fundamentus!A:U,8,FALSE)&gt;3,"Alerta","n/a"))))</f>
        <v>Alerta</v>
      </c>
      <c r="EN103" s="28" t="str">
        <f t="shared" si="111"/>
        <v>Bom</v>
      </c>
      <c r="EO103" s="17" t="str">
        <f>IF(VLOOKUP(BO103,Fundamentus!A:U,12,FALSE)&lt;2,"Subvalorizada",IF(VLOOKUP(BO103,Fundamentus!A:U,12,FALSE)&lt;6,"Muita barata",IF(VLOOKUP(BO103,Fundamentus!A:U,12,FALSE)&lt;6,"Barata",IF(VLOOKUP(BO103,Fundamentus!A:U,12,FALSE)&lt;8,"Atrativa",IF(VLOOKUP(BO103,Fundamentus!A:U,12,FALSE)&gt;8,"Supervalorizada","n/a")))))</f>
        <v>Supervalorizada</v>
      </c>
      <c r="EQ103" s="17" t="str">
        <f>IF(VLOOKUP(BO103,Fundamentus!A:U,17,FALSE)&lt;0.1,"Fraco retorno",IF(VLOOKUP(BO103,Fundamentus!A:U,17,FALSE)&gt;0.1,"Bom retorno","n/a"))</f>
        <v>Fraco retorno</v>
      </c>
      <c r="ER103" s="17" t="str">
        <f>IF(VLOOKUP(BO103,Fundamentus!A:U,16,FALSE)&lt;0.1,"Ineficiente",IF(VLOOKUP(BO103,Fundamentus!A:U,16,FALSE)&gt;0.1,"Eficiente","n/a"))</f>
        <v>Ineficiente</v>
      </c>
      <c r="ES103" s="33" t="str">
        <f>IF(VLOOKUP(BO103,Fundamentus!A:U,16,FALSE)&lt;0.1,"Oper. Ineficiente",IF(VLOOKUP(BO103,Fundamentus!A:U,16,FALSE)&gt;0.1,"Oper.Eficiente","n/a"))</f>
        <v>Oper. Ineficiente</v>
      </c>
      <c r="ET103" s="34">
        <f>VLOOKUP(BO103,Fundamentus!A:U,14,FALSE)</f>
        <v>-0.36820000000000003</v>
      </c>
      <c r="EU103" s="17" t="str">
        <f>IF(VLOOKUP(BO103,Fundamentus!A:U,21,FALSE)&lt;0,"Negativo",IF(VLOOKUP(BO103,Fundamentus!A:U,21,FALSE)&lt;0.05,"Fraco",IF(VLOOKUP(BO103,Fundamentus!A:U,21,FALSE)&lt;0.1,"Bom",IF(VLOOKUP(BO103,Fundamentus!A:U,21,FALSE)&gt;0.1,"Muito bom","n/a"))))</f>
        <v>Fraco</v>
      </c>
      <c r="EW103" s="29" t="str">
        <f>IF(VLOOKUP(BO103,Fundamentus!A:U,15,FALSE)&gt;1,"Bom",IF(VLOOKUP(BO103,Fundamentus!A:U,15,FALSE)&lt;1,"Ruim","n/a"))</f>
        <v>Bom</v>
      </c>
      <c r="EX103" s="17" t="str">
        <f>IF(VLOOKUP(BO103,Fundamentus!A:U,20,FALSE)&lt;0.5,"Baixa",IF(VLOOKUP(BO103,Fundamentus!A:U,20,FALSE)&lt;1,"Moderada",IF(VLOOKUP(BO103,Fundamentus!A:U,20,FALSE)&lt;2,"Alerta",IF(VLOOKUP(BO103,Fundamentus!A:U,20,FALSE)&gt;2,"Alta","n/a"))))</f>
        <v>Alta</v>
      </c>
      <c r="EY103" s="10"/>
    </row>
    <row r="104" spans="1:155" s="2" customFormat="1" ht="11.25"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5">
        <v>13.4</v>
      </c>
      <c r="BC104" s="52">
        <v>13.24</v>
      </c>
      <c r="BD104" s="52">
        <v>13.47</v>
      </c>
      <c r="BE104" s="52">
        <v>13.48</v>
      </c>
      <c r="BF104" s="52">
        <v>13.35</v>
      </c>
      <c r="BG104" s="67">
        <v>13.37</v>
      </c>
      <c r="BH104" s="52">
        <v>13.51</v>
      </c>
      <c r="BI104" s="52">
        <v>13.51</v>
      </c>
      <c r="BJ104" s="52">
        <v>13.79</v>
      </c>
      <c r="BK104" s="52">
        <v>12.94</v>
      </c>
      <c r="BL104" s="52">
        <v>12.55</v>
      </c>
      <c r="BM104" s="52">
        <v>12.4</v>
      </c>
      <c r="BN104" s="52" cm="1">
        <f t="array" aca="1" ref="BN104" ca="1">_FV(EB104,"Preço")</f>
        <v>12.4</v>
      </c>
      <c r="BO104" s="69" t="s">
        <v>101</v>
      </c>
      <c r="BP104" s="36" cm="1">
        <f t="array" aca="1" ref="BP104" ca="1">_FV(EB104,"Média de volume",TRUE)</f>
        <v>8180160</v>
      </c>
      <c r="BQ104" s="36">
        <v>7083800</v>
      </c>
      <c r="BR104" s="36" cm="1">
        <f t="array" aca="1" ref="BR104" ca="1">_FV(EB104,"Volume")</f>
        <v>7083800</v>
      </c>
      <c r="BS104" s="24" cm="1">
        <f t="array" aca="1" ref="BS104" ca="1">_FV(EB104,"Beta")</f>
        <v>1.0582</v>
      </c>
      <c r="BT104" s="71" cm="1">
        <f t="array" aca="1" ref="BT104" ca="1">_FV(EB104,"Variação (%)",TRUE)</f>
        <v>-4.8149999999999998E-3</v>
      </c>
      <c r="BV104" s="17" cm="1">
        <f t="array" aca="1" ref="BV104" ca="1">_FV(EB104,"Baixo")</f>
        <v>12.3</v>
      </c>
      <c r="BW104" s="17" cm="1">
        <f t="array" aca="1" ref="BW104" ca="1">_FV(EB104,"Alto")</f>
        <v>12.5</v>
      </c>
      <c r="BX104" s="24"/>
      <c r="BY104" s="63" t="e">
        <f ca="1">SQRT(22.5*(BN104/VLOOKUP(BO104,Fundamentus!A:U,3,FALSE))*(BN104/VLOOKUP(BO104,Fundamentus!A:U,4,FALSE)))</f>
        <v>#N/A</v>
      </c>
      <c r="CA104" s="62">
        <f t="shared" ca="1" si="112"/>
        <v>0</v>
      </c>
      <c r="CB104" s="8"/>
      <c r="CC104" s="61">
        <f t="shared" si="113"/>
        <v>10.1</v>
      </c>
      <c r="CD104" s="61">
        <f t="shared" si="114"/>
        <v>13.79</v>
      </c>
      <c r="CE104" s="61">
        <f t="shared" si="115"/>
        <v>12.217538461538465</v>
      </c>
      <c r="CF104" s="14"/>
      <c r="CG104" s="35">
        <f t="shared" si="98"/>
        <v>10.700833655083905</v>
      </c>
      <c r="CH104" s="15">
        <f t="shared" si="116"/>
        <v>11.7800000000002</v>
      </c>
      <c r="CI104" s="35">
        <f t="shared" si="99"/>
        <v>12.859166344916495</v>
      </c>
      <c r="CK104" s="14"/>
      <c r="CL104" s="17">
        <f t="shared" si="100"/>
        <v>6.8133333333333344</v>
      </c>
      <c r="CM104" s="17">
        <f t="shared" si="101"/>
        <v>8.456666666666667</v>
      </c>
      <c r="CN104" s="17">
        <f t="shared" si="102"/>
        <v>10.503333333333334</v>
      </c>
      <c r="CO104" s="38">
        <f t="shared" si="117"/>
        <v>12.146666666666667</v>
      </c>
      <c r="CP104" s="17">
        <f t="shared" si="103"/>
        <v>14.193333333333333</v>
      </c>
      <c r="CQ104" s="17">
        <f t="shared" si="104"/>
        <v>15.836666666666666</v>
      </c>
      <c r="CR104" s="17">
        <f t="shared" si="105"/>
        <v>17.883333333333333</v>
      </c>
      <c r="CS104" s="2" cm="1">
        <f t="array" aca="1" ref="CS104" ca="1">MAX(_xlfn._xlws.FILTER(CL104:CR104,CL104:CR104&lt;BN104))</f>
        <v>12.146666666666667</v>
      </c>
      <c r="CT104" s="2" cm="1">
        <f t="array" aca="1" ref="CT104" ca="1">MIN(_xlfn._xlws.FILTER($CL104:$CR104,$CL104:$CR104&gt;BN104))</f>
        <v>14.193333333333333</v>
      </c>
      <c r="CU104" s="16">
        <f t="shared" ca="1" si="119"/>
        <v>0.16849615806805707</v>
      </c>
      <c r="CV104" s="20">
        <f t="shared" ca="1" si="120"/>
        <v>-8.4248079034028533E-2</v>
      </c>
      <c r="CW104" s="20">
        <f t="shared" ca="1" si="121"/>
        <v>-5.6165386022685691E-2</v>
      </c>
      <c r="CX104" s="20">
        <f t="shared" ca="1" si="122"/>
        <v>-3.3699231613611415E-2</v>
      </c>
      <c r="CY104" s="20">
        <f t="shared" ca="1" si="123"/>
        <v>-1.8721795340895228E-2</v>
      </c>
      <c r="CZ104" s="20">
        <f t="shared" ca="1" si="124"/>
        <v>-9.9115387098857102E-3</v>
      </c>
      <c r="DA104" s="20">
        <f t="shared" ca="1" si="125"/>
        <v>-5.105944183880517E-3</v>
      </c>
      <c r="DB104" s="20">
        <f t="shared" ca="1" si="126"/>
        <v>-2.5922485856624163E-3</v>
      </c>
      <c r="DC104" s="21">
        <f t="shared" ca="1" si="127"/>
        <v>2.5922485856624163E-3</v>
      </c>
      <c r="DD104" s="21">
        <f t="shared" ca="1" si="128"/>
        <v>5.105944183880517E-3</v>
      </c>
      <c r="DE104" s="21">
        <f t="shared" ca="1" si="129"/>
        <v>9.9115387098857102E-3</v>
      </c>
      <c r="DF104" s="21">
        <f t="shared" ca="1" si="130"/>
        <v>1.8721795340895228E-2</v>
      </c>
      <c r="DG104" s="21">
        <f t="shared" ca="1" si="131"/>
        <v>3.3699231613611415E-2</v>
      </c>
      <c r="DH104" s="21">
        <f t="shared" ca="1" si="132"/>
        <v>5.6165386022685691E-2</v>
      </c>
      <c r="DI104" s="21">
        <f t="shared" ca="1" si="133"/>
        <v>8.4248079034028533E-2</v>
      </c>
      <c r="DK104" s="16" cm="1">
        <f t="array" aca="1" ref="DK104" ca="1">MAX(_xlfn._xlws.FILTER(CV104:DI104,CV104:DI104&lt;BT104))</f>
        <v>-5.105944183880517E-3</v>
      </c>
      <c r="DL104" s="16" cm="1">
        <f t="array" aca="1" ref="DL104" ca="1">MIN(_xlfn._xlws.FILTER(CV104:DI104,CV104:DI104&gt;BT104))</f>
        <v>-2.5922485856624163E-3</v>
      </c>
      <c r="DM104" s="2" cm="1">
        <f t="array" aca="1" ref="DM104" ca="1">_FV(EB104,"Fechamento anterior",TRUE)</f>
        <v>12.46</v>
      </c>
      <c r="DN104" s="28">
        <f t="shared" ca="1" si="106"/>
        <v>0.11558077051773662</v>
      </c>
      <c r="DO104" s="15">
        <f t="shared" ca="1" si="134"/>
        <v>12.39637993546885</v>
      </c>
      <c r="DP104" s="15">
        <f t="shared" ca="1" si="135"/>
        <v>12.427700582622647</v>
      </c>
      <c r="DQ104" s="9"/>
      <c r="DR104" s="9"/>
      <c r="DS104" s="9"/>
      <c r="DT104" s="89">
        <v>2.5136955982181007E-3</v>
      </c>
      <c r="DU104" s="89">
        <f t="shared" ca="1" si="107"/>
        <v>2.5136955982181007E-3</v>
      </c>
      <c r="DV104" s="72">
        <f t="shared" ca="1" si="108"/>
        <v>0.57451754580790793</v>
      </c>
      <c r="DW104" s="37"/>
      <c r="DX104" s="35">
        <f t="shared" si="118"/>
        <v>0.53958317245814791</v>
      </c>
      <c r="DY104" s="56"/>
      <c r="DZ104" s="56"/>
      <c r="EB104" s="2" t="e" vm="104">
        <v>#VALUE!</v>
      </c>
      <c r="ED104" s="10" cm="1">
        <f t="array" aca="1" ref="ED104" ca="1">_FV(EB104,"Ações em circulação",TRUE)</f>
        <v>2020000000</v>
      </c>
      <c r="EE104" s="18" t="e">
        <f>VLOOKUP(BO104,Fundamentus!A:U,5,FALSE)</f>
        <v>#N/A</v>
      </c>
      <c r="EF104" s="2" t="e">
        <f t="shared" ca="1" si="109"/>
        <v>#N/A</v>
      </c>
      <c r="EG104" s="17" t="e">
        <v>#N/A</v>
      </c>
      <c r="EH104" s="17" t="e">
        <f t="shared" ca="1" si="110"/>
        <v>#N/A</v>
      </c>
      <c r="EJ104" s="16" t="e">
        <f t="shared" ca="1" si="97"/>
        <v>#N/A</v>
      </c>
      <c r="EK104" s="32" t="e">
        <f>IF(VLOOKUP(BO104,Fundamentus!A:U,3,FALSE)&lt;15,"Bom",IF(VLOOKUP(BO104,Fundamentus!A:U,3,FALSE)&gt;15,"Ruim","n/a"))</f>
        <v>#N/A</v>
      </c>
      <c r="EL104" s="28" t="e">
        <f>IF(VLOOKUP(BO104,Fundamentus!A:U,4,FALSE)&lt;1,"Baixo",IF(VLOOKUP(BO104,Fundamentus!A:U,4,FALSE)&lt;1.5,"Moderado",IF(VLOOKUP(BO104,Fundamentus!A:U,4,FALSE)&gt;1.5,"Alto","n/a")))</f>
        <v>#N/A</v>
      </c>
      <c r="EM104" s="17" t="e">
        <f>IF(VLOOKUP(BO104,Fundamentus!A:U,8,FALSE)&lt;0,"Risco elevado",IF(VLOOKUP(BO104,Fundamentus!A:U,8,FALSE)&lt;1,"Saudável",IF(VLOOKUP(BO104,Fundamentus!A:U,8,FALSE)&lt;3,"Estável",IF(VLOOKUP(BO104,Fundamentus!A:U,8,FALSE)&gt;3,"Alerta","n/a"))))</f>
        <v>#N/A</v>
      </c>
      <c r="EN104" s="28" t="e">
        <f t="shared" si="111"/>
        <v>#N/A</v>
      </c>
      <c r="EO104" s="17" t="e">
        <f>IF(VLOOKUP(BO104,Fundamentus!A:U,12,FALSE)&lt;2,"Subvalorizada",IF(VLOOKUP(BO104,Fundamentus!A:U,12,FALSE)&lt;6,"Muita barata",IF(VLOOKUP(BO104,Fundamentus!A:U,12,FALSE)&lt;6,"Barata",IF(VLOOKUP(BO104,Fundamentus!A:U,12,FALSE)&lt;8,"Atrativa",IF(VLOOKUP(BO104,Fundamentus!A:U,12,FALSE)&gt;8,"Supervalorizada","n/a")))))</f>
        <v>#N/A</v>
      </c>
      <c r="EQ104" s="17" t="e">
        <f>IF(VLOOKUP(BO104,Fundamentus!A:U,17,FALSE)&lt;0.1,"Fraco retorno",IF(VLOOKUP(BO104,Fundamentus!A:U,17,FALSE)&gt;0.1,"Bom retorno","n/a"))</f>
        <v>#N/A</v>
      </c>
      <c r="ER104" s="17" t="e">
        <f>IF(VLOOKUP(BO104,Fundamentus!A:U,16,FALSE)&lt;0.1,"Ineficiente",IF(VLOOKUP(BO104,Fundamentus!A:U,16,FALSE)&gt;0.1,"Eficiente","n/a"))</f>
        <v>#N/A</v>
      </c>
      <c r="ES104" s="33" t="e">
        <f>IF(VLOOKUP(BO104,Fundamentus!A:U,16,FALSE)&lt;0.1,"Oper. Ineficiente",IF(VLOOKUP(BO104,Fundamentus!A:U,16,FALSE)&gt;0.1,"Oper.Eficiente","n/a"))</f>
        <v>#N/A</v>
      </c>
      <c r="ET104" s="34" t="e">
        <f>VLOOKUP(BO104,Fundamentus!A:U,14,FALSE)</f>
        <v>#N/A</v>
      </c>
      <c r="EU104" s="17" t="e">
        <f>IF(VLOOKUP(BO104,Fundamentus!A:U,21,FALSE)&lt;0,"Negativo",IF(VLOOKUP(BO104,Fundamentus!A:U,21,FALSE)&lt;0.05,"Fraco",IF(VLOOKUP(BO104,Fundamentus!A:U,21,FALSE)&lt;0.1,"Bom",IF(VLOOKUP(BO104,Fundamentus!A:U,21,FALSE)&gt;0.1,"Muito bom","n/a"))))</f>
        <v>#N/A</v>
      </c>
      <c r="EW104" s="29" t="e">
        <f>IF(VLOOKUP(BO104,Fundamentus!A:U,15,FALSE)&gt;1,"Bom",IF(VLOOKUP(BO104,Fundamentus!A:U,15,FALSE)&lt;1,"Ruim","n/a"))</f>
        <v>#N/A</v>
      </c>
      <c r="EX104" s="17" t="e">
        <f>IF(VLOOKUP(BO104,Fundamentus!A:U,20,FALSE)&lt;0.5,"Baixa",IF(VLOOKUP(BO104,Fundamentus!A:U,20,FALSE)&lt;1,"Moderada",IF(VLOOKUP(BO104,Fundamentus!A:U,20,FALSE)&lt;2,"Alerta",IF(VLOOKUP(BO104,Fundamentus!A:U,20,FALSE)&gt;2,"Alta","n/a"))))</f>
        <v>#N/A</v>
      </c>
      <c r="EY104" s="10"/>
    </row>
    <row r="105" spans="1:155" s="2" customFormat="1" ht="11.25"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5">
        <v>3.26</v>
      </c>
      <c r="BC105" s="52">
        <v>3.2</v>
      </c>
      <c r="BD105" s="52">
        <v>3.53</v>
      </c>
      <c r="BE105" s="52">
        <v>3.41</v>
      </c>
      <c r="BF105" s="52">
        <v>3.44</v>
      </c>
      <c r="BG105" s="67">
        <v>3.33</v>
      </c>
      <c r="BH105" s="52">
        <v>3.29</v>
      </c>
      <c r="BI105" s="52">
        <v>3.27</v>
      </c>
      <c r="BJ105" s="52">
        <v>3.47</v>
      </c>
      <c r="BK105" s="52">
        <v>3.48</v>
      </c>
      <c r="BL105" s="52">
        <v>3.35</v>
      </c>
      <c r="BM105" s="52">
        <v>3.39</v>
      </c>
      <c r="BN105" s="52" cm="1">
        <f t="array" aca="1" ref="BN105" ca="1">_FV(EB105,"Preço")</f>
        <v>3.39</v>
      </c>
      <c r="BO105" s="69" t="s">
        <v>102</v>
      </c>
      <c r="BP105" s="36" cm="1">
        <f t="array" aca="1" ref="BP105" ca="1">_FV(EB105,"Média de volume",TRUE)</f>
        <v>284390</v>
      </c>
      <c r="BQ105" s="36">
        <v>292900</v>
      </c>
      <c r="BR105" s="36" cm="1">
        <f t="array" aca="1" ref="BR105" ca="1">_FV(EB105,"Volume")</f>
        <v>292900</v>
      </c>
      <c r="BS105" s="24" cm="1">
        <f t="array" aca="1" ref="BS105" ca="1">_FV(EB105,"Beta")</f>
        <v>0.94140000000000001</v>
      </c>
      <c r="BT105" s="71" cm="1">
        <f t="array" aca="1" ref="BT105" ca="1">_FV(EB105,"Variação (%)",TRUE)</f>
        <v>1.1939999999999999E-2</v>
      </c>
      <c r="BV105" s="17" cm="1">
        <f t="array" aca="1" ref="BV105" ca="1">_FV(EB105,"Baixo")</f>
        <v>3.32</v>
      </c>
      <c r="BW105" s="17" cm="1">
        <f t="array" aca="1" ref="BW105" ca="1">_FV(EB105,"Alto")</f>
        <v>3.42</v>
      </c>
      <c r="BX105" s="24"/>
      <c r="BY105" s="63">
        <f ca="1">SQRT(22.5*(BN105/VLOOKUP(BO105,Fundamentus!A:U,3,FALSE))*(BN105/VLOOKUP(BO105,Fundamentus!A:U,4,FALSE)))</f>
        <v>5.5574600242096217</v>
      </c>
      <c r="CA105" s="62">
        <f t="shared" ca="1" si="112"/>
        <v>0</v>
      </c>
      <c r="CB105" s="8"/>
      <c r="CC105" s="61">
        <f t="shared" si="113"/>
        <v>3.2</v>
      </c>
      <c r="CD105" s="61">
        <f t="shared" si="114"/>
        <v>4.54</v>
      </c>
      <c r="CE105" s="61">
        <f t="shared" si="115"/>
        <v>3.5682307692307695</v>
      </c>
      <c r="CF105" s="14"/>
      <c r="CG105" s="35">
        <f t="shared" si="98"/>
        <v>3.2210275264114956</v>
      </c>
      <c r="CH105" s="15">
        <f t="shared" si="116"/>
        <v>3.3300000000000125</v>
      </c>
      <c r="CI105" s="35">
        <f t="shared" si="99"/>
        <v>3.4389724735885294</v>
      </c>
      <c r="CK105" s="14"/>
      <c r="CL105" s="17">
        <f t="shared" si="100"/>
        <v>1.5133333333333336</v>
      </c>
      <c r="CM105" s="17">
        <f t="shared" si="101"/>
        <v>2.3566666666666669</v>
      </c>
      <c r="CN105" s="17">
        <f t="shared" si="102"/>
        <v>2.8533333333333335</v>
      </c>
      <c r="CO105" s="38">
        <f t="shared" si="117"/>
        <v>3.6966666666666668</v>
      </c>
      <c r="CP105" s="17">
        <f t="shared" si="103"/>
        <v>4.1933333333333334</v>
      </c>
      <c r="CQ105" s="17">
        <f t="shared" si="104"/>
        <v>5.0366666666666671</v>
      </c>
      <c r="CR105" s="17">
        <f t="shared" si="105"/>
        <v>5.5333333333333332</v>
      </c>
      <c r="CS105" s="2" cm="1">
        <f t="array" aca="1" ref="CS105" ca="1">MAX(_xlfn._xlws.FILTER(CL105:CR105,CL105:CR105&lt;BN105))</f>
        <v>2.8533333333333335</v>
      </c>
      <c r="CT105" s="2" cm="1">
        <f t="array" aca="1" ref="CT105" ca="1">MIN(_xlfn._xlws.FILTER($CL105:$CR105,$CL105:$CR105&gt;BN105))</f>
        <v>3.6966666666666668</v>
      </c>
      <c r="CU105" s="16">
        <f t="shared" ca="1" si="119"/>
        <v>0.29556074766355134</v>
      </c>
      <c r="CV105" s="20">
        <f t="shared" ca="1" si="120"/>
        <v>-0.14778037383177567</v>
      </c>
      <c r="CW105" s="20">
        <f t="shared" ca="1" si="121"/>
        <v>-9.8520249221183784E-2</v>
      </c>
      <c r="CX105" s="20">
        <f t="shared" ca="1" si="122"/>
        <v>-5.9112149532710268E-2</v>
      </c>
      <c r="CY105" s="20">
        <f t="shared" ca="1" si="123"/>
        <v>-3.2840083073727926E-2</v>
      </c>
      <c r="CZ105" s="20">
        <f t="shared" ca="1" si="124"/>
        <v>-1.738592633315008E-2</v>
      </c>
      <c r="DA105" s="20">
        <f t="shared" ca="1" si="125"/>
        <v>-8.9563862928348885E-3</v>
      </c>
      <c r="DB105" s="20">
        <f t="shared" ca="1" si="126"/>
        <v>-4.5470884255930976E-3</v>
      </c>
      <c r="DC105" s="21">
        <f t="shared" ca="1" si="127"/>
        <v>4.5470884255930976E-3</v>
      </c>
      <c r="DD105" s="21">
        <f t="shared" ca="1" si="128"/>
        <v>8.9563862928348885E-3</v>
      </c>
      <c r="DE105" s="21">
        <f t="shared" ca="1" si="129"/>
        <v>1.738592633315008E-2</v>
      </c>
      <c r="DF105" s="21">
        <f t="shared" ca="1" si="130"/>
        <v>3.2840083073727926E-2</v>
      </c>
      <c r="DG105" s="21">
        <f t="shared" ca="1" si="131"/>
        <v>5.9112149532710268E-2</v>
      </c>
      <c r="DH105" s="21">
        <f t="shared" ca="1" si="132"/>
        <v>9.8520249221183784E-2</v>
      </c>
      <c r="DI105" s="21">
        <f t="shared" ca="1" si="133"/>
        <v>0.14778037383177567</v>
      </c>
      <c r="DK105" s="16" cm="1">
        <f t="array" aca="1" ref="DK105" ca="1">MAX(_xlfn._xlws.FILTER(CV105:DI105,CV105:DI105&lt;BT105))</f>
        <v>8.9563862928348885E-3</v>
      </c>
      <c r="DL105" s="16" cm="1">
        <f t="array" aca="1" ref="DL105" ca="1">MIN(_xlfn._xlws.FILTER(CV105:DI105,CV105:DI105&gt;BT105))</f>
        <v>1.738592633315008E-2</v>
      </c>
      <c r="DM105" s="2" cm="1">
        <f t="array" aca="1" ref="DM105" ca="1">_FV(EB105,"Fechamento anterior",TRUE)</f>
        <v>3.35</v>
      </c>
      <c r="DN105" s="28">
        <f t="shared" ca="1" si="106"/>
        <v>0.35398280337442978</v>
      </c>
      <c r="DO105" s="15">
        <f t="shared" ca="1" si="134"/>
        <v>3.3800038940809971</v>
      </c>
      <c r="DP105" s="15">
        <f t="shared" ca="1" si="135"/>
        <v>3.4082428532160529</v>
      </c>
      <c r="DQ105" s="9"/>
      <c r="DR105" s="9"/>
      <c r="DS105" s="9"/>
      <c r="DT105" s="89">
        <v>8.4295400403151914E-3</v>
      </c>
      <c r="DU105" s="89">
        <f t="shared" ca="1" si="107"/>
        <v>8.4295400403151914E-3</v>
      </c>
      <c r="DV105" s="72">
        <f t="shared" ca="1" si="108"/>
        <v>0.55059776128923421</v>
      </c>
      <c r="DW105" s="37"/>
      <c r="DX105" s="35">
        <f t="shared" si="118"/>
        <v>5.4486236794258409E-2</v>
      </c>
      <c r="DY105" s="56"/>
      <c r="DZ105" s="56"/>
      <c r="EB105" s="2" t="e" vm="105">
        <v>#VALUE!</v>
      </c>
      <c r="ED105" s="10" cm="1">
        <f t="array" aca="1" ref="ED105" ca="1">_FV(EB105,"Ações em circulação",TRUE)</f>
        <v>206269300</v>
      </c>
      <c r="EE105" s="18">
        <f>VLOOKUP(BO105,Fundamentus!A:U,5,FALSE)</f>
        <v>0.69499999999999995</v>
      </c>
      <c r="EF105" s="2">
        <f t="shared" ca="1" si="109"/>
        <v>1006119319.4244605</v>
      </c>
      <c r="EG105" s="17">
        <v>115301274.00604317</v>
      </c>
      <c r="EH105" s="17">
        <f t="shared" ca="1" si="110"/>
        <v>115301274.00604317</v>
      </c>
      <c r="EJ105" s="16">
        <f t="shared" ca="1" si="97"/>
        <v>0</v>
      </c>
      <c r="EK105" s="32" t="str">
        <f>IF(VLOOKUP(BO105,Fundamentus!A:U,3,FALSE)&lt;15,"Bom",IF(VLOOKUP(BO105,Fundamentus!A:U,3,FALSE)&gt;15,"Ruim","n/a"))</f>
        <v>Bom</v>
      </c>
      <c r="EL105" s="28" t="str">
        <f>IF(VLOOKUP(BO105,Fundamentus!A:U,4,FALSE)&lt;1,"Baixo",IF(VLOOKUP(BO105,Fundamentus!A:U,4,FALSE)&lt;1.5,"Moderado",IF(VLOOKUP(BO105,Fundamentus!A:U,4,FALSE)&gt;1.5,"Alto","n/a")))</f>
        <v>Baixo</v>
      </c>
      <c r="EM105" s="17" t="str">
        <f>IF(VLOOKUP(BO105,Fundamentus!A:U,8,FALSE)&lt;0,"Risco elevado",IF(VLOOKUP(BO105,Fundamentus!A:U,8,FALSE)&lt;1,"Saudável",IF(VLOOKUP(BO105,Fundamentus!A:U,8,FALSE)&lt;3,"Estável",IF(VLOOKUP(BO105,Fundamentus!A:U,8,FALSE)&gt;3,"Alerta","n/a"))))</f>
        <v>Saudável</v>
      </c>
      <c r="EN105" s="28" t="str">
        <f t="shared" si="111"/>
        <v>Ruim</v>
      </c>
      <c r="EO105" s="17" t="str">
        <f>IF(VLOOKUP(BO105,Fundamentus!A:U,12,FALSE)&lt;2,"Subvalorizada",IF(VLOOKUP(BO105,Fundamentus!A:U,12,FALSE)&lt;6,"Muita barata",IF(VLOOKUP(BO105,Fundamentus!A:U,12,FALSE)&lt;6,"Barata",IF(VLOOKUP(BO105,Fundamentus!A:U,12,FALSE)&lt;8,"Atrativa",IF(VLOOKUP(BO105,Fundamentus!A:U,12,FALSE)&gt;8,"Supervalorizada","n/a")))))</f>
        <v>Supervalorizada</v>
      </c>
      <c r="EQ105" s="17" t="str">
        <f>IF(VLOOKUP(BO105,Fundamentus!A:U,17,FALSE)&lt;0.1,"Fraco retorno",IF(VLOOKUP(BO105,Fundamentus!A:U,17,FALSE)&gt;0.1,"Bom retorno","n/a"))</f>
        <v>Fraco retorno</v>
      </c>
      <c r="ER105" s="17" t="str">
        <f>IF(VLOOKUP(BO105,Fundamentus!A:U,16,FALSE)&lt;0.1,"Ineficiente",IF(VLOOKUP(BO105,Fundamentus!A:U,16,FALSE)&gt;0.1,"Eficiente","n/a"))</f>
        <v>Ineficiente</v>
      </c>
      <c r="ES105" s="33" t="str">
        <f>IF(VLOOKUP(BO105,Fundamentus!A:U,16,FALSE)&lt;0.1,"Oper. Ineficiente",IF(VLOOKUP(BO105,Fundamentus!A:U,16,FALSE)&gt;0.1,"Oper.Eficiente","n/a"))</f>
        <v>Oper. Ineficiente</v>
      </c>
      <c r="ET105" s="34">
        <f>VLOOKUP(BO105,Fundamentus!A:U,14,FALSE)</f>
        <v>0.11459999999999999</v>
      </c>
      <c r="EU105" s="17" t="str">
        <f>IF(VLOOKUP(BO105,Fundamentus!A:U,21,FALSE)&lt;0,"Negativo",IF(VLOOKUP(BO105,Fundamentus!A:U,21,FALSE)&lt;0.05,"Fraco",IF(VLOOKUP(BO105,Fundamentus!A:U,21,FALSE)&lt;0.1,"Bom",IF(VLOOKUP(BO105,Fundamentus!A:U,21,FALSE)&gt;0.1,"Muito bom","n/a"))))</f>
        <v>Muito bom</v>
      </c>
      <c r="EW105" s="29" t="str">
        <f>IF(VLOOKUP(BO105,Fundamentus!A:U,15,FALSE)&gt;1,"Bom",IF(VLOOKUP(BO105,Fundamentus!A:U,15,FALSE)&lt;1,"Ruim","n/a"))</f>
        <v>Bom</v>
      </c>
      <c r="EX105" s="17" t="str">
        <f>IF(VLOOKUP(BO105,Fundamentus!A:U,20,FALSE)&lt;0.5,"Baixa",IF(VLOOKUP(BO105,Fundamentus!A:U,20,FALSE)&lt;1,"Moderada",IF(VLOOKUP(BO105,Fundamentus!A:U,20,FALSE)&lt;2,"Alerta",IF(VLOOKUP(BO105,Fundamentus!A:U,20,FALSE)&gt;2,"Alta","n/a"))))</f>
        <v>Baixa</v>
      </c>
      <c r="EY105" s="10"/>
    </row>
    <row r="106" spans="1:155" s="2" customFormat="1" ht="11.25"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5">
        <v>38.6</v>
      </c>
      <c r="BC106" s="52">
        <v>39.799999999999997</v>
      </c>
      <c r="BD106" s="52">
        <v>40.590000000000003</v>
      </c>
      <c r="BE106" s="52">
        <v>40.49</v>
      </c>
      <c r="BF106" s="52">
        <v>40.520000000000003</v>
      </c>
      <c r="BG106" s="67">
        <v>40.5</v>
      </c>
      <c r="BH106" s="52">
        <v>40.28</v>
      </c>
      <c r="BI106" s="52">
        <v>40.33</v>
      </c>
      <c r="BJ106" s="52">
        <v>40.98</v>
      </c>
      <c r="BK106" s="52">
        <v>38.06</v>
      </c>
      <c r="BL106" s="52">
        <v>38.18</v>
      </c>
      <c r="BM106" s="52">
        <v>38.200000000000003</v>
      </c>
      <c r="BN106" s="52" cm="1">
        <f t="array" aca="1" ref="BN106" ca="1">_FV(EB106,"Preço")</f>
        <v>38.200000000000003</v>
      </c>
      <c r="BO106" s="69" t="s">
        <v>103</v>
      </c>
      <c r="BP106" s="36" cm="1">
        <f t="array" aca="1" ref="BP106" ca="1">_FV(EB106,"Média de volume",TRUE)</f>
        <v>1092560</v>
      </c>
      <c r="BQ106" s="36">
        <v>626800</v>
      </c>
      <c r="BR106" s="36" cm="1">
        <f t="array" aca="1" ref="BR106" ca="1">_FV(EB106,"Volume")</f>
        <v>626800</v>
      </c>
      <c r="BS106" s="24" cm="1">
        <f t="array" aca="1" ref="BS106" ca="1">_FV(EB106,"Beta")</f>
        <v>0.66269999999999996</v>
      </c>
      <c r="BT106" s="71" cm="1">
        <f t="array" aca="1" ref="BT106" ca="1">_FV(EB106,"Variação (%)",TRUE)</f>
        <v>1.3109999999999999E-3</v>
      </c>
      <c r="BV106" s="17" cm="1">
        <f t="array" aca="1" ref="BV106" ca="1">_FV(EB106,"Baixo")</f>
        <v>38.090000000000003</v>
      </c>
      <c r="BW106" s="17" cm="1">
        <f t="array" aca="1" ref="BW106" ca="1">_FV(EB106,"Alto")</f>
        <v>38.479999999999997</v>
      </c>
      <c r="BX106" s="24"/>
      <c r="BY106" s="63">
        <f ca="1">SQRT(22.5*(BN106/VLOOKUP(BO106,Fundamentus!A:U,3,FALSE))*(BN106/VLOOKUP(BO106,Fundamentus!A:U,4,FALSE)))</f>
        <v>44.531407352782843</v>
      </c>
      <c r="CA106" s="62">
        <f t="shared" ca="1" si="112"/>
        <v>0</v>
      </c>
      <c r="CB106" s="8"/>
      <c r="CC106" s="61">
        <f t="shared" si="113"/>
        <v>31</v>
      </c>
      <c r="CD106" s="61">
        <f t="shared" si="114"/>
        <v>40.98</v>
      </c>
      <c r="CE106" s="61">
        <f t="shared" si="115"/>
        <v>35.042692307692299</v>
      </c>
      <c r="CF106" s="14"/>
      <c r="CG106" s="35">
        <f t="shared" si="98"/>
        <v>34.343925896882681</v>
      </c>
      <c r="CH106" s="15">
        <f t="shared" si="116"/>
        <v>36.799999999999272</v>
      </c>
      <c r="CI106" s="35">
        <f t="shared" si="99"/>
        <v>39.256074103115864</v>
      </c>
      <c r="CK106" s="14"/>
      <c r="CL106" s="17">
        <f t="shared" si="100"/>
        <v>22.480000000000004</v>
      </c>
      <c r="CM106" s="17">
        <f t="shared" si="101"/>
        <v>26.740000000000002</v>
      </c>
      <c r="CN106" s="17">
        <f t="shared" si="102"/>
        <v>32.46</v>
      </c>
      <c r="CO106" s="38">
        <f t="shared" si="117"/>
        <v>36.72</v>
      </c>
      <c r="CP106" s="17">
        <f t="shared" si="103"/>
        <v>42.44</v>
      </c>
      <c r="CQ106" s="17">
        <f t="shared" si="104"/>
        <v>46.699999999999996</v>
      </c>
      <c r="CR106" s="17">
        <f t="shared" si="105"/>
        <v>52.419999999999995</v>
      </c>
      <c r="CS106" s="2" cm="1">
        <f t="array" aca="1" ref="CS106" ca="1">MAX(_xlfn._xlws.FILTER(CL106:CR106,CL106:CR106&lt;BN106))</f>
        <v>36.72</v>
      </c>
      <c r="CT106" s="2" cm="1">
        <f t="array" aca="1" ref="CT106" ca="1">MIN(_xlfn._xlws.FILTER($CL106:$CR106,$CL106:$CR106&gt;BN106))</f>
        <v>42.44</v>
      </c>
      <c r="CU106" s="16">
        <f t="shared" ca="1" si="119"/>
        <v>0.15577342047930287</v>
      </c>
      <c r="CV106" s="20">
        <f t="shared" ca="1" si="120"/>
        <v>-7.7886710239651435E-2</v>
      </c>
      <c r="CW106" s="20">
        <f t="shared" ca="1" si="121"/>
        <v>-5.1924473493100955E-2</v>
      </c>
      <c r="CX106" s="20">
        <f t="shared" ca="1" si="122"/>
        <v>-3.1154684095860575E-2</v>
      </c>
      <c r="CY106" s="20">
        <f t="shared" ca="1" si="123"/>
        <v>-1.7308157831033653E-2</v>
      </c>
      <c r="CZ106" s="20">
        <f t="shared" ca="1" si="124"/>
        <v>-9.1631423811354626E-3</v>
      </c>
      <c r="DA106" s="20">
        <f t="shared" ca="1" si="125"/>
        <v>-4.7204066811909959E-3</v>
      </c>
      <c r="DB106" s="20">
        <f t="shared" ca="1" si="126"/>
        <v>-2.396514161220044E-3</v>
      </c>
      <c r="DC106" s="21">
        <f t="shared" ca="1" si="127"/>
        <v>2.396514161220044E-3</v>
      </c>
      <c r="DD106" s="21">
        <f t="shared" ca="1" si="128"/>
        <v>4.7204066811909959E-3</v>
      </c>
      <c r="DE106" s="21">
        <f t="shared" ca="1" si="129"/>
        <v>9.1631423811354626E-3</v>
      </c>
      <c r="DF106" s="21">
        <f t="shared" ca="1" si="130"/>
        <v>1.7308157831033653E-2</v>
      </c>
      <c r="DG106" s="21">
        <f t="shared" ca="1" si="131"/>
        <v>3.1154684095860575E-2</v>
      </c>
      <c r="DH106" s="21">
        <f t="shared" ca="1" si="132"/>
        <v>5.1924473493100955E-2</v>
      </c>
      <c r="DI106" s="21">
        <f t="shared" ca="1" si="133"/>
        <v>7.7886710239651435E-2</v>
      </c>
      <c r="DK106" s="16" cm="1">
        <f t="array" aca="1" ref="DK106" ca="1">MAX(_xlfn._xlws.FILTER(CV106:DI106,CV106:DI106&lt;BT106))</f>
        <v>-2.396514161220044E-3</v>
      </c>
      <c r="DL106" s="16" cm="1">
        <f t="array" aca="1" ref="DL106" ca="1">MIN(_xlfn._xlws.FILTER(CV106:DI106,CV106:DI106&gt;BT106))</f>
        <v>2.396514161220044E-3</v>
      </c>
      <c r="DM106" s="2" cm="1">
        <f t="array" aca="1" ref="DM106" ca="1">_FV(EB106,"Fechamento anterior",TRUE)</f>
        <v>38.15</v>
      </c>
      <c r="DN106" s="28">
        <f t="shared" ca="1" si="106"/>
        <v>0.77344215417612083</v>
      </c>
      <c r="DO106" s="15">
        <f t="shared" ca="1" si="134"/>
        <v>38.058572984749453</v>
      </c>
      <c r="DP106" s="15">
        <f t="shared" ca="1" si="135"/>
        <v>38.241427015250544</v>
      </c>
      <c r="DQ106" s="9"/>
      <c r="DR106" s="9"/>
      <c r="DS106" s="9"/>
      <c r="DT106" s="89">
        <v>4.793028322440088E-3</v>
      </c>
      <c r="DU106" s="89">
        <f t="shared" ca="1" si="107"/>
        <v>4.793028322440088E-3</v>
      </c>
      <c r="DV106" s="72">
        <f t="shared" ca="1" si="108"/>
        <v>0.57001537462742891</v>
      </c>
      <c r="DW106" s="37"/>
      <c r="DX106" s="35">
        <f t="shared" si="118"/>
        <v>1.2280370515582968</v>
      </c>
      <c r="DY106" s="56"/>
      <c r="DZ106" s="56"/>
      <c r="EB106" s="2" t="e" vm="106">
        <v>#VALUE!</v>
      </c>
      <c r="ED106" s="10" cm="1">
        <f t="array" aca="1" ref="ED106" ca="1">_FV(EB106,"Ações em circulação",TRUE)</f>
        <v>1152254000</v>
      </c>
      <c r="EE106" s="18">
        <f>VLOOKUP(BO106,Fundamentus!A:U,5,FALSE)</f>
        <v>1.0289999999999999</v>
      </c>
      <c r="EF106" s="2">
        <f t="shared" ca="1" si="109"/>
        <v>42775610106.89991</v>
      </c>
      <c r="EG106" s="17">
        <v>5577939557.9397478</v>
      </c>
      <c r="EH106" s="17">
        <f t="shared" ca="1" si="110"/>
        <v>5577939557.9397478</v>
      </c>
      <c r="EJ106" s="16">
        <f t="shared" ca="1" si="97"/>
        <v>0</v>
      </c>
      <c r="EK106" s="32" t="str">
        <f>IF(VLOOKUP(BO106,Fundamentus!A:U,3,FALSE)&lt;15,"Bom",IF(VLOOKUP(BO106,Fundamentus!A:U,3,FALSE)&gt;15,"Ruim","n/a"))</f>
        <v>Bom</v>
      </c>
      <c r="EL106" s="28" t="str">
        <f>IF(VLOOKUP(BO106,Fundamentus!A:U,4,FALSE)&lt;1,"Baixo",IF(VLOOKUP(BO106,Fundamentus!A:U,4,FALSE)&lt;1.5,"Moderado",IF(VLOOKUP(BO106,Fundamentus!A:U,4,FALSE)&gt;1.5,"Alto","n/a")))</f>
        <v>Alto</v>
      </c>
      <c r="EM106" s="17" t="str">
        <f>IF(VLOOKUP(BO106,Fundamentus!A:U,8,FALSE)&lt;0,"Risco elevado",IF(VLOOKUP(BO106,Fundamentus!A:U,8,FALSE)&lt;1,"Saudável",IF(VLOOKUP(BO106,Fundamentus!A:U,8,FALSE)&lt;3,"Estável",IF(VLOOKUP(BO106,Fundamentus!A:U,8,FALSE)&gt;3,"Alerta","n/a"))))</f>
        <v>Risco elevado</v>
      </c>
      <c r="EN106" s="28" t="str">
        <f t="shared" si="111"/>
        <v>Bom</v>
      </c>
      <c r="EO106" s="17" t="str">
        <f>IF(VLOOKUP(BO106,Fundamentus!A:U,12,FALSE)&lt;2,"Subvalorizada",IF(VLOOKUP(BO106,Fundamentus!A:U,12,FALSE)&lt;6,"Muita barata",IF(VLOOKUP(BO106,Fundamentus!A:U,12,FALSE)&lt;6,"Barata",IF(VLOOKUP(BO106,Fundamentus!A:U,12,FALSE)&lt;8,"Atrativa",IF(VLOOKUP(BO106,Fundamentus!A:U,12,FALSE)&gt;8,"Supervalorizada","n/a")))))</f>
        <v>Muita barata</v>
      </c>
      <c r="EQ106" s="17" t="str">
        <f>IF(VLOOKUP(BO106,Fundamentus!A:U,17,FALSE)&lt;0.1,"Fraco retorno",IF(VLOOKUP(BO106,Fundamentus!A:U,17,FALSE)&gt;0.1,"Bom retorno","n/a"))</f>
        <v>Bom retorno</v>
      </c>
      <c r="ER106" s="17" t="str">
        <f>IF(VLOOKUP(BO106,Fundamentus!A:U,16,FALSE)&lt;0.1,"Ineficiente",IF(VLOOKUP(BO106,Fundamentus!A:U,16,FALSE)&gt;0.1,"Eficiente","n/a"))</f>
        <v>Eficiente</v>
      </c>
      <c r="ES106" s="33" t="str">
        <f>IF(VLOOKUP(BO106,Fundamentus!A:U,16,FALSE)&lt;0.1,"Oper. Ineficiente",IF(VLOOKUP(BO106,Fundamentus!A:U,16,FALSE)&gt;0.1,"Oper.Eficiente","n/a"))</f>
        <v>Oper.Eficiente</v>
      </c>
      <c r="ET106" s="34">
        <f>VLOOKUP(BO106,Fundamentus!A:U,14,FALSE)</f>
        <v>0.13039999999999999</v>
      </c>
      <c r="EU106" s="17" t="str">
        <f>IF(VLOOKUP(BO106,Fundamentus!A:U,21,FALSE)&lt;0,"Negativo",IF(VLOOKUP(BO106,Fundamentus!A:U,21,FALSE)&lt;0.05,"Fraco",IF(VLOOKUP(BO106,Fundamentus!A:U,21,FALSE)&lt;0.1,"Bom",IF(VLOOKUP(BO106,Fundamentus!A:U,21,FALSE)&gt;0.1,"Muito bom","n/a"))))</f>
        <v>Bom</v>
      </c>
      <c r="EW106" s="29" t="str">
        <f>IF(VLOOKUP(BO106,Fundamentus!A:U,15,FALSE)&gt;1,"Bom",IF(VLOOKUP(BO106,Fundamentus!A:U,15,FALSE)&lt;1,"Ruim","n/a"))</f>
        <v>Ruim</v>
      </c>
      <c r="EX106" s="17" t="str">
        <f>IF(VLOOKUP(BO106,Fundamentus!A:U,20,FALSE)&lt;0.5,"Baixa",IF(VLOOKUP(BO106,Fundamentus!A:U,20,FALSE)&lt;1,"Moderada",IF(VLOOKUP(BO106,Fundamentus!A:U,20,FALSE)&lt;2,"Alerta",IF(VLOOKUP(BO106,Fundamentus!A:U,20,FALSE)&gt;2,"Alta","n/a"))))</f>
        <v>Alerta</v>
      </c>
      <c r="EY106" s="10"/>
    </row>
    <row r="107" spans="1:155" s="2" customFormat="1" ht="11.25"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5">
        <v>116.21</v>
      </c>
      <c r="BC107" s="52">
        <v>116</v>
      </c>
      <c r="BD107" s="52">
        <v>117.06</v>
      </c>
      <c r="BE107" s="52">
        <v>117.38</v>
      </c>
      <c r="BF107" s="52">
        <v>114.96</v>
      </c>
      <c r="BG107" s="67">
        <v>115.11</v>
      </c>
      <c r="BH107" s="52">
        <v>115.65</v>
      </c>
      <c r="BI107" s="52">
        <v>115.05</v>
      </c>
      <c r="BJ107" s="52">
        <v>117.82</v>
      </c>
      <c r="BK107" s="52">
        <v>111.63</v>
      </c>
      <c r="BL107" s="52">
        <v>110.68</v>
      </c>
      <c r="BM107" s="52">
        <v>107.45</v>
      </c>
      <c r="BN107" s="52" cm="1">
        <f t="array" aca="1" ref="BN107" ca="1">_FV(EB107,"Preço")</f>
        <v>107.45</v>
      </c>
      <c r="BO107" s="69" t="s">
        <v>104</v>
      </c>
      <c r="BP107" s="36" cm="1">
        <f t="array" aca="1" ref="BP107" ca="1">_FV(EB107,"Média de volume",TRUE)</f>
        <v>2441950</v>
      </c>
      <c r="BQ107" s="36">
        <v>1882600</v>
      </c>
      <c r="BR107" s="36" cm="1">
        <f t="array" aca="1" ref="BR107" ca="1">_FV(EB107,"Volume")</f>
        <v>1882600</v>
      </c>
      <c r="BS107" s="24" cm="1">
        <f t="array" aca="1" ref="BS107" ca="1">_FV(EB107,"Beta")</f>
        <v>0.88690000000000002</v>
      </c>
      <c r="BT107" s="71" cm="1">
        <f t="array" aca="1" ref="BT107" ca="1">_FV(EB107,"Variação (%)",TRUE)</f>
        <v>-1.3949E-2</v>
      </c>
      <c r="BV107" s="17" cm="1">
        <f t="array" aca="1" ref="BV107" ca="1">_FV(EB107,"Baixo")</f>
        <v>107.18</v>
      </c>
      <c r="BW107" s="17" cm="1">
        <f t="array" aca="1" ref="BW107" ca="1">_FV(EB107,"Alto")</f>
        <v>110.18</v>
      </c>
      <c r="BX107" s="24"/>
      <c r="BY107" s="63">
        <f ca="1">SQRT(22.5*(BN107/VLOOKUP(BO107,Fundamentus!A:U,3,FALSE))*(BN107/VLOOKUP(BO107,Fundamentus!A:U,4,FALSE)))</f>
        <v>133.39988703469166</v>
      </c>
      <c r="CA107" s="62">
        <f t="shared" ca="1" si="112"/>
        <v>0</v>
      </c>
      <c r="CB107" s="8"/>
      <c r="CC107" s="61">
        <f t="shared" si="113"/>
        <v>73.86</v>
      </c>
      <c r="CD107" s="61">
        <f t="shared" si="114"/>
        <v>117.82</v>
      </c>
      <c r="CE107" s="61">
        <f t="shared" si="115"/>
        <v>95.766384615384638</v>
      </c>
      <c r="CF107" s="14"/>
      <c r="CG107" s="35">
        <f t="shared" si="98"/>
        <v>96.369334250548448</v>
      </c>
      <c r="CH107" s="15">
        <f t="shared" si="116"/>
        <v>103.88000000000102</v>
      </c>
      <c r="CI107" s="35">
        <f t="shared" si="99"/>
        <v>111.39066574945359</v>
      </c>
      <c r="CK107" s="14"/>
      <c r="CL107" s="17">
        <f t="shared" si="100"/>
        <v>39.793333333333365</v>
      </c>
      <c r="CM107" s="17">
        <f t="shared" si="101"/>
        <v>56.826666666666682</v>
      </c>
      <c r="CN107" s="17">
        <f t="shared" si="102"/>
        <v>83.753333333333359</v>
      </c>
      <c r="CO107" s="38">
        <f t="shared" si="117"/>
        <v>100.78666666666668</v>
      </c>
      <c r="CP107" s="17">
        <f t="shared" si="103"/>
        <v>127.71333333333335</v>
      </c>
      <c r="CQ107" s="17">
        <f t="shared" si="104"/>
        <v>144.74666666666667</v>
      </c>
      <c r="CR107" s="17">
        <f t="shared" si="105"/>
        <v>171.67333333333335</v>
      </c>
      <c r="CS107" s="2" cm="1">
        <f t="array" aca="1" ref="CS107" ca="1">MAX(_xlfn._xlws.FILTER(CL107:CR107,CL107:CR107&lt;BN107))</f>
        <v>100.78666666666668</v>
      </c>
      <c r="CT107" s="2" cm="1">
        <f t="array" aca="1" ref="CT107" ca="1">MIN(_xlfn._xlws.FILTER($CL107:$CR107,$CL107:$CR107&gt;BN107))</f>
        <v>127.71333333333335</v>
      </c>
      <c r="CU107" s="16">
        <f t="shared" ca="1" si="119"/>
        <v>0.26716496891123165</v>
      </c>
      <c r="CV107" s="20">
        <f t="shared" ca="1" si="120"/>
        <v>-0.13358248445561582</v>
      </c>
      <c r="CW107" s="20">
        <f t="shared" ca="1" si="121"/>
        <v>-8.9054989637077211E-2</v>
      </c>
      <c r="CX107" s="20">
        <f t="shared" ca="1" si="122"/>
        <v>-5.3432993782246328E-2</v>
      </c>
      <c r="CY107" s="20">
        <f t="shared" ca="1" si="123"/>
        <v>-2.9684996545692406E-2</v>
      </c>
      <c r="CZ107" s="20">
        <f t="shared" ca="1" si="124"/>
        <v>-1.5715586406543039E-2</v>
      </c>
      <c r="DA107" s="20">
        <f t="shared" ca="1" si="125"/>
        <v>-8.095908148825201E-3</v>
      </c>
      <c r="DB107" s="20">
        <f t="shared" ca="1" si="126"/>
        <v>-4.1102302909420251E-3</v>
      </c>
      <c r="DC107" s="21">
        <f t="shared" ca="1" si="127"/>
        <v>4.1102302909420251E-3</v>
      </c>
      <c r="DD107" s="21">
        <f t="shared" ca="1" si="128"/>
        <v>8.095908148825201E-3</v>
      </c>
      <c r="DE107" s="21">
        <f t="shared" ca="1" si="129"/>
        <v>1.5715586406543039E-2</v>
      </c>
      <c r="DF107" s="21">
        <f t="shared" ca="1" si="130"/>
        <v>2.9684996545692406E-2</v>
      </c>
      <c r="DG107" s="21">
        <f t="shared" ca="1" si="131"/>
        <v>5.3432993782246328E-2</v>
      </c>
      <c r="DH107" s="21">
        <f t="shared" ca="1" si="132"/>
        <v>8.9054989637077211E-2</v>
      </c>
      <c r="DI107" s="21">
        <f t="shared" ca="1" si="133"/>
        <v>0.13358248445561582</v>
      </c>
      <c r="DK107" s="16" cm="1">
        <f t="array" aca="1" ref="DK107" ca="1">MAX(_xlfn._xlws.FILTER(CV107:DI107,CV107:DI107&lt;BT107))</f>
        <v>-1.5715586406543039E-2</v>
      </c>
      <c r="DL107" s="16" cm="1">
        <f t="array" aca="1" ref="DL107" ca="1">MIN(_xlfn._xlws.FILTER(CV107:DI107,CV107:DI107&gt;BT107))</f>
        <v>-8.095908148825201E-3</v>
      </c>
      <c r="DM107" s="2" cm="1">
        <f t="array" aca="1" ref="DM107" ca="1">_FV(EB107,"Fechamento anterior",TRUE)</f>
        <v>108.97</v>
      </c>
      <c r="DN107" s="28">
        <f t="shared" ca="1" si="106"/>
        <v>0.23187240995458785</v>
      </c>
      <c r="DO107" s="15">
        <f t="shared" ca="1" si="134"/>
        <v>107.257472549279</v>
      </c>
      <c r="DP107" s="15">
        <f t="shared" ca="1" si="135"/>
        <v>108.08778888902252</v>
      </c>
      <c r="DQ107" s="9"/>
      <c r="DR107" s="9"/>
      <c r="DS107" s="9"/>
      <c r="DT107" s="89">
        <v>7.6196782577178379E-3</v>
      </c>
      <c r="DU107" s="89">
        <f t="shared" ca="1" si="107"/>
        <v>7.6196782577178379E-3</v>
      </c>
      <c r="DV107" s="72">
        <f t="shared" ca="1" si="108"/>
        <v>0.47532404171483605</v>
      </c>
      <c r="DW107" s="37"/>
      <c r="DX107" s="35">
        <f t="shared" si="118"/>
        <v>3.7553328747262831</v>
      </c>
      <c r="DY107" s="56"/>
      <c r="DZ107" s="56"/>
      <c r="EB107" s="2" t="e" vm="107">
        <v>#VALUE!</v>
      </c>
      <c r="ED107" s="10" cm="1">
        <f t="array" aca="1" ref="ED107" ca="1">_FV(EB107,"Ações em circulação",TRUE)</f>
        <v>683509900</v>
      </c>
      <c r="EE107" s="18">
        <f>VLOOKUP(BO107,Fundamentus!A:U,5,FALSE)</f>
        <v>1.9950000000000001</v>
      </c>
      <c r="EF107" s="2">
        <f t="shared" ca="1" si="109"/>
        <v>36813603385.964912</v>
      </c>
      <c r="EG107" s="17">
        <v>9917584752.1789455</v>
      </c>
      <c r="EH107" s="17">
        <f t="shared" ca="1" si="110"/>
        <v>9917584752.1789455</v>
      </c>
      <c r="EJ107" s="16">
        <f t="shared" ca="1" si="97"/>
        <v>0</v>
      </c>
      <c r="EK107" s="32" t="str">
        <f>IF(VLOOKUP(BO107,Fundamentus!A:U,3,FALSE)&lt;15,"Bom",IF(VLOOKUP(BO107,Fundamentus!A:U,3,FALSE)&gt;15,"Ruim","n/a"))</f>
        <v>Bom</v>
      </c>
      <c r="EL107" s="28" t="str">
        <f>IF(VLOOKUP(BO107,Fundamentus!A:U,4,FALSE)&lt;1,"Baixo",IF(VLOOKUP(BO107,Fundamentus!A:U,4,FALSE)&lt;1.5,"Moderado",IF(VLOOKUP(BO107,Fundamentus!A:U,4,FALSE)&gt;1.5,"Alto","n/a")))</f>
        <v>Alto</v>
      </c>
      <c r="EM107" s="17" t="str">
        <f>IF(VLOOKUP(BO107,Fundamentus!A:U,8,FALSE)&lt;0,"Risco elevado",IF(VLOOKUP(BO107,Fundamentus!A:U,8,FALSE)&lt;1,"Saudável",IF(VLOOKUP(BO107,Fundamentus!A:U,8,FALSE)&lt;3,"Estável",IF(VLOOKUP(BO107,Fundamentus!A:U,8,FALSE)&gt;3,"Alerta","n/a"))))</f>
        <v>Alerta</v>
      </c>
      <c r="EN107" s="28" t="str">
        <f t="shared" si="111"/>
        <v>Bom</v>
      </c>
      <c r="EO107" s="17" t="str">
        <f>IF(VLOOKUP(BO107,Fundamentus!A:U,12,FALSE)&lt;2,"Subvalorizada",IF(VLOOKUP(BO107,Fundamentus!A:U,12,FALSE)&lt;6,"Muita barata",IF(VLOOKUP(BO107,Fundamentus!A:U,12,FALSE)&lt;6,"Barata",IF(VLOOKUP(BO107,Fundamentus!A:U,12,FALSE)&lt;8,"Atrativa",IF(VLOOKUP(BO107,Fundamentus!A:U,12,FALSE)&gt;8,"Supervalorizada","n/a")))))</f>
        <v>Muita barata</v>
      </c>
      <c r="EQ107" s="17" t="str">
        <f>IF(VLOOKUP(BO107,Fundamentus!A:U,17,FALSE)&lt;0.1,"Fraco retorno",IF(VLOOKUP(BO107,Fundamentus!A:U,17,FALSE)&gt;0.1,"Bom retorno","n/a"))</f>
        <v>Bom retorno</v>
      </c>
      <c r="ER107" s="17" t="str">
        <f>IF(VLOOKUP(BO107,Fundamentus!A:U,16,FALSE)&lt;0.1,"Ineficiente",IF(VLOOKUP(BO107,Fundamentus!A:U,16,FALSE)&gt;0.1,"Eficiente","n/a"))</f>
        <v>Eficiente</v>
      </c>
      <c r="ES107" s="33" t="str">
        <f>IF(VLOOKUP(BO107,Fundamentus!A:U,16,FALSE)&lt;0.1,"Oper. Ineficiente",IF(VLOOKUP(BO107,Fundamentus!A:U,16,FALSE)&gt;0.1,"Oper.Eficiente","n/a"))</f>
        <v>Oper.Eficiente</v>
      </c>
      <c r="ET107" s="34">
        <f>VLOOKUP(BO107,Fundamentus!A:U,14,FALSE)</f>
        <v>0.26939999999999997</v>
      </c>
      <c r="EU107" s="17" t="str">
        <f>IF(VLOOKUP(BO107,Fundamentus!A:U,21,FALSE)&lt;0,"Negativo",IF(VLOOKUP(BO107,Fundamentus!A:U,21,FALSE)&lt;0.05,"Fraco",IF(VLOOKUP(BO107,Fundamentus!A:U,21,FALSE)&lt;0.1,"Bom",IF(VLOOKUP(BO107,Fundamentus!A:U,21,FALSE)&gt;0.1,"Muito bom","n/a"))))</f>
        <v>Muito bom</v>
      </c>
      <c r="EW107" s="29" t="str">
        <f>IF(VLOOKUP(BO107,Fundamentus!A:U,15,FALSE)&gt;1,"Bom",IF(VLOOKUP(BO107,Fundamentus!A:U,15,FALSE)&lt;1,"Ruim","n/a"))</f>
        <v>Bom</v>
      </c>
      <c r="EX107" s="17" t="str">
        <f>IF(VLOOKUP(BO107,Fundamentus!A:U,20,FALSE)&lt;0.5,"Baixa",IF(VLOOKUP(BO107,Fundamentus!A:U,20,FALSE)&lt;1,"Moderada",IF(VLOOKUP(BO107,Fundamentus!A:U,20,FALSE)&lt;2,"Alerta",IF(VLOOKUP(BO107,Fundamentus!A:U,20,FALSE)&gt;2,"Alta","n/a"))))</f>
        <v>Moderada</v>
      </c>
      <c r="EY107" s="10"/>
    </row>
    <row r="108" spans="1:155" s="2" customFormat="1" ht="11.25"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5">
        <v>10.29</v>
      </c>
      <c r="BC108" s="52">
        <v>12.05</v>
      </c>
      <c r="BD108" s="52">
        <v>11.7</v>
      </c>
      <c r="BE108" s="52">
        <v>11.2</v>
      </c>
      <c r="BF108" s="52">
        <v>11.33</v>
      </c>
      <c r="BG108" s="67">
        <v>11.42</v>
      </c>
      <c r="BH108" s="52">
        <v>11.53</v>
      </c>
      <c r="BI108" s="52">
        <v>11.42</v>
      </c>
      <c r="BJ108" s="52">
        <v>11.57</v>
      </c>
      <c r="BK108" s="52">
        <v>11.17</v>
      </c>
      <c r="BL108" s="52">
        <v>10.27</v>
      </c>
      <c r="BM108" s="52">
        <v>10.5</v>
      </c>
      <c r="BN108" s="52" cm="1">
        <f t="array" aca="1" ref="BN108" ca="1">_FV(EB108,"Preço")</f>
        <v>10.5</v>
      </c>
      <c r="BO108" s="69" t="s">
        <v>105</v>
      </c>
      <c r="BP108" s="36" cm="1">
        <f t="array" aca="1" ref="BP108" ca="1">_FV(EB108,"Média de volume",TRUE)</f>
        <v>425000</v>
      </c>
      <c r="BQ108" s="36">
        <v>322000</v>
      </c>
      <c r="BR108" s="36" cm="1">
        <f t="array" aca="1" ref="BR108" ca="1">_FV(EB108,"Volume")</f>
        <v>322000</v>
      </c>
      <c r="BS108" s="24" cm="1">
        <f t="array" aca="1" ref="BS108" ca="1">_FV(EB108,"Beta")</f>
        <v>0.64800000000000002</v>
      </c>
      <c r="BT108" s="71" cm="1">
        <f t="array" aca="1" ref="BT108" ca="1">_FV(EB108,"Variação (%)",TRUE)</f>
        <v>-9.4339999999999997E-3</v>
      </c>
      <c r="BV108" s="17" cm="1">
        <f t="array" aca="1" ref="BV108" ca="1">_FV(EB108,"Baixo")</f>
        <v>10.45</v>
      </c>
      <c r="BW108" s="17" cm="1">
        <f t="array" aca="1" ref="BW108" ca="1">_FV(EB108,"Alto")</f>
        <v>10.68</v>
      </c>
      <c r="BX108" s="24"/>
      <c r="BY108" s="63">
        <f ca="1">SQRT(22.5*(BN108/VLOOKUP(BO108,Fundamentus!A:U,3,FALSE))*(BN108/VLOOKUP(BO108,Fundamentus!A:U,4,FALSE)))</f>
        <v>12.815046704779512</v>
      </c>
      <c r="CA108" s="62">
        <f t="shared" ca="1" si="112"/>
        <v>0</v>
      </c>
      <c r="CB108" s="8"/>
      <c r="CC108" s="61">
        <f t="shared" si="113"/>
        <v>9.8699999999999992</v>
      </c>
      <c r="CD108" s="61">
        <f t="shared" si="114"/>
        <v>18.8</v>
      </c>
      <c r="CE108" s="61">
        <f t="shared" si="115"/>
        <v>12.236846153846153</v>
      </c>
      <c r="CF108" s="14"/>
      <c r="CG108" s="35">
        <f t="shared" si="98"/>
        <v>8.812370490010915</v>
      </c>
      <c r="CH108" s="15">
        <f t="shared" si="116"/>
        <v>9.8499999999999091</v>
      </c>
      <c r="CI108" s="35">
        <f t="shared" si="99"/>
        <v>10.887629509988903</v>
      </c>
      <c r="CK108" s="14"/>
      <c r="CL108" s="17">
        <f t="shared" si="100"/>
        <v>-1.7700000000000049</v>
      </c>
      <c r="CM108" s="17">
        <f t="shared" si="101"/>
        <v>4.0499999999999972</v>
      </c>
      <c r="CN108" s="17">
        <f t="shared" si="102"/>
        <v>7.1599999999999966</v>
      </c>
      <c r="CO108" s="38">
        <f t="shared" si="117"/>
        <v>12.979999999999999</v>
      </c>
      <c r="CP108" s="17">
        <f t="shared" si="103"/>
        <v>16.089999999999996</v>
      </c>
      <c r="CQ108" s="17">
        <f t="shared" si="104"/>
        <v>21.91</v>
      </c>
      <c r="CR108" s="17">
        <f t="shared" si="105"/>
        <v>25.02</v>
      </c>
      <c r="CS108" s="2" cm="1">
        <f t="array" aca="1" ref="CS108" ca="1">MAX(_xlfn._xlws.FILTER(CL108:CR108,CL108:CR108&lt;BN108))</f>
        <v>7.1599999999999966</v>
      </c>
      <c r="CT108" s="2" cm="1">
        <f t="array" aca="1" ref="CT108" ca="1">MIN(_xlfn._xlws.FILTER($CL108:$CR108,$CL108:$CR108&gt;BN108))</f>
        <v>12.979999999999999</v>
      </c>
      <c r="CU108" s="16">
        <f t="shared" ca="1" si="119"/>
        <v>0.81284916201117396</v>
      </c>
      <c r="CV108" s="20">
        <f t="shared" ca="1" si="120"/>
        <v>-0.40642458100558698</v>
      </c>
      <c r="CW108" s="20">
        <f t="shared" ca="1" si="121"/>
        <v>-0.2709497206703913</v>
      </c>
      <c r="CX108" s="20">
        <f t="shared" ca="1" si="122"/>
        <v>-0.1625698324022348</v>
      </c>
      <c r="CY108" s="20">
        <f t="shared" ca="1" si="123"/>
        <v>-9.0316573556797106E-2</v>
      </c>
      <c r="CZ108" s="20">
        <f t="shared" ca="1" si="124"/>
        <v>-4.7814656588892585E-2</v>
      </c>
      <c r="DA108" s="20">
        <f t="shared" ca="1" si="125"/>
        <v>-2.4631792788217394E-2</v>
      </c>
      <c r="DB108" s="20">
        <f t="shared" ca="1" si="126"/>
        <v>-1.250537172324883E-2</v>
      </c>
      <c r="DC108" s="21">
        <f t="shared" ca="1" si="127"/>
        <v>1.250537172324883E-2</v>
      </c>
      <c r="DD108" s="21">
        <f t="shared" ca="1" si="128"/>
        <v>2.4631792788217394E-2</v>
      </c>
      <c r="DE108" s="21">
        <f t="shared" ca="1" si="129"/>
        <v>4.7814656588892585E-2</v>
      </c>
      <c r="DF108" s="21">
        <f t="shared" ca="1" si="130"/>
        <v>9.0316573556797106E-2</v>
      </c>
      <c r="DG108" s="21">
        <f t="shared" ca="1" si="131"/>
        <v>0.1625698324022348</v>
      </c>
      <c r="DH108" s="21">
        <f t="shared" ca="1" si="132"/>
        <v>0.2709497206703913</v>
      </c>
      <c r="DI108" s="21">
        <f t="shared" ca="1" si="133"/>
        <v>0.40642458100558698</v>
      </c>
      <c r="DK108" s="16" cm="1">
        <f t="array" aca="1" ref="DK108" ca="1">MAX(_xlfn._xlws.FILTER(CV108:DI108,CV108:DI108&lt;BT108))</f>
        <v>-1.250537172324883E-2</v>
      </c>
      <c r="DL108" s="16" cm="1">
        <f t="array" aca="1" ref="DL108" ca="1">MIN(_xlfn._xlws.FILTER(CV108:DI108,CV108:DI108&gt;BT108))</f>
        <v>1.250537172324883E-2</v>
      </c>
      <c r="DM108" s="2" cm="1">
        <f t="array" aca="1" ref="DM108" ca="1">_FV(EB108,"Fechamento anterior",TRUE)</f>
        <v>10.6</v>
      </c>
      <c r="DN108" s="28">
        <f t="shared" ca="1" si="106"/>
        <v>0.12280360500551454</v>
      </c>
      <c r="DO108" s="15">
        <f t="shared" ca="1" si="134"/>
        <v>10.467443059733561</v>
      </c>
      <c r="DP108" s="15">
        <f t="shared" ca="1" si="135"/>
        <v>10.732556940266438</v>
      </c>
      <c r="DQ108" s="9"/>
      <c r="DR108" s="9"/>
      <c r="DS108" s="9"/>
      <c r="DT108" s="89">
        <v>2.501074344649766E-2</v>
      </c>
      <c r="DU108" s="89">
        <f t="shared" ca="1" si="107"/>
        <v>2.501074344649766E-2</v>
      </c>
      <c r="DV108" s="72">
        <f t="shared" ca="1" si="108"/>
        <v>0.62642782779663364</v>
      </c>
      <c r="DW108" s="37"/>
      <c r="DX108" s="35">
        <f t="shared" si="118"/>
        <v>0.51881475499449725</v>
      </c>
      <c r="DY108" s="56"/>
      <c r="DZ108" s="56"/>
      <c r="EB108" s="2" t="e" vm="108">
        <v>#VALUE!</v>
      </c>
      <c r="ED108" s="10" cm="1">
        <f t="array" aca="1" ref="ED108" ca="1">_FV(EB108,"Ações em circulação",TRUE)</f>
        <v>135322100</v>
      </c>
      <c r="EE108" s="18">
        <f>VLOOKUP(BO108,Fundamentus!A:U,5,FALSE)</f>
        <v>0.749</v>
      </c>
      <c r="EF108" s="2">
        <f t="shared" ca="1" si="109"/>
        <v>1897038785.0467291</v>
      </c>
      <c r="EG108" s="17">
        <v>168646747.99065423</v>
      </c>
      <c r="EH108" s="17">
        <f t="shared" ca="1" si="110"/>
        <v>168646747.99065423</v>
      </c>
      <c r="EJ108" s="16">
        <f t="shared" ca="1" si="97"/>
        <v>0</v>
      </c>
      <c r="EK108" s="32" t="str">
        <f>IF(VLOOKUP(BO108,Fundamentus!A:U,3,FALSE)&lt;15,"Bom",IF(VLOOKUP(BO108,Fundamentus!A:U,3,FALSE)&gt;15,"Ruim","n/a"))</f>
        <v>Bom</v>
      </c>
      <c r="EL108" s="28" t="str">
        <f>IF(VLOOKUP(BO108,Fundamentus!A:U,4,FALSE)&lt;1,"Baixo",IF(VLOOKUP(BO108,Fundamentus!A:U,4,FALSE)&lt;1.5,"Moderado",IF(VLOOKUP(BO108,Fundamentus!A:U,4,FALSE)&gt;1.5,"Alto","n/a")))</f>
        <v>Moderado</v>
      </c>
      <c r="EM108" s="17" t="str">
        <f>IF(VLOOKUP(BO108,Fundamentus!A:U,8,FALSE)&lt;0,"Risco elevado",IF(VLOOKUP(BO108,Fundamentus!A:U,8,FALSE)&lt;1,"Saudável",IF(VLOOKUP(BO108,Fundamentus!A:U,8,FALSE)&lt;3,"Estável",IF(VLOOKUP(BO108,Fundamentus!A:U,8,FALSE)&gt;3,"Alerta","n/a"))))</f>
        <v>Saudável</v>
      </c>
      <c r="EN108" s="28" t="str">
        <f t="shared" si="111"/>
        <v>Ruim</v>
      </c>
      <c r="EO108" s="17" t="str">
        <f>IF(VLOOKUP(BO108,Fundamentus!A:U,12,FALSE)&lt;2,"Subvalorizada",IF(VLOOKUP(BO108,Fundamentus!A:U,12,FALSE)&lt;6,"Muita barata",IF(VLOOKUP(BO108,Fundamentus!A:U,12,FALSE)&lt;6,"Barata",IF(VLOOKUP(BO108,Fundamentus!A:U,12,FALSE)&lt;8,"Atrativa",IF(VLOOKUP(BO108,Fundamentus!A:U,12,FALSE)&gt;8,"Supervalorizada","n/a")))))</f>
        <v>Atrativa</v>
      </c>
      <c r="EQ108" s="17" t="str">
        <f>IF(VLOOKUP(BO108,Fundamentus!A:U,17,FALSE)&lt;0.1,"Fraco retorno",IF(VLOOKUP(BO108,Fundamentus!A:U,17,FALSE)&gt;0.1,"Bom retorno","n/a"))</f>
        <v>Fraco retorno</v>
      </c>
      <c r="ER108" s="17" t="str">
        <f>IF(VLOOKUP(BO108,Fundamentus!A:U,16,FALSE)&lt;0.1,"Ineficiente",IF(VLOOKUP(BO108,Fundamentus!A:U,16,FALSE)&gt;0.1,"Eficiente","n/a"))</f>
        <v>Ineficiente</v>
      </c>
      <c r="ES108" s="33" t="str">
        <f>IF(VLOOKUP(BO108,Fundamentus!A:U,16,FALSE)&lt;0.1,"Oper. Ineficiente",IF(VLOOKUP(BO108,Fundamentus!A:U,16,FALSE)&gt;0.1,"Oper.Eficiente","n/a"))</f>
        <v>Oper. Ineficiente</v>
      </c>
      <c r="ET108" s="34">
        <f>VLOOKUP(BO108,Fundamentus!A:U,14,FALSE)</f>
        <v>8.8900000000000007E-2</v>
      </c>
      <c r="EU108" s="17" t="str">
        <f>IF(VLOOKUP(BO108,Fundamentus!A:U,21,FALSE)&lt;0,"Negativo",IF(VLOOKUP(BO108,Fundamentus!A:U,21,FALSE)&lt;0.05,"Fraco",IF(VLOOKUP(BO108,Fundamentus!A:U,21,FALSE)&lt;0.1,"Bom",IF(VLOOKUP(BO108,Fundamentus!A:U,21,FALSE)&gt;0.1,"Muito bom","n/a"))))</f>
        <v>Muito bom</v>
      </c>
      <c r="EW108" s="29" t="str">
        <f>IF(VLOOKUP(BO108,Fundamentus!A:U,15,FALSE)&gt;1,"Bom",IF(VLOOKUP(BO108,Fundamentus!A:U,15,FALSE)&lt;1,"Ruim","n/a"))</f>
        <v>Bom</v>
      </c>
      <c r="EX108" s="17" t="str">
        <f>IF(VLOOKUP(BO108,Fundamentus!A:U,20,FALSE)&lt;0.5,"Baixa",IF(VLOOKUP(BO108,Fundamentus!A:U,20,FALSE)&lt;1,"Moderada",IF(VLOOKUP(BO108,Fundamentus!A:U,20,FALSE)&lt;2,"Alerta",IF(VLOOKUP(BO108,Fundamentus!A:U,20,FALSE)&gt;2,"Alta","n/a"))))</f>
        <v>Moderada</v>
      </c>
      <c r="EY108" s="10"/>
    </row>
    <row r="109" spans="1:155" s="2" customFormat="1" ht="11.25"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5">
        <v>5.3</v>
      </c>
      <c r="BC109" s="52">
        <v>5.04</v>
      </c>
      <c r="BD109" s="52">
        <v>4.74</v>
      </c>
      <c r="BE109" s="52">
        <v>4.66</v>
      </c>
      <c r="BF109" s="52">
        <v>4.57</v>
      </c>
      <c r="BG109" s="67">
        <v>4.88</v>
      </c>
      <c r="BH109" s="52">
        <v>4.9000000000000004</v>
      </c>
      <c r="BI109" s="52">
        <v>4.7300000000000004</v>
      </c>
      <c r="BJ109" s="52">
        <v>5.05</v>
      </c>
      <c r="BK109" s="52">
        <v>4.76</v>
      </c>
      <c r="BL109" s="52">
        <v>4.62</v>
      </c>
      <c r="BM109" s="52">
        <v>4.67</v>
      </c>
      <c r="BN109" s="52" cm="1">
        <f t="array" aca="1" ref="BN109" ca="1">_FV(EB109,"Preço")</f>
        <v>4.67</v>
      </c>
      <c r="BO109" s="69" t="s">
        <v>106</v>
      </c>
      <c r="BP109" s="36" cm="1">
        <f t="array" aca="1" ref="BP109" ca="1">_FV(EB109,"Média de volume",TRUE)</f>
        <v>7440</v>
      </c>
      <c r="BQ109" s="36">
        <v>16000</v>
      </c>
      <c r="BR109" s="36" cm="1">
        <f t="array" aca="1" ref="BR109" ca="1">_FV(EB109,"Volume")</f>
        <v>16000</v>
      </c>
      <c r="BS109" s="24" cm="1">
        <f t="array" aca="1" ref="BS109" ca="1">_FV(EB109,"Beta")</f>
        <v>0.36770000000000003</v>
      </c>
      <c r="BT109" s="71" cm="1">
        <f t="array" aca="1" ref="BT109" ca="1">_FV(EB109,"Variação (%)",TRUE)</f>
        <v>1.5217000000000001E-2</v>
      </c>
      <c r="BV109" s="17" cm="1">
        <f t="array" aca="1" ref="BV109" ca="1">_FV(EB109,"Baixo")</f>
        <v>4.5999999999999996</v>
      </c>
      <c r="BW109" s="17" cm="1">
        <f t="array" aca="1" ref="BW109" ca="1">_FV(EB109,"Alto")</f>
        <v>4.72</v>
      </c>
      <c r="BX109" s="24"/>
      <c r="BY109" s="63">
        <f ca="1">SQRT(22.5*(BN109/VLOOKUP(BO109,Fundamentus!A:U,3,FALSE))*(BN109/VLOOKUP(BO109,Fundamentus!A:U,4,FALSE)))</f>
        <v>12.625413606571716</v>
      </c>
      <c r="CA109" s="62">
        <f t="shared" ca="1" si="112"/>
        <v>0</v>
      </c>
      <c r="CB109" s="8"/>
      <c r="CC109" s="61">
        <f t="shared" si="113"/>
        <v>4.57</v>
      </c>
      <c r="CD109" s="61">
        <f t="shared" si="114"/>
        <v>7.88</v>
      </c>
      <c r="CE109" s="61">
        <f t="shared" si="115"/>
        <v>6.2743846153846157</v>
      </c>
      <c r="CF109" s="14"/>
      <c r="CG109" s="35">
        <f t="shared" si="98"/>
        <v>4.1219834838929934</v>
      </c>
      <c r="CH109" s="15">
        <f t="shared" si="116"/>
        <v>4.4549999999999272</v>
      </c>
      <c r="CI109" s="35">
        <f t="shared" si="99"/>
        <v>4.7880165161068611</v>
      </c>
      <c r="CK109" s="14"/>
      <c r="CL109" s="17">
        <f t="shared" si="100"/>
        <v>0.19000000000000128</v>
      </c>
      <c r="CM109" s="17">
        <f t="shared" si="101"/>
        <v>2.3800000000000008</v>
      </c>
      <c r="CN109" s="17">
        <f t="shared" si="102"/>
        <v>3.5000000000000009</v>
      </c>
      <c r="CO109" s="38">
        <f t="shared" si="117"/>
        <v>5.69</v>
      </c>
      <c r="CP109" s="17">
        <f t="shared" si="103"/>
        <v>6.8100000000000005</v>
      </c>
      <c r="CQ109" s="17">
        <f t="shared" si="104"/>
        <v>9</v>
      </c>
      <c r="CR109" s="17">
        <f t="shared" si="105"/>
        <v>10.120000000000001</v>
      </c>
      <c r="CS109" s="2" cm="1">
        <f t="array" aca="1" ref="CS109" ca="1">MAX(_xlfn._xlws.FILTER(CL109:CR109,CL109:CR109&lt;BN109))</f>
        <v>3.5000000000000009</v>
      </c>
      <c r="CT109" s="2" cm="1">
        <f t="array" aca="1" ref="CT109" ca="1">MIN(_xlfn._xlws.FILTER($CL109:$CR109,$CL109:$CR109&gt;BN109))</f>
        <v>5.69</v>
      </c>
      <c r="CU109" s="16">
        <f t="shared" ca="1" si="119"/>
        <v>0.62571428571428545</v>
      </c>
      <c r="CV109" s="20">
        <f t="shared" ca="1" si="120"/>
        <v>-0.31285714285714272</v>
      </c>
      <c r="CW109" s="20">
        <f t="shared" ca="1" si="121"/>
        <v>-0.20857142857142849</v>
      </c>
      <c r="CX109" s="20">
        <f t="shared" ca="1" si="122"/>
        <v>-0.12514285714285708</v>
      </c>
      <c r="CY109" s="20">
        <f t="shared" ca="1" si="123"/>
        <v>-6.9523809523809488E-2</v>
      </c>
      <c r="CZ109" s="20">
        <f t="shared" ca="1" si="124"/>
        <v>-3.6806722689075616E-2</v>
      </c>
      <c r="DA109" s="20">
        <f t="shared" ca="1" si="125"/>
        <v>-1.8961038961038953E-2</v>
      </c>
      <c r="DB109" s="20">
        <f t="shared" ca="1" si="126"/>
        <v>-9.6263736263736219E-3</v>
      </c>
      <c r="DC109" s="21">
        <f t="shared" ca="1" si="127"/>
        <v>9.6263736263736219E-3</v>
      </c>
      <c r="DD109" s="21">
        <f t="shared" ca="1" si="128"/>
        <v>1.8961038961038953E-2</v>
      </c>
      <c r="DE109" s="21">
        <f t="shared" ca="1" si="129"/>
        <v>3.6806722689075616E-2</v>
      </c>
      <c r="DF109" s="21">
        <f t="shared" ca="1" si="130"/>
        <v>6.9523809523809488E-2</v>
      </c>
      <c r="DG109" s="21">
        <f t="shared" ca="1" si="131"/>
        <v>0.12514285714285708</v>
      </c>
      <c r="DH109" s="21">
        <f t="shared" ca="1" si="132"/>
        <v>0.20857142857142849</v>
      </c>
      <c r="DI109" s="21">
        <f t="shared" ca="1" si="133"/>
        <v>0.31285714285714272</v>
      </c>
      <c r="DK109" s="16" cm="1">
        <f t="array" aca="1" ref="DK109" ca="1">MAX(_xlfn._xlws.FILTER(CV109:DI109,CV109:DI109&lt;BT109))</f>
        <v>9.6263736263736219E-3</v>
      </c>
      <c r="DL109" s="16" cm="1">
        <f t="array" aca="1" ref="DL109" ca="1">MIN(_xlfn._xlws.FILTER(CV109:DI109,CV109:DI109&gt;BT109))</f>
        <v>1.8961038961038953E-2</v>
      </c>
      <c r="DM109" s="2" cm="1">
        <f t="array" aca="1" ref="DM109" ca="1">_FV(EB109,"Fechamento anterior",TRUE)</f>
        <v>4.5999999999999996</v>
      </c>
      <c r="DN109" s="28">
        <f t="shared" ca="1" si="106"/>
        <v>0.59895212924361096</v>
      </c>
      <c r="DO109" s="15">
        <f t="shared" ca="1" si="134"/>
        <v>4.6442813186813181</v>
      </c>
      <c r="DP109" s="15">
        <f t="shared" ca="1" si="135"/>
        <v>4.6872207792207785</v>
      </c>
      <c r="DQ109" s="9"/>
      <c r="DR109" s="9"/>
      <c r="DS109" s="9"/>
      <c r="DT109" s="89">
        <v>9.3346653346653308E-3</v>
      </c>
      <c r="DU109" s="89">
        <f t="shared" ca="1" si="107"/>
        <v>9.3346653346653308E-3</v>
      </c>
      <c r="DV109" s="72">
        <f t="shared" ca="1" si="108"/>
        <v>0.64561362455378868</v>
      </c>
      <c r="DW109" s="37"/>
      <c r="DX109" s="35">
        <f t="shared" si="118"/>
        <v>0.16650825805346703</v>
      </c>
      <c r="DY109" s="56"/>
      <c r="DZ109" s="56"/>
      <c r="EB109" s="2" t="e" vm="109">
        <v>#VALUE!</v>
      </c>
      <c r="ED109" s="10" cm="1">
        <f t="array" aca="1" ref="ED109" ca="1">_FV(EB109,"Ações em circulação",TRUE)</f>
        <v>48046490</v>
      </c>
      <c r="EE109" s="18">
        <f>VLOOKUP(BO109,Fundamentus!A:U,5,FALSE)</f>
        <v>0.27700000000000002</v>
      </c>
      <c r="EF109" s="2">
        <f t="shared" ca="1" si="109"/>
        <v>810025661.73285186</v>
      </c>
      <c r="EG109" s="17">
        <v>58402850.210938618</v>
      </c>
      <c r="EH109" s="17">
        <f t="shared" ca="1" si="110"/>
        <v>58402850.210938618</v>
      </c>
      <c r="EJ109" s="16">
        <f t="shared" ca="1" si="97"/>
        <v>0</v>
      </c>
      <c r="EK109" s="32" t="str">
        <f>IF(VLOOKUP(BO109,Fundamentus!A:U,3,FALSE)&lt;15,"Bom",IF(VLOOKUP(BO109,Fundamentus!A:U,3,FALSE)&gt;15,"Ruim","n/a"))</f>
        <v>Bom</v>
      </c>
      <c r="EL109" s="28" t="str">
        <f>IF(VLOOKUP(BO109,Fundamentus!A:U,4,FALSE)&lt;1,"Baixo",IF(VLOOKUP(BO109,Fundamentus!A:U,4,FALSE)&lt;1.5,"Moderado",IF(VLOOKUP(BO109,Fundamentus!A:U,4,FALSE)&gt;1.5,"Alto","n/a")))</f>
        <v>Baixo</v>
      </c>
      <c r="EM109" s="17" t="str">
        <f>IF(VLOOKUP(BO109,Fundamentus!A:U,8,FALSE)&lt;0,"Risco elevado",IF(VLOOKUP(BO109,Fundamentus!A:U,8,FALSE)&lt;1,"Saudável",IF(VLOOKUP(BO109,Fundamentus!A:U,8,FALSE)&lt;3,"Estável",IF(VLOOKUP(BO109,Fundamentus!A:U,8,FALSE)&gt;3,"Alerta","n/a"))))</f>
        <v>Saudável</v>
      </c>
      <c r="EN109" s="28" t="str">
        <f t="shared" si="111"/>
        <v>Ruim</v>
      </c>
      <c r="EO109" s="17" t="str">
        <f>IF(VLOOKUP(BO109,Fundamentus!A:U,12,FALSE)&lt;2,"Subvalorizada",IF(VLOOKUP(BO109,Fundamentus!A:U,12,FALSE)&lt;6,"Muita barata",IF(VLOOKUP(BO109,Fundamentus!A:U,12,FALSE)&lt;6,"Barata",IF(VLOOKUP(BO109,Fundamentus!A:U,12,FALSE)&lt;8,"Atrativa",IF(VLOOKUP(BO109,Fundamentus!A:U,12,FALSE)&gt;8,"Supervalorizada","n/a")))))</f>
        <v>Muita barata</v>
      </c>
      <c r="EQ109" s="17" t="str">
        <f>IF(VLOOKUP(BO109,Fundamentus!A:U,17,FALSE)&lt;0.1,"Fraco retorno",IF(VLOOKUP(BO109,Fundamentus!A:U,17,FALSE)&gt;0.1,"Bom retorno","n/a"))</f>
        <v>Fraco retorno</v>
      </c>
      <c r="ER109" s="17" t="str">
        <f>IF(VLOOKUP(BO109,Fundamentus!A:U,16,FALSE)&lt;0.1,"Ineficiente",IF(VLOOKUP(BO109,Fundamentus!A:U,16,FALSE)&gt;0.1,"Eficiente","n/a"))</f>
        <v>Ineficiente</v>
      </c>
      <c r="ES109" s="33" t="str">
        <f>IF(VLOOKUP(BO109,Fundamentus!A:U,16,FALSE)&lt;0.1,"Oper. Ineficiente",IF(VLOOKUP(BO109,Fundamentus!A:U,16,FALSE)&gt;0.1,"Oper.Eficiente","n/a"))</f>
        <v>Oper. Ineficiente</v>
      </c>
      <c r="ET109" s="34">
        <f>VLOOKUP(BO109,Fundamentus!A:U,14,FALSE)</f>
        <v>7.2099999999999997E-2</v>
      </c>
      <c r="EU109" s="17" t="str">
        <f>IF(VLOOKUP(BO109,Fundamentus!A:U,21,FALSE)&lt;0,"Negativo",IF(VLOOKUP(BO109,Fundamentus!A:U,21,FALSE)&lt;0.05,"Fraco",IF(VLOOKUP(BO109,Fundamentus!A:U,21,FALSE)&lt;0.1,"Bom",IF(VLOOKUP(BO109,Fundamentus!A:U,21,FALSE)&gt;0.1,"Muito bom","n/a"))))</f>
        <v>Bom</v>
      </c>
      <c r="EW109" s="29" t="str">
        <f>IF(VLOOKUP(BO109,Fundamentus!A:U,15,FALSE)&gt;1,"Bom",IF(VLOOKUP(BO109,Fundamentus!A:U,15,FALSE)&lt;1,"Ruim","n/a"))</f>
        <v>Bom</v>
      </c>
      <c r="EX109" s="17" t="str">
        <f>IF(VLOOKUP(BO109,Fundamentus!A:U,20,FALSE)&lt;0.5,"Baixa",IF(VLOOKUP(BO109,Fundamentus!A:U,20,FALSE)&lt;1,"Moderada",IF(VLOOKUP(BO109,Fundamentus!A:U,20,FALSE)&lt;2,"Alerta",IF(VLOOKUP(BO109,Fundamentus!A:U,20,FALSE)&gt;2,"Alta","n/a"))))</f>
        <v>Moderada</v>
      </c>
      <c r="EY109" s="10"/>
    </row>
    <row r="110" spans="1:155" s="2" customFormat="1" ht="11.25"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5">
        <v>9.41</v>
      </c>
      <c r="BC110" s="52">
        <v>9.08</v>
      </c>
      <c r="BD110" s="52">
        <v>9.33</v>
      </c>
      <c r="BE110" s="52">
        <v>9.4600000000000009</v>
      </c>
      <c r="BF110" s="52">
        <v>9.36</v>
      </c>
      <c r="BG110" s="67">
        <v>9.5</v>
      </c>
      <c r="BH110" s="52">
        <v>9.73</v>
      </c>
      <c r="BI110" s="52">
        <v>9.4600000000000009</v>
      </c>
      <c r="BJ110" s="52">
        <v>9.51</v>
      </c>
      <c r="BK110" s="52">
        <v>9</v>
      </c>
      <c r="BL110" s="52">
        <v>8.1199999999999992</v>
      </c>
      <c r="BM110" s="52">
        <v>8.18</v>
      </c>
      <c r="BN110" s="52" cm="1">
        <f t="array" aca="1" ref="BN110" ca="1">_FV(EB110,"Preço")</f>
        <v>8.18</v>
      </c>
      <c r="BO110" s="69" t="s">
        <v>107</v>
      </c>
      <c r="BP110" s="36" cm="1">
        <f t="array" aca="1" ref="BP110" ca="1">_FV(EB110,"Média de volume",TRUE)</f>
        <v>93700</v>
      </c>
      <c r="BQ110" s="36">
        <v>91300</v>
      </c>
      <c r="BR110" s="36" cm="1">
        <f t="array" aca="1" ref="BR110" ca="1">_FV(EB110,"Volume")</f>
        <v>91300</v>
      </c>
      <c r="BS110" s="24" cm="1">
        <f t="array" aca="1" ref="BS110" ca="1">_FV(EB110,"Beta")</f>
        <v>1.2639</v>
      </c>
      <c r="BT110" s="71" cm="1">
        <f t="array" aca="1" ref="BT110" ca="1">_FV(EB110,"Variação (%)",TRUE)</f>
        <v>3.6809999999999998E-3</v>
      </c>
      <c r="BV110" s="17" cm="1">
        <f t="array" aca="1" ref="BV110" ca="1">_FV(EB110,"Baixo")</f>
        <v>8.14</v>
      </c>
      <c r="BW110" s="17" cm="1">
        <f t="array" aca="1" ref="BW110" ca="1">_FV(EB110,"Alto")</f>
        <v>8.27</v>
      </c>
      <c r="BX110" s="24"/>
      <c r="BY110" s="63">
        <f ca="1">SQRT(22.5*(BN110/VLOOKUP(BO110,Fundamentus!A:U,3,FALSE))*(BN110/VLOOKUP(BO110,Fundamentus!A:U,4,FALSE)))</f>
        <v>14.244349142020649</v>
      </c>
      <c r="CA110" s="62">
        <f t="shared" ca="1" si="112"/>
        <v>0</v>
      </c>
      <c r="CB110" s="8"/>
      <c r="CC110" s="61">
        <f t="shared" si="113"/>
        <v>8.01</v>
      </c>
      <c r="CD110" s="61">
        <f t="shared" si="114"/>
        <v>17.14</v>
      </c>
      <c r="CE110" s="61">
        <f t="shared" si="115"/>
        <v>12.011615384615386</v>
      </c>
      <c r="CF110" s="14"/>
      <c r="CG110" s="35">
        <f t="shared" si="98"/>
        <v>6.3218684511196672</v>
      </c>
      <c r="CH110" s="15">
        <f t="shared" si="116"/>
        <v>7.4849999999996726</v>
      </c>
      <c r="CI110" s="35">
        <f t="shared" si="99"/>
        <v>8.6481315488796788</v>
      </c>
      <c r="CK110" s="14"/>
      <c r="CL110" s="17">
        <f t="shared" si="100"/>
        <v>-4.0900000000000052</v>
      </c>
      <c r="CM110" s="17">
        <f t="shared" si="101"/>
        <v>1.9599999999999973</v>
      </c>
      <c r="CN110" s="17">
        <f t="shared" si="102"/>
        <v>5.0399999999999956</v>
      </c>
      <c r="CO110" s="38">
        <f t="shared" si="117"/>
        <v>11.089999999999998</v>
      </c>
      <c r="CP110" s="17">
        <f t="shared" si="103"/>
        <v>14.169999999999996</v>
      </c>
      <c r="CQ110" s="17">
        <f t="shared" si="104"/>
        <v>20.22</v>
      </c>
      <c r="CR110" s="17">
        <f t="shared" si="105"/>
        <v>23.299999999999997</v>
      </c>
      <c r="CS110" s="2" cm="1">
        <f t="array" aca="1" ref="CS110" ca="1">MAX(_xlfn._xlws.FILTER(CL110:CR110,CL110:CR110&lt;BN110))</f>
        <v>5.0399999999999956</v>
      </c>
      <c r="CT110" s="2" cm="1">
        <f t="array" aca="1" ref="CT110" ca="1">MIN(_xlfn._xlws.FILTER($CL110:$CR110,$CL110:$CR110&gt;BN110))</f>
        <v>11.089999999999998</v>
      </c>
      <c r="CU110" s="16">
        <f t="shared" ca="1" si="119"/>
        <v>1.2003968253968269</v>
      </c>
      <c r="CV110" s="20">
        <f t="shared" ca="1" si="120"/>
        <v>-0.60019841269841345</v>
      </c>
      <c r="CW110" s="20">
        <f t="shared" ca="1" si="121"/>
        <v>-0.40013227513227562</v>
      </c>
      <c r="CX110" s="20">
        <f t="shared" ca="1" si="122"/>
        <v>-0.24007936507936539</v>
      </c>
      <c r="CY110" s="20">
        <f t="shared" ca="1" si="123"/>
        <v>-0.13337742504409189</v>
      </c>
      <c r="CZ110" s="20">
        <f t="shared" ca="1" si="124"/>
        <v>-7.0611577964519223E-2</v>
      </c>
      <c r="DA110" s="20">
        <f t="shared" ca="1" si="125"/>
        <v>-3.6375661375661422E-2</v>
      </c>
      <c r="DB110" s="20">
        <f t="shared" ca="1" si="126"/>
        <v>-1.8467643467643492E-2</v>
      </c>
      <c r="DC110" s="21">
        <f t="shared" ca="1" si="127"/>
        <v>1.8467643467643492E-2</v>
      </c>
      <c r="DD110" s="21">
        <f t="shared" ca="1" si="128"/>
        <v>3.6375661375661422E-2</v>
      </c>
      <c r="DE110" s="21">
        <f t="shared" ca="1" si="129"/>
        <v>7.0611577964519223E-2</v>
      </c>
      <c r="DF110" s="21">
        <f t="shared" ca="1" si="130"/>
        <v>0.13337742504409189</v>
      </c>
      <c r="DG110" s="21">
        <f t="shared" ca="1" si="131"/>
        <v>0.24007936507936539</v>
      </c>
      <c r="DH110" s="21">
        <f t="shared" ca="1" si="132"/>
        <v>0.40013227513227562</v>
      </c>
      <c r="DI110" s="21">
        <f t="shared" ca="1" si="133"/>
        <v>0.60019841269841345</v>
      </c>
      <c r="DK110" s="16" cm="1">
        <f t="array" aca="1" ref="DK110" ca="1">MAX(_xlfn._xlws.FILTER(CV110:DI110,CV110:DI110&lt;BT110))</f>
        <v>-1.8467643467643492E-2</v>
      </c>
      <c r="DL110" s="16" cm="1">
        <f t="array" aca="1" ref="DL110" ca="1">MIN(_xlfn._xlws.FILTER(CV110:DI110,CV110:DI110&gt;BT110))</f>
        <v>1.8467643467643492E-2</v>
      </c>
      <c r="DM110" s="2" cm="1">
        <f t="array" aca="1" ref="DM110" ca="1">_FV(EB110,"Fechamento anterior",TRUE)</f>
        <v>8.15</v>
      </c>
      <c r="DN110" s="28">
        <f t="shared" ca="1" si="106"/>
        <v>0.59966029508695218</v>
      </c>
      <c r="DO110" s="15">
        <f t="shared" ca="1" si="134"/>
        <v>7.9994887057387061</v>
      </c>
      <c r="DP110" s="15">
        <f t="shared" ca="1" si="135"/>
        <v>8.3005112942612946</v>
      </c>
      <c r="DQ110" s="9"/>
      <c r="DR110" s="9"/>
      <c r="DS110" s="9"/>
      <c r="DT110" s="89">
        <v>3.6935286935286984E-2</v>
      </c>
      <c r="DU110" s="89">
        <f t="shared" ca="1" si="107"/>
        <v>3.6935286935286984E-2</v>
      </c>
      <c r="DV110" s="72">
        <f t="shared" ca="1" si="108"/>
        <v>0.59752484632503666</v>
      </c>
      <c r="DW110" s="37"/>
      <c r="DX110" s="35">
        <f t="shared" si="118"/>
        <v>0.58156577444000279</v>
      </c>
      <c r="DY110" s="56"/>
      <c r="DZ110" s="56"/>
      <c r="EB110" s="2" t="e" vm="110">
        <v>#VALUE!</v>
      </c>
      <c r="ED110" s="10" cm="1">
        <f t="array" aca="1" ref="ED110" ca="1">_FV(EB110,"Ações em circulação",TRUE)</f>
        <v>115907200</v>
      </c>
      <c r="EE110" s="18">
        <f>VLOOKUP(BO110,Fundamentus!A:U,5,FALSE)</f>
        <v>0.82899999999999996</v>
      </c>
      <c r="EF110" s="2">
        <f t="shared" ca="1" si="109"/>
        <v>1143692275.0301569</v>
      </c>
      <c r="EG110" s="17">
        <v>99844335.610132694</v>
      </c>
      <c r="EH110" s="17">
        <f t="shared" ca="1" si="110"/>
        <v>99844335.610132694</v>
      </c>
      <c r="EJ110" s="16">
        <f t="shared" ca="1" si="97"/>
        <v>0</v>
      </c>
      <c r="EK110" s="32" t="str">
        <f>IF(VLOOKUP(BO110,Fundamentus!A:U,3,FALSE)&lt;15,"Bom",IF(VLOOKUP(BO110,Fundamentus!A:U,3,FALSE)&gt;15,"Ruim","n/a"))</f>
        <v>Bom</v>
      </c>
      <c r="EL110" s="28" t="str">
        <f>IF(VLOOKUP(BO110,Fundamentus!A:U,4,FALSE)&lt;1,"Baixo",IF(VLOOKUP(BO110,Fundamentus!A:U,4,FALSE)&lt;1.5,"Moderado",IF(VLOOKUP(BO110,Fundamentus!A:U,4,FALSE)&gt;1.5,"Alto","n/a")))</f>
        <v>Baixo</v>
      </c>
      <c r="EM110" s="17" t="str">
        <f>IF(VLOOKUP(BO110,Fundamentus!A:U,8,FALSE)&lt;0,"Risco elevado",IF(VLOOKUP(BO110,Fundamentus!A:U,8,FALSE)&lt;1,"Saudável",IF(VLOOKUP(BO110,Fundamentus!A:U,8,FALSE)&lt;3,"Estável",IF(VLOOKUP(BO110,Fundamentus!A:U,8,FALSE)&gt;3,"Alerta","n/a"))))</f>
        <v>Alerta</v>
      </c>
      <c r="EN110" s="28" t="str">
        <f t="shared" si="111"/>
        <v>Ruim</v>
      </c>
      <c r="EO110" s="17" t="str">
        <f>IF(VLOOKUP(BO110,Fundamentus!A:U,12,FALSE)&lt;2,"Subvalorizada",IF(VLOOKUP(BO110,Fundamentus!A:U,12,FALSE)&lt;6,"Muita barata",IF(VLOOKUP(BO110,Fundamentus!A:U,12,FALSE)&lt;6,"Barata",IF(VLOOKUP(BO110,Fundamentus!A:U,12,FALSE)&lt;8,"Atrativa",IF(VLOOKUP(BO110,Fundamentus!A:U,12,FALSE)&gt;8,"Supervalorizada","n/a")))))</f>
        <v>Muita barata</v>
      </c>
      <c r="EQ110" s="17" t="str">
        <f>IF(VLOOKUP(BO110,Fundamentus!A:U,17,FALSE)&lt;0.1,"Fraco retorno",IF(VLOOKUP(BO110,Fundamentus!A:U,17,FALSE)&gt;0.1,"Bom retorno","n/a"))</f>
        <v>Fraco retorno</v>
      </c>
      <c r="ER110" s="17" t="str">
        <f>IF(VLOOKUP(BO110,Fundamentus!A:U,16,FALSE)&lt;0.1,"Ineficiente",IF(VLOOKUP(BO110,Fundamentus!A:U,16,FALSE)&gt;0.1,"Eficiente","n/a"))</f>
        <v>Eficiente</v>
      </c>
      <c r="ES110" s="33" t="str">
        <f>IF(VLOOKUP(BO110,Fundamentus!A:U,16,FALSE)&lt;0.1,"Oper. Ineficiente",IF(VLOOKUP(BO110,Fundamentus!A:U,16,FALSE)&gt;0.1,"Oper.Eficiente","n/a"))</f>
        <v>Oper.Eficiente</v>
      </c>
      <c r="ET110" s="34">
        <f>VLOOKUP(BO110,Fundamentus!A:U,14,FALSE)</f>
        <v>8.7300000000000003E-2</v>
      </c>
      <c r="EU110" s="17" t="str">
        <f>IF(VLOOKUP(BO110,Fundamentus!A:U,21,FALSE)&lt;0,"Negativo",IF(VLOOKUP(BO110,Fundamentus!A:U,21,FALSE)&lt;0.05,"Fraco",IF(VLOOKUP(BO110,Fundamentus!A:U,21,FALSE)&lt;0.1,"Bom",IF(VLOOKUP(BO110,Fundamentus!A:U,21,FALSE)&gt;0.1,"Muito bom","n/a"))))</f>
        <v>Muito bom</v>
      </c>
      <c r="EW110" s="29" t="str">
        <f>IF(VLOOKUP(BO110,Fundamentus!A:U,15,FALSE)&gt;1,"Bom",IF(VLOOKUP(BO110,Fundamentus!A:U,15,FALSE)&lt;1,"Ruim","n/a"))</f>
        <v>Bom</v>
      </c>
      <c r="EX110" s="17" t="str">
        <f>IF(VLOOKUP(BO110,Fundamentus!A:U,20,FALSE)&lt;0.5,"Baixa",IF(VLOOKUP(BO110,Fundamentus!A:U,20,FALSE)&lt;1,"Moderada",IF(VLOOKUP(BO110,Fundamentus!A:U,20,FALSE)&lt;2,"Alerta",IF(VLOOKUP(BO110,Fundamentus!A:U,20,FALSE)&gt;2,"Alta","n/a"))))</f>
        <v>Alerta</v>
      </c>
      <c r="EY110" s="10"/>
    </row>
    <row r="111" spans="1:155" s="2" customFormat="1" ht="11.25"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5">
        <v>2.4700000000000002</v>
      </c>
      <c r="BC111" s="52">
        <v>2.52</v>
      </c>
      <c r="BD111" s="52">
        <v>2.58</v>
      </c>
      <c r="BE111" s="52">
        <v>2.72</v>
      </c>
      <c r="BF111" s="52">
        <v>2.69</v>
      </c>
      <c r="BG111" s="67">
        <v>2.65</v>
      </c>
      <c r="BH111" s="52">
        <v>2.6</v>
      </c>
      <c r="BI111" s="52">
        <v>2.77</v>
      </c>
      <c r="BJ111" s="52">
        <v>2.8</v>
      </c>
      <c r="BK111" s="52">
        <v>2.64</v>
      </c>
      <c r="BL111" s="52">
        <v>2.48</v>
      </c>
      <c r="BM111" s="52">
        <v>2.5</v>
      </c>
      <c r="BN111" s="52" cm="1">
        <f t="array" aca="1" ref="BN111" ca="1">_FV(EB111,"Preço")</f>
        <v>2.5</v>
      </c>
      <c r="BO111" s="69" t="s">
        <v>108</v>
      </c>
      <c r="BP111" s="36" cm="1">
        <f t="array" aca="1" ref="BP111" ca="1">_FV(EB111,"Média de volume",TRUE)</f>
        <v>76360</v>
      </c>
      <c r="BQ111" s="36">
        <v>63300</v>
      </c>
      <c r="BR111" s="36" cm="1">
        <f t="array" aca="1" ref="BR111" ca="1">_FV(EB111,"Volume")</f>
        <v>63300</v>
      </c>
      <c r="BS111" s="24" cm="1">
        <f t="array" aca="1" ref="BS111" ca="1">_FV(EB111,"Beta")</f>
        <v>1.0386</v>
      </c>
      <c r="BT111" s="71" cm="1">
        <f t="array" aca="1" ref="BT111" ca="1">_FV(EB111,"Variação (%)",TRUE)</f>
        <v>1.626E-2</v>
      </c>
      <c r="BV111" s="17" cm="1">
        <f t="array" aca="1" ref="BV111" ca="1">_FV(EB111,"Baixo")</f>
        <v>2.4300000000000002</v>
      </c>
      <c r="BW111" s="17" cm="1">
        <f t="array" aca="1" ref="BW111" ca="1">_FV(EB111,"Alto")</f>
        <v>2.52</v>
      </c>
      <c r="BX111" s="24"/>
      <c r="BY111" s="63">
        <f ca="1">SQRT(22.5*(BN111/VLOOKUP(BO111,Fundamentus!A:U,3,FALSE))*(BN111/VLOOKUP(BO111,Fundamentus!A:U,4,FALSE)))</f>
        <v>3.1797478442925171</v>
      </c>
      <c r="CA111" s="62">
        <f t="shared" ca="1" si="112"/>
        <v>0</v>
      </c>
      <c r="CB111" s="8"/>
      <c r="CC111" s="61">
        <f t="shared" si="113"/>
        <v>2.0499999999999998</v>
      </c>
      <c r="CD111" s="61">
        <f t="shared" si="114"/>
        <v>2.99</v>
      </c>
      <c r="CE111" s="61">
        <f t="shared" si="115"/>
        <v>2.5104615384615383</v>
      </c>
      <c r="CF111" s="14"/>
      <c r="CG111" s="35">
        <f t="shared" si="98"/>
        <v>2.0832900469401632</v>
      </c>
      <c r="CH111" s="15">
        <f t="shared" si="116"/>
        <v>2.3400000000000318</v>
      </c>
      <c r="CI111" s="35">
        <f t="shared" si="99"/>
        <v>2.5967099530599005</v>
      </c>
      <c r="CK111" s="14"/>
      <c r="CL111" s="17">
        <f t="shared" si="100"/>
        <v>1.0833333333333321</v>
      </c>
      <c r="CM111" s="17">
        <f t="shared" si="101"/>
        <v>1.566666666666666</v>
      </c>
      <c r="CN111" s="17">
        <f t="shared" si="102"/>
        <v>2.0233333333333325</v>
      </c>
      <c r="CO111" s="38">
        <f t="shared" si="117"/>
        <v>2.5066666666666664</v>
      </c>
      <c r="CP111" s="17">
        <f t="shared" si="103"/>
        <v>2.9633333333333329</v>
      </c>
      <c r="CQ111" s="17">
        <f t="shared" si="104"/>
        <v>3.4466666666666668</v>
      </c>
      <c r="CR111" s="17">
        <f t="shared" si="105"/>
        <v>3.9033333333333333</v>
      </c>
      <c r="CS111" s="2" cm="1">
        <f t="array" aca="1" ref="CS111" ca="1">MAX(_xlfn._xlws.FILTER(CL111:CR111,CL111:CR111&lt;BN111))</f>
        <v>2.0233333333333325</v>
      </c>
      <c r="CT111" s="2" cm="1">
        <f t="array" aca="1" ref="CT111" ca="1">MIN(_xlfn._xlws.FILTER($CL111:$CR111,$CL111:$CR111&gt;BN111))</f>
        <v>2.5066666666666664</v>
      </c>
      <c r="CU111" s="16">
        <f t="shared" ca="1" si="119"/>
        <v>0.23887973640856708</v>
      </c>
      <c r="CV111" s="20">
        <f t="shared" ca="1" si="120"/>
        <v>-0.11943986820428354</v>
      </c>
      <c r="CW111" s="20">
        <f t="shared" ca="1" si="121"/>
        <v>-7.9626578802855688E-2</v>
      </c>
      <c r="CX111" s="20">
        <f t="shared" ca="1" si="122"/>
        <v>-4.7775947281713416E-2</v>
      </c>
      <c r="CY111" s="20">
        <f t="shared" ca="1" si="123"/>
        <v>-2.6542192934285232E-2</v>
      </c>
      <c r="CZ111" s="20">
        <f t="shared" ca="1" si="124"/>
        <v>-1.4051749200503946E-2</v>
      </c>
      <c r="DA111" s="20">
        <f t="shared" ca="1" si="125"/>
        <v>-7.2387798911686995E-3</v>
      </c>
      <c r="DB111" s="20">
        <f t="shared" ca="1" si="126"/>
        <v>-3.6750728678241087E-3</v>
      </c>
      <c r="DC111" s="21">
        <f t="shared" ca="1" si="127"/>
        <v>3.6750728678241087E-3</v>
      </c>
      <c r="DD111" s="21">
        <f t="shared" ca="1" si="128"/>
        <v>7.2387798911686995E-3</v>
      </c>
      <c r="DE111" s="21">
        <f t="shared" ca="1" si="129"/>
        <v>1.4051749200503946E-2</v>
      </c>
      <c r="DF111" s="21">
        <f t="shared" ca="1" si="130"/>
        <v>2.6542192934285232E-2</v>
      </c>
      <c r="DG111" s="21">
        <f t="shared" ca="1" si="131"/>
        <v>4.7775947281713416E-2</v>
      </c>
      <c r="DH111" s="21">
        <f t="shared" ca="1" si="132"/>
        <v>7.9626578802855688E-2</v>
      </c>
      <c r="DI111" s="21">
        <f t="shared" ca="1" si="133"/>
        <v>0.11943986820428354</v>
      </c>
      <c r="DK111" s="16" cm="1">
        <f t="array" aca="1" ref="DK111" ca="1">MAX(_xlfn._xlws.FILTER(CV111:DI111,CV111:DI111&lt;BT111))</f>
        <v>1.4051749200503946E-2</v>
      </c>
      <c r="DL111" s="16" cm="1">
        <f t="array" aca="1" ref="DL111" ca="1">MIN(_xlfn._xlws.FILTER(CV111:DI111,CV111:DI111&gt;BT111))</f>
        <v>2.6542192934285232E-2</v>
      </c>
      <c r="DM111" s="2" cm="1">
        <f t="array" aca="1" ref="DM111" ca="1">_FV(EB111,"Fechamento anterior",TRUE)</f>
        <v>2.46</v>
      </c>
      <c r="DN111" s="28">
        <f t="shared" ca="1" si="106"/>
        <v>0.17680824222034766</v>
      </c>
      <c r="DO111" s="15">
        <f t="shared" ca="1" si="134"/>
        <v>2.4945673030332398</v>
      </c>
      <c r="DP111" s="15">
        <f t="shared" ca="1" si="135"/>
        <v>2.5252937946183418</v>
      </c>
      <c r="DQ111" s="9"/>
      <c r="DR111" s="9"/>
      <c r="DS111" s="9"/>
      <c r="DT111" s="89">
        <v>1.2490443733781286E-2</v>
      </c>
      <c r="DU111" s="89">
        <f t="shared" ca="1" si="107"/>
        <v>1.2490443733781286E-2</v>
      </c>
      <c r="DV111" s="72">
        <f t="shared" ca="1" si="108"/>
        <v>0.62327150970517198</v>
      </c>
      <c r="DW111" s="37"/>
      <c r="DX111" s="35">
        <f t="shared" si="118"/>
        <v>0.1283549765299343</v>
      </c>
      <c r="DY111" s="56"/>
      <c r="DZ111" s="56"/>
      <c r="EB111" s="2" t="e" vm="111">
        <v>#VALUE!</v>
      </c>
      <c r="ED111" s="10" cm="1">
        <f t="array" aca="1" ref="ED111" ca="1">_FV(EB111,"Ações em circulação",TRUE)</f>
        <v>1206361000</v>
      </c>
      <c r="EE111" s="18">
        <f>VLOOKUP(BO111,Fundamentus!A:U,5,FALSE)</f>
        <v>4.0279999999999996</v>
      </c>
      <c r="EF111" s="2">
        <f t="shared" ca="1" si="109"/>
        <v>748734483.61469722</v>
      </c>
      <c r="EG111" s="17">
        <v>251574786.49453828</v>
      </c>
      <c r="EH111" s="17">
        <f t="shared" ca="1" si="110"/>
        <v>251574786.49453828</v>
      </c>
      <c r="EJ111" s="16">
        <f t="shared" ca="1" si="97"/>
        <v>0</v>
      </c>
      <c r="EK111" s="32" t="str">
        <f>IF(VLOOKUP(BO111,Fundamentus!A:U,3,FALSE)&lt;15,"Bom",IF(VLOOKUP(BO111,Fundamentus!A:U,3,FALSE)&gt;15,"Ruim","n/a"))</f>
        <v>Bom</v>
      </c>
      <c r="EL111" s="28" t="str">
        <f>IF(VLOOKUP(BO111,Fundamentus!A:U,4,FALSE)&lt;1,"Baixo",IF(VLOOKUP(BO111,Fundamentus!A:U,4,FALSE)&lt;1.5,"Moderado",IF(VLOOKUP(BO111,Fundamentus!A:U,4,FALSE)&gt;1.5,"Alto","n/a")))</f>
        <v>Moderado</v>
      </c>
      <c r="EM111" s="17" t="str">
        <f>IF(VLOOKUP(BO111,Fundamentus!A:U,8,FALSE)&lt;0,"Risco elevado",IF(VLOOKUP(BO111,Fundamentus!A:U,8,FALSE)&lt;1,"Saudável",IF(VLOOKUP(BO111,Fundamentus!A:U,8,FALSE)&lt;3,"Estável",IF(VLOOKUP(BO111,Fundamentus!A:U,8,FALSE)&gt;3,"Alerta","n/a"))))</f>
        <v>Estável</v>
      </c>
      <c r="EN111" s="28" t="str">
        <f t="shared" si="111"/>
        <v>Bom</v>
      </c>
      <c r="EO111" s="17" t="str">
        <f>IF(VLOOKUP(BO111,Fundamentus!A:U,12,FALSE)&lt;2,"Subvalorizada",IF(VLOOKUP(BO111,Fundamentus!A:U,12,FALSE)&lt;6,"Muita barata",IF(VLOOKUP(BO111,Fundamentus!A:U,12,FALSE)&lt;6,"Barata",IF(VLOOKUP(BO111,Fundamentus!A:U,12,FALSE)&lt;8,"Atrativa",IF(VLOOKUP(BO111,Fundamentus!A:U,12,FALSE)&gt;8,"Supervalorizada","n/a")))))</f>
        <v>Atrativa</v>
      </c>
      <c r="EQ111" s="17" t="str">
        <f>IF(VLOOKUP(BO111,Fundamentus!A:U,17,FALSE)&lt;0.1,"Fraco retorno",IF(VLOOKUP(BO111,Fundamentus!A:U,17,FALSE)&gt;0.1,"Bom retorno","n/a"))</f>
        <v>Fraco retorno</v>
      </c>
      <c r="ER111" s="17" t="str">
        <f>IF(VLOOKUP(BO111,Fundamentus!A:U,16,FALSE)&lt;0.1,"Ineficiente",IF(VLOOKUP(BO111,Fundamentus!A:U,16,FALSE)&gt;0.1,"Eficiente","n/a"))</f>
        <v>Eficiente</v>
      </c>
      <c r="ES111" s="33" t="str">
        <f>IF(VLOOKUP(BO111,Fundamentus!A:U,16,FALSE)&lt;0.1,"Oper. Ineficiente",IF(VLOOKUP(BO111,Fundamentus!A:U,16,FALSE)&gt;0.1,"Oper.Eficiente","n/a"))</f>
        <v>Oper.Eficiente</v>
      </c>
      <c r="ET111" s="34">
        <f>VLOOKUP(BO111,Fundamentus!A:U,14,FALSE)</f>
        <v>0.33600000000000002</v>
      </c>
      <c r="EU111" s="17" t="str">
        <f>IF(VLOOKUP(BO111,Fundamentus!A:U,21,FALSE)&lt;0,"Negativo",IF(VLOOKUP(BO111,Fundamentus!A:U,21,FALSE)&lt;0.05,"Fraco",IF(VLOOKUP(BO111,Fundamentus!A:U,21,FALSE)&lt;0.1,"Bom",IF(VLOOKUP(BO111,Fundamentus!A:U,21,FALSE)&gt;0.1,"Muito bom","n/a"))))</f>
        <v>Muito bom</v>
      </c>
      <c r="EW111" s="29" t="str">
        <f>IF(VLOOKUP(BO111,Fundamentus!A:U,15,FALSE)&gt;1,"Bom",IF(VLOOKUP(BO111,Fundamentus!A:U,15,FALSE)&lt;1,"Ruim","n/a"))</f>
        <v>Bom</v>
      </c>
      <c r="EX111" s="17" t="str">
        <f>IF(VLOOKUP(BO111,Fundamentus!A:U,20,FALSE)&lt;0.5,"Baixa",IF(VLOOKUP(BO111,Fundamentus!A:U,20,FALSE)&lt;1,"Moderada",IF(VLOOKUP(BO111,Fundamentus!A:U,20,FALSE)&lt;2,"Alerta",IF(VLOOKUP(BO111,Fundamentus!A:U,20,FALSE)&gt;2,"Alta","n/a"))))</f>
        <v>Moderada</v>
      </c>
      <c r="EY111" s="10"/>
    </row>
    <row r="112" spans="1:155" s="2" customFormat="1" ht="11.25"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5">
        <v>2.4700000000000002</v>
      </c>
      <c r="BC112" s="52">
        <v>2.52</v>
      </c>
      <c r="BD112" s="52">
        <v>2.58</v>
      </c>
      <c r="BE112" s="52">
        <v>2.72</v>
      </c>
      <c r="BF112" s="52">
        <v>2.69</v>
      </c>
      <c r="BG112" s="67">
        <v>2.65</v>
      </c>
      <c r="BH112" s="52">
        <v>2.6</v>
      </c>
      <c r="BI112" s="52">
        <v>2.77</v>
      </c>
      <c r="BJ112" s="52">
        <v>2.8</v>
      </c>
      <c r="BK112" s="52">
        <v>2.64</v>
      </c>
      <c r="BL112" s="52">
        <v>2.48</v>
      </c>
      <c r="BM112" s="52">
        <v>2.5</v>
      </c>
      <c r="BN112" s="52" cm="1">
        <f t="array" aca="1" ref="BN112" ca="1">_FV(EB112,"Preço")</f>
        <v>2.5</v>
      </c>
      <c r="BO112" s="69" t="s">
        <v>108</v>
      </c>
      <c r="BP112" s="36" cm="1">
        <f t="array" aca="1" ref="BP112" ca="1">_FV(EB112,"Média de volume",TRUE)</f>
        <v>76360</v>
      </c>
      <c r="BQ112" s="36">
        <v>63300</v>
      </c>
      <c r="BR112" s="36" cm="1">
        <f t="array" aca="1" ref="BR112" ca="1">_FV(EB112,"Volume")</f>
        <v>63300</v>
      </c>
      <c r="BS112" s="24" cm="1">
        <f t="array" aca="1" ref="BS112" ca="1">_FV(EB112,"Beta")</f>
        <v>1.0386</v>
      </c>
      <c r="BT112" s="71" cm="1">
        <f t="array" aca="1" ref="BT112" ca="1">_FV(EB112,"Variação (%)",TRUE)</f>
        <v>1.626E-2</v>
      </c>
      <c r="BV112" s="17" cm="1">
        <f t="array" aca="1" ref="BV112" ca="1">_FV(EB112,"Baixo")</f>
        <v>2.4300000000000002</v>
      </c>
      <c r="BW112" s="17" cm="1">
        <f t="array" aca="1" ref="BW112" ca="1">_FV(EB112,"Alto")</f>
        <v>2.52</v>
      </c>
      <c r="BX112" s="24"/>
      <c r="BY112" s="63">
        <f ca="1">SQRT(22.5*(BN112/VLOOKUP(BO112,Fundamentus!A:U,3,FALSE))*(BN112/VLOOKUP(BO112,Fundamentus!A:U,4,FALSE)))</f>
        <v>3.1797478442925171</v>
      </c>
      <c r="CA112" s="62">
        <f t="shared" ca="1" si="112"/>
        <v>0</v>
      </c>
      <c r="CB112" s="8"/>
      <c r="CC112" s="61">
        <f t="shared" si="113"/>
        <v>2.0499999999999998</v>
      </c>
      <c r="CD112" s="61">
        <f t="shared" si="114"/>
        <v>2.99</v>
      </c>
      <c r="CE112" s="61">
        <f t="shared" si="115"/>
        <v>2.5104615384615383</v>
      </c>
      <c r="CF112" s="14"/>
      <c r="CG112" s="35">
        <f t="shared" si="98"/>
        <v>2.0832900469401632</v>
      </c>
      <c r="CH112" s="15">
        <f t="shared" si="116"/>
        <v>2.3400000000000318</v>
      </c>
      <c r="CI112" s="35">
        <f t="shared" si="99"/>
        <v>2.5967099530599005</v>
      </c>
      <c r="CK112" s="14"/>
      <c r="CL112" s="17">
        <f t="shared" si="100"/>
        <v>1.0833333333333321</v>
      </c>
      <c r="CM112" s="17">
        <f t="shared" si="101"/>
        <v>1.566666666666666</v>
      </c>
      <c r="CN112" s="17">
        <f t="shared" si="102"/>
        <v>2.0233333333333325</v>
      </c>
      <c r="CO112" s="38">
        <f t="shared" si="117"/>
        <v>2.5066666666666664</v>
      </c>
      <c r="CP112" s="17">
        <f t="shared" si="103"/>
        <v>2.9633333333333329</v>
      </c>
      <c r="CQ112" s="17">
        <f t="shared" si="104"/>
        <v>3.4466666666666668</v>
      </c>
      <c r="CR112" s="17">
        <f t="shared" si="105"/>
        <v>3.9033333333333333</v>
      </c>
      <c r="CS112" s="2" cm="1">
        <f t="array" aca="1" ref="CS112" ca="1">MAX(_xlfn._xlws.FILTER(CL112:CR112,CL112:CR112&lt;BN112))</f>
        <v>2.0233333333333325</v>
      </c>
      <c r="CT112" s="2" cm="1">
        <f t="array" aca="1" ref="CT112" ca="1">MIN(_xlfn._xlws.FILTER($CL112:$CR112,$CL112:$CR112&gt;BN112))</f>
        <v>2.5066666666666664</v>
      </c>
      <c r="CU112" s="16">
        <f t="shared" ca="1" si="119"/>
        <v>0.23887973640856708</v>
      </c>
      <c r="CV112" s="20">
        <f t="shared" ca="1" si="120"/>
        <v>-0.11943986820428354</v>
      </c>
      <c r="CW112" s="20">
        <f t="shared" ca="1" si="121"/>
        <v>-7.9626578802855688E-2</v>
      </c>
      <c r="CX112" s="20">
        <f t="shared" ca="1" si="122"/>
        <v>-4.7775947281713416E-2</v>
      </c>
      <c r="CY112" s="20">
        <f t="shared" ca="1" si="123"/>
        <v>-2.6542192934285232E-2</v>
      </c>
      <c r="CZ112" s="20">
        <f t="shared" ca="1" si="124"/>
        <v>-1.4051749200503946E-2</v>
      </c>
      <c r="DA112" s="20">
        <f t="shared" ca="1" si="125"/>
        <v>-7.2387798911686995E-3</v>
      </c>
      <c r="DB112" s="20">
        <f t="shared" ca="1" si="126"/>
        <v>-3.6750728678241087E-3</v>
      </c>
      <c r="DC112" s="21">
        <f t="shared" ca="1" si="127"/>
        <v>3.6750728678241087E-3</v>
      </c>
      <c r="DD112" s="21">
        <f t="shared" ca="1" si="128"/>
        <v>7.2387798911686995E-3</v>
      </c>
      <c r="DE112" s="21">
        <f t="shared" ca="1" si="129"/>
        <v>1.4051749200503946E-2</v>
      </c>
      <c r="DF112" s="21">
        <f t="shared" ca="1" si="130"/>
        <v>2.6542192934285232E-2</v>
      </c>
      <c r="DG112" s="21">
        <f t="shared" ca="1" si="131"/>
        <v>4.7775947281713416E-2</v>
      </c>
      <c r="DH112" s="21">
        <f t="shared" ca="1" si="132"/>
        <v>7.9626578802855688E-2</v>
      </c>
      <c r="DI112" s="21">
        <f t="shared" ca="1" si="133"/>
        <v>0.11943986820428354</v>
      </c>
      <c r="DK112" s="16" cm="1">
        <f t="array" aca="1" ref="DK112" ca="1">MAX(_xlfn._xlws.FILTER(CV112:DI112,CV112:DI112&lt;BT112))</f>
        <v>1.4051749200503946E-2</v>
      </c>
      <c r="DL112" s="16" cm="1">
        <f t="array" aca="1" ref="DL112" ca="1">MIN(_xlfn._xlws.FILTER(CV112:DI112,CV112:DI112&gt;BT112))</f>
        <v>2.6542192934285232E-2</v>
      </c>
      <c r="DM112" s="2" cm="1">
        <f t="array" aca="1" ref="DM112" ca="1">_FV(EB112,"Fechamento anterior",TRUE)</f>
        <v>2.46</v>
      </c>
      <c r="DN112" s="28">
        <f t="shared" ca="1" si="106"/>
        <v>0.17680824222034766</v>
      </c>
      <c r="DO112" s="15">
        <f t="shared" ca="1" si="134"/>
        <v>2.4945673030332398</v>
      </c>
      <c r="DP112" s="15">
        <f t="shared" ca="1" si="135"/>
        <v>2.5252937946183418</v>
      </c>
      <c r="DQ112" s="9"/>
      <c r="DR112" s="9"/>
      <c r="DS112" s="9"/>
      <c r="DT112" s="89">
        <v>1.2490443733781286E-2</v>
      </c>
      <c r="DU112" s="89">
        <f t="shared" ca="1" si="107"/>
        <v>1.2490443733781286E-2</v>
      </c>
      <c r="DV112" s="72">
        <f t="shared" ca="1" si="108"/>
        <v>0.62327150970517198</v>
      </c>
      <c r="DW112" s="37"/>
      <c r="DX112" s="35">
        <f t="shared" si="118"/>
        <v>0.1283549765299343</v>
      </c>
      <c r="DY112" s="56"/>
      <c r="DZ112" s="56"/>
      <c r="EB112" s="2" t="e" vm="111">
        <v>#VALUE!</v>
      </c>
      <c r="ED112" s="10" cm="1">
        <f t="array" aca="1" ref="ED112" ca="1">_FV(EB112,"Ações em circulação",TRUE)</f>
        <v>1206361000</v>
      </c>
      <c r="EE112" s="18">
        <f>VLOOKUP(BO112,Fundamentus!A:U,5,FALSE)</f>
        <v>4.0279999999999996</v>
      </c>
      <c r="EF112" s="2">
        <f t="shared" ca="1" si="109"/>
        <v>748734483.61469722</v>
      </c>
      <c r="EG112" s="17">
        <v>251574786.49453828</v>
      </c>
      <c r="EH112" s="17">
        <f t="shared" ca="1" si="110"/>
        <v>251574786.49453828</v>
      </c>
      <c r="EJ112" s="16">
        <f t="shared" ca="1" si="97"/>
        <v>0</v>
      </c>
      <c r="EK112" s="32" t="str">
        <f>IF(VLOOKUP(BO112,Fundamentus!A:U,3,FALSE)&lt;15,"Bom",IF(VLOOKUP(BO112,Fundamentus!A:U,3,FALSE)&gt;15,"Ruim","n/a"))</f>
        <v>Bom</v>
      </c>
      <c r="EL112" s="28" t="str">
        <f>IF(VLOOKUP(BO112,Fundamentus!A:U,4,FALSE)&lt;1,"Baixo",IF(VLOOKUP(BO112,Fundamentus!A:U,4,FALSE)&lt;1.5,"Moderado",IF(VLOOKUP(BO112,Fundamentus!A:U,4,FALSE)&gt;1.5,"Alto","n/a")))</f>
        <v>Moderado</v>
      </c>
      <c r="EM112" s="17" t="str">
        <f>IF(VLOOKUP(BO112,Fundamentus!A:U,8,FALSE)&lt;0,"Risco elevado",IF(VLOOKUP(BO112,Fundamentus!A:U,8,FALSE)&lt;1,"Saudável",IF(VLOOKUP(BO112,Fundamentus!A:U,8,FALSE)&lt;3,"Estável",IF(VLOOKUP(BO112,Fundamentus!A:U,8,FALSE)&gt;3,"Alerta","n/a"))))</f>
        <v>Estável</v>
      </c>
      <c r="EN112" s="28" t="str">
        <f t="shared" si="111"/>
        <v>Bom</v>
      </c>
      <c r="EO112" s="17" t="str">
        <f>IF(VLOOKUP(BO112,Fundamentus!A:U,12,FALSE)&lt;2,"Subvalorizada",IF(VLOOKUP(BO112,Fundamentus!A:U,12,FALSE)&lt;6,"Muita barata",IF(VLOOKUP(BO112,Fundamentus!A:U,12,FALSE)&lt;6,"Barata",IF(VLOOKUP(BO112,Fundamentus!A:U,12,FALSE)&lt;8,"Atrativa",IF(VLOOKUP(BO112,Fundamentus!A:U,12,FALSE)&gt;8,"Supervalorizada","n/a")))))</f>
        <v>Atrativa</v>
      </c>
      <c r="EQ112" s="17" t="str">
        <f>IF(VLOOKUP(BO112,Fundamentus!A:U,17,FALSE)&lt;0.1,"Fraco retorno",IF(VLOOKUP(BO112,Fundamentus!A:U,17,FALSE)&gt;0.1,"Bom retorno","n/a"))</f>
        <v>Fraco retorno</v>
      </c>
      <c r="ER112" s="17" t="str">
        <f>IF(VLOOKUP(BO112,Fundamentus!A:U,16,FALSE)&lt;0.1,"Ineficiente",IF(VLOOKUP(BO112,Fundamentus!A:U,16,FALSE)&gt;0.1,"Eficiente","n/a"))</f>
        <v>Eficiente</v>
      </c>
      <c r="ES112" s="33" t="str">
        <f>IF(VLOOKUP(BO112,Fundamentus!A:U,16,FALSE)&lt;0.1,"Oper. Ineficiente",IF(VLOOKUP(BO112,Fundamentus!A:U,16,FALSE)&gt;0.1,"Oper.Eficiente","n/a"))</f>
        <v>Oper.Eficiente</v>
      </c>
      <c r="ET112" s="34">
        <f>VLOOKUP(BO112,Fundamentus!A:U,14,FALSE)</f>
        <v>0.33600000000000002</v>
      </c>
      <c r="EU112" s="17" t="str">
        <f>IF(VLOOKUP(BO112,Fundamentus!A:U,21,FALSE)&lt;0,"Negativo",IF(VLOOKUP(BO112,Fundamentus!A:U,21,FALSE)&lt;0.05,"Fraco",IF(VLOOKUP(BO112,Fundamentus!A:U,21,FALSE)&lt;0.1,"Bom",IF(VLOOKUP(BO112,Fundamentus!A:U,21,FALSE)&gt;0.1,"Muito bom","n/a"))))</f>
        <v>Muito bom</v>
      </c>
      <c r="EW112" s="29" t="str">
        <f>IF(VLOOKUP(BO112,Fundamentus!A:U,15,FALSE)&gt;1,"Bom",IF(VLOOKUP(BO112,Fundamentus!A:U,15,FALSE)&lt;1,"Ruim","n/a"))</f>
        <v>Bom</v>
      </c>
      <c r="EX112" s="17" t="str">
        <f>IF(VLOOKUP(BO112,Fundamentus!A:U,20,FALSE)&lt;0.5,"Baixa",IF(VLOOKUP(BO112,Fundamentus!A:U,20,FALSE)&lt;1,"Moderada",IF(VLOOKUP(BO112,Fundamentus!A:U,20,FALSE)&lt;2,"Alerta",IF(VLOOKUP(BO112,Fundamentus!A:U,20,FALSE)&gt;2,"Alta","n/a"))))</f>
        <v>Moderada</v>
      </c>
      <c r="EY112" s="10"/>
    </row>
    <row r="113" spans="1:155" s="2" customFormat="1" ht="11.25"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5">
        <v>7.56</v>
      </c>
      <c r="BC113" s="52">
        <v>7.56</v>
      </c>
      <c r="BD113" s="52">
        <v>7.56</v>
      </c>
      <c r="BE113" s="52">
        <v>7.56</v>
      </c>
      <c r="BF113" s="52">
        <v>7.56</v>
      </c>
      <c r="BG113" s="67">
        <v>7.56</v>
      </c>
      <c r="BH113" s="52">
        <v>7.56</v>
      </c>
      <c r="BI113" s="52">
        <v>7.56</v>
      </c>
      <c r="BJ113" s="52">
        <v>7.56</v>
      </c>
      <c r="BK113" s="52">
        <v>7.56</v>
      </c>
      <c r="BL113" s="52">
        <v>7.56</v>
      </c>
      <c r="BM113" s="52">
        <v>7.56</v>
      </c>
      <c r="BN113" s="52">
        <v>7.56</v>
      </c>
      <c r="BO113" s="69" t="s">
        <v>109</v>
      </c>
      <c r="BP113" s="36" cm="1">
        <f t="array" aca="1" ref="BP113" ca="1">_FV(EB113,"Média de volume",TRUE)</f>
        <v>1126340</v>
      </c>
      <c r="BQ113" s="36">
        <v>724200</v>
      </c>
      <c r="BR113" s="36" cm="1">
        <f t="array" aca="1" ref="BR113" ca="1">_FV(EB113,"Volume")</f>
        <v>724200</v>
      </c>
      <c r="BS113" s="24" cm="1">
        <f t="array" aca="1" ref="BS113" ca="1">_FV(EB113,"Beta")</f>
        <v>0.93169999999999997</v>
      </c>
      <c r="BT113" s="71" cm="1">
        <f t="array" aca="1" ref="BT113" ca="1">_FV(EB113,"Variação (%)",TRUE)</f>
        <v>-6.9160000000000003E-3</v>
      </c>
      <c r="BV113" s="17" cm="1">
        <f t="array" aca="1" ref="BV113" ca="1">_FV(EB113,"Baixo")</f>
        <v>7.16</v>
      </c>
      <c r="BW113" s="17" cm="1">
        <f t="array" aca="1" ref="BW113" ca="1">_FV(EB113,"Alto")</f>
        <v>7.3</v>
      </c>
      <c r="BX113" s="24"/>
      <c r="BY113" s="63">
        <f>SQRT(22.5*(BN113/VLOOKUP(BO113,Fundamentus!A:U,3,FALSE))*(BN113/VLOOKUP(BO113,Fundamentus!A:U,4,FALSE)))</f>
        <v>9.6347304721501708</v>
      </c>
      <c r="CA113" s="62">
        <f t="shared" si="112"/>
        <v>0</v>
      </c>
      <c r="CB113" s="8"/>
      <c r="CC113" s="61">
        <f t="shared" si="113"/>
        <v>7.43</v>
      </c>
      <c r="CD113" s="61">
        <f t="shared" si="114"/>
        <v>11.51</v>
      </c>
      <c r="CE113" s="61">
        <f t="shared" si="115"/>
        <v>9.2199999999999882</v>
      </c>
      <c r="CF113" s="14"/>
      <c r="CG113" s="35">
        <f t="shared" si="98"/>
        <v>7.56</v>
      </c>
      <c r="CH113" s="15">
        <f t="shared" si="116"/>
        <v>7.56</v>
      </c>
      <c r="CI113" s="35">
        <f t="shared" si="99"/>
        <v>7.56</v>
      </c>
      <c r="CK113" s="14"/>
      <c r="CL113" s="17">
        <f t="shared" si="100"/>
        <v>2.0766666666666644</v>
      </c>
      <c r="CM113" s="17">
        <f t="shared" si="101"/>
        <v>4.7533333333333321</v>
      </c>
      <c r="CN113" s="17">
        <f t="shared" si="102"/>
        <v>6.1566666666666645</v>
      </c>
      <c r="CO113" s="38">
        <f t="shared" si="117"/>
        <v>8.8333333333333321</v>
      </c>
      <c r="CP113" s="17">
        <f t="shared" si="103"/>
        <v>10.236666666666665</v>
      </c>
      <c r="CQ113" s="17">
        <f t="shared" si="104"/>
        <v>12.913333333333332</v>
      </c>
      <c r="CR113" s="17">
        <f t="shared" si="105"/>
        <v>14.316666666666665</v>
      </c>
      <c r="CS113" s="2" cm="1">
        <f t="array" ref="CS113">MAX(_xlfn._xlws.FILTER(CL113:CR113,CL113:CR113&lt;BN113))</f>
        <v>6.1566666666666645</v>
      </c>
      <c r="CT113" s="2" cm="1">
        <f t="array" ref="CT113">MIN(_xlfn._xlws.FILTER($CL113:$CR113,$CL113:$CR113&gt;BN113))</f>
        <v>8.8333333333333321</v>
      </c>
      <c r="CU113" s="16">
        <f t="shared" si="119"/>
        <v>0.43475906876015191</v>
      </c>
      <c r="CV113" s="20">
        <f t="shared" si="120"/>
        <v>-0.21737953438007596</v>
      </c>
      <c r="CW113" s="20">
        <f t="shared" si="121"/>
        <v>-0.1449196895867173</v>
      </c>
      <c r="CX113" s="20">
        <f t="shared" si="122"/>
        <v>-8.6951813752030385E-2</v>
      </c>
      <c r="CY113" s="20">
        <f t="shared" si="123"/>
        <v>-4.8306563195572437E-2</v>
      </c>
      <c r="CZ113" s="20">
        <f t="shared" si="124"/>
        <v>-2.5574062868244232E-2</v>
      </c>
      <c r="DA113" s="20">
        <f t="shared" si="125"/>
        <v>-1.3174517235156119E-2</v>
      </c>
      <c r="DB113" s="20">
        <f t="shared" si="126"/>
        <v>-6.6886010578484914E-3</v>
      </c>
      <c r="DC113" s="21">
        <f t="shared" si="127"/>
        <v>6.6886010578484914E-3</v>
      </c>
      <c r="DD113" s="21">
        <f t="shared" si="128"/>
        <v>1.3174517235156119E-2</v>
      </c>
      <c r="DE113" s="21">
        <f t="shared" si="129"/>
        <v>2.5574062868244232E-2</v>
      </c>
      <c r="DF113" s="21">
        <f t="shared" si="130"/>
        <v>4.8306563195572437E-2</v>
      </c>
      <c r="DG113" s="21">
        <f t="shared" si="131"/>
        <v>8.6951813752030385E-2</v>
      </c>
      <c r="DH113" s="21">
        <f t="shared" si="132"/>
        <v>0.1449196895867173</v>
      </c>
      <c r="DI113" s="21">
        <f t="shared" si="133"/>
        <v>0.21737953438007596</v>
      </c>
      <c r="DK113" s="16" cm="1">
        <f t="array" aca="1" ref="DK113" ca="1">MAX(_xlfn._xlws.FILTER(CV113:DI113,CV113:DI113&lt;BT113))</f>
        <v>-1.3174517235156119E-2</v>
      </c>
      <c r="DL113" s="16" cm="1">
        <f t="array" aca="1" ref="DL113" ca="1">MIN(_xlfn._xlws.FILTER(CV113:DI113,CV113:DI113&gt;BT113))</f>
        <v>-6.6886010578484914E-3</v>
      </c>
      <c r="DM113" s="2" cm="1">
        <f t="array" aca="1" ref="DM113" ca="1">_FV(EB113,"Fechamento anterior",TRUE)</f>
        <v>7.23</v>
      </c>
      <c r="DN113" s="28">
        <f t="shared" ca="1" si="106"/>
        <v>9.0685215710794846</v>
      </c>
      <c r="DO113" s="15">
        <f t="shared" ca="1" si="134"/>
        <v>7.1347482403898219</v>
      </c>
      <c r="DP113" s="15">
        <f t="shared" ca="1" si="135"/>
        <v>7.1816414143517555</v>
      </c>
      <c r="DQ113" s="9"/>
      <c r="DR113" s="9"/>
      <c r="DS113" s="9"/>
      <c r="DT113" s="89">
        <v>6.4859161773076273E-3</v>
      </c>
      <c r="DU113" s="89">
        <f t="shared" ca="1" si="107"/>
        <v>6.4859161773076273E-3</v>
      </c>
      <c r="DV113" s="72" t="e">
        <f t="shared" si="108"/>
        <v>#DIV/0!</v>
      </c>
      <c r="DW113" s="37"/>
      <c r="DX113" s="35">
        <f t="shared" si="118"/>
        <v>0</v>
      </c>
      <c r="DY113" s="56"/>
      <c r="DZ113" s="56"/>
      <c r="EB113" s="2" t="e" vm="112">
        <v>#VALUE!</v>
      </c>
      <c r="ED113" s="10" cm="1">
        <f t="array" aca="1" ref="ED113" ca="1">_FV(EB113,"Ações em circulação",TRUE)</f>
        <v>179720100</v>
      </c>
      <c r="EE113" s="18">
        <f>VLOOKUP(BO113,Fundamentus!A:U,5,FALSE)</f>
        <v>0.82499999999999996</v>
      </c>
      <c r="EF113" s="2">
        <f t="shared" ca="1" si="109"/>
        <v>1646889643.6363637</v>
      </c>
      <c r="EG113" s="17">
        <v>179346282.192</v>
      </c>
      <c r="EH113" s="17">
        <f t="shared" ca="1" si="110"/>
        <v>179346282.192</v>
      </c>
      <c r="EJ113" s="16">
        <f t="shared" ca="1" si="97"/>
        <v>0</v>
      </c>
      <c r="EK113" s="32" t="str">
        <f>IF(VLOOKUP(BO113,Fundamentus!A:U,3,FALSE)&lt;15,"Bom",IF(VLOOKUP(BO113,Fundamentus!A:U,3,FALSE)&gt;15,"Ruim","n/a"))</f>
        <v>Bom</v>
      </c>
      <c r="EL113" s="28" t="str">
        <f>IF(VLOOKUP(BO113,Fundamentus!A:U,4,FALSE)&lt;1,"Baixo",IF(VLOOKUP(BO113,Fundamentus!A:U,4,FALSE)&lt;1.5,"Moderado",IF(VLOOKUP(BO113,Fundamentus!A:U,4,FALSE)&gt;1.5,"Alto","n/a")))</f>
        <v>Alto</v>
      </c>
      <c r="EM113" s="17" t="str">
        <f>IF(VLOOKUP(BO113,Fundamentus!A:U,8,FALSE)&lt;0,"Risco elevado",IF(VLOOKUP(BO113,Fundamentus!A:U,8,FALSE)&lt;1,"Saudável",IF(VLOOKUP(BO113,Fundamentus!A:U,8,FALSE)&lt;3,"Estável",IF(VLOOKUP(BO113,Fundamentus!A:U,8,FALSE)&gt;3,"Alerta","n/a"))))</f>
        <v>Estável</v>
      </c>
      <c r="EN113" s="28" t="str">
        <f t="shared" si="111"/>
        <v>Ruim</v>
      </c>
      <c r="EO113" s="17" t="str">
        <f>IF(VLOOKUP(BO113,Fundamentus!A:U,12,FALSE)&lt;2,"Subvalorizada",IF(VLOOKUP(BO113,Fundamentus!A:U,12,FALSE)&lt;6,"Muita barata",IF(VLOOKUP(BO113,Fundamentus!A:U,12,FALSE)&lt;6,"Barata",IF(VLOOKUP(BO113,Fundamentus!A:U,12,FALSE)&lt;8,"Atrativa",IF(VLOOKUP(BO113,Fundamentus!A:U,12,FALSE)&gt;8,"Supervalorizada","n/a")))))</f>
        <v>Muita barata</v>
      </c>
      <c r="EQ113" s="17" t="str">
        <f>IF(VLOOKUP(BO113,Fundamentus!A:U,17,FALSE)&lt;0.1,"Fraco retorno",IF(VLOOKUP(BO113,Fundamentus!A:U,17,FALSE)&gt;0.1,"Bom retorno","n/a"))</f>
        <v>Bom retorno</v>
      </c>
      <c r="ER113" s="17" t="str">
        <f>IF(VLOOKUP(BO113,Fundamentus!A:U,16,FALSE)&lt;0.1,"Ineficiente",IF(VLOOKUP(BO113,Fundamentus!A:U,16,FALSE)&gt;0.1,"Eficiente","n/a"))</f>
        <v>Eficiente</v>
      </c>
      <c r="ES113" s="33" t="str">
        <f>IF(VLOOKUP(BO113,Fundamentus!A:U,16,FALSE)&lt;0.1,"Oper. Ineficiente",IF(VLOOKUP(BO113,Fundamentus!A:U,16,FALSE)&gt;0.1,"Oper.Eficiente","n/a"))</f>
        <v>Oper.Eficiente</v>
      </c>
      <c r="ET113" s="34">
        <f>VLOOKUP(BO113,Fundamentus!A:U,14,FALSE)</f>
        <v>0.1089</v>
      </c>
      <c r="EU113" s="17" t="str">
        <f>IF(VLOOKUP(BO113,Fundamentus!A:U,21,FALSE)&lt;0,"Negativo",IF(VLOOKUP(BO113,Fundamentus!A:U,21,FALSE)&lt;0.05,"Fraco",IF(VLOOKUP(BO113,Fundamentus!A:U,21,FALSE)&lt;0.1,"Bom",IF(VLOOKUP(BO113,Fundamentus!A:U,21,FALSE)&gt;0.1,"Muito bom","n/a"))))</f>
        <v>Muito bom</v>
      </c>
      <c r="EW113" s="29" t="str">
        <f>IF(VLOOKUP(BO113,Fundamentus!A:U,15,FALSE)&gt;1,"Bom",IF(VLOOKUP(BO113,Fundamentus!A:U,15,FALSE)&lt;1,"Ruim","n/a"))</f>
        <v>Bom</v>
      </c>
      <c r="EX113" s="17" t="str">
        <f>IF(VLOOKUP(BO113,Fundamentus!A:U,20,FALSE)&lt;0.5,"Baixa",IF(VLOOKUP(BO113,Fundamentus!A:U,20,FALSE)&lt;1,"Moderada",IF(VLOOKUP(BO113,Fundamentus!A:U,20,FALSE)&lt;2,"Alerta",IF(VLOOKUP(BO113,Fundamentus!A:U,20,FALSE)&gt;2,"Alta","n/a"))))</f>
        <v>Baixa</v>
      </c>
      <c r="EY113" s="10"/>
    </row>
    <row r="114" spans="1:155" s="2" customFormat="1" ht="11.25"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5">
        <v>15.44</v>
      </c>
      <c r="BC114" s="52">
        <v>17.420000000000002</v>
      </c>
      <c r="BD114" s="52">
        <v>17.600000000000001</v>
      </c>
      <c r="BE114" s="52">
        <v>18.16</v>
      </c>
      <c r="BF114" s="52">
        <v>17.559999999999999</v>
      </c>
      <c r="BG114" s="67">
        <v>18.36</v>
      </c>
      <c r="BH114" s="52">
        <v>18.559999999999999</v>
      </c>
      <c r="BI114" s="52">
        <v>19.559999999999999</v>
      </c>
      <c r="BJ114" s="52">
        <v>19.34</v>
      </c>
      <c r="BK114" s="52">
        <v>18.600000000000001</v>
      </c>
      <c r="BL114" s="52">
        <v>17.73</v>
      </c>
      <c r="BM114" s="52">
        <v>16.72</v>
      </c>
      <c r="BN114" s="52" cm="1">
        <f t="array" aca="1" ref="BN114" ca="1">_FV(EB114,"Preço")</f>
        <v>16.72</v>
      </c>
      <c r="BO114" s="69" t="s">
        <v>205</v>
      </c>
      <c r="BP114" s="36" cm="1">
        <f t="array" aca="1" ref="BP114" ca="1">_FV(EB114,"Média de volume",TRUE)</f>
        <v>16216640</v>
      </c>
      <c r="BQ114" s="36">
        <v>13198400</v>
      </c>
      <c r="BR114" s="36" cm="1">
        <f t="array" aca="1" ref="BR114" ca="1">_FV(EB114,"Volume")</f>
        <v>13198400</v>
      </c>
      <c r="BS114" s="24" cm="1">
        <f t="array" aca="1" ref="BS114" ca="1">_FV(EB114,"Beta")</f>
        <v>1.7544999999999999</v>
      </c>
      <c r="BT114" s="71" cm="1">
        <f t="array" aca="1" ref="BT114" ca="1">_FV(EB114,"Variação (%)",TRUE)</f>
        <v>-2.1076999999999999E-2</v>
      </c>
      <c r="BV114" s="17" cm="1">
        <f t="array" aca="1" ref="BV114" ca="1">_FV(EB114,"Baixo")</f>
        <v>16.54</v>
      </c>
      <c r="BW114" s="17" cm="1">
        <f t="array" aca="1" ref="BW114" ca="1">_FV(EB114,"Alto")</f>
        <v>17.13</v>
      </c>
      <c r="BX114" s="24"/>
      <c r="BY114" s="63">
        <f ca="1">SQRT(22.5*(BN114/VLOOKUP(BO114,Fundamentus!A:U,3,FALSE))*(BN114/VLOOKUP(BO114,Fundamentus!A:U,4,FALSE)))</f>
        <v>15.380368120992522</v>
      </c>
      <c r="CA114" s="62">
        <f t="shared" ca="1" si="112"/>
        <v>0</v>
      </c>
      <c r="CB114" s="8"/>
      <c r="CC114" s="61">
        <f t="shared" si="113"/>
        <v>11.33</v>
      </c>
      <c r="CD114" s="61">
        <f t="shared" si="114"/>
        <v>19.559999999999999</v>
      </c>
      <c r="CE114" s="61">
        <f t="shared" si="115"/>
        <v>15.150230769230767</v>
      </c>
      <c r="CF114" s="14"/>
      <c r="CG114" s="35">
        <f t="shared" si="98"/>
        <v>13.958248866104801</v>
      </c>
      <c r="CH114" s="15">
        <f t="shared" si="116"/>
        <v>15.914999999999964</v>
      </c>
      <c r="CI114" s="35">
        <f t="shared" si="99"/>
        <v>17.871751133895128</v>
      </c>
      <c r="CK114" s="14"/>
      <c r="CL114" s="17">
        <f t="shared" si="100"/>
        <v>4.6233333333333366</v>
      </c>
      <c r="CM114" s="17">
        <f t="shared" si="101"/>
        <v>7.9766666666666683</v>
      </c>
      <c r="CN114" s="17">
        <f t="shared" si="102"/>
        <v>12.853333333333335</v>
      </c>
      <c r="CO114" s="38">
        <f t="shared" si="117"/>
        <v>16.206666666666667</v>
      </c>
      <c r="CP114" s="17">
        <f t="shared" si="103"/>
        <v>21.083333333333336</v>
      </c>
      <c r="CQ114" s="17">
        <f t="shared" si="104"/>
        <v>24.436666666666667</v>
      </c>
      <c r="CR114" s="17">
        <f t="shared" si="105"/>
        <v>29.313333333333333</v>
      </c>
      <c r="CS114" s="2" cm="1">
        <f t="array" aca="1" ref="CS114" ca="1">MAX(_xlfn._xlws.FILTER(CL114:CR114,CL114:CR114&lt;BN114))</f>
        <v>16.206666666666667</v>
      </c>
      <c r="CT114" s="2" cm="1">
        <f t="array" aca="1" ref="CT114" ca="1">MIN(_xlfn._xlws.FILTER($CL114:$CR114,$CL114:$CR114&gt;BN114))</f>
        <v>21.083333333333336</v>
      </c>
      <c r="CU114" s="16">
        <f t="shared" ca="1" si="119"/>
        <v>0.30090497737556565</v>
      </c>
      <c r="CV114" s="20">
        <f t="shared" ca="1" si="120"/>
        <v>-0.15045248868778283</v>
      </c>
      <c r="CW114" s="20">
        <f t="shared" ca="1" si="121"/>
        <v>-0.10030165912518856</v>
      </c>
      <c r="CX114" s="20">
        <f t="shared" ca="1" si="122"/>
        <v>-6.018099547511313E-2</v>
      </c>
      <c r="CY114" s="20">
        <f t="shared" ca="1" si="123"/>
        <v>-3.3433886375062852E-2</v>
      </c>
      <c r="CZ114" s="20">
        <f t="shared" ca="1" si="124"/>
        <v>-1.770029278679798E-2</v>
      </c>
      <c r="DA114" s="20">
        <f t="shared" ca="1" si="125"/>
        <v>-9.1183326477444135E-3</v>
      </c>
      <c r="DB114" s="20">
        <f t="shared" ca="1" si="126"/>
        <v>-4.6293073442394712E-3</v>
      </c>
      <c r="DC114" s="21">
        <f t="shared" ca="1" si="127"/>
        <v>4.6293073442394712E-3</v>
      </c>
      <c r="DD114" s="21">
        <f t="shared" ca="1" si="128"/>
        <v>9.1183326477444135E-3</v>
      </c>
      <c r="DE114" s="21">
        <f t="shared" ca="1" si="129"/>
        <v>1.770029278679798E-2</v>
      </c>
      <c r="DF114" s="21">
        <f t="shared" ca="1" si="130"/>
        <v>3.3433886375062852E-2</v>
      </c>
      <c r="DG114" s="21">
        <f t="shared" ca="1" si="131"/>
        <v>6.018099547511313E-2</v>
      </c>
      <c r="DH114" s="21">
        <f t="shared" ca="1" si="132"/>
        <v>0.10030165912518856</v>
      </c>
      <c r="DI114" s="21">
        <f t="shared" ca="1" si="133"/>
        <v>0.15045248868778283</v>
      </c>
      <c r="DK114" s="16" cm="1">
        <f t="array" aca="1" ref="DK114" ca="1">MAX(_xlfn._xlws.FILTER(CV114:DI114,CV114:DI114&lt;BT114))</f>
        <v>-3.3433886375062852E-2</v>
      </c>
      <c r="DL114" s="16" cm="1">
        <f t="array" aca="1" ref="DL114" ca="1">MIN(_xlfn._xlws.FILTER(CV114:DI114,CV114:DI114&gt;BT114))</f>
        <v>-1.770029278679798E-2</v>
      </c>
      <c r="DM114" s="2" cm="1">
        <f t="array" aca="1" ref="DM114" ca="1">_FV(EB114,"Fechamento anterior",TRUE)</f>
        <v>17.079999999999998</v>
      </c>
      <c r="DN114" s="28">
        <f t="shared" ca="1" si="106"/>
        <v>0.78536431828987696</v>
      </c>
      <c r="DO114" s="15">
        <f t="shared" ca="1" si="134"/>
        <v>16.508949220713923</v>
      </c>
      <c r="DP114" s="15">
        <f t="shared" ca="1" si="135"/>
        <v>16.777678999201488</v>
      </c>
      <c r="DQ114" s="9"/>
      <c r="DR114" s="9"/>
      <c r="DS114" s="9"/>
      <c r="DT114" s="89">
        <v>1.5733593588264871E-2</v>
      </c>
      <c r="DU114" s="89">
        <f t="shared" ca="1" si="107"/>
        <v>1.5733593588264871E-2</v>
      </c>
      <c r="DV114" s="72">
        <f t="shared" ca="1" si="108"/>
        <v>0.41139620979678715</v>
      </c>
      <c r="DW114" s="37"/>
      <c r="DX114" s="35">
        <f t="shared" si="118"/>
        <v>0.97837556694758121</v>
      </c>
      <c r="DY114" s="56"/>
      <c r="DZ114" s="56"/>
      <c r="EB114" s="2" t="e" vm="113">
        <v>#VALUE!</v>
      </c>
      <c r="ED114" s="10" cm="1">
        <f t="array" aca="1" ref="ED114" ca="1">_FV(EB114,"Ações em circulação",TRUE)</f>
        <v>1059715000</v>
      </c>
      <c r="EE114" s="18">
        <f>VLOOKUP(BO114,Fundamentus!A:U,5,FALSE)</f>
        <v>1.264</v>
      </c>
      <c r="EF114" s="2">
        <f t="shared" ca="1" si="109"/>
        <v>14017749050.632912</v>
      </c>
      <c r="EG114" s="17">
        <v>1212535292.8797467</v>
      </c>
      <c r="EH114" s="17">
        <f t="shared" ca="1" si="110"/>
        <v>1212535292.8797467</v>
      </c>
      <c r="EJ114" s="16">
        <f t="shared" ca="1" si="97"/>
        <v>0</v>
      </c>
      <c r="EK114" s="32" t="str">
        <f>IF(VLOOKUP(BO114,Fundamentus!A:U,3,FALSE)&lt;15,"Bom",IF(VLOOKUP(BO114,Fundamentus!A:U,3,FALSE)&gt;15,"Ruim","n/a"))</f>
        <v>Bom</v>
      </c>
      <c r="EL114" s="28" t="str">
        <f>IF(VLOOKUP(BO114,Fundamentus!A:U,4,FALSE)&lt;1,"Baixo",IF(VLOOKUP(BO114,Fundamentus!A:U,4,FALSE)&lt;1.5,"Moderado",IF(VLOOKUP(BO114,Fundamentus!A:U,4,FALSE)&gt;1.5,"Alto","n/a")))</f>
        <v>Alto</v>
      </c>
      <c r="EM114" s="17" t="str">
        <f>IF(VLOOKUP(BO114,Fundamentus!A:U,8,FALSE)&lt;0,"Risco elevado",IF(VLOOKUP(BO114,Fundamentus!A:U,8,FALSE)&lt;1,"Saudável",IF(VLOOKUP(BO114,Fundamentus!A:U,8,FALSE)&lt;3,"Estável",IF(VLOOKUP(BO114,Fundamentus!A:U,8,FALSE)&gt;3,"Alerta","n/a"))))</f>
        <v>Alerta</v>
      </c>
      <c r="EN114" s="28" t="str">
        <f t="shared" si="111"/>
        <v>Bom</v>
      </c>
      <c r="EO114" s="17" t="str">
        <f>IF(VLOOKUP(BO114,Fundamentus!A:U,12,FALSE)&lt;2,"Subvalorizada",IF(VLOOKUP(BO114,Fundamentus!A:U,12,FALSE)&lt;6,"Muita barata",IF(VLOOKUP(BO114,Fundamentus!A:U,12,FALSE)&lt;6,"Barata",IF(VLOOKUP(BO114,Fundamentus!A:U,12,FALSE)&lt;8,"Atrativa",IF(VLOOKUP(BO114,Fundamentus!A:U,12,FALSE)&gt;8,"Supervalorizada","n/a")))))</f>
        <v>Muita barata</v>
      </c>
      <c r="EQ114" s="17" t="str">
        <f>IF(VLOOKUP(BO114,Fundamentus!A:U,17,FALSE)&lt;0.1,"Fraco retorno",IF(VLOOKUP(BO114,Fundamentus!A:U,17,FALSE)&gt;0.1,"Bom retorno","n/a"))</f>
        <v>Bom retorno</v>
      </c>
      <c r="ER114" s="17" t="str">
        <f>IF(VLOOKUP(BO114,Fundamentus!A:U,16,FALSE)&lt;0.1,"Ineficiente",IF(VLOOKUP(BO114,Fundamentus!A:U,16,FALSE)&gt;0.1,"Eficiente","n/a"))</f>
        <v>Eficiente</v>
      </c>
      <c r="ES114" s="33" t="str">
        <f>IF(VLOOKUP(BO114,Fundamentus!A:U,16,FALSE)&lt;0.1,"Oper. Ineficiente",IF(VLOOKUP(BO114,Fundamentus!A:U,16,FALSE)&gt;0.1,"Oper.Eficiente","n/a"))</f>
        <v>Oper.Eficiente</v>
      </c>
      <c r="ET114" s="34">
        <f>VLOOKUP(BO114,Fundamentus!A:U,14,FALSE)</f>
        <v>8.6499999999999994E-2</v>
      </c>
      <c r="EU114" s="17" t="str">
        <f>IF(VLOOKUP(BO114,Fundamentus!A:U,21,FALSE)&lt;0,"Negativo",IF(VLOOKUP(BO114,Fundamentus!A:U,21,FALSE)&lt;0.05,"Fraco",IF(VLOOKUP(BO114,Fundamentus!A:U,21,FALSE)&lt;0.1,"Bom",IF(VLOOKUP(BO114,Fundamentus!A:U,21,FALSE)&gt;0.1,"Muito bom","n/a"))))</f>
        <v>Muito bom</v>
      </c>
      <c r="EW114" s="29" t="str">
        <f>IF(VLOOKUP(BO114,Fundamentus!A:U,15,FALSE)&gt;1,"Bom",IF(VLOOKUP(BO114,Fundamentus!A:U,15,FALSE)&lt;1,"Ruim","n/a"))</f>
        <v>Bom</v>
      </c>
      <c r="EX114" s="17" t="str">
        <f>IF(VLOOKUP(BO114,Fundamentus!A:U,20,FALSE)&lt;0.5,"Baixa",IF(VLOOKUP(BO114,Fundamentus!A:U,20,FALSE)&lt;1,"Moderada",IF(VLOOKUP(BO114,Fundamentus!A:U,20,FALSE)&lt;2,"Alerta",IF(VLOOKUP(BO114,Fundamentus!A:U,20,FALSE)&gt;2,"Alta","n/a"))))</f>
        <v>Baixa</v>
      </c>
      <c r="EY114" s="10">
        <v>1</v>
      </c>
    </row>
    <row r="115" spans="1:155" s="2" customFormat="1" ht="11.25"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5">
        <v>20.45</v>
      </c>
      <c r="BC115" s="52">
        <v>20.66</v>
      </c>
      <c r="BD115" s="52">
        <v>24.84</v>
      </c>
      <c r="BE115" s="52">
        <v>25.41</v>
      </c>
      <c r="BF115" s="52">
        <v>24.53</v>
      </c>
      <c r="BG115" s="67">
        <v>25.18</v>
      </c>
      <c r="BH115" s="52">
        <v>23.32</v>
      </c>
      <c r="BI115" s="52">
        <v>22.5</v>
      </c>
      <c r="BJ115" s="52">
        <v>22.23</v>
      </c>
      <c r="BK115" s="52">
        <v>23</v>
      </c>
      <c r="BL115" s="52">
        <v>22.64</v>
      </c>
      <c r="BM115" s="52">
        <v>23.26</v>
      </c>
      <c r="BN115" s="52" cm="1">
        <f t="array" aca="1" ref="BN115" ca="1">_FV(EB115,"Preço")</f>
        <v>23.26</v>
      </c>
      <c r="BO115" s="69" t="s">
        <v>111</v>
      </c>
      <c r="BP115" s="36" cm="1">
        <f t="array" aca="1" ref="BP115" ca="1">_FV(EB115,"Média de volume",TRUE)</f>
        <v>6735960</v>
      </c>
      <c r="BQ115" s="36">
        <v>3419100</v>
      </c>
      <c r="BR115" s="36" cm="1">
        <f t="array" aca="1" ref="BR115" ca="1">_FV(EB115,"Volume")</f>
        <v>3419100</v>
      </c>
      <c r="BS115" s="24" cm="1">
        <f t="array" aca="1" ref="BS115" ca="1">_FV(EB115,"Beta")</f>
        <v>0.90490000000000004</v>
      </c>
      <c r="BT115" s="71" cm="1">
        <f t="array" aca="1" ref="BT115" ca="1">_FV(EB115,"Variação (%)",TRUE)</f>
        <v>1.2185E-2</v>
      </c>
      <c r="BV115" s="17" cm="1">
        <f t="array" aca="1" ref="BV115" ca="1">_FV(EB115,"Baixo")</f>
        <v>22.98</v>
      </c>
      <c r="BW115" s="17" cm="1">
        <f t="array" aca="1" ref="BW115" ca="1">_FV(EB115,"Alto")</f>
        <v>23.37</v>
      </c>
      <c r="BX115" s="24"/>
      <c r="BY115" s="63">
        <f ca="1">SQRT(22.5*(BN115/VLOOKUP(BO115,Fundamentus!A:U,3,FALSE))*(BN115/VLOOKUP(BO115,Fundamentus!A:U,4,FALSE)))</f>
        <v>15.616687217785127</v>
      </c>
      <c r="CA115" s="62">
        <f t="shared" ca="1" si="112"/>
        <v>0</v>
      </c>
      <c r="CB115" s="8"/>
      <c r="CC115" s="61">
        <f t="shared" si="113"/>
        <v>9.56</v>
      </c>
      <c r="CD115" s="61">
        <f t="shared" si="114"/>
        <v>25.41</v>
      </c>
      <c r="CE115" s="61">
        <f t="shared" si="115"/>
        <v>16.353769230769228</v>
      </c>
      <c r="CF115" s="14"/>
      <c r="CG115" s="35">
        <f t="shared" si="98"/>
        <v>22.689838726457666</v>
      </c>
      <c r="CH115" s="15">
        <f t="shared" si="116"/>
        <v>23.465000000000146</v>
      </c>
      <c r="CI115" s="35">
        <f t="shared" si="99"/>
        <v>24.240161273542626</v>
      </c>
      <c r="CK115" s="14"/>
      <c r="CL115" s="17">
        <f t="shared" si="100"/>
        <v>-2.8533333333333335</v>
      </c>
      <c r="CM115" s="17">
        <f t="shared" si="101"/>
        <v>3.3533333333333335</v>
      </c>
      <c r="CN115" s="17">
        <f t="shared" si="102"/>
        <v>12.996666666666666</v>
      </c>
      <c r="CO115" s="38">
        <f t="shared" si="117"/>
        <v>19.203333333333333</v>
      </c>
      <c r="CP115" s="17">
        <f t="shared" si="103"/>
        <v>28.846666666666664</v>
      </c>
      <c r="CQ115" s="17">
        <f t="shared" si="104"/>
        <v>35.053333333333335</v>
      </c>
      <c r="CR115" s="17">
        <f t="shared" si="105"/>
        <v>44.696666666666665</v>
      </c>
      <c r="CS115" s="2" cm="1">
        <f t="array" aca="1" ref="CS115" ca="1">MAX(_xlfn._xlws.FILTER(CL115:CR115,CL115:CR115&lt;BN115))</f>
        <v>19.203333333333333</v>
      </c>
      <c r="CT115" s="2" cm="1">
        <f t="array" aca="1" ref="CT115" ca="1">MIN(_xlfn._xlws.FILTER($CL115:$CR115,$CL115:$CR115&gt;BN115))</f>
        <v>28.846666666666664</v>
      </c>
      <c r="CU115" s="16">
        <f t="shared" ref="CU115:CU146" ca="1" si="136">(CT115/CS115)-1</f>
        <v>0.50216976219406351</v>
      </c>
      <c r="CV115" s="20">
        <f t="shared" ref="CV115:CV146" ca="1" si="137">-$CU115/2</f>
        <v>-0.25108488109703175</v>
      </c>
      <c r="CW115" s="20">
        <f t="shared" ref="CW115:CW146" ca="1" si="138">-$CU115/3</f>
        <v>-0.1673899207313545</v>
      </c>
      <c r="CX115" s="20">
        <f t="shared" ref="CX115:CX146" ca="1" si="139">-$CU115/5</f>
        <v>-0.1004339524388127</v>
      </c>
      <c r="CY115" s="20">
        <f t="shared" ref="CY115:CY146" ca="1" si="140">-$CU115/9</f>
        <v>-5.5796640243784834E-2</v>
      </c>
      <c r="CZ115" s="20">
        <f t="shared" ref="CZ115:CZ146" ca="1" si="141">-$CU115/17</f>
        <v>-2.9539397776121384E-2</v>
      </c>
      <c r="DA115" s="20">
        <f t="shared" ref="DA115:DA146" ca="1" si="142">-$CU115/33</f>
        <v>-1.5217265521032227E-2</v>
      </c>
      <c r="DB115" s="20">
        <f t="shared" ref="DB115:DB146" ca="1" si="143">-$CU115/65</f>
        <v>-7.7256886491394389E-3</v>
      </c>
      <c r="DC115" s="21">
        <f t="shared" ref="DC115:DC146" ca="1" si="144">-$CU115/65*-1</f>
        <v>7.7256886491394389E-3</v>
      </c>
      <c r="DD115" s="21">
        <f t="shared" ref="DD115:DD146" ca="1" si="145">-$CU115/33*-1</f>
        <v>1.5217265521032227E-2</v>
      </c>
      <c r="DE115" s="21">
        <f t="shared" ref="DE115:DE146" ca="1" si="146">-$CU115/17*-1</f>
        <v>2.9539397776121384E-2</v>
      </c>
      <c r="DF115" s="21">
        <f t="shared" ref="DF115:DF146" ca="1" si="147">-$CU115/9*-1</f>
        <v>5.5796640243784834E-2</v>
      </c>
      <c r="DG115" s="21">
        <f t="shared" ref="DG115:DG146" ca="1" si="148">-$CU115/5*-1</f>
        <v>0.1004339524388127</v>
      </c>
      <c r="DH115" s="21">
        <f t="shared" ref="DH115:DH146" ca="1" si="149">-$CU115/3*-1</f>
        <v>0.1673899207313545</v>
      </c>
      <c r="DI115" s="21">
        <f t="shared" ref="DI115:DI146" ca="1" si="150">-$CU115/2*-1</f>
        <v>0.25108488109703175</v>
      </c>
      <c r="DK115" s="16" cm="1">
        <f t="array" aca="1" ref="DK115" ca="1">MAX(_xlfn._xlws.FILTER(CV115:DI115,CV115:DI115&lt;BT115))</f>
        <v>7.7256886491394389E-3</v>
      </c>
      <c r="DL115" s="16" cm="1">
        <f t="array" aca="1" ref="DL115" ca="1">MIN(_xlfn._xlws.FILTER(CV115:DI115,CV115:DI115&gt;BT115))</f>
        <v>1.5217265521032227E-2</v>
      </c>
      <c r="DM115" s="2" cm="1">
        <f t="array" aca="1" ref="DM115" ca="1">_FV(EB115,"Fechamento anterior",TRUE)</f>
        <v>22.98</v>
      </c>
      <c r="DN115" s="28">
        <f t="shared" ca="1" si="106"/>
        <v>0.59517771694348875</v>
      </c>
      <c r="DO115" s="15">
        <f t="shared" ref="DO115:DO146" ca="1" si="151">DM115+(DM115*DK115)</f>
        <v>23.157536325157224</v>
      </c>
      <c r="DP115" s="15">
        <f t="shared" ref="DP115:DP146" ca="1" si="152">DM115+(DM115*DL115)</f>
        <v>23.329692761673321</v>
      </c>
      <c r="DQ115" s="9"/>
      <c r="DR115" s="9"/>
      <c r="DS115" s="9"/>
      <c r="DT115" s="89">
        <v>7.4915768718927878E-3</v>
      </c>
      <c r="DU115" s="89">
        <f t="shared" ca="1" si="107"/>
        <v>7.4915768718927878E-3</v>
      </c>
      <c r="DV115" s="72">
        <f t="shared" ca="1" si="108"/>
        <v>-0.26446109602882484</v>
      </c>
      <c r="DW115" s="37"/>
      <c r="DX115" s="35">
        <f t="shared" si="118"/>
        <v>0.38758063677124044</v>
      </c>
      <c r="DY115" s="56"/>
      <c r="DZ115" s="56"/>
      <c r="EB115" s="2" t="e" vm="114">
        <v>#VALUE!</v>
      </c>
      <c r="ED115" s="10" cm="1">
        <f t="array" aca="1" ref="ED115" ca="1">_FV(EB115,"Ações em circulação",TRUE)</f>
        <v>857928100</v>
      </c>
      <c r="EE115" s="18">
        <f>VLOOKUP(BO115,Fundamentus!A:U,5,FALSE)</f>
        <v>0.127</v>
      </c>
      <c r="EF115" s="2">
        <f t="shared" ca="1" si="109"/>
        <v>157129193748.03149</v>
      </c>
      <c r="EG115" s="17">
        <v>4148210714.9480314</v>
      </c>
      <c r="EH115" s="17">
        <f t="shared" ca="1" si="110"/>
        <v>4148210714.9480314</v>
      </c>
      <c r="EJ115" s="16">
        <f t="shared" ca="1" si="97"/>
        <v>0</v>
      </c>
      <c r="EK115" s="32" t="str">
        <f>IF(VLOOKUP(BO115,Fundamentus!A:U,3,FALSE)&lt;15,"Bom",IF(VLOOKUP(BO115,Fundamentus!A:U,3,FALSE)&gt;15,"Ruim","n/a"))</f>
        <v>Bom</v>
      </c>
      <c r="EL115" s="28" t="str">
        <f>IF(VLOOKUP(BO115,Fundamentus!A:U,4,FALSE)&lt;1,"Baixo",IF(VLOOKUP(BO115,Fundamentus!A:U,4,FALSE)&lt;1.5,"Moderado",IF(VLOOKUP(BO115,Fundamentus!A:U,4,FALSE)&gt;1.5,"Alto","n/a")))</f>
        <v>Alto</v>
      </c>
      <c r="EM115" s="17" t="str">
        <f>IF(VLOOKUP(BO115,Fundamentus!A:U,8,FALSE)&lt;0,"Risco elevado",IF(VLOOKUP(BO115,Fundamentus!A:U,8,FALSE)&lt;1,"Saudável",IF(VLOOKUP(BO115,Fundamentus!A:U,8,FALSE)&lt;3,"Estável",IF(VLOOKUP(BO115,Fundamentus!A:U,8,FALSE)&gt;3,"Alerta","n/a"))))</f>
        <v>Estável</v>
      </c>
      <c r="EN115" s="28" t="str">
        <f t="shared" si="111"/>
        <v>Ruim</v>
      </c>
      <c r="EO115" s="17" t="str">
        <f>IF(VLOOKUP(BO115,Fundamentus!A:U,12,FALSE)&lt;2,"Subvalorizada",IF(VLOOKUP(BO115,Fundamentus!A:U,12,FALSE)&lt;6,"Muita barata",IF(VLOOKUP(BO115,Fundamentus!A:U,12,FALSE)&lt;6,"Barata",IF(VLOOKUP(BO115,Fundamentus!A:U,12,FALSE)&lt;8,"Atrativa",IF(VLOOKUP(BO115,Fundamentus!A:U,12,FALSE)&gt;8,"Supervalorizada","n/a")))))</f>
        <v>Muita barata</v>
      </c>
      <c r="EQ115" s="17" t="str">
        <f>IF(VLOOKUP(BO115,Fundamentus!A:U,17,FALSE)&lt;0.1,"Fraco retorno",IF(VLOOKUP(BO115,Fundamentus!A:U,17,FALSE)&gt;0.1,"Bom retorno","n/a"))</f>
        <v>Bom retorno</v>
      </c>
      <c r="ER115" s="17" t="str">
        <f>IF(VLOOKUP(BO115,Fundamentus!A:U,16,FALSE)&lt;0.1,"Ineficiente",IF(VLOOKUP(BO115,Fundamentus!A:U,16,FALSE)&gt;0.1,"Eficiente","n/a"))</f>
        <v>Ineficiente</v>
      </c>
      <c r="ES115" s="33" t="str">
        <f>IF(VLOOKUP(BO115,Fundamentus!A:U,16,FALSE)&lt;0.1,"Oper. Ineficiente",IF(VLOOKUP(BO115,Fundamentus!A:U,16,FALSE)&gt;0.1,"Oper.Eficiente","n/a"))</f>
        <v>Oper. Ineficiente</v>
      </c>
      <c r="ET115" s="34">
        <f>VLOOKUP(BO115,Fundamentus!A:U,14,FALSE)</f>
        <v>2.64E-2</v>
      </c>
      <c r="EU115" s="17" t="str">
        <f>IF(VLOOKUP(BO115,Fundamentus!A:U,21,FALSE)&lt;0,"Negativo",IF(VLOOKUP(BO115,Fundamentus!A:U,21,FALSE)&lt;0.05,"Fraco",IF(VLOOKUP(BO115,Fundamentus!A:U,21,FALSE)&lt;0.1,"Bom",IF(VLOOKUP(BO115,Fundamentus!A:U,21,FALSE)&gt;0.1,"Muito bom","n/a"))))</f>
        <v>Muito bom</v>
      </c>
      <c r="EW115" s="29" t="str">
        <f>IF(VLOOKUP(BO115,Fundamentus!A:U,15,FALSE)&gt;1,"Bom",IF(VLOOKUP(BO115,Fundamentus!A:U,15,FALSE)&lt;1,"Ruim","n/a"))</f>
        <v>Bom</v>
      </c>
      <c r="EX115" s="17" t="str">
        <f>IF(VLOOKUP(BO115,Fundamentus!A:U,20,FALSE)&lt;0.5,"Baixa",IF(VLOOKUP(BO115,Fundamentus!A:U,20,FALSE)&lt;1,"Moderada",IF(VLOOKUP(BO115,Fundamentus!A:U,20,FALSE)&lt;2,"Alerta",IF(VLOOKUP(BO115,Fundamentus!A:U,20,FALSE)&gt;2,"Alta","n/a"))))</f>
        <v>Alta</v>
      </c>
      <c r="EY115" s="10"/>
    </row>
    <row r="116" spans="1:155" s="2" customFormat="1" ht="11.25"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5">
        <v>2.16</v>
      </c>
      <c r="BC116" s="52">
        <v>2.0499999999999998</v>
      </c>
      <c r="BD116" s="52">
        <v>2</v>
      </c>
      <c r="BE116" s="52">
        <v>1.94</v>
      </c>
      <c r="BF116" s="52">
        <v>1.93</v>
      </c>
      <c r="BG116" s="67">
        <v>1.94</v>
      </c>
      <c r="BH116" s="52">
        <v>1.91</v>
      </c>
      <c r="BI116" s="52">
        <v>1.85</v>
      </c>
      <c r="BJ116" s="52">
        <v>1.83</v>
      </c>
      <c r="BK116" s="52">
        <v>1.74</v>
      </c>
      <c r="BL116" s="52">
        <v>1.56</v>
      </c>
      <c r="BM116" s="52">
        <v>1.53</v>
      </c>
      <c r="BN116" s="52" cm="1">
        <f t="array" aca="1" ref="BN116" ca="1">_FV(EB116,"Preço")</f>
        <v>1.53</v>
      </c>
      <c r="BO116" s="69" t="s">
        <v>112</v>
      </c>
      <c r="BP116" s="36" cm="1">
        <f t="array" aca="1" ref="BP116" ca="1">_FV(EB116,"Média de volume",TRUE)</f>
        <v>7360</v>
      </c>
      <c r="BQ116" s="36">
        <v>300</v>
      </c>
      <c r="BR116" s="36" cm="1">
        <f t="array" aca="1" ref="BR116" ca="1">_FV(EB116,"Volume")</f>
        <v>300</v>
      </c>
      <c r="BS116" s="24" cm="1">
        <f t="array" aca="1" ref="BS116" ca="1">_FV(EB116,"Beta")</f>
        <v>1.4437</v>
      </c>
      <c r="BT116" s="71" cm="1">
        <f t="array" aca="1" ref="BT116" ca="1">_FV(EB116,"Variação (%)",TRUE)</f>
        <v>0</v>
      </c>
      <c r="BV116" s="17" cm="1">
        <f t="array" aca="1" ref="BV116" ca="1">_FV(EB116,"Baixo")</f>
        <v>1.53</v>
      </c>
      <c r="BW116" s="17" cm="1">
        <f t="array" aca="1" ref="BW116" ca="1">_FV(EB116,"Alto")</f>
        <v>1.56</v>
      </c>
      <c r="BX116" s="24"/>
      <c r="BY116" s="63">
        <f ca="1">SQRT(22.5*(BN116/VLOOKUP(BO116,Fundamentus!A:U,3,FALSE))*(BN116/VLOOKUP(BO116,Fundamentus!A:U,4,FALSE)))</f>
        <v>37.035403248108423</v>
      </c>
      <c r="CA116" s="62">
        <f t="shared" ca="1" si="112"/>
        <v>0</v>
      </c>
      <c r="CB116" s="8"/>
      <c r="CC116" s="61">
        <f t="shared" si="113"/>
        <v>0.18</v>
      </c>
      <c r="CD116" s="61">
        <f t="shared" si="114"/>
        <v>4</v>
      </c>
      <c r="CE116" s="61">
        <f t="shared" si="115"/>
        <v>1.5510769230769226</v>
      </c>
      <c r="CF116" s="14"/>
      <c r="CG116" s="35">
        <f t="shared" si="98"/>
        <v>1.1458012841124396</v>
      </c>
      <c r="CH116" s="15">
        <f t="shared" si="116"/>
        <v>1.3949999999999818</v>
      </c>
      <c r="CI116" s="35">
        <f t="shared" si="99"/>
        <v>1.644198715887524</v>
      </c>
      <c r="CK116" s="14"/>
      <c r="CL116" s="17">
        <f t="shared" si="100"/>
        <v>-3.9933333333333336</v>
      </c>
      <c r="CM116" s="17">
        <f t="shared" si="101"/>
        <v>-1.9066666666666665</v>
      </c>
      <c r="CN116" s="17">
        <f t="shared" si="102"/>
        <v>-0.17333333333333334</v>
      </c>
      <c r="CO116" s="38">
        <f t="shared" si="117"/>
        <v>1.9133333333333333</v>
      </c>
      <c r="CP116" s="17">
        <f t="shared" si="103"/>
        <v>3.6466666666666665</v>
      </c>
      <c r="CQ116" s="17">
        <f t="shared" si="104"/>
        <v>5.7333333333333334</v>
      </c>
      <c r="CR116" s="17">
        <f t="shared" si="105"/>
        <v>7.4666666666666668</v>
      </c>
      <c r="CS116" s="2" cm="1">
        <f t="array" aca="1" ref="CS116" ca="1">MAX(_xlfn._xlws.FILTER(CL116:CR116,CL116:CR116&lt;BN116))</f>
        <v>-0.17333333333333334</v>
      </c>
      <c r="CT116" s="2" cm="1">
        <f t="array" aca="1" ref="CT116" ca="1">MIN(_xlfn._xlws.FILTER($CL116:$CR116,$CL116:$CR116&gt;BN116))</f>
        <v>1.9133333333333333</v>
      </c>
      <c r="CU116" s="16">
        <f t="shared" ca="1" si="136"/>
        <v>-12.038461538461538</v>
      </c>
      <c r="CV116" s="20">
        <f t="shared" ca="1" si="137"/>
        <v>6.0192307692307692</v>
      </c>
      <c r="CW116" s="20">
        <f t="shared" ca="1" si="138"/>
        <v>4.0128205128205128</v>
      </c>
      <c r="CX116" s="20">
        <f t="shared" ca="1" si="139"/>
        <v>2.4076923076923076</v>
      </c>
      <c r="CY116" s="20">
        <f t="shared" ca="1" si="140"/>
        <v>1.3376068376068375</v>
      </c>
      <c r="CZ116" s="20">
        <f t="shared" ca="1" si="141"/>
        <v>0.70814479638009054</v>
      </c>
      <c r="DA116" s="20">
        <f t="shared" ca="1" si="142"/>
        <v>0.36480186480186477</v>
      </c>
      <c r="DB116" s="20">
        <f t="shared" ca="1" si="143"/>
        <v>0.18520710059171597</v>
      </c>
      <c r="DC116" s="21">
        <f t="shared" ca="1" si="144"/>
        <v>-0.18520710059171597</v>
      </c>
      <c r="DD116" s="21">
        <f t="shared" ca="1" si="145"/>
        <v>-0.36480186480186477</v>
      </c>
      <c r="DE116" s="21">
        <f t="shared" ca="1" si="146"/>
        <v>-0.70814479638009054</v>
      </c>
      <c r="DF116" s="21">
        <f t="shared" ca="1" si="147"/>
        <v>-1.3376068376068375</v>
      </c>
      <c r="DG116" s="21">
        <f t="shared" ca="1" si="148"/>
        <v>-2.4076923076923076</v>
      </c>
      <c r="DH116" s="21">
        <f t="shared" ca="1" si="149"/>
        <v>-4.0128205128205128</v>
      </c>
      <c r="DI116" s="21">
        <f t="shared" ca="1" si="150"/>
        <v>-6.0192307692307692</v>
      </c>
      <c r="DK116" s="16" cm="1">
        <f t="array" aca="1" ref="DK116" ca="1">MAX(_xlfn._xlws.FILTER(CV116:DI116,CV116:DI116&lt;BT116))</f>
        <v>-0.18520710059171597</v>
      </c>
      <c r="DL116" s="16" cm="1">
        <f t="array" aca="1" ref="DL116" ca="1">MIN(_xlfn._xlws.FILTER(CV116:DI116,CV116:DI116&gt;BT116))</f>
        <v>0.18520710059171597</v>
      </c>
      <c r="DM116" s="2" cm="1">
        <f t="array" aca="1" ref="DM116" ca="1">_FV(EB116,"Fechamento anterior",TRUE)</f>
        <v>1.53</v>
      </c>
      <c r="DN116" s="28">
        <f t="shared" ca="1" si="106"/>
        <v>0.5</v>
      </c>
      <c r="DO116" s="15">
        <f t="shared" ca="1" si="151"/>
        <v>1.2466331360946745</v>
      </c>
      <c r="DP116" s="15">
        <f t="shared" ca="1" si="152"/>
        <v>1.8133668639053255</v>
      </c>
      <c r="DQ116" s="9"/>
      <c r="DR116" s="9"/>
      <c r="DS116" s="9"/>
      <c r="DT116" s="89">
        <v>0.37041420118343193</v>
      </c>
      <c r="DU116" s="89">
        <f t="shared" ca="1" si="107"/>
        <v>0.37041420118343193</v>
      </c>
      <c r="DV116" s="72">
        <f t="shared" ca="1" si="108"/>
        <v>0.54173633888603467</v>
      </c>
      <c r="DW116" s="37"/>
      <c r="DX116" s="35">
        <f t="shared" si="118"/>
        <v>0.12459935794377112</v>
      </c>
      <c r="DY116" s="56"/>
      <c r="DZ116" s="56"/>
      <c r="EB116" s="2" t="e" vm="115">
        <v>#VALUE!</v>
      </c>
      <c r="ED116" s="10" cm="1">
        <f t="array" aca="1" ref="ED116" ca="1">_FV(EB116,"Ações em circulação",TRUE)</f>
        <v>12802740</v>
      </c>
      <c r="EE116" s="18">
        <f>VLOOKUP(BO116,Fundamentus!A:U,5,FALSE)</f>
        <v>8.2000000000000003E-2</v>
      </c>
      <c r="EF116" s="2">
        <f t="shared" ca="1" si="109"/>
        <v>238880392.6829268</v>
      </c>
      <c r="EG116" s="17">
        <v>-254957043.11048776</v>
      </c>
      <c r="EH116" s="17">
        <f t="shared" ca="1" si="110"/>
        <v>-254957043.11048776</v>
      </c>
      <c r="EJ116" s="16">
        <f t="shared" ca="1" si="97"/>
        <v>0</v>
      </c>
      <c r="EK116" s="32" t="str">
        <f>IF(VLOOKUP(BO116,Fundamentus!A:U,3,FALSE)&lt;15,"Bom",IF(VLOOKUP(BO116,Fundamentus!A:U,3,FALSE)&gt;15,"Ruim","n/a"))</f>
        <v>Bom</v>
      </c>
      <c r="EL116" s="28" t="str">
        <f>IF(VLOOKUP(BO116,Fundamentus!A:U,4,FALSE)&lt;1,"Baixo",IF(VLOOKUP(BO116,Fundamentus!A:U,4,FALSE)&lt;1.5,"Moderado",IF(VLOOKUP(BO116,Fundamentus!A:U,4,FALSE)&gt;1.5,"Alto","n/a")))</f>
        <v>Baixo</v>
      </c>
      <c r="EM116" s="17" t="str">
        <f>IF(VLOOKUP(BO116,Fundamentus!A:U,8,FALSE)&lt;0,"Risco elevado",IF(VLOOKUP(BO116,Fundamentus!A:U,8,FALSE)&lt;1,"Saudável",IF(VLOOKUP(BO116,Fundamentus!A:U,8,FALSE)&lt;3,"Estável",IF(VLOOKUP(BO116,Fundamentus!A:U,8,FALSE)&gt;3,"Alerta","n/a"))))</f>
        <v>Saudável</v>
      </c>
      <c r="EN116" s="28" t="str">
        <f t="shared" si="111"/>
        <v>Ruim</v>
      </c>
      <c r="EO116" s="17" t="str">
        <f>IF(VLOOKUP(BO116,Fundamentus!A:U,12,FALSE)&lt;2,"Subvalorizada",IF(VLOOKUP(BO116,Fundamentus!A:U,12,FALSE)&lt;6,"Muita barata",IF(VLOOKUP(BO116,Fundamentus!A:U,12,FALSE)&lt;6,"Barata",IF(VLOOKUP(BO116,Fundamentus!A:U,12,FALSE)&lt;8,"Atrativa",IF(VLOOKUP(BO116,Fundamentus!A:U,12,FALSE)&gt;8,"Supervalorizada","n/a")))))</f>
        <v>Subvalorizada</v>
      </c>
      <c r="EQ116" s="17" t="str">
        <f>IF(VLOOKUP(BO116,Fundamentus!A:U,17,FALSE)&lt;0.1,"Fraco retorno",IF(VLOOKUP(BO116,Fundamentus!A:U,17,FALSE)&gt;0.1,"Bom retorno","n/a"))</f>
        <v>Bom retorno</v>
      </c>
      <c r="ER116" s="17" t="str">
        <f>IF(VLOOKUP(BO116,Fundamentus!A:U,16,FALSE)&lt;0.1,"Ineficiente",IF(VLOOKUP(BO116,Fundamentus!A:U,16,FALSE)&gt;0.1,"Eficiente","n/a"))</f>
        <v>Ineficiente</v>
      </c>
      <c r="ES116" s="33" t="str">
        <f>IF(VLOOKUP(BO116,Fundamentus!A:U,16,FALSE)&lt;0.1,"Oper. Ineficiente",IF(VLOOKUP(BO116,Fundamentus!A:U,16,FALSE)&gt;0.1,"Oper.Eficiente","n/a"))</f>
        <v>Oper. Ineficiente</v>
      </c>
      <c r="ET116" s="34">
        <f>VLOOKUP(BO116,Fundamentus!A:U,14,FALSE)</f>
        <v>-1.0672999999999999</v>
      </c>
      <c r="EU116" s="17" t="str">
        <f>IF(VLOOKUP(BO116,Fundamentus!A:U,21,FALSE)&lt;0,"Negativo",IF(VLOOKUP(BO116,Fundamentus!A:U,21,FALSE)&lt;0.05,"Fraco",IF(VLOOKUP(BO116,Fundamentus!A:U,21,FALSE)&lt;0.1,"Bom",IF(VLOOKUP(BO116,Fundamentus!A:U,21,FALSE)&gt;0.1,"Muito bom","n/a"))))</f>
        <v>Muito bom</v>
      </c>
      <c r="EW116" s="29" t="str">
        <f>IF(VLOOKUP(BO116,Fundamentus!A:U,15,FALSE)&gt;1,"Bom",IF(VLOOKUP(BO116,Fundamentus!A:U,15,FALSE)&lt;1,"Ruim","n/a"))</f>
        <v>Bom</v>
      </c>
      <c r="EX116" s="17" t="str">
        <f>IF(VLOOKUP(BO116,Fundamentus!A:U,20,FALSE)&lt;0.5,"Baixa",IF(VLOOKUP(BO116,Fundamentus!A:U,20,FALSE)&lt;1,"Moderada",IF(VLOOKUP(BO116,Fundamentus!A:U,20,FALSE)&lt;2,"Alerta",IF(VLOOKUP(BO116,Fundamentus!A:U,20,FALSE)&gt;2,"Alta","n/a"))))</f>
        <v>Baixa</v>
      </c>
      <c r="EY116" s="10"/>
    </row>
    <row r="117" spans="1:155" s="2" customFormat="1" ht="11.25"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5">
        <v>5.51</v>
      </c>
      <c r="BC117" s="52">
        <v>5.53</v>
      </c>
      <c r="BD117" s="52">
        <v>5.25</v>
      </c>
      <c r="BE117" s="52">
        <v>5.0999999999999996</v>
      </c>
      <c r="BF117" s="52">
        <v>5.13</v>
      </c>
      <c r="BG117" s="67">
        <v>4.76</v>
      </c>
      <c r="BH117" s="52">
        <v>4.4400000000000004</v>
      </c>
      <c r="BI117" s="52">
        <v>4.2</v>
      </c>
      <c r="BJ117" s="52">
        <v>4.45</v>
      </c>
      <c r="BK117" s="52">
        <v>4.37</v>
      </c>
      <c r="BL117" s="52">
        <v>4.0199999999999996</v>
      </c>
      <c r="BM117" s="52">
        <v>4.2699999999999996</v>
      </c>
      <c r="BN117" s="52" cm="1">
        <f t="array" aca="1" ref="BN117" ca="1">_FV(EB117,"Preço")</f>
        <v>4.2699999999999996</v>
      </c>
      <c r="BO117" s="69" t="s">
        <v>113</v>
      </c>
      <c r="BP117" s="36" cm="1">
        <f t="array" aca="1" ref="BP117" ca="1">_FV(EB117,"Média de volume",TRUE)</f>
        <v>15912790</v>
      </c>
      <c r="BQ117" s="36">
        <v>350200</v>
      </c>
      <c r="BR117" s="36" cm="1">
        <f t="array" aca="1" ref="BR117" ca="1">_FV(EB117,"Volume")</f>
        <v>350200</v>
      </c>
      <c r="BS117" s="24" cm="1">
        <f t="array" aca="1" ref="BS117" ca="1">_FV(EB117,"Beta")</f>
        <v>0.87009999999999998</v>
      </c>
      <c r="BT117" s="71" cm="1">
        <f t="array" aca="1" ref="BT117" ca="1">_FV(EB117,"Variação (%)",TRUE)</f>
        <v>-1.8391000000000001E-2</v>
      </c>
      <c r="BV117" s="17" cm="1">
        <f t="array" aca="1" ref="BV117" ca="1">_FV(EB117,"Baixo")</f>
        <v>4.1900000000000004</v>
      </c>
      <c r="BW117" s="17" cm="1">
        <f t="array" aca="1" ref="BW117" ca="1">_FV(EB117,"Alto")</f>
        <v>4.41</v>
      </c>
      <c r="BX117" s="24"/>
      <c r="BY117" s="63">
        <f ca="1">SQRT(22.5*(BN117/VLOOKUP(BO117,Fundamentus!A:U,3,FALSE))*(BN117/VLOOKUP(BO117,Fundamentus!A:U,4,FALSE)))</f>
        <v>6.6519475623574618</v>
      </c>
      <c r="CA117" s="62">
        <f t="shared" ca="1" si="112"/>
        <v>0</v>
      </c>
      <c r="CB117" s="8"/>
      <c r="CC117" s="61">
        <f t="shared" si="113"/>
        <v>4.0199999999999996</v>
      </c>
      <c r="CD117" s="61">
        <f t="shared" si="114"/>
        <v>7.96</v>
      </c>
      <c r="CE117" s="61">
        <f t="shared" si="115"/>
        <v>5.8778461538461508</v>
      </c>
      <c r="CF117" s="14"/>
      <c r="CG117" s="35">
        <f t="shared" si="98"/>
        <v>3.731464839623214</v>
      </c>
      <c r="CH117" s="15">
        <f t="shared" si="116"/>
        <v>4.05499999999995</v>
      </c>
      <c r="CI117" s="35">
        <f t="shared" si="99"/>
        <v>4.3785351603766856</v>
      </c>
      <c r="CK117" s="14"/>
      <c r="CL117" s="17">
        <f t="shared" si="100"/>
        <v>-1.2333333333333343</v>
      </c>
      <c r="CM117" s="17">
        <f t="shared" si="101"/>
        <v>1.3933333333333326</v>
      </c>
      <c r="CN117" s="17">
        <f t="shared" si="102"/>
        <v>2.7066666666666661</v>
      </c>
      <c r="CO117" s="38">
        <f t="shared" si="117"/>
        <v>5.333333333333333</v>
      </c>
      <c r="CP117" s="17">
        <f t="shared" si="103"/>
        <v>6.6466666666666665</v>
      </c>
      <c r="CQ117" s="17">
        <f t="shared" si="104"/>
        <v>9.2733333333333334</v>
      </c>
      <c r="CR117" s="17">
        <f t="shared" si="105"/>
        <v>10.586666666666666</v>
      </c>
      <c r="CS117" s="2" cm="1">
        <f t="array" aca="1" ref="CS117" ca="1">MAX(_xlfn._xlws.FILTER(CL117:CR117,CL117:CR117&lt;BN117))</f>
        <v>2.7066666666666661</v>
      </c>
      <c r="CT117" s="2" cm="1">
        <f t="array" aca="1" ref="CT117" ca="1">MIN(_xlfn._xlws.FILTER($CL117:$CR117,$CL117:$CR117&gt;BN117))</f>
        <v>5.333333333333333</v>
      </c>
      <c r="CU117" s="16">
        <f t="shared" ca="1" si="136"/>
        <v>0.97044334975369484</v>
      </c>
      <c r="CV117" s="20">
        <f t="shared" ca="1" si="137"/>
        <v>-0.48522167487684742</v>
      </c>
      <c r="CW117" s="20">
        <f t="shared" ca="1" si="138"/>
        <v>-0.32348111658456496</v>
      </c>
      <c r="CX117" s="20">
        <f t="shared" ca="1" si="139"/>
        <v>-0.19408866995073898</v>
      </c>
      <c r="CY117" s="20">
        <f t="shared" ca="1" si="140"/>
        <v>-0.10782703886152165</v>
      </c>
      <c r="CZ117" s="20">
        <f t="shared" ca="1" si="141"/>
        <v>-5.7084902926687935E-2</v>
      </c>
      <c r="DA117" s="20">
        <f t="shared" ca="1" si="142"/>
        <v>-2.940737423496045E-2</v>
      </c>
      <c r="DB117" s="20">
        <f t="shared" ca="1" si="143"/>
        <v>-1.4929897688518382E-2</v>
      </c>
      <c r="DC117" s="21">
        <f t="shared" ca="1" si="144"/>
        <v>1.4929897688518382E-2</v>
      </c>
      <c r="DD117" s="21">
        <f t="shared" ca="1" si="145"/>
        <v>2.940737423496045E-2</v>
      </c>
      <c r="DE117" s="21">
        <f t="shared" ca="1" si="146"/>
        <v>5.7084902926687935E-2</v>
      </c>
      <c r="DF117" s="21">
        <f t="shared" ca="1" si="147"/>
        <v>0.10782703886152165</v>
      </c>
      <c r="DG117" s="21">
        <f t="shared" ca="1" si="148"/>
        <v>0.19408866995073898</v>
      </c>
      <c r="DH117" s="21">
        <f t="shared" ca="1" si="149"/>
        <v>0.32348111658456496</v>
      </c>
      <c r="DI117" s="21">
        <f t="shared" ca="1" si="150"/>
        <v>0.48522167487684742</v>
      </c>
      <c r="DK117" s="16" cm="1">
        <f t="array" aca="1" ref="DK117" ca="1">MAX(_xlfn._xlws.FILTER(CV117:DI117,CV117:DI117&lt;BT117))</f>
        <v>-2.940737423496045E-2</v>
      </c>
      <c r="DL117" s="16" cm="1">
        <f t="array" aca="1" ref="DL117" ca="1">MIN(_xlfn._xlws.FILTER(CV117:DI117,CV117:DI117&gt;BT117))</f>
        <v>-1.4929897688518382E-2</v>
      </c>
      <c r="DM117" s="2" cm="1">
        <f t="array" aca="1" ref="DM117" ca="1">_FV(EB117,"Fechamento anterior",TRUE)</f>
        <v>4.3499999999999996</v>
      </c>
      <c r="DN117" s="28">
        <f t="shared" ca="1" si="106"/>
        <v>0.76094543147207372</v>
      </c>
      <c r="DO117" s="15">
        <f t="shared" ca="1" si="151"/>
        <v>4.2220779220779221</v>
      </c>
      <c r="DP117" s="15">
        <f t="shared" ca="1" si="152"/>
        <v>4.2850549450549451</v>
      </c>
      <c r="DQ117" s="9"/>
      <c r="DR117" s="9"/>
      <c r="DS117" s="9"/>
      <c r="DT117" s="89">
        <v>1.4477476546442068E-2</v>
      </c>
      <c r="DU117" s="89">
        <f t="shared" ca="1" si="107"/>
        <v>1.4477476546442068E-2</v>
      </c>
      <c r="DV117" s="72">
        <f t="shared" ca="1" si="108"/>
        <v>0.6645336468212476</v>
      </c>
      <c r="DW117" s="37"/>
      <c r="DX117" s="35">
        <f t="shared" si="118"/>
        <v>0.16176758018836801</v>
      </c>
      <c r="DY117" s="56"/>
      <c r="DZ117" s="56"/>
      <c r="EB117" s="2" t="e" vm="116">
        <v>#VALUE!</v>
      </c>
      <c r="ED117" s="10" cm="1">
        <f t="array" aca="1" ref="ED117" ca="1">_FV(EB117,"Ações em circulação",TRUE)</f>
        <v>1253079000</v>
      </c>
      <c r="EE117" s="18">
        <f>VLOOKUP(BO117,Fundamentus!A:U,5,FALSE)</f>
        <v>0.214</v>
      </c>
      <c r="EF117" s="2">
        <f t="shared" ca="1" si="109"/>
        <v>25003024906.542053</v>
      </c>
      <c r="EG117" s="17">
        <v>287534786.4252336</v>
      </c>
      <c r="EH117" s="17">
        <f t="shared" ca="1" si="110"/>
        <v>287534786.4252336</v>
      </c>
      <c r="EJ117" s="16">
        <f t="shared" ca="1" si="97"/>
        <v>0</v>
      </c>
      <c r="EK117" s="32" t="str">
        <f>IF(VLOOKUP(BO117,Fundamentus!A:U,3,FALSE)&lt;15,"Bom",IF(VLOOKUP(BO117,Fundamentus!A:U,3,FALSE)&gt;15,"Ruim","n/a"))</f>
        <v>Ruim</v>
      </c>
      <c r="EL117" s="28" t="str">
        <f>IF(VLOOKUP(BO117,Fundamentus!A:U,4,FALSE)&lt;1,"Baixo",IF(VLOOKUP(BO117,Fundamentus!A:U,4,FALSE)&lt;1.5,"Moderado",IF(VLOOKUP(BO117,Fundamentus!A:U,4,FALSE)&gt;1.5,"Alto","n/a")))</f>
        <v>Baixo</v>
      </c>
      <c r="EM117" s="17" t="str">
        <f>IF(VLOOKUP(BO117,Fundamentus!A:U,8,FALSE)&lt;0,"Risco elevado",IF(VLOOKUP(BO117,Fundamentus!A:U,8,FALSE)&lt;1,"Saudável",IF(VLOOKUP(BO117,Fundamentus!A:U,8,FALSE)&lt;3,"Estável",IF(VLOOKUP(BO117,Fundamentus!A:U,8,FALSE)&gt;3,"Alerta","n/a"))))</f>
        <v>Saudável</v>
      </c>
      <c r="EN117" s="28" t="str">
        <f t="shared" si="111"/>
        <v>Ruim</v>
      </c>
      <c r="EO117" s="17" t="str">
        <f>IF(VLOOKUP(BO117,Fundamentus!A:U,12,FALSE)&lt;2,"Subvalorizada",IF(VLOOKUP(BO117,Fundamentus!A:U,12,FALSE)&lt;6,"Muita barata",IF(VLOOKUP(BO117,Fundamentus!A:U,12,FALSE)&lt;6,"Barata",IF(VLOOKUP(BO117,Fundamentus!A:U,12,FALSE)&lt;8,"Atrativa",IF(VLOOKUP(BO117,Fundamentus!A:U,12,FALSE)&gt;8,"Supervalorizada","n/a")))))</f>
        <v>Muita barata</v>
      </c>
      <c r="EQ117" s="17" t="str">
        <f>IF(VLOOKUP(BO117,Fundamentus!A:U,17,FALSE)&lt;0.1,"Fraco retorno",IF(VLOOKUP(BO117,Fundamentus!A:U,17,FALSE)&gt;0.1,"Bom retorno","n/a"))</f>
        <v>Fraco retorno</v>
      </c>
      <c r="ER117" s="17" t="str">
        <f>IF(VLOOKUP(BO117,Fundamentus!A:U,16,FALSE)&lt;0.1,"Ineficiente",IF(VLOOKUP(BO117,Fundamentus!A:U,16,FALSE)&gt;0.1,"Eficiente","n/a"))</f>
        <v>Ineficiente</v>
      </c>
      <c r="ES117" s="33" t="str">
        <f>IF(VLOOKUP(BO117,Fundamentus!A:U,16,FALSE)&lt;0.1,"Oper. Ineficiente",IF(VLOOKUP(BO117,Fundamentus!A:U,16,FALSE)&gt;0.1,"Oper.Eficiente","n/a"))</f>
        <v>Oper. Ineficiente</v>
      </c>
      <c r="ET117" s="34">
        <f>VLOOKUP(BO117,Fundamentus!A:U,14,FALSE)</f>
        <v>1.15E-2</v>
      </c>
      <c r="EU117" s="17" t="str">
        <f>IF(VLOOKUP(BO117,Fundamentus!A:U,21,FALSE)&lt;0,"Negativo",IF(VLOOKUP(BO117,Fundamentus!A:U,21,FALSE)&lt;0.05,"Fraco",IF(VLOOKUP(BO117,Fundamentus!A:U,21,FALSE)&lt;0.1,"Bom",IF(VLOOKUP(BO117,Fundamentus!A:U,21,FALSE)&gt;0.1,"Muito bom","n/a"))))</f>
        <v>Fraco</v>
      </c>
      <c r="EW117" s="29" t="str">
        <f>IF(VLOOKUP(BO117,Fundamentus!A:U,15,FALSE)&gt;1,"Bom",IF(VLOOKUP(BO117,Fundamentus!A:U,15,FALSE)&lt;1,"Ruim","n/a"))</f>
        <v>Bom</v>
      </c>
      <c r="EX117" s="17" t="str">
        <f>IF(VLOOKUP(BO117,Fundamentus!A:U,20,FALSE)&lt;0.5,"Baixa",IF(VLOOKUP(BO117,Fundamentus!A:U,20,FALSE)&lt;1,"Moderada",IF(VLOOKUP(BO117,Fundamentus!A:U,20,FALSE)&lt;2,"Alerta",IF(VLOOKUP(BO117,Fundamentus!A:U,20,FALSE)&gt;2,"Alta","n/a"))))</f>
        <v>Baixa</v>
      </c>
      <c r="EY117" s="10"/>
    </row>
    <row r="118" spans="1:155" s="2" customFormat="1" ht="11.25"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5">
        <v>29.65</v>
      </c>
      <c r="BC118" s="52">
        <v>29.73</v>
      </c>
      <c r="BD118" s="52">
        <v>29.81</v>
      </c>
      <c r="BE118" s="52">
        <v>28.66</v>
      </c>
      <c r="BF118" s="52">
        <v>29.61</v>
      </c>
      <c r="BG118" s="67">
        <v>29.09</v>
      </c>
      <c r="BH118" s="52">
        <v>29.15</v>
      </c>
      <c r="BI118" s="52">
        <v>29.2</v>
      </c>
      <c r="BJ118" s="52">
        <v>29.95</v>
      </c>
      <c r="BK118" s="52">
        <v>29.75</v>
      </c>
      <c r="BL118" s="52">
        <v>29.81</v>
      </c>
      <c r="BM118" s="52">
        <v>29.09</v>
      </c>
      <c r="BN118" s="52" cm="1">
        <f t="array" aca="1" ref="BN118" ca="1">_FV(EB118,"Preço")</f>
        <v>29.09</v>
      </c>
      <c r="BO118" s="69" t="s">
        <v>114</v>
      </c>
      <c r="BP118" s="36" cm="1">
        <f t="array" aca="1" ref="BP118" ca="1">_FV(EB118,"Média de volume",TRUE)</f>
        <v>1437320</v>
      </c>
      <c r="BQ118" s="36">
        <v>1576000</v>
      </c>
      <c r="BR118" s="36" cm="1">
        <f t="array" aca="1" ref="BR118" ca="1">_FV(EB118,"Volume")</f>
        <v>1576000</v>
      </c>
      <c r="BS118" s="24" cm="1">
        <f t="array" aca="1" ref="BS118" ca="1">_FV(EB118,"Beta")</f>
        <v>1.0403</v>
      </c>
      <c r="BT118" s="71" cm="1">
        <f t="array" aca="1" ref="BT118" ca="1">_FV(EB118,"Variação (%)",TRUE)</f>
        <v>5.8779999999999995E-3</v>
      </c>
      <c r="BV118" s="17" cm="1">
        <f t="array" aca="1" ref="BV118" ca="1">_FV(EB118,"Baixo")</f>
        <v>28.78</v>
      </c>
      <c r="BW118" s="17" cm="1">
        <f t="array" aca="1" ref="BW118" ca="1">_FV(EB118,"Alto")</f>
        <v>29.36</v>
      </c>
      <c r="BX118" s="24"/>
      <c r="BY118" s="63">
        <f ca="1">SQRT(22.5*(BN118/VLOOKUP(BO118,Fundamentus!A:U,3,FALSE))*(BN118/VLOOKUP(BO118,Fundamentus!A:U,4,FALSE)))</f>
        <v>14.657976063282858</v>
      </c>
      <c r="CA118" s="62">
        <f t="shared" ca="1" si="112"/>
        <v>0</v>
      </c>
      <c r="CB118" s="8"/>
      <c r="CC118" s="61">
        <f t="shared" si="113"/>
        <v>17.3</v>
      </c>
      <c r="CD118" s="61">
        <f t="shared" si="114"/>
        <v>29.95</v>
      </c>
      <c r="CE118" s="61">
        <f t="shared" si="115"/>
        <v>23.437923076923074</v>
      </c>
      <c r="CF118" s="14"/>
      <c r="CG118" s="35">
        <f t="shared" si="98"/>
        <v>28.357278338968747</v>
      </c>
      <c r="CH118" s="15">
        <f t="shared" si="116"/>
        <v>29.019999999999982</v>
      </c>
      <c r="CI118" s="35">
        <f t="shared" si="99"/>
        <v>29.682721661031216</v>
      </c>
      <c r="CK118" s="14"/>
      <c r="CL118" s="17">
        <f t="shared" si="100"/>
        <v>8.773333333333337</v>
      </c>
      <c r="CM118" s="17">
        <f t="shared" si="101"/>
        <v>13.036666666666669</v>
      </c>
      <c r="CN118" s="17">
        <f t="shared" si="102"/>
        <v>21.423333333333336</v>
      </c>
      <c r="CO118" s="38">
        <f t="shared" si="117"/>
        <v>25.686666666666667</v>
      </c>
      <c r="CP118" s="17">
        <f t="shared" si="103"/>
        <v>34.073333333333338</v>
      </c>
      <c r="CQ118" s="17">
        <f t="shared" si="104"/>
        <v>38.336666666666666</v>
      </c>
      <c r="CR118" s="17">
        <f t="shared" si="105"/>
        <v>46.723333333333329</v>
      </c>
      <c r="CS118" s="2" cm="1">
        <f t="array" aca="1" ref="CS118" ca="1">MAX(_xlfn._xlws.FILTER(CL118:CR118,CL118:CR118&lt;BN118))</f>
        <v>25.686666666666667</v>
      </c>
      <c r="CT118" s="2" cm="1">
        <f t="array" aca="1" ref="CT118" ca="1">MIN(_xlfn._xlws.FILTER($CL118:$CR118,$CL118:$CR118&gt;BN118))</f>
        <v>34.073333333333338</v>
      </c>
      <c r="CU118" s="16">
        <f t="shared" ca="1" si="136"/>
        <v>0.32649883207889974</v>
      </c>
      <c r="CV118" s="20">
        <f t="shared" ca="1" si="137"/>
        <v>-0.16324941603944987</v>
      </c>
      <c r="CW118" s="20">
        <f t="shared" ca="1" si="138"/>
        <v>-0.10883294402629991</v>
      </c>
      <c r="CX118" s="20">
        <f t="shared" ca="1" si="139"/>
        <v>-6.5299766415779947E-2</v>
      </c>
      <c r="CY118" s="20">
        <f t="shared" ca="1" si="140"/>
        <v>-3.6277648008766636E-2</v>
      </c>
      <c r="CZ118" s="20">
        <f t="shared" ca="1" si="141"/>
        <v>-1.9205813651699984E-2</v>
      </c>
      <c r="DA118" s="20">
        <f t="shared" ca="1" si="142"/>
        <v>-9.893904002390902E-3</v>
      </c>
      <c r="DB118" s="20">
        <f t="shared" ca="1" si="143"/>
        <v>-5.0230589550599959E-3</v>
      </c>
      <c r="DC118" s="21">
        <f t="shared" ca="1" si="144"/>
        <v>5.0230589550599959E-3</v>
      </c>
      <c r="DD118" s="21">
        <f t="shared" ca="1" si="145"/>
        <v>9.893904002390902E-3</v>
      </c>
      <c r="DE118" s="21">
        <f t="shared" ca="1" si="146"/>
        <v>1.9205813651699984E-2</v>
      </c>
      <c r="DF118" s="21">
        <f t="shared" ca="1" si="147"/>
        <v>3.6277648008766636E-2</v>
      </c>
      <c r="DG118" s="21">
        <f t="shared" ca="1" si="148"/>
        <v>6.5299766415779947E-2</v>
      </c>
      <c r="DH118" s="21">
        <f t="shared" ca="1" si="149"/>
        <v>0.10883294402629991</v>
      </c>
      <c r="DI118" s="21">
        <f t="shared" ca="1" si="150"/>
        <v>0.16324941603944987</v>
      </c>
      <c r="DK118" s="16" cm="1">
        <f t="array" aca="1" ref="DK118" ca="1">MAX(_xlfn._xlws.FILTER(CV118:DI118,CV118:DI118&lt;BT118))</f>
        <v>5.0230589550599959E-3</v>
      </c>
      <c r="DL118" s="16" cm="1">
        <f t="array" aca="1" ref="DL118" ca="1">MIN(_xlfn._xlws.FILTER(CV118:DI118,CV118:DI118&gt;BT118))</f>
        <v>9.893904002390902E-3</v>
      </c>
      <c r="DM118" s="2" cm="1">
        <f t="array" aca="1" ref="DM118" ca="1">_FV(EB118,"Fechamento anterior",TRUE)</f>
        <v>28.92</v>
      </c>
      <c r="DN118" s="28">
        <f t="shared" ca="1" si="106"/>
        <v>0.17558061497699226</v>
      </c>
      <c r="DO118" s="15">
        <f t="shared" ca="1" si="151"/>
        <v>29.065266864980337</v>
      </c>
      <c r="DP118" s="15">
        <f t="shared" ca="1" si="152"/>
        <v>29.206131703749147</v>
      </c>
      <c r="DQ118" s="9"/>
      <c r="DR118" s="9"/>
      <c r="DS118" s="9"/>
      <c r="DT118" s="89">
        <v>4.8708450473309061E-3</v>
      </c>
      <c r="DU118" s="89">
        <f t="shared" ca="1" si="107"/>
        <v>4.8708450473309061E-3</v>
      </c>
      <c r="DV118" s="72">
        <f t="shared" ca="1" si="108"/>
        <v>0.10562503704963236</v>
      </c>
      <c r="DW118" s="37"/>
      <c r="DX118" s="35">
        <f t="shared" si="118"/>
        <v>0.33136083051561754</v>
      </c>
      <c r="DY118" s="56"/>
      <c r="DZ118" s="56"/>
      <c r="EB118" s="2" t="e" vm="117">
        <v>#VALUE!</v>
      </c>
      <c r="ED118" s="10" cm="1">
        <f t="array" aca="1" ref="ED118" ca="1">_FV(EB118,"Ações em circulação",TRUE)</f>
        <v>291875100</v>
      </c>
      <c r="EE118" s="18">
        <f>VLOOKUP(BO118,Fundamentus!A:U,5,FALSE)</f>
        <v>1.978</v>
      </c>
      <c r="EF118" s="2">
        <f t="shared" ca="1" si="109"/>
        <v>4292541283.6198182</v>
      </c>
      <c r="EG118" s="17">
        <v>776091464.07846308</v>
      </c>
      <c r="EH118" s="17">
        <f t="shared" ca="1" si="110"/>
        <v>776091464.07846308</v>
      </c>
      <c r="EJ118" s="16">
        <f t="shared" ca="1" si="97"/>
        <v>0</v>
      </c>
      <c r="EK118" s="32" t="str">
        <f>IF(VLOOKUP(BO118,Fundamentus!A:U,3,FALSE)&lt;15,"Bom",IF(VLOOKUP(BO118,Fundamentus!A:U,3,FALSE)&gt;15,"Ruim","n/a"))</f>
        <v>Bom</v>
      </c>
      <c r="EL118" s="28" t="str">
        <f>IF(VLOOKUP(BO118,Fundamentus!A:U,4,FALSE)&lt;1,"Baixo",IF(VLOOKUP(BO118,Fundamentus!A:U,4,FALSE)&lt;1.5,"Moderado",IF(VLOOKUP(BO118,Fundamentus!A:U,4,FALSE)&gt;1.5,"Alto","n/a")))</f>
        <v>Alto</v>
      </c>
      <c r="EM118" s="17" t="str">
        <f>IF(VLOOKUP(BO118,Fundamentus!A:U,8,FALSE)&lt;0,"Risco elevado",IF(VLOOKUP(BO118,Fundamentus!A:U,8,FALSE)&lt;1,"Saudável",IF(VLOOKUP(BO118,Fundamentus!A:U,8,FALSE)&lt;3,"Estável",IF(VLOOKUP(BO118,Fundamentus!A:U,8,FALSE)&gt;3,"Alerta","n/a"))))</f>
        <v>Alerta</v>
      </c>
      <c r="EN118" s="28" t="str">
        <f t="shared" si="111"/>
        <v>Bom</v>
      </c>
      <c r="EO118" s="17" t="str">
        <f>IF(VLOOKUP(BO118,Fundamentus!A:U,12,FALSE)&lt;2,"Subvalorizada",IF(VLOOKUP(BO118,Fundamentus!A:U,12,FALSE)&lt;6,"Muita barata",IF(VLOOKUP(BO118,Fundamentus!A:U,12,FALSE)&lt;6,"Barata",IF(VLOOKUP(BO118,Fundamentus!A:U,12,FALSE)&lt;8,"Atrativa",IF(VLOOKUP(BO118,Fundamentus!A:U,12,FALSE)&gt;8,"Supervalorizada","n/a")))))</f>
        <v>Atrativa</v>
      </c>
      <c r="EQ118" s="17" t="str">
        <f>IF(VLOOKUP(BO118,Fundamentus!A:U,17,FALSE)&lt;0.1,"Fraco retorno",IF(VLOOKUP(BO118,Fundamentus!A:U,17,FALSE)&gt;0.1,"Bom retorno","n/a"))</f>
        <v>Bom retorno</v>
      </c>
      <c r="ER118" s="17" t="str">
        <f>IF(VLOOKUP(BO118,Fundamentus!A:U,16,FALSE)&lt;0.1,"Ineficiente",IF(VLOOKUP(BO118,Fundamentus!A:U,16,FALSE)&gt;0.1,"Eficiente","n/a"))</f>
        <v>Eficiente</v>
      </c>
      <c r="ES118" s="33" t="str">
        <f>IF(VLOOKUP(BO118,Fundamentus!A:U,16,FALSE)&lt;0.1,"Oper. Ineficiente",IF(VLOOKUP(BO118,Fundamentus!A:U,16,FALSE)&gt;0.1,"Oper.Eficiente","n/a"))</f>
        <v>Oper.Eficiente</v>
      </c>
      <c r="ET118" s="34">
        <f>VLOOKUP(BO118,Fundamentus!A:U,14,FALSE)</f>
        <v>0.18079999999999999</v>
      </c>
      <c r="EU118" s="17" t="str">
        <f>IF(VLOOKUP(BO118,Fundamentus!A:U,21,FALSE)&lt;0,"Negativo",IF(VLOOKUP(BO118,Fundamentus!A:U,21,FALSE)&lt;0.05,"Fraco",IF(VLOOKUP(BO118,Fundamentus!A:U,21,FALSE)&lt;0.1,"Bom",IF(VLOOKUP(BO118,Fundamentus!A:U,21,FALSE)&gt;0.1,"Muito bom","n/a"))))</f>
        <v>Muito bom</v>
      </c>
      <c r="EW118" s="29" t="str">
        <f>IF(VLOOKUP(BO118,Fundamentus!A:U,15,FALSE)&gt;1,"Bom",IF(VLOOKUP(BO118,Fundamentus!A:U,15,FALSE)&lt;1,"Ruim","n/a"))</f>
        <v>Bom</v>
      </c>
      <c r="EX118" s="17" t="str">
        <f>IF(VLOOKUP(BO118,Fundamentus!A:U,20,FALSE)&lt;0.5,"Baixa",IF(VLOOKUP(BO118,Fundamentus!A:U,20,FALSE)&lt;1,"Moderada",IF(VLOOKUP(BO118,Fundamentus!A:U,20,FALSE)&lt;2,"Alerta",IF(VLOOKUP(BO118,Fundamentus!A:U,20,FALSE)&gt;2,"Alta","n/a"))))</f>
        <v>Alerta</v>
      </c>
      <c r="EY118" s="10"/>
    </row>
    <row r="119" spans="1:155" s="2" customFormat="1" ht="11.25"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5">
        <v>16.2</v>
      </c>
      <c r="BC119" s="52">
        <v>17.36</v>
      </c>
      <c r="BD119" s="52">
        <v>16.63</v>
      </c>
      <c r="BE119" s="52">
        <v>16.29</v>
      </c>
      <c r="BF119" s="52">
        <v>16.190000000000001</v>
      </c>
      <c r="BG119" s="67">
        <v>16.989999999999998</v>
      </c>
      <c r="BH119" s="52">
        <v>17.09</v>
      </c>
      <c r="BI119" s="52">
        <v>16.86</v>
      </c>
      <c r="BJ119" s="52">
        <v>17.989999999999998</v>
      </c>
      <c r="BK119" s="52">
        <v>17.100000000000001</v>
      </c>
      <c r="BL119" s="52">
        <v>15.7</v>
      </c>
      <c r="BM119" s="52">
        <v>16.54</v>
      </c>
      <c r="BN119" s="52" cm="1">
        <f t="array" aca="1" ref="BN119" ca="1">_FV(EB119,"Preço")</f>
        <v>16.54</v>
      </c>
      <c r="BO119" s="69" t="s">
        <v>115</v>
      </c>
      <c r="BP119" s="36" cm="1">
        <f t="array" aca="1" ref="BP119" ca="1">_FV(EB119,"Média de volume",TRUE)</f>
        <v>6113080</v>
      </c>
      <c r="BQ119" s="36">
        <v>9387800</v>
      </c>
      <c r="BR119" s="36" cm="1">
        <f t="array" aca="1" ref="BR119" ca="1">_FV(EB119,"Volume")</f>
        <v>9387800</v>
      </c>
      <c r="BS119" s="24" cm="1">
        <f t="array" aca="1" ref="BS119" ca="1">_FV(EB119,"Beta")</f>
        <v>1.1535</v>
      </c>
      <c r="BT119" s="71" cm="1">
        <f t="array" aca="1" ref="BT119" ca="1">_FV(EB119,"Variação (%)",TRUE)</f>
        <v>2.5418E-2</v>
      </c>
      <c r="BV119" s="17" cm="1">
        <f t="array" aca="1" ref="BV119" ca="1">_FV(EB119,"Baixo")</f>
        <v>16.07</v>
      </c>
      <c r="BW119" s="17" cm="1">
        <f t="array" aca="1" ref="BW119" ca="1">_FV(EB119,"Alto")</f>
        <v>16.77</v>
      </c>
      <c r="BX119" s="24"/>
      <c r="BY119" s="63">
        <f ca="1">SQRT(22.5*(BN119/VLOOKUP(BO119,Fundamentus!A:U,3,FALSE))*(BN119/VLOOKUP(BO119,Fundamentus!A:U,4,FALSE)))</f>
        <v>25.411893439946411</v>
      </c>
      <c r="CA119" s="62">
        <f t="shared" ca="1" si="112"/>
        <v>0</v>
      </c>
      <c r="CB119" s="8"/>
      <c r="CC119" s="61">
        <f t="shared" si="113"/>
        <v>15.55</v>
      </c>
      <c r="CD119" s="61">
        <f t="shared" si="114"/>
        <v>26.63</v>
      </c>
      <c r="CE119" s="61">
        <f t="shared" si="115"/>
        <v>19.307307692307692</v>
      </c>
      <c r="CF119" s="14"/>
      <c r="CG119" s="35">
        <f t="shared" si="98"/>
        <v>13.727824244418105</v>
      </c>
      <c r="CH119" s="15">
        <f t="shared" si="116"/>
        <v>15.394999999999982</v>
      </c>
      <c r="CI119" s="35">
        <f t="shared" si="99"/>
        <v>17.062175755581858</v>
      </c>
      <c r="CK119" s="14"/>
      <c r="CL119" s="17">
        <f t="shared" si="100"/>
        <v>0.8766666666666687</v>
      </c>
      <c r="CM119" s="17">
        <f t="shared" si="101"/>
        <v>8.2133333333333347</v>
      </c>
      <c r="CN119" s="17">
        <f t="shared" si="102"/>
        <v>11.956666666666667</v>
      </c>
      <c r="CO119" s="38">
        <f t="shared" si="117"/>
        <v>19.293333333333333</v>
      </c>
      <c r="CP119" s="17">
        <f t="shared" si="103"/>
        <v>23.036666666666665</v>
      </c>
      <c r="CQ119" s="17">
        <f t="shared" si="104"/>
        <v>30.373333333333331</v>
      </c>
      <c r="CR119" s="17">
        <f t="shared" si="105"/>
        <v>34.11666666666666</v>
      </c>
      <c r="CS119" s="2" cm="1">
        <f t="array" aca="1" ref="CS119" ca="1">MAX(_xlfn._xlws.FILTER(CL119:CR119,CL119:CR119&lt;BN119))</f>
        <v>11.956666666666667</v>
      </c>
      <c r="CT119" s="2" cm="1">
        <f t="array" aca="1" ref="CT119" ca="1">MIN(_xlfn._xlws.FILTER($CL119:$CR119,$CL119:$CR119&gt;BN119))</f>
        <v>19.293333333333333</v>
      </c>
      <c r="CU119" s="16">
        <f t="shared" ca="1" si="136"/>
        <v>0.61360468357959297</v>
      </c>
      <c r="CV119" s="20">
        <f t="shared" ca="1" si="137"/>
        <v>-0.30680234178979648</v>
      </c>
      <c r="CW119" s="20">
        <f t="shared" ca="1" si="138"/>
        <v>-0.20453489452653098</v>
      </c>
      <c r="CX119" s="20">
        <f t="shared" ca="1" si="139"/>
        <v>-0.12272093671591859</v>
      </c>
      <c r="CY119" s="20">
        <f t="shared" ca="1" si="140"/>
        <v>-6.8178298175510327E-2</v>
      </c>
      <c r="CZ119" s="20">
        <f t="shared" ca="1" si="141"/>
        <v>-3.6094393151740761E-2</v>
      </c>
      <c r="DA119" s="20">
        <f t="shared" ca="1" si="142"/>
        <v>-1.8594081320593727E-2</v>
      </c>
      <c r="DB119" s="20">
        <f t="shared" ca="1" si="143"/>
        <v>-9.4400720550706606E-3</v>
      </c>
      <c r="DC119" s="21">
        <f t="shared" ca="1" si="144"/>
        <v>9.4400720550706606E-3</v>
      </c>
      <c r="DD119" s="21">
        <f t="shared" ca="1" si="145"/>
        <v>1.8594081320593727E-2</v>
      </c>
      <c r="DE119" s="21">
        <f t="shared" ca="1" si="146"/>
        <v>3.6094393151740761E-2</v>
      </c>
      <c r="DF119" s="21">
        <f t="shared" ca="1" si="147"/>
        <v>6.8178298175510327E-2</v>
      </c>
      <c r="DG119" s="21">
        <f t="shared" ca="1" si="148"/>
        <v>0.12272093671591859</v>
      </c>
      <c r="DH119" s="21">
        <f t="shared" ca="1" si="149"/>
        <v>0.20453489452653098</v>
      </c>
      <c r="DI119" s="21">
        <f t="shared" ca="1" si="150"/>
        <v>0.30680234178979648</v>
      </c>
      <c r="DK119" s="16" cm="1">
        <f t="array" aca="1" ref="DK119" ca="1">MAX(_xlfn._xlws.FILTER(CV119:DI119,CV119:DI119&lt;BT119))</f>
        <v>1.8594081320593727E-2</v>
      </c>
      <c r="DL119" s="16" cm="1">
        <f t="array" aca="1" ref="DL119" ca="1">MIN(_xlfn._xlws.FILTER(CV119:DI119,CV119:DI119&gt;BT119))</f>
        <v>3.6094393151740761E-2</v>
      </c>
      <c r="DM119" s="2" cm="1">
        <f t="array" aca="1" ref="DM119" ca="1">_FV(EB119,"Fechamento anterior",TRUE)</f>
        <v>16.13</v>
      </c>
      <c r="DN119" s="28">
        <f t="shared" ca="1" si="106"/>
        <v>0.38995839827075091</v>
      </c>
      <c r="DO119" s="15">
        <f t="shared" ca="1" si="151"/>
        <v>16.429922531701177</v>
      </c>
      <c r="DP119" s="15">
        <f t="shared" ca="1" si="152"/>
        <v>16.712202561537577</v>
      </c>
      <c r="DQ119" s="9"/>
      <c r="DR119" s="9"/>
      <c r="DS119" s="9"/>
      <c r="DT119" s="89">
        <v>1.7500311831147034E-2</v>
      </c>
      <c r="DU119" s="89">
        <f t="shared" ca="1" si="107"/>
        <v>1.7500311831147034E-2</v>
      </c>
      <c r="DV119" s="72">
        <f t="shared" ca="1" si="108"/>
        <v>0.68679021762788905</v>
      </c>
      <c r="DW119" s="37"/>
      <c r="DX119" s="35">
        <f t="shared" si="118"/>
        <v>0.83358787779093813</v>
      </c>
      <c r="DY119" s="56"/>
      <c r="DZ119" s="56"/>
      <c r="EB119" s="2" t="e" vm="118">
        <v>#VALUE!</v>
      </c>
      <c r="ED119" s="10" cm="1">
        <f t="array" aca="1" ref="ED119" ca="1">_FV(EB119,"Ações em circulação",TRUE)</f>
        <v>1115507000</v>
      </c>
      <c r="EE119" s="18">
        <f>VLOOKUP(BO119,Fundamentus!A:U,5,FALSE)</f>
        <v>0.13300000000000001</v>
      </c>
      <c r="EF119" s="2">
        <f t="shared" ca="1" si="109"/>
        <v>138725456992.4812</v>
      </c>
      <c r="EG119" s="17">
        <v>2469313134.4661655</v>
      </c>
      <c r="EH119" s="17">
        <f t="shared" ca="1" si="110"/>
        <v>2469313134.4661655</v>
      </c>
      <c r="EJ119" s="16">
        <f t="shared" ca="1" si="97"/>
        <v>0</v>
      </c>
      <c r="EK119" s="32" t="str">
        <f>IF(VLOOKUP(BO119,Fundamentus!A:U,3,FALSE)&lt;15,"Bom",IF(VLOOKUP(BO119,Fundamentus!A:U,3,FALSE)&gt;15,"Ruim","n/a"))</f>
        <v>Bom</v>
      </c>
      <c r="EL119" s="28" t="str">
        <f>IF(VLOOKUP(BO119,Fundamentus!A:U,4,FALSE)&lt;1,"Baixo",IF(VLOOKUP(BO119,Fundamentus!A:U,4,FALSE)&lt;1.5,"Moderado",IF(VLOOKUP(BO119,Fundamentus!A:U,4,FALSE)&gt;1.5,"Alto","n/a")))</f>
        <v>Moderado</v>
      </c>
      <c r="EM119" s="17" t="str">
        <f>IF(VLOOKUP(BO119,Fundamentus!A:U,8,FALSE)&lt;0,"Risco elevado",IF(VLOOKUP(BO119,Fundamentus!A:U,8,FALSE)&lt;1,"Saudável",IF(VLOOKUP(BO119,Fundamentus!A:U,8,FALSE)&lt;3,"Estável",IF(VLOOKUP(BO119,Fundamentus!A:U,8,FALSE)&gt;3,"Alerta","n/a"))))</f>
        <v>Estável</v>
      </c>
      <c r="EN119" s="28" t="str">
        <f t="shared" si="111"/>
        <v>Ruim</v>
      </c>
      <c r="EO119" s="17" t="str">
        <f>IF(VLOOKUP(BO119,Fundamentus!A:U,12,FALSE)&lt;2,"Subvalorizada",IF(VLOOKUP(BO119,Fundamentus!A:U,12,FALSE)&lt;6,"Muita barata",IF(VLOOKUP(BO119,Fundamentus!A:U,12,FALSE)&lt;6,"Barata",IF(VLOOKUP(BO119,Fundamentus!A:U,12,FALSE)&lt;8,"Atrativa",IF(VLOOKUP(BO119,Fundamentus!A:U,12,FALSE)&gt;8,"Supervalorizada","n/a")))))</f>
        <v>Muita barata</v>
      </c>
      <c r="EQ119" s="17" t="str">
        <f>IF(VLOOKUP(BO119,Fundamentus!A:U,17,FALSE)&lt;0.1,"Fraco retorno",IF(VLOOKUP(BO119,Fundamentus!A:U,17,FALSE)&gt;0.1,"Bom retorno","n/a"))</f>
        <v>Bom retorno</v>
      </c>
      <c r="ER119" s="17" t="str">
        <f>IF(VLOOKUP(BO119,Fundamentus!A:U,16,FALSE)&lt;0.1,"Ineficiente",IF(VLOOKUP(BO119,Fundamentus!A:U,16,FALSE)&gt;0.1,"Eficiente","n/a"))</f>
        <v>Eficiente</v>
      </c>
      <c r="ES119" s="33" t="str">
        <f>IF(VLOOKUP(BO119,Fundamentus!A:U,16,FALSE)&lt;0.1,"Oper. Ineficiente",IF(VLOOKUP(BO119,Fundamentus!A:U,16,FALSE)&gt;0.1,"Oper.Eficiente","n/a"))</f>
        <v>Oper.Eficiente</v>
      </c>
      <c r="ET119" s="34">
        <f>VLOOKUP(BO119,Fundamentus!A:U,14,FALSE)</f>
        <v>1.78E-2</v>
      </c>
      <c r="EU119" s="17" t="str">
        <f>IF(VLOOKUP(BO119,Fundamentus!A:U,21,FALSE)&lt;0,"Negativo",IF(VLOOKUP(BO119,Fundamentus!A:U,21,FALSE)&lt;0.05,"Fraco",IF(VLOOKUP(BO119,Fundamentus!A:U,21,FALSE)&lt;0.1,"Bom",IF(VLOOKUP(BO119,Fundamentus!A:U,21,FALSE)&gt;0.1,"Muito bom","n/a"))))</f>
        <v>Muito bom</v>
      </c>
      <c r="EW119" s="29" t="str">
        <f>IF(VLOOKUP(BO119,Fundamentus!A:U,15,FALSE)&gt;1,"Bom",IF(VLOOKUP(BO119,Fundamentus!A:U,15,FALSE)&lt;1,"Ruim","n/a"))</f>
        <v>Bom</v>
      </c>
      <c r="EX119" s="17" t="str">
        <f>IF(VLOOKUP(BO119,Fundamentus!A:U,20,FALSE)&lt;0.5,"Baixa",IF(VLOOKUP(BO119,Fundamentus!A:U,20,FALSE)&lt;1,"Moderada",IF(VLOOKUP(BO119,Fundamentus!A:U,20,FALSE)&lt;2,"Alerta",IF(VLOOKUP(BO119,Fundamentus!A:U,20,FALSE)&gt;2,"Alta","n/a"))))</f>
        <v>Moderada</v>
      </c>
      <c r="EY119" s="10"/>
    </row>
    <row r="120" spans="1:155" s="2" customFormat="1" ht="11.25"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5">
        <v>5.22</v>
      </c>
      <c r="BC120" s="52">
        <v>5.34</v>
      </c>
      <c r="BD120" s="52">
        <v>5.45</v>
      </c>
      <c r="BE120" s="52">
        <v>5.55</v>
      </c>
      <c r="BF120" s="52">
        <v>5.68</v>
      </c>
      <c r="BG120" s="67">
        <v>5.55</v>
      </c>
      <c r="BH120" s="52">
        <v>5.68</v>
      </c>
      <c r="BI120" s="52">
        <v>5.68</v>
      </c>
      <c r="BJ120" s="52">
        <v>5.72</v>
      </c>
      <c r="BK120" s="52">
        <v>5.35</v>
      </c>
      <c r="BL120" s="52">
        <v>5.14</v>
      </c>
      <c r="BM120" s="52">
        <v>5.8</v>
      </c>
      <c r="BN120" s="52" cm="1">
        <f t="array" aca="1" ref="BN120" ca="1">_FV(EB120,"Preço")</f>
        <v>5.8</v>
      </c>
      <c r="BO120" s="69" t="s">
        <v>149</v>
      </c>
      <c r="BP120" s="36" cm="1">
        <f t="array" aca="1" ref="BP120" ca="1">_FV(EB120,"Média de volume",TRUE)</f>
        <v>4788440</v>
      </c>
      <c r="BQ120" s="36">
        <v>4813900</v>
      </c>
      <c r="BR120" s="36" cm="1">
        <f t="array" aca="1" ref="BR120" ca="1">_FV(EB120,"Volume")</f>
        <v>4813900</v>
      </c>
      <c r="BS120" s="24" cm="1">
        <f t="array" aca="1" ref="BS120" ca="1">_FV(EB120,"Beta")</f>
        <v>0.72809999999999997</v>
      </c>
      <c r="BT120" s="71" cm="1">
        <f t="array" aca="1" ref="BT120" ca="1">_FV(EB120,"Variação (%)",TRUE)</f>
        <v>4.3164999999999995E-2</v>
      </c>
      <c r="BV120" s="17" cm="1">
        <f t="array" aca="1" ref="BV120" ca="1">_FV(EB120,"Baixo")</f>
        <v>5.63</v>
      </c>
      <c r="BW120" s="17" cm="1">
        <f t="array" aca="1" ref="BW120" ca="1">_FV(EB120,"Alto")</f>
        <v>5.83</v>
      </c>
      <c r="BX120" s="24"/>
      <c r="BY120" s="63">
        <f ca="1">SQRT(22.5*(BN120/VLOOKUP(BO120,Fundamentus!A:U,3,FALSE))*(BN120/VLOOKUP(BO120,Fundamentus!A:U,4,FALSE)))</f>
        <v>8.294521310457494</v>
      </c>
      <c r="CA120" s="62">
        <f t="shared" ca="1" si="112"/>
        <v>0</v>
      </c>
      <c r="CB120" s="8"/>
      <c r="CC120" s="61">
        <f t="shared" si="113"/>
        <v>5.14</v>
      </c>
      <c r="CD120" s="61">
        <f t="shared" si="114"/>
        <v>8.65</v>
      </c>
      <c r="CE120" s="61">
        <f t="shared" si="115"/>
        <v>6.6326923076923077</v>
      </c>
      <c r="CF120" s="14"/>
      <c r="CG120" s="35">
        <f t="shared" si="98"/>
        <v>4.9710426733033515</v>
      </c>
      <c r="CH120" s="15">
        <f t="shared" si="116"/>
        <v>5.5100000000000016</v>
      </c>
      <c r="CI120" s="35">
        <f t="shared" si="99"/>
        <v>6.0489573266966516</v>
      </c>
      <c r="CK120" s="14"/>
      <c r="CL120" s="17">
        <f t="shared" si="100"/>
        <v>0.45999999999999819</v>
      </c>
      <c r="CM120" s="17">
        <f t="shared" si="101"/>
        <v>2.7999999999999989</v>
      </c>
      <c r="CN120" s="17">
        <f t="shared" si="102"/>
        <v>3.9699999999999989</v>
      </c>
      <c r="CO120" s="38">
        <f t="shared" si="117"/>
        <v>6.31</v>
      </c>
      <c r="CP120" s="17">
        <f t="shared" si="103"/>
        <v>7.4799999999999995</v>
      </c>
      <c r="CQ120" s="17">
        <f t="shared" si="104"/>
        <v>9.82</v>
      </c>
      <c r="CR120" s="17">
        <f t="shared" si="105"/>
        <v>10.99</v>
      </c>
      <c r="CS120" s="2" cm="1">
        <f t="array" aca="1" ref="CS120" ca="1">MAX(_xlfn._xlws.FILTER(CL120:CR120,CL120:CR120&lt;BN120))</f>
        <v>3.9699999999999989</v>
      </c>
      <c r="CT120" s="2" cm="1">
        <f t="array" aca="1" ref="CT120" ca="1">MIN(_xlfn._xlws.FILTER($CL120:$CR120,$CL120:$CR120&gt;BN120))</f>
        <v>6.31</v>
      </c>
      <c r="CU120" s="16">
        <f t="shared" ca="1" si="136"/>
        <v>0.58942065491183904</v>
      </c>
      <c r="CV120" s="20">
        <f t="shared" ca="1" si="137"/>
        <v>-0.29471032745591952</v>
      </c>
      <c r="CW120" s="20">
        <f t="shared" ca="1" si="138"/>
        <v>-0.19647355163727967</v>
      </c>
      <c r="CX120" s="20">
        <f t="shared" ca="1" si="139"/>
        <v>-0.1178841309823678</v>
      </c>
      <c r="CY120" s="20">
        <f t="shared" ca="1" si="140"/>
        <v>-6.5491183879093223E-2</v>
      </c>
      <c r="CZ120" s="20">
        <f t="shared" ca="1" si="141"/>
        <v>-3.4671803230108177E-2</v>
      </c>
      <c r="DA120" s="20">
        <f t="shared" ca="1" si="142"/>
        <v>-1.7861231967025427E-2</v>
      </c>
      <c r="DB120" s="20">
        <f t="shared" ca="1" si="143"/>
        <v>-9.0680100755667539E-3</v>
      </c>
      <c r="DC120" s="21">
        <f t="shared" ca="1" si="144"/>
        <v>9.0680100755667539E-3</v>
      </c>
      <c r="DD120" s="21">
        <f t="shared" ca="1" si="145"/>
        <v>1.7861231967025427E-2</v>
      </c>
      <c r="DE120" s="21">
        <f t="shared" ca="1" si="146"/>
        <v>3.4671803230108177E-2</v>
      </c>
      <c r="DF120" s="21">
        <f t="shared" ca="1" si="147"/>
        <v>6.5491183879093223E-2</v>
      </c>
      <c r="DG120" s="21">
        <f t="shared" ca="1" si="148"/>
        <v>0.1178841309823678</v>
      </c>
      <c r="DH120" s="21">
        <f t="shared" ca="1" si="149"/>
        <v>0.19647355163727967</v>
      </c>
      <c r="DI120" s="21">
        <f t="shared" ca="1" si="150"/>
        <v>0.29471032745591952</v>
      </c>
      <c r="DK120" s="16" cm="1">
        <f t="array" aca="1" ref="DK120" ca="1">MAX(_xlfn._xlws.FILTER(CV120:DI120,CV120:DI120&lt;BT120))</f>
        <v>3.4671803230108177E-2</v>
      </c>
      <c r="DL120" s="16" cm="1">
        <f t="array" aca="1" ref="DL120" ca="1">MIN(_xlfn._xlws.FILTER(CV120:DI120,CV120:DI120&gt;BT120))</f>
        <v>6.5491183879093223E-2</v>
      </c>
      <c r="DM120" s="2" cm="1">
        <f t="array" aca="1" ref="DM120" ca="1">_FV(EB120,"Fechamento anterior",TRUE)</f>
        <v>5.56</v>
      </c>
      <c r="DN120" s="28">
        <f t="shared" ca="1" si="106"/>
        <v>0.27559490868843456</v>
      </c>
      <c r="DO120" s="15">
        <f t="shared" ca="1" si="151"/>
        <v>5.7527752259594012</v>
      </c>
      <c r="DP120" s="15">
        <f t="shared" ca="1" si="152"/>
        <v>5.9241309823677577</v>
      </c>
      <c r="DQ120" s="9"/>
      <c r="DR120" s="9"/>
      <c r="DS120" s="9"/>
      <c r="DT120" s="89">
        <v>3.0819380648985047E-2</v>
      </c>
      <c r="DU120" s="89">
        <f t="shared" ca="1" si="107"/>
        <v>3.0819380648985047E-2</v>
      </c>
      <c r="DV120" s="72">
        <f t="shared" ca="1" si="108"/>
        <v>0.53807599532499462</v>
      </c>
      <c r="DW120" s="37"/>
      <c r="DX120" s="35">
        <f t="shared" si="118"/>
        <v>0.26947866334832526</v>
      </c>
      <c r="DY120" s="56"/>
      <c r="DZ120" s="56"/>
      <c r="EB120" s="2" t="e" vm="119">
        <v>#VALUE!</v>
      </c>
      <c r="ED120" s="10" cm="1">
        <f t="array" aca="1" ref="ED120" ca="1">_FV(EB120,"Ações em circulação",TRUE)</f>
        <v>820566200</v>
      </c>
      <c r="EE120" s="18">
        <f>VLOOKUP(BO120,Fundamentus!A:U,5,FALSE)</f>
        <v>0.54</v>
      </c>
      <c r="EF120" s="2">
        <f t="shared" ca="1" si="109"/>
        <v>8813488814.8148136</v>
      </c>
      <c r="EG120" s="17">
        <v>288201084.24444443</v>
      </c>
      <c r="EH120" s="17">
        <f t="shared" ca="1" si="110"/>
        <v>288201084.24444443</v>
      </c>
      <c r="EJ120" s="16">
        <f t="shared" ca="1" si="97"/>
        <v>0</v>
      </c>
      <c r="EK120" s="32" t="str">
        <f>IF(VLOOKUP(BO120,Fundamentus!A:U,3,FALSE)&lt;15,"Bom",IF(VLOOKUP(BO120,Fundamentus!A:U,3,FALSE)&gt;15,"Ruim","n/a"))</f>
        <v>Ruim</v>
      </c>
      <c r="EL120" s="28" t="str">
        <f>IF(VLOOKUP(BO120,Fundamentus!A:U,4,FALSE)&lt;1,"Baixo",IF(VLOOKUP(BO120,Fundamentus!A:U,4,FALSE)&lt;1.5,"Moderado",IF(VLOOKUP(BO120,Fundamentus!A:U,4,FALSE)&gt;1.5,"Alto","n/a")))</f>
        <v>Baixo</v>
      </c>
      <c r="EM120" s="17" t="str">
        <f>IF(VLOOKUP(BO120,Fundamentus!A:U,8,FALSE)&lt;0,"Risco elevado",IF(VLOOKUP(BO120,Fundamentus!A:U,8,FALSE)&lt;1,"Saudável",IF(VLOOKUP(BO120,Fundamentus!A:U,8,FALSE)&lt;3,"Estável",IF(VLOOKUP(BO120,Fundamentus!A:U,8,FALSE)&gt;3,"Alerta","n/a"))))</f>
        <v>Alerta</v>
      </c>
      <c r="EN120" s="28" t="str">
        <f t="shared" si="111"/>
        <v>Ruim</v>
      </c>
      <c r="EO120" s="17" t="str">
        <f>IF(VLOOKUP(BO120,Fundamentus!A:U,12,FALSE)&lt;2,"Subvalorizada",IF(VLOOKUP(BO120,Fundamentus!A:U,12,FALSE)&lt;6,"Muita barata",IF(VLOOKUP(BO120,Fundamentus!A:U,12,FALSE)&lt;6,"Barata",IF(VLOOKUP(BO120,Fundamentus!A:U,12,FALSE)&lt;8,"Atrativa",IF(VLOOKUP(BO120,Fundamentus!A:U,12,FALSE)&gt;8,"Supervalorizada","n/a")))))</f>
        <v>Muita barata</v>
      </c>
      <c r="EQ120" s="17" t="str">
        <f>IF(VLOOKUP(BO120,Fundamentus!A:U,17,FALSE)&lt;0.1,"Fraco retorno",IF(VLOOKUP(BO120,Fundamentus!A:U,17,FALSE)&gt;0.1,"Bom retorno","n/a"))</f>
        <v>Fraco retorno</v>
      </c>
      <c r="ER120" s="17" t="str">
        <f>IF(VLOOKUP(BO120,Fundamentus!A:U,16,FALSE)&lt;0.1,"Ineficiente",IF(VLOOKUP(BO120,Fundamentus!A:U,16,FALSE)&gt;0.1,"Eficiente","n/a"))</f>
        <v>Ineficiente</v>
      </c>
      <c r="ES120" s="33" t="str">
        <f>IF(VLOOKUP(BO120,Fundamentus!A:U,16,FALSE)&lt;0.1,"Oper. Ineficiente",IF(VLOOKUP(BO120,Fundamentus!A:U,16,FALSE)&gt;0.1,"Oper.Eficiente","n/a"))</f>
        <v>Oper. Ineficiente</v>
      </c>
      <c r="ET120" s="34">
        <f>VLOOKUP(BO120,Fundamentus!A:U,14,FALSE)</f>
        <v>3.27E-2</v>
      </c>
      <c r="EU120" s="17" t="str">
        <f>IF(VLOOKUP(BO120,Fundamentus!A:U,21,FALSE)&lt;0,"Negativo",IF(VLOOKUP(BO120,Fundamentus!A:U,21,FALSE)&lt;0.05,"Fraco",IF(VLOOKUP(BO120,Fundamentus!A:U,21,FALSE)&lt;0.1,"Bom",IF(VLOOKUP(BO120,Fundamentus!A:U,21,FALSE)&gt;0.1,"Muito bom","n/a"))))</f>
        <v>Fraco</v>
      </c>
      <c r="EW120" s="29" t="str">
        <f>IF(VLOOKUP(BO120,Fundamentus!A:U,15,FALSE)&gt;1,"Bom",IF(VLOOKUP(BO120,Fundamentus!A:U,15,FALSE)&lt;1,"Ruim","n/a"))</f>
        <v>Bom</v>
      </c>
      <c r="EX120" s="17" t="str">
        <f>IF(VLOOKUP(BO120,Fundamentus!A:U,20,FALSE)&lt;0.5,"Baixa",IF(VLOOKUP(BO120,Fundamentus!A:U,20,FALSE)&lt;1,"Moderada",IF(VLOOKUP(BO120,Fundamentus!A:U,20,FALSE)&lt;2,"Alerta",IF(VLOOKUP(BO120,Fundamentus!A:U,20,FALSE)&gt;2,"Alta","n/a"))))</f>
        <v>Moderada</v>
      </c>
      <c r="EY120" s="10"/>
    </row>
    <row r="121" spans="1:155" s="2" customFormat="1" ht="11.25"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5">
        <v>17.16</v>
      </c>
      <c r="BC121" s="52">
        <v>20.67</v>
      </c>
      <c r="BD121" s="52">
        <v>22.58</v>
      </c>
      <c r="BE121" s="52">
        <v>23.09</v>
      </c>
      <c r="BF121" s="52">
        <v>24.62</v>
      </c>
      <c r="BG121" s="67">
        <v>23.1</v>
      </c>
      <c r="BH121" s="52">
        <v>23.68</v>
      </c>
      <c r="BI121" s="52">
        <v>24.45</v>
      </c>
      <c r="BJ121" s="52">
        <v>24.28</v>
      </c>
      <c r="BK121" s="52">
        <v>22.85</v>
      </c>
      <c r="BL121" s="52">
        <v>22.48</v>
      </c>
      <c r="BM121" s="52">
        <v>21.24</v>
      </c>
      <c r="BN121" s="52" cm="1">
        <f t="array" aca="1" ref="BN121" ca="1">_FV(EB121,"Preço")</f>
        <v>21.24</v>
      </c>
      <c r="BO121" s="69" t="s">
        <v>64</v>
      </c>
      <c r="BP121" s="36" cm="1">
        <f t="array" aca="1" ref="BP121" ca="1">_FV(EB121,"Média de volume",TRUE)</f>
        <v>1809220</v>
      </c>
      <c r="BQ121" s="36">
        <v>1538200</v>
      </c>
      <c r="BR121" s="36" cm="1">
        <f t="array" aca="1" ref="BR121" ca="1">_FV(EB121,"Volume")</f>
        <v>1538200</v>
      </c>
      <c r="BS121" s="24" cm="1">
        <f t="array" aca="1" ref="BS121" ca="1">_FV(EB121,"Beta")</f>
        <v>1.5033000000000001</v>
      </c>
      <c r="BT121" s="71" cm="1">
        <f t="array" aca="1" ref="BT121" ca="1">_FV(EB121,"Variação (%)",TRUE)</f>
        <v>1.1429E-2</v>
      </c>
      <c r="BV121" s="17" cm="1">
        <f t="array" aca="1" ref="BV121" ca="1">_FV(EB121,"Baixo")</f>
        <v>20.77</v>
      </c>
      <c r="BW121" s="17" cm="1">
        <f t="array" aca="1" ref="BW121" ca="1">_FV(EB121,"Alto")</f>
        <v>21.3</v>
      </c>
      <c r="BX121" s="24"/>
      <c r="BY121" s="63">
        <f ca="1">SQRT(22.5*(BN121/VLOOKUP(BO121,Fundamentus!A:U,3,FALSE))*(BN121/VLOOKUP(BO121,Fundamentus!A:U,4,FALSE)))</f>
        <v>16.706086201629891</v>
      </c>
      <c r="CA121" s="62">
        <f t="shared" ca="1" si="112"/>
        <v>0</v>
      </c>
      <c r="CB121" s="8"/>
      <c r="CC121" s="61">
        <f t="shared" si="113"/>
        <v>10.62</v>
      </c>
      <c r="CD121" s="61">
        <f t="shared" si="114"/>
        <v>24.62</v>
      </c>
      <c r="CE121" s="61">
        <f t="shared" si="115"/>
        <v>15.208153846153847</v>
      </c>
      <c r="CF121" s="14"/>
      <c r="CG121" s="35">
        <f t="shared" si="98"/>
        <v>18.1724495392256</v>
      </c>
      <c r="CH121" s="15">
        <f t="shared" si="116"/>
        <v>20.339999999999236</v>
      </c>
      <c r="CI121" s="35">
        <f t="shared" si="99"/>
        <v>22.507550460772872</v>
      </c>
      <c r="CK121" s="14"/>
      <c r="CL121" s="17">
        <f t="shared" si="100"/>
        <v>-0.1400000000000059</v>
      </c>
      <c r="CM121" s="17">
        <f t="shared" si="101"/>
        <v>5.2399999999999967</v>
      </c>
      <c r="CN121" s="17">
        <f t="shared" si="102"/>
        <v>13.859999999999996</v>
      </c>
      <c r="CO121" s="38">
        <f t="shared" si="117"/>
        <v>19.239999999999998</v>
      </c>
      <c r="CP121" s="17">
        <f t="shared" si="103"/>
        <v>27.86</v>
      </c>
      <c r="CQ121" s="17">
        <f t="shared" si="104"/>
        <v>33.24</v>
      </c>
      <c r="CR121" s="17">
        <f t="shared" si="105"/>
        <v>41.86</v>
      </c>
      <c r="CS121" s="2" cm="1">
        <f t="array" aca="1" ref="CS121" ca="1">MAX(_xlfn._xlws.FILTER(CL121:CR121,CL121:CR121&lt;BN121))</f>
        <v>19.239999999999998</v>
      </c>
      <c r="CT121" s="2" cm="1">
        <f t="array" aca="1" ref="CT121" ca="1">MIN(_xlfn._xlws.FILTER($CL121:$CR121,$CL121:$CR121&gt;BN121))</f>
        <v>27.86</v>
      </c>
      <c r="CU121" s="16">
        <f t="shared" ca="1" si="136"/>
        <v>0.44802494802494808</v>
      </c>
      <c r="CV121" s="20">
        <f t="shared" ca="1" si="137"/>
        <v>-0.22401247401247404</v>
      </c>
      <c r="CW121" s="20">
        <f t="shared" ca="1" si="138"/>
        <v>-0.14934164934164937</v>
      </c>
      <c r="CX121" s="20">
        <f t="shared" ca="1" si="139"/>
        <v>-8.960498960498961E-2</v>
      </c>
      <c r="CY121" s="20">
        <f t="shared" ca="1" si="140"/>
        <v>-4.9780549780549785E-2</v>
      </c>
      <c r="CZ121" s="20">
        <f t="shared" ca="1" si="141"/>
        <v>-2.6354408707349886E-2</v>
      </c>
      <c r="DA121" s="20">
        <f t="shared" ca="1" si="142"/>
        <v>-1.3576513576513578E-2</v>
      </c>
      <c r="DB121" s="20">
        <f t="shared" ca="1" si="143"/>
        <v>-6.892691508076124E-3</v>
      </c>
      <c r="DC121" s="21">
        <f t="shared" ca="1" si="144"/>
        <v>6.892691508076124E-3</v>
      </c>
      <c r="DD121" s="21">
        <f t="shared" ca="1" si="145"/>
        <v>1.3576513576513578E-2</v>
      </c>
      <c r="DE121" s="21">
        <f t="shared" ca="1" si="146"/>
        <v>2.6354408707349886E-2</v>
      </c>
      <c r="DF121" s="21">
        <f t="shared" ca="1" si="147"/>
        <v>4.9780549780549785E-2</v>
      </c>
      <c r="DG121" s="21">
        <f t="shared" ca="1" si="148"/>
        <v>8.960498960498961E-2</v>
      </c>
      <c r="DH121" s="21">
        <f t="shared" ca="1" si="149"/>
        <v>0.14934164934164937</v>
      </c>
      <c r="DI121" s="21">
        <f t="shared" ca="1" si="150"/>
        <v>0.22401247401247404</v>
      </c>
      <c r="DK121" s="16" cm="1">
        <f t="array" aca="1" ref="DK121" ca="1">MAX(_xlfn._xlws.FILTER(CV121:DI121,CV121:DI121&lt;BT121))</f>
        <v>6.892691508076124E-3</v>
      </c>
      <c r="DL121" s="16" cm="1">
        <f t="array" aca="1" ref="DL121" ca="1">MIN(_xlfn._xlws.FILTER(CV121:DI121,CV121:DI121&gt;BT121))</f>
        <v>1.3576513576513578E-2</v>
      </c>
      <c r="DM121" s="2" cm="1">
        <f t="array" aca="1" ref="DM121" ca="1">_FV(EB121,"Fechamento anterior",TRUE)</f>
        <v>21</v>
      </c>
      <c r="DN121" s="28">
        <f t="shared" ca="1" si="106"/>
        <v>0.67863564799468923</v>
      </c>
      <c r="DO121" s="15">
        <f t="shared" ca="1" si="151"/>
        <v>21.1447465216696</v>
      </c>
      <c r="DP121" s="15">
        <f t="shared" ca="1" si="152"/>
        <v>21.285106785106784</v>
      </c>
      <c r="DQ121" s="9"/>
      <c r="DR121" s="9"/>
      <c r="DS121" s="9"/>
      <c r="DT121" s="89">
        <v>6.6838220684374543E-3</v>
      </c>
      <c r="DU121" s="89">
        <f t="shared" ca="1" si="107"/>
        <v>6.6838220684374543E-3</v>
      </c>
      <c r="DV121" s="72">
        <f t="shared" ca="1" si="108"/>
        <v>0.41521524702107132</v>
      </c>
      <c r="DW121" s="37"/>
      <c r="DX121" s="35">
        <f t="shared" si="118"/>
        <v>1.0837752303868187</v>
      </c>
      <c r="DY121" s="56"/>
      <c r="DZ121" s="56"/>
      <c r="EB121" s="2" t="e" vm="120">
        <v>#VALUE!</v>
      </c>
      <c r="ED121" s="10" cm="1">
        <f t="array" aca="1" ref="ED121" ca="1">_FV(EB121,"Ações em circulação",TRUE)</f>
        <v>122578100</v>
      </c>
      <c r="EE121" s="18">
        <f>VLOOKUP(BO121,Fundamentus!A:U,5,FALSE)</f>
        <v>0.79800000000000004</v>
      </c>
      <c r="EF121" s="2">
        <f t="shared" ca="1" si="109"/>
        <v>3262605067.6691728</v>
      </c>
      <c r="EG121" s="17">
        <v>165740337.43759397</v>
      </c>
      <c r="EH121" s="17">
        <f t="shared" ca="1" si="110"/>
        <v>165740337.43759397</v>
      </c>
      <c r="EJ121" s="16">
        <f t="shared" ca="1" si="97"/>
        <v>0</v>
      </c>
      <c r="EK121" s="32" t="str">
        <f>IF(VLOOKUP(BO121,Fundamentus!A:U,3,FALSE)&lt;15,"Bom",IF(VLOOKUP(BO121,Fundamentus!A:U,3,FALSE)&gt;15,"Ruim","n/a"))</f>
        <v>Bom</v>
      </c>
      <c r="EL121" s="28" t="str">
        <f>IF(VLOOKUP(BO121,Fundamentus!A:U,4,FALSE)&lt;1,"Baixo",IF(VLOOKUP(BO121,Fundamentus!A:U,4,FALSE)&lt;1.5,"Moderado",IF(VLOOKUP(BO121,Fundamentus!A:U,4,FALSE)&gt;1.5,"Alto","n/a")))</f>
        <v>Alto</v>
      </c>
      <c r="EM121" s="17" t="str">
        <f>IF(VLOOKUP(BO121,Fundamentus!A:U,8,FALSE)&lt;0,"Risco elevado",IF(VLOOKUP(BO121,Fundamentus!A:U,8,FALSE)&lt;1,"Saudável",IF(VLOOKUP(BO121,Fundamentus!A:U,8,FALSE)&lt;3,"Estável",IF(VLOOKUP(BO121,Fundamentus!A:U,8,FALSE)&gt;3,"Alerta","n/a"))))</f>
        <v>Estável</v>
      </c>
      <c r="EN121" s="28" t="str">
        <f t="shared" si="111"/>
        <v>Ruim</v>
      </c>
      <c r="EO121" s="17" t="str">
        <f>IF(VLOOKUP(BO121,Fundamentus!A:U,12,FALSE)&lt;2,"Subvalorizada",IF(VLOOKUP(BO121,Fundamentus!A:U,12,FALSE)&lt;6,"Muita barata",IF(VLOOKUP(BO121,Fundamentus!A:U,12,FALSE)&lt;6,"Barata",IF(VLOOKUP(BO121,Fundamentus!A:U,12,FALSE)&lt;8,"Atrativa",IF(VLOOKUP(BO121,Fundamentus!A:U,12,FALSE)&gt;8,"Supervalorizada","n/a")))))</f>
        <v>Atrativa</v>
      </c>
      <c r="EQ121" s="17" t="str">
        <f>IF(VLOOKUP(BO121,Fundamentus!A:U,17,FALSE)&lt;0.1,"Fraco retorno",IF(VLOOKUP(BO121,Fundamentus!A:U,17,FALSE)&gt;0.1,"Bom retorno","n/a"))</f>
        <v>Bom retorno</v>
      </c>
      <c r="ER121" s="17" t="str">
        <f>IF(VLOOKUP(BO121,Fundamentus!A:U,16,FALSE)&lt;0.1,"Ineficiente",IF(VLOOKUP(BO121,Fundamentus!A:U,16,FALSE)&gt;0.1,"Eficiente","n/a"))</f>
        <v>Eficiente</v>
      </c>
      <c r="ES121" s="33" t="str">
        <f>IF(VLOOKUP(BO121,Fundamentus!A:U,16,FALSE)&lt;0.1,"Oper. Ineficiente",IF(VLOOKUP(BO121,Fundamentus!A:U,16,FALSE)&gt;0.1,"Oper.Eficiente","n/a"))</f>
        <v>Oper.Eficiente</v>
      </c>
      <c r="ET121" s="34">
        <f>VLOOKUP(BO121,Fundamentus!A:U,14,FALSE)</f>
        <v>5.0799999999999998E-2</v>
      </c>
      <c r="EU121" s="17" t="str">
        <f>IF(VLOOKUP(BO121,Fundamentus!A:U,21,FALSE)&lt;0,"Negativo",IF(VLOOKUP(BO121,Fundamentus!A:U,21,FALSE)&lt;0.05,"Fraco",IF(VLOOKUP(BO121,Fundamentus!A:U,21,FALSE)&lt;0.1,"Bom",IF(VLOOKUP(BO121,Fundamentus!A:U,21,FALSE)&gt;0.1,"Muito bom","n/a"))))</f>
        <v>Bom</v>
      </c>
      <c r="EW121" s="29" t="str">
        <f>IF(VLOOKUP(BO121,Fundamentus!A:U,15,FALSE)&gt;1,"Bom",IF(VLOOKUP(BO121,Fundamentus!A:U,15,FALSE)&lt;1,"Ruim","n/a"))</f>
        <v>Bom</v>
      </c>
      <c r="EX121" s="17" t="str">
        <f>IF(VLOOKUP(BO121,Fundamentus!A:U,20,FALSE)&lt;0.5,"Baixa",IF(VLOOKUP(BO121,Fundamentus!A:U,20,FALSE)&lt;1,"Moderada",IF(VLOOKUP(BO121,Fundamentus!A:U,20,FALSE)&lt;2,"Alerta",IF(VLOOKUP(BO121,Fundamentus!A:U,20,FALSE)&gt;2,"Alta","n/a"))))</f>
        <v>Moderada</v>
      </c>
    </row>
    <row r="122" spans="1:155" s="2" customFormat="1" ht="11.25"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5">
        <v>43.42</v>
      </c>
      <c r="BC122" s="52">
        <v>41.79</v>
      </c>
      <c r="BD122" s="52">
        <v>41.7</v>
      </c>
      <c r="BE122" s="52">
        <v>41.96</v>
      </c>
      <c r="BF122" s="52">
        <v>41.31</v>
      </c>
      <c r="BG122" s="67">
        <v>41.3</v>
      </c>
      <c r="BH122" s="52">
        <v>40.049999999999997</v>
      </c>
      <c r="BI122" s="52">
        <v>39.700000000000003</v>
      </c>
      <c r="BJ122" s="52">
        <v>40.96</v>
      </c>
      <c r="BK122" s="52">
        <v>39.31</v>
      </c>
      <c r="BL122" s="52">
        <v>38.96</v>
      </c>
      <c r="BM122" s="52">
        <v>38.14</v>
      </c>
      <c r="BN122" s="52" cm="1">
        <f t="array" aca="1" ref="BN122" ca="1">_FV(EB122,"Preço")</f>
        <v>38.14</v>
      </c>
      <c r="BO122" s="69" t="s">
        <v>118</v>
      </c>
      <c r="BP122" s="36" cm="1">
        <f t="array" aca="1" ref="BP122" ca="1">_FV(EB122,"Média de volume",TRUE)</f>
        <v>929080</v>
      </c>
      <c r="BQ122" s="36">
        <v>4595900</v>
      </c>
      <c r="BR122" s="36" cm="1">
        <f t="array" aca="1" ref="BR122" ca="1">_FV(EB122,"Volume")</f>
        <v>4595900</v>
      </c>
      <c r="BS122" s="24" cm="1">
        <f t="array" aca="1" ref="BS122" ca="1">_FV(EB122,"Beta")</f>
        <v>0.81359999999999999</v>
      </c>
      <c r="BT122" s="71" cm="1">
        <f t="array" aca="1" ref="BT122" ca="1">_FV(EB122,"Variação (%)",TRUE)</f>
        <v>-8.0619999999999997E-3</v>
      </c>
      <c r="BV122" s="17" cm="1">
        <f t="array" aca="1" ref="BV122" ca="1">_FV(EB122,"Baixo")</f>
        <v>37.909999999999997</v>
      </c>
      <c r="BW122" s="17" cm="1">
        <f t="array" aca="1" ref="BW122" ca="1">_FV(EB122,"Alto")</f>
        <v>38.61</v>
      </c>
      <c r="BX122" s="24"/>
      <c r="BY122" s="63">
        <f ca="1">SQRT(22.5*(BN122/VLOOKUP(BO122,Fundamentus!A:U,3,FALSE))*(BN122/VLOOKUP(BO122,Fundamentus!A:U,4,FALSE)))</f>
        <v>69.223768349720302</v>
      </c>
      <c r="CA122" s="62">
        <f t="shared" ca="1" si="112"/>
        <v>0</v>
      </c>
      <c r="CB122" s="8"/>
      <c r="CC122" s="61">
        <f t="shared" si="113"/>
        <v>33.549999999999997</v>
      </c>
      <c r="CD122" s="61">
        <f t="shared" si="114"/>
        <v>43.95</v>
      </c>
      <c r="CE122" s="61">
        <f t="shared" si="115"/>
        <v>38.487692307692313</v>
      </c>
      <c r="CF122" s="14"/>
      <c r="CG122" s="35">
        <f t="shared" si="98"/>
        <v>35.088250746314586</v>
      </c>
      <c r="CH122" s="15">
        <f t="shared" si="116"/>
        <v>37.140000000000327</v>
      </c>
      <c r="CI122" s="35">
        <f t="shared" si="99"/>
        <v>39.191749253686069</v>
      </c>
      <c r="CK122" s="14"/>
      <c r="CL122" s="17">
        <f t="shared" si="100"/>
        <v>23.289999999999992</v>
      </c>
      <c r="CM122" s="17">
        <f t="shared" si="101"/>
        <v>28.419999999999995</v>
      </c>
      <c r="CN122" s="17">
        <f t="shared" si="102"/>
        <v>33.69</v>
      </c>
      <c r="CO122" s="38">
        <f t="shared" si="117"/>
        <v>38.82</v>
      </c>
      <c r="CP122" s="17">
        <f t="shared" si="103"/>
        <v>44.09</v>
      </c>
      <c r="CQ122" s="17">
        <f t="shared" si="104"/>
        <v>49.220000000000006</v>
      </c>
      <c r="CR122" s="17">
        <f t="shared" si="105"/>
        <v>54.490000000000009</v>
      </c>
      <c r="CS122" s="2" cm="1">
        <f t="array" aca="1" ref="CS122" ca="1">MAX(_xlfn._xlws.FILTER(CL122:CR122,CL122:CR122&lt;BN122))</f>
        <v>33.69</v>
      </c>
      <c r="CT122" s="2" cm="1">
        <f t="array" aca="1" ref="CT122" ca="1">MIN(_xlfn._xlws.FILTER($CL122:$CR122,$CL122:$CR122&gt;BN122))</f>
        <v>38.82</v>
      </c>
      <c r="CU122" s="16">
        <f t="shared" ca="1" si="136"/>
        <v>0.15227070347284077</v>
      </c>
      <c r="CV122" s="20">
        <f t="shared" ca="1" si="137"/>
        <v>-7.6135351736420387E-2</v>
      </c>
      <c r="CW122" s="20">
        <f t="shared" ca="1" si="138"/>
        <v>-5.0756901157613589E-2</v>
      </c>
      <c r="CX122" s="20">
        <f t="shared" ca="1" si="139"/>
        <v>-3.0454140694568154E-2</v>
      </c>
      <c r="CY122" s="20">
        <f t="shared" ca="1" si="140"/>
        <v>-1.6918967052537863E-2</v>
      </c>
      <c r="CZ122" s="20">
        <f t="shared" ca="1" si="141"/>
        <v>-8.9571002042847514E-3</v>
      </c>
      <c r="DA122" s="20">
        <f t="shared" ca="1" si="142"/>
        <v>-4.6142637416012357E-3</v>
      </c>
      <c r="DB122" s="20">
        <f t="shared" ca="1" si="143"/>
        <v>-2.3426262072744736E-3</v>
      </c>
      <c r="DC122" s="21">
        <f t="shared" ca="1" si="144"/>
        <v>2.3426262072744736E-3</v>
      </c>
      <c r="DD122" s="21">
        <f t="shared" ca="1" si="145"/>
        <v>4.6142637416012357E-3</v>
      </c>
      <c r="DE122" s="21">
        <f t="shared" ca="1" si="146"/>
        <v>8.9571002042847514E-3</v>
      </c>
      <c r="DF122" s="21">
        <f t="shared" ca="1" si="147"/>
        <v>1.6918967052537863E-2</v>
      </c>
      <c r="DG122" s="21">
        <f t="shared" ca="1" si="148"/>
        <v>3.0454140694568154E-2</v>
      </c>
      <c r="DH122" s="21">
        <f t="shared" ca="1" si="149"/>
        <v>5.0756901157613589E-2</v>
      </c>
      <c r="DI122" s="21">
        <f t="shared" ca="1" si="150"/>
        <v>7.6135351736420387E-2</v>
      </c>
      <c r="DK122" s="16" cm="1">
        <f t="array" aca="1" ref="DK122" ca="1">MAX(_xlfn._xlws.FILTER(CV122:DI122,CV122:DI122&lt;BT122))</f>
        <v>-8.9571002042847514E-3</v>
      </c>
      <c r="DL122" s="16" cm="1">
        <f t="array" aca="1" ref="DL122" ca="1">MIN(_xlfn._xlws.FILTER(CV122:DI122,CV122:DI122&gt;BT122))</f>
        <v>-4.6142637416012357E-3</v>
      </c>
      <c r="DM122" s="2" cm="1">
        <f t="array" aca="1" ref="DM122" ca="1">_FV(EB122,"Fechamento anterior",TRUE)</f>
        <v>38.450000000000003</v>
      </c>
      <c r="DN122" s="28">
        <f t="shared" ca="1" si="106"/>
        <v>0.20601316359818472</v>
      </c>
      <c r="DO122" s="15">
        <f t="shared" ca="1" si="151"/>
        <v>38.105599497145256</v>
      </c>
      <c r="DP122" s="15">
        <f t="shared" ca="1" si="152"/>
        <v>38.272581559135432</v>
      </c>
      <c r="DQ122" s="9"/>
      <c r="DR122" s="9"/>
      <c r="DS122" s="9"/>
      <c r="DT122" s="89">
        <v>4.3428364626835157E-3</v>
      </c>
      <c r="DU122" s="89">
        <f t="shared" ca="1" si="107"/>
        <v>4.3428364626835157E-3</v>
      </c>
      <c r="DV122" s="72">
        <f t="shared" ca="1" si="108"/>
        <v>0.48738899171196637</v>
      </c>
      <c r="DW122" s="37"/>
      <c r="DX122" s="35">
        <f t="shared" si="118"/>
        <v>1.0258746268428711</v>
      </c>
      <c r="DY122" s="56"/>
      <c r="DZ122" s="56"/>
      <c r="EB122" s="2" t="e" vm="121">
        <v>#VALUE!</v>
      </c>
      <c r="ED122" s="10" cm="1">
        <f t="array" aca="1" ref="ED122" ca="1">_FV(EB122,"Ações em circulação",TRUE)</f>
        <v>2307100000</v>
      </c>
      <c r="EE122" s="18">
        <f>VLOOKUP(BO122,Fundamentus!A:U,5,FALSE)</f>
        <v>2.1379999999999999</v>
      </c>
      <c r="EF122" s="2">
        <f t="shared" ca="1" si="109"/>
        <v>41156592142.188965</v>
      </c>
      <c r="EG122" s="17">
        <v>9527751080.9167461</v>
      </c>
      <c r="EH122" s="17">
        <f t="shared" ca="1" si="110"/>
        <v>9527751080.9167461</v>
      </c>
      <c r="EJ122" s="16">
        <f t="shared" ca="1" si="97"/>
        <v>0</v>
      </c>
      <c r="EK122" s="32" t="str">
        <f>IF(VLOOKUP(BO122,Fundamentus!A:U,3,FALSE)&lt;15,"Bom",IF(VLOOKUP(BO122,Fundamentus!A:U,3,FALSE)&gt;15,"Ruim","n/a"))</f>
        <v>Bom</v>
      </c>
      <c r="EL122" s="28" t="str">
        <f>IF(VLOOKUP(BO122,Fundamentus!A:U,4,FALSE)&lt;1,"Baixo",IF(VLOOKUP(BO122,Fundamentus!A:U,4,FALSE)&lt;1.5,"Moderado",IF(VLOOKUP(BO122,Fundamentus!A:U,4,FALSE)&gt;1.5,"Alto","n/a")))</f>
        <v>Baixo</v>
      </c>
      <c r="EM122" s="17" t="str">
        <f>IF(VLOOKUP(BO122,Fundamentus!A:U,8,FALSE)&lt;0,"Risco elevado",IF(VLOOKUP(BO122,Fundamentus!A:U,8,FALSE)&lt;1,"Saudável",IF(VLOOKUP(BO122,Fundamentus!A:U,8,FALSE)&lt;3,"Estável",IF(VLOOKUP(BO122,Fundamentus!A:U,8,FALSE)&gt;3,"Alerta","n/a"))))</f>
        <v>Estável</v>
      </c>
      <c r="EN122" s="28" t="str">
        <f t="shared" si="111"/>
        <v>Bom</v>
      </c>
      <c r="EO122" s="17" t="str">
        <f>IF(VLOOKUP(BO122,Fundamentus!A:U,12,FALSE)&lt;2,"Subvalorizada",IF(VLOOKUP(BO122,Fundamentus!A:U,12,FALSE)&lt;6,"Muita barata",IF(VLOOKUP(BO122,Fundamentus!A:U,12,FALSE)&lt;6,"Barata",IF(VLOOKUP(BO122,Fundamentus!A:U,12,FALSE)&lt;8,"Atrativa",IF(VLOOKUP(BO122,Fundamentus!A:U,12,FALSE)&gt;8,"Supervalorizada","n/a")))))</f>
        <v>Atrativa</v>
      </c>
      <c r="EQ122" s="17" t="str">
        <f>IF(VLOOKUP(BO122,Fundamentus!A:U,17,FALSE)&lt;0.1,"Fraco retorno",IF(VLOOKUP(BO122,Fundamentus!A:U,17,FALSE)&gt;0.1,"Bom retorno","n/a"))</f>
        <v>Fraco retorno</v>
      </c>
      <c r="ER122" s="17" t="str">
        <f>IF(VLOOKUP(BO122,Fundamentus!A:U,16,FALSE)&lt;0.1,"Ineficiente",IF(VLOOKUP(BO122,Fundamentus!A:U,16,FALSE)&gt;0.1,"Eficiente","n/a"))</f>
        <v>Ineficiente</v>
      </c>
      <c r="ES122" s="33" t="str">
        <f>IF(VLOOKUP(BO122,Fundamentus!A:U,16,FALSE)&lt;0.1,"Oper. Ineficiente",IF(VLOOKUP(BO122,Fundamentus!A:U,16,FALSE)&gt;0.1,"Oper.Eficiente","n/a"))</f>
        <v>Oper. Ineficiente</v>
      </c>
      <c r="ET122" s="34">
        <f>VLOOKUP(BO122,Fundamentus!A:U,14,FALSE)</f>
        <v>0.23150000000000001</v>
      </c>
      <c r="EU122" s="17" t="str">
        <f>IF(VLOOKUP(BO122,Fundamentus!A:U,21,FALSE)&lt;0,"Negativo",IF(VLOOKUP(BO122,Fundamentus!A:U,21,FALSE)&lt;0.05,"Fraco",IF(VLOOKUP(BO122,Fundamentus!A:U,21,FALSE)&lt;0.1,"Bom",IF(VLOOKUP(BO122,Fundamentus!A:U,21,FALSE)&gt;0.1,"Muito bom","n/a"))))</f>
        <v>Bom</v>
      </c>
      <c r="EW122" s="29" t="str">
        <f>IF(VLOOKUP(BO122,Fundamentus!A:U,15,FALSE)&gt;1,"Bom",IF(VLOOKUP(BO122,Fundamentus!A:U,15,FALSE)&lt;1,"Ruim","n/a"))</f>
        <v>Bom</v>
      </c>
      <c r="EX122" s="17" t="str">
        <f>IF(VLOOKUP(BO122,Fundamentus!A:U,20,FALSE)&lt;0.5,"Baixa",IF(VLOOKUP(BO122,Fundamentus!A:U,20,FALSE)&lt;1,"Moderada",IF(VLOOKUP(BO122,Fundamentus!A:U,20,FALSE)&lt;2,"Alerta",IF(VLOOKUP(BO122,Fundamentus!A:U,20,FALSE)&gt;2,"Alta","n/a"))))</f>
        <v>Moderada</v>
      </c>
      <c r="EY122" s="10"/>
    </row>
    <row r="123" spans="1:155" s="2" customFormat="1" ht="11.25"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5">
        <v>6</v>
      </c>
      <c r="BC123" s="52">
        <v>6.93</v>
      </c>
      <c r="BD123" s="52">
        <v>7.06</v>
      </c>
      <c r="BE123" s="52">
        <v>7.19</v>
      </c>
      <c r="BF123" s="52">
        <v>7.39</v>
      </c>
      <c r="BG123" s="67">
        <v>7.65</v>
      </c>
      <c r="BH123" s="52">
        <v>7.89</v>
      </c>
      <c r="BI123" s="52">
        <v>7.72</v>
      </c>
      <c r="BJ123" s="52">
        <v>7.78</v>
      </c>
      <c r="BK123" s="52">
        <v>7.71</v>
      </c>
      <c r="BL123" s="52">
        <v>7.37</v>
      </c>
      <c r="BM123" s="52">
        <v>7.27</v>
      </c>
      <c r="BN123" s="52" cm="1">
        <f t="array" aca="1" ref="BN123" ca="1">_FV(EB123,"Preço")</f>
        <v>7.27</v>
      </c>
      <c r="BO123" s="69" t="s">
        <v>119</v>
      </c>
      <c r="BP123" s="36" cm="1">
        <f t="array" aca="1" ref="BP123" ca="1">_FV(EB123,"Média de volume",TRUE)</f>
        <v>322160</v>
      </c>
      <c r="BQ123" s="36">
        <v>185500</v>
      </c>
      <c r="BR123" s="36" cm="1">
        <f t="array" aca="1" ref="BR123" ca="1">_FV(EB123,"Volume")</f>
        <v>185500</v>
      </c>
      <c r="BS123" s="24" cm="1">
        <f t="array" aca="1" ref="BS123" ca="1">_FV(EB123,"Beta")</f>
        <v>1.1220000000000001</v>
      </c>
      <c r="BT123" s="71" cm="1">
        <f t="array" aca="1" ref="BT123" ca="1">_FV(EB123,"Variação (%)",TRUE)</f>
        <v>1.2535000000000001E-2</v>
      </c>
      <c r="BV123" s="17" cm="1">
        <f t="array" aca="1" ref="BV123" ca="1">_FV(EB123,"Baixo")</f>
        <v>7.15</v>
      </c>
      <c r="BW123" s="17" cm="1">
        <f t="array" aca="1" ref="BW123" ca="1">_FV(EB123,"Alto")</f>
        <v>7.28</v>
      </c>
      <c r="BX123" s="24"/>
      <c r="BY123" s="63">
        <f ca="1">SQRT(22.5*(BN123/VLOOKUP(BO123,Fundamentus!A:U,3,FALSE))*(BN123/VLOOKUP(BO123,Fundamentus!A:U,4,FALSE)))</f>
        <v>9.5014506678499711</v>
      </c>
      <c r="CA123" s="62">
        <f t="shared" ca="1" si="112"/>
        <v>0</v>
      </c>
      <c r="CB123" s="8"/>
      <c r="CC123" s="61">
        <f t="shared" si="113"/>
        <v>5.17</v>
      </c>
      <c r="CD123" s="61">
        <f t="shared" si="114"/>
        <v>7.89</v>
      </c>
      <c r="CE123" s="61">
        <f t="shared" si="115"/>
        <v>6.2037692307692298</v>
      </c>
      <c r="CF123" s="14"/>
      <c r="CG123" s="35">
        <f t="shared" si="98"/>
        <v>6.6313238535497332</v>
      </c>
      <c r="CH123" s="15">
        <f t="shared" si="116"/>
        <v>7.0650000000000546</v>
      </c>
      <c r="CI123" s="35">
        <f t="shared" si="99"/>
        <v>7.4986761464503759</v>
      </c>
      <c r="CK123" s="14"/>
      <c r="CL123" s="17">
        <f t="shared" si="100"/>
        <v>3.01</v>
      </c>
      <c r="CM123" s="17">
        <f t="shared" si="101"/>
        <v>4.09</v>
      </c>
      <c r="CN123" s="17">
        <f t="shared" si="102"/>
        <v>5.7299999999999995</v>
      </c>
      <c r="CO123" s="38">
        <f t="shared" si="117"/>
        <v>6.81</v>
      </c>
      <c r="CP123" s="17">
        <f t="shared" si="103"/>
        <v>8.4499999999999993</v>
      </c>
      <c r="CQ123" s="17">
        <f t="shared" si="104"/>
        <v>9.5299999999999994</v>
      </c>
      <c r="CR123" s="17">
        <f t="shared" si="105"/>
        <v>11.169999999999998</v>
      </c>
      <c r="CS123" s="2" cm="1">
        <f t="array" aca="1" ref="CS123" ca="1">MAX(_xlfn._xlws.FILTER(CL123:CR123,CL123:CR123&lt;BN123))</f>
        <v>6.81</v>
      </c>
      <c r="CT123" s="2" cm="1">
        <f t="array" aca="1" ref="CT123" ca="1">MIN(_xlfn._xlws.FILTER($CL123:$CR123,$CL123:$CR123&gt;BN123))</f>
        <v>8.4499999999999993</v>
      </c>
      <c r="CU123" s="16">
        <f t="shared" ca="1" si="136"/>
        <v>0.24082232011747418</v>
      </c>
      <c r="CV123" s="20">
        <f t="shared" ca="1" si="137"/>
        <v>-0.12041116005873709</v>
      </c>
      <c r="CW123" s="20">
        <f t="shared" ca="1" si="138"/>
        <v>-8.027410670582473E-2</v>
      </c>
      <c r="CX123" s="20">
        <f t="shared" ca="1" si="139"/>
        <v>-4.8164464023494835E-2</v>
      </c>
      <c r="CY123" s="20">
        <f t="shared" ca="1" si="140"/>
        <v>-2.6758035568608243E-2</v>
      </c>
      <c r="CZ123" s="20">
        <f t="shared" ca="1" si="141"/>
        <v>-1.4166018830439657E-2</v>
      </c>
      <c r="DA123" s="20">
        <f t="shared" ca="1" si="142"/>
        <v>-7.2976460641658841E-3</v>
      </c>
      <c r="DB123" s="20">
        <f t="shared" ca="1" si="143"/>
        <v>-3.7049587710380641E-3</v>
      </c>
      <c r="DC123" s="21">
        <f t="shared" ca="1" si="144"/>
        <v>3.7049587710380641E-3</v>
      </c>
      <c r="DD123" s="21">
        <f t="shared" ca="1" si="145"/>
        <v>7.2976460641658841E-3</v>
      </c>
      <c r="DE123" s="21">
        <f t="shared" ca="1" si="146"/>
        <v>1.4166018830439657E-2</v>
      </c>
      <c r="DF123" s="21">
        <f t="shared" ca="1" si="147"/>
        <v>2.6758035568608243E-2</v>
      </c>
      <c r="DG123" s="21">
        <f t="shared" ca="1" si="148"/>
        <v>4.8164464023494835E-2</v>
      </c>
      <c r="DH123" s="21">
        <f t="shared" ca="1" si="149"/>
        <v>8.027410670582473E-2</v>
      </c>
      <c r="DI123" s="21">
        <f t="shared" ca="1" si="150"/>
        <v>0.12041116005873709</v>
      </c>
      <c r="DK123" s="16" cm="1">
        <f t="array" aca="1" ref="DK123" ca="1">MAX(_xlfn._xlws.FILTER(CV123:DI123,CV123:DI123&lt;BT123))</f>
        <v>7.2976460641658841E-3</v>
      </c>
      <c r="DL123" s="16" cm="1">
        <f t="array" aca="1" ref="DL123" ca="1">MIN(_xlfn._xlws.FILTER(CV123:DI123,CV123:DI123&gt;BT123))</f>
        <v>1.4166018830439657E-2</v>
      </c>
      <c r="DM123" s="2" cm="1">
        <f t="array" aca="1" ref="DM123" ca="1">_FV(EB123,"Fechamento anterior",TRUE)</f>
        <v>7.18</v>
      </c>
      <c r="DN123" s="28">
        <f t="shared" ca="1" si="106"/>
        <v>0.76250562623140372</v>
      </c>
      <c r="DO123" s="15">
        <f t="shared" ca="1" si="151"/>
        <v>7.2323970987407105</v>
      </c>
      <c r="DP123" s="15">
        <f t="shared" ca="1" si="152"/>
        <v>7.2817120152025563</v>
      </c>
      <c r="DQ123" s="9"/>
      <c r="DR123" s="9"/>
      <c r="DS123" s="9"/>
      <c r="DT123" s="89">
        <v>6.8683727662737729E-3</v>
      </c>
      <c r="DU123" s="89">
        <f t="shared" ca="1" si="107"/>
        <v>6.8683727662737729E-3</v>
      </c>
      <c r="DV123" s="72">
        <f t="shared" ca="1" si="108"/>
        <v>0.47270296436151404</v>
      </c>
      <c r="DW123" s="37"/>
      <c r="DX123" s="35">
        <f t="shared" si="118"/>
        <v>0.21683807322516052</v>
      </c>
      <c r="DY123" s="56"/>
      <c r="DZ123" s="56"/>
      <c r="EB123" s="2" t="e" vm="122">
        <v>#VALUE!</v>
      </c>
      <c r="ED123" s="10" cm="1">
        <f t="array" aca="1" ref="ED123" ca="1">_FV(EB123,"Ações em circulação",TRUE)</f>
        <v>159907300</v>
      </c>
      <c r="EE123" s="18">
        <f>VLOOKUP(BO123,Fundamentus!A:U,5,FALSE)</f>
        <v>0.88100000000000001</v>
      </c>
      <c r="EF123" s="2">
        <f t="shared" ca="1" si="109"/>
        <v>1319552861.520999</v>
      </c>
      <c r="EG123" s="17">
        <v>316956597.33734393</v>
      </c>
      <c r="EH123" s="17">
        <f t="shared" ca="1" si="110"/>
        <v>316956597.33734393</v>
      </c>
      <c r="EJ123" s="16">
        <f t="shared" ca="1" si="97"/>
        <v>0</v>
      </c>
      <c r="EK123" s="32" t="str">
        <f>IF(VLOOKUP(BO123,Fundamentus!A:U,3,FALSE)&lt;15,"Bom",IF(VLOOKUP(BO123,Fundamentus!A:U,3,FALSE)&gt;15,"Ruim","n/a"))</f>
        <v>Bom</v>
      </c>
      <c r="EL123" s="28" t="str">
        <f>IF(VLOOKUP(BO123,Fundamentus!A:U,4,FALSE)&lt;1,"Baixo",IF(VLOOKUP(BO123,Fundamentus!A:U,4,FALSE)&lt;1.5,"Moderado",IF(VLOOKUP(BO123,Fundamentus!A:U,4,FALSE)&gt;1.5,"Alto","n/a")))</f>
        <v>Alto</v>
      </c>
      <c r="EM123" s="17" t="str">
        <f>IF(VLOOKUP(BO123,Fundamentus!A:U,8,FALSE)&lt;0,"Risco elevado",IF(VLOOKUP(BO123,Fundamentus!A:U,8,FALSE)&lt;1,"Saudável",IF(VLOOKUP(BO123,Fundamentus!A:U,8,FALSE)&lt;3,"Estável",IF(VLOOKUP(BO123,Fundamentus!A:U,8,FALSE)&gt;3,"Alerta","n/a"))))</f>
        <v>Alerta</v>
      </c>
      <c r="EN123" s="28" t="str">
        <f t="shared" si="111"/>
        <v>Ruim</v>
      </c>
      <c r="EO123" s="17" t="str">
        <f>IF(VLOOKUP(BO123,Fundamentus!A:U,12,FALSE)&lt;2,"Subvalorizada",IF(VLOOKUP(BO123,Fundamentus!A:U,12,FALSE)&lt;6,"Muita barata",IF(VLOOKUP(BO123,Fundamentus!A:U,12,FALSE)&lt;6,"Barata",IF(VLOOKUP(BO123,Fundamentus!A:U,12,FALSE)&lt;8,"Atrativa",IF(VLOOKUP(BO123,Fundamentus!A:U,12,FALSE)&gt;8,"Supervalorizada","n/a")))))</f>
        <v>Subvalorizada</v>
      </c>
      <c r="EQ123" s="17" t="str">
        <f>IF(VLOOKUP(BO123,Fundamentus!A:U,17,FALSE)&lt;0.1,"Fraco retorno",IF(VLOOKUP(BO123,Fundamentus!A:U,17,FALSE)&gt;0.1,"Bom retorno","n/a"))</f>
        <v>Bom retorno</v>
      </c>
      <c r="ER123" s="17" t="str">
        <f>IF(VLOOKUP(BO123,Fundamentus!A:U,16,FALSE)&lt;0.1,"Ineficiente",IF(VLOOKUP(BO123,Fundamentus!A:U,16,FALSE)&gt;0.1,"Eficiente","n/a"))</f>
        <v>Eficiente</v>
      </c>
      <c r="ES123" s="33" t="str">
        <f>IF(VLOOKUP(BO123,Fundamentus!A:U,16,FALSE)&lt;0.1,"Oper. Ineficiente",IF(VLOOKUP(BO123,Fundamentus!A:U,16,FALSE)&gt;0.1,"Oper.Eficiente","n/a"))</f>
        <v>Oper.Eficiente</v>
      </c>
      <c r="ET123" s="34">
        <f>VLOOKUP(BO123,Fundamentus!A:U,14,FALSE)</f>
        <v>0.2402</v>
      </c>
      <c r="EU123" s="17" t="str">
        <f>IF(VLOOKUP(BO123,Fundamentus!A:U,21,FALSE)&lt;0,"Negativo",IF(VLOOKUP(BO123,Fundamentus!A:U,21,FALSE)&lt;0.05,"Fraco",IF(VLOOKUP(BO123,Fundamentus!A:U,21,FALSE)&lt;0.1,"Bom",IF(VLOOKUP(BO123,Fundamentus!A:U,21,FALSE)&gt;0.1,"Muito bom","n/a"))))</f>
        <v>Muito bom</v>
      </c>
      <c r="EW123" s="29" t="str">
        <f>IF(VLOOKUP(BO123,Fundamentus!A:U,15,FALSE)&gt;1,"Bom",IF(VLOOKUP(BO123,Fundamentus!A:U,15,FALSE)&lt;1,"Ruim","n/a"))</f>
        <v>Bom</v>
      </c>
      <c r="EX123" s="17" t="str">
        <f>IF(VLOOKUP(BO123,Fundamentus!A:U,20,FALSE)&lt;0.5,"Baixa",IF(VLOOKUP(BO123,Fundamentus!A:U,20,FALSE)&lt;1,"Moderada",IF(VLOOKUP(BO123,Fundamentus!A:U,20,FALSE)&lt;2,"Alerta",IF(VLOOKUP(BO123,Fundamentus!A:U,20,FALSE)&gt;2,"Alta","n/a"))))</f>
        <v>Moderada</v>
      </c>
      <c r="EY123" s="10">
        <v>3</v>
      </c>
    </row>
    <row r="124" spans="1:155" s="2" customFormat="1" ht="11.25"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5">
        <v>6.12</v>
      </c>
      <c r="BC124" s="52">
        <v>6.15</v>
      </c>
      <c r="BD124" s="52">
        <v>6.4</v>
      </c>
      <c r="BE124" s="52">
        <v>6.51</v>
      </c>
      <c r="BF124" s="52">
        <v>6.57</v>
      </c>
      <c r="BG124" s="67">
        <v>7.06</v>
      </c>
      <c r="BH124" s="52">
        <v>7.29</v>
      </c>
      <c r="BI124" s="52">
        <v>7.5</v>
      </c>
      <c r="BJ124" s="52">
        <v>7.41</v>
      </c>
      <c r="BK124" s="52">
        <v>7.23</v>
      </c>
      <c r="BL124" s="52">
        <v>6.98</v>
      </c>
      <c r="BM124" s="52">
        <v>6.69</v>
      </c>
      <c r="BN124" s="52" cm="1">
        <f t="array" aca="1" ref="BN124" ca="1">_FV(EB124,"Preço")</f>
        <v>6.69</v>
      </c>
      <c r="BO124" s="69" t="s">
        <v>86</v>
      </c>
      <c r="BP124" s="36" cm="1">
        <f t="array" aca="1" ref="BP124" ca="1">_FV(EB124,"Média de volume",TRUE)</f>
        <v>950110</v>
      </c>
      <c r="BQ124" s="36">
        <v>732900</v>
      </c>
      <c r="BR124" s="36" cm="1">
        <f t="array" aca="1" ref="BR124" ca="1">_FV(EB124,"Volume")</f>
        <v>732900</v>
      </c>
      <c r="BS124" s="24" cm="1">
        <f t="array" aca="1" ref="BS124" ca="1">_FV(EB124,"Beta")</f>
        <v>0.63619999999999999</v>
      </c>
      <c r="BT124" s="71" cm="1">
        <f t="array" aca="1" ref="BT124" ca="1">_FV(EB124,"Variação (%)",TRUE)</f>
        <v>-1.4728000000000002E-2</v>
      </c>
      <c r="BV124" s="17" cm="1">
        <f t="array" aca="1" ref="BV124" ca="1">_FV(EB124,"Baixo")</f>
        <v>6.63</v>
      </c>
      <c r="BW124" s="17" cm="1">
        <f t="array" aca="1" ref="BW124" ca="1">_FV(EB124,"Alto")</f>
        <v>6.81</v>
      </c>
      <c r="BX124" s="24"/>
      <c r="BY124" s="63">
        <f ca="1">SQRT(22.5*(BN124/VLOOKUP(BO124,Fundamentus!A:U,3,FALSE))*(BN124/VLOOKUP(BO124,Fundamentus!A:U,4,FALSE)))</f>
        <v>16.522016411273437</v>
      </c>
      <c r="CA124" s="62">
        <f t="shared" ca="1" si="112"/>
        <v>0</v>
      </c>
      <c r="CB124" s="8"/>
      <c r="CC124" s="61">
        <f t="shared" si="113"/>
        <v>5.03</v>
      </c>
      <c r="CD124" s="61">
        <f t="shared" si="114"/>
        <v>7.5</v>
      </c>
      <c r="CE124" s="61">
        <f t="shared" si="115"/>
        <v>5.8189230769230784</v>
      </c>
      <c r="CF124" s="14"/>
      <c r="CG124" s="35">
        <f t="shared" si="98"/>
        <v>5.9332666707688624</v>
      </c>
      <c r="CH124" s="15">
        <f t="shared" si="116"/>
        <v>6.4750000000001364</v>
      </c>
      <c r="CI124" s="35">
        <f t="shared" si="99"/>
        <v>7.0167333292314105</v>
      </c>
      <c r="CK124" s="14"/>
      <c r="CL124" s="17">
        <f t="shared" si="100"/>
        <v>3.036666666666668</v>
      </c>
      <c r="CM124" s="17">
        <f t="shared" si="101"/>
        <v>4.0333333333333341</v>
      </c>
      <c r="CN124" s="17">
        <f t="shared" si="102"/>
        <v>5.5066666666666677</v>
      </c>
      <c r="CO124" s="38">
        <f t="shared" si="117"/>
        <v>6.5033333333333339</v>
      </c>
      <c r="CP124" s="17">
        <f t="shared" si="103"/>
        <v>7.9766666666666675</v>
      </c>
      <c r="CQ124" s="17">
        <f t="shared" si="104"/>
        <v>8.9733333333333327</v>
      </c>
      <c r="CR124" s="17">
        <f t="shared" si="105"/>
        <v>10.446666666666667</v>
      </c>
      <c r="CS124" s="2" cm="1">
        <f t="array" aca="1" ref="CS124" ca="1">MAX(_xlfn._xlws.FILTER(CL124:CR124,CL124:CR124&lt;BN124))</f>
        <v>6.5033333333333339</v>
      </c>
      <c r="CT124" s="2" cm="1">
        <f t="array" aca="1" ref="CT124" ca="1">MIN(_xlfn._xlws.FILTER($CL124:$CR124,$CL124:$CR124&gt;BN124))</f>
        <v>7.9766666666666675</v>
      </c>
      <c r="CU124" s="16">
        <f t="shared" ca="1" si="136"/>
        <v>0.22655048692977964</v>
      </c>
      <c r="CV124" s="20">
        <f t="shared" ca="1" si="137"/>
        <v>-0.11327524346488982</v>
      </c>
      <c r="CW124" s="20">
        <f t="shared" ca="1" si="138"/>
        <v>-7.5516828976593217E-2</v>
      </c>
      <c r="CX124" s="20">
        <f t="shared" ca="1" si="139"/>
        <v>-4.5310097385955928E-2</v>
      </c>
      <c r="CY124" s="20">
        <f t="shared" ca="1" si="140"/>
        <v>-2.5172276325531071E-2</v>
      </c>
      <c r="CZ124" s="20">
        <f t="shared" ca="1" si="141"/>
        <v>-1.3326499231163509E-2</v>
      </c>
      <c r="DA124" s="20">
        <f t="shared" ca="1" si="142"/>
        <v>-6.865166270599383E-3</v>
      </c>
      <c r="DB124" s="20">
        <f t="shared" ca="1" si="143"/>
        <v>-3.4853921066119943E-3</v>
      </c>
      <c r="DC124" s="21">
        <f t="shared" ca="1" si="144"/>
        <v>3.4853921066119943E-3</v>
      </c>
      <c r="DD124" s="21">
        <f t="shared" ca="1" si="145"/>
        <v>6.865166270599383E-3</v>
      </c>
      <c r="DE124" s="21">
        <f t="shared" ca="1" si="146"/>
        <v>1.3326499231163509E-2</v>
      </c>
      <c r="DF124" s="21">
        <f t="shared" ca="1" si="147"/>
        <v>2.5172276325531071E-2</v>
      </c>
      <c r="DG124" s="21">
        <f t="shared" ca="1" si="148"/>
        <v>4.5310097385955928E-2</v>
      </c>
      <c r="DH124" s="21">
        <f t="shared" ca="1" si="149"/>
        <v>7.5516828976593217E-2</v>
      </c>
      <c r="DI124" s="21">
        <f t="shared" ca="1" si="150"/>
        <v>0.11327524346488982</v>
      </c>
      <c r="DK124" s="16" cm="1">
        <f t="array" aca="1" ref="DK124" ca="1">MAX(_xlfn._xlws.FILTER(CV124:DI124,CV124:DI124&lt;BT124))</f>
        <v>-2.5172276325531071E-2</v>
      </c>
      <c r="DL124" s="16" cm="1">
        <f t="array" aca="1" ref="DL124" ca="1">MIN(_xlfn._xlws.FILTER(CV124:DI124,CV124:DI124&gt;BT124))</f>
        <v>-1.3326499231163509E-2</v>
      </c>
      <c r="DM124" s="2" cm="1">
        <f t="array" aca="1" ref="DM124" ca="1">_FV(EB124,"Fechamento anterior",TRUE)</f>
        <v>6.79</v>
      </c>
      <c r="DN124" s="28">
        <f t="shared" ca="1" si="106"/>
        <v>0.88172652090178405</v>
      </c>
      <c r="DO124" s="15">
        <f t="shared" ca="1" si="151"/>
        <v>6.6190802437496439</v>
      </c>
      <c r="DP124" s="15">
        <f t="shared" ca="1" si="152"/>
        <v>6.6995130702203998</v>
      </c>
      <c r="DQ124" s="9"/>
      <c r="DR124" s="9"/>
      <c r="DS124" s="9"/>
      <c r="DT124" s="89">
        <v>1.1845777094367562E-2</v>
      </c>
      <c r="DU124" s="89">
        <f t="shared" ca="1" si="107"/>
        <v>1.1845777094367562E-2</v>
      </c>
      <c r="DV124" s="75">
        <f t="shared" ca="1" si="108"/>
        <v>0.39687423386881421</v>
      </c>
      <c r="DW124" s="37"/>
      <c r="DX124" s="35">
        <f t="shared" si="118"/>
        <v>0.27086666461563697</v>
      </c>
      <c r="DY124" s="56"/>
      <c r="DZ124" s="56"/>
      <c r="EB124" s="2" t="e" vm="123">
        <v>#VALUE!</v>
      </c>
      <c r="ED124" s="10" cm="1">
        <f t="array" aca="1" ref="ED124" ca="1">_FV(EB124,"Ações em circulação",TRUE)</f>
        <v>1511206000</v>
      </c>
      <c r="EE124" s="18">
        <f>VLOOKUP(BO124,Fundamentus!A:U,5,FALSE)</f>
        <v>1.48</v>
      </c>
      <c r="EF124" s="2">
        <f t="shared" ca="1" si="109"/>
        <v>6831059554.0540543</v>
      </c>
      <c r="EG124" s="17">
        <v>2331440625.7986488</v>
      </c>
      <c r="EH124" s="17">
        <f t="shared" ca="1" si="110"/>
        <v>2331440625.7986488</v>
      </c>
      <c r="EJ124" s="16">
        <f t="shared" ca="1" si="97"/>
        <v>0</v>
      </c>
      <c r="EK124" s="32" t="str">
        <f>IF(VLOOKUP(BO124,Fundamentus!A:U,3,FALSE)&lt;15,"Bom",IF(VLOOKUP(BO124,Fundamentus!A:U,3,FALSE)&gt;15,"Ruim","n/a"))</f>
        <v>Bom</v>
      </c>
      <c r="EL124" s="28" t="str">
        <f>IF(VLOOKUP(BO124,Fundamentus!A:U,4,FALSE)&lt;1,"Baixo",IF(VLOOKUP(BO124,Fundamentus!A:U,4,FALSE)&lt;1.5,"Moderado",IF(VLOOKUP(BO124,Fundamentus!A:U,4,FALSE)&gt;1.5,"Alto","n/a")))</f>
        <v>Baixo</v>
      </c>
      <c r="EM124" s="17" t="str">
        <f>IF(VLOOKUP(BO124,Fundamentus!A:U,8,FALSE)&lt;0,"Risco elevado",IF(VLOOKUP(BO124,Fundamentus!A:U,8,FALSE)&lt;1,"Saudável",IF(VLOOKUP(BO124,Fundamentus!A:U,8,FALSE)&lt;3,"Estável",IF(VLOOKUP(BO124,Fundamentus!A:U,8,FALSE)&gt;3,"Alerta","n/a"))))</f>
        <v>Alerta</v>
      </c>
      <c r="EN124" s="28" t="str">
        <f t="shared" si="111"/>
        <v>Bom</v>
      </c>
      <c r="EO124" s="17" t="str">
        <f>IF(VLOOKUP(BO124,Fundamentus!A:U,12,FALSE)&lt;2,"Subvalorizada",IF(VLOOKUP(BO124,Fundamentus!A:U,12,FALSE)&lt;6,"Muita barata",IF(VLOOKUP(BO124,Fundamentus!A:U,12,FALSE)&lt;6,"Barata",IF(VLOOKUP(BO124,Fundamentus!A:U,12,FALSE)&lt;8,"Atrativa",IF(VLOOKUP(BO124,Fundamentus!A:U,12,FALSE)&gt;8,"Supervalorizada","n/a")))))</f>
        <v>Atrativa</v>
      </c>
      <c r="EQ124" s="17" t="str">
        <f>IF(VLOOKUP(BO124,Fundamentus!A:U,17,FALSE)&lt;0.1,"Fraco retorno",IF(VLOOKUP(BO124,Fundamentus!A:U,17,FALSE)&gt;0.1,"Bom retorno","n/a"))</f>
        <v>Bom retorno</v>
      </c>
      <c r="ER124" s="17" t="str">
        <f>IF(VLOOKUP(BO124,Fundamentus!A:U,16,FALSE)&lt;0.1,"Ineficiente",IF(VLOOKUP(BO124,Fundamentus!A:U,16,FALSE)&gt;0.1,"Eficiente","n/a"))</f>
        <v>Ineficiente</v>
      </c>
      <c r="ES124" s="33" t="str">
        <f>IF(VLOOKUP(BO124,Fundamentus!A:U,16,FALSE)&lt;0.1,"Oper. Ineficiente",IF(VLOOKUP(BO124,Fundamentus!A:U,16,FALSE)&gt;0.1,"Oper.Eficiente","n/a"))</f>
        <v>Oper. Ineficiente</v>
      </c>
      <c r="ET124" s="34">
        <f>VLOOKUP(BO124,Fundamentus!A:U,14,FALSE)</f>
        <v>0.34129999999999999</v>
      </c>
      <c r="EU124" s="17" t="str">
        <f>IF(VLOOKUP(BO124,Fundamentus!A:U,21,FALSE)&lt;0,"Negativo",IF(VLOOKUP(BO124,Fundamentus!A:U,21,FALSE)&lt;0.05,"Fraco",IF(VLOOKUP(BO124,Fundamentus!A:U,21,FALSE)&lt;0.1,"Bom",IF(VLOOKUP(BO124,Fundamentus!A:U,21,FALSE)&gt;0.1,"Muito bom","n/a"))))</f>
        <v>Bom</v>
      </c>
      <c r="EW124" s="29" t="str">
        <f>IF(VLOOKUP(BO124,Fundamentus!A:U,15,FALSE)&gt;1,"Bom",IF(VLOOKUP(BO124,Fundamentus!A:U,15,FALSE)&lt;1,"Ruim","n/a"))</f>
        <v>Bom</v>
      </c>
      <c r="EX124" s="17" t="str">
        <f>IF(VLOOKUP(BO124,Fundamentus!A:U,20,FALSE)&lt;0.5,"Baixa",IF(VLOOKUP(BO124,Fundamentus!A:U,20,FALSE)&lt;1,"Moderada",IF(VLOOKUP(BO124,Fundamentus!A:U,20,FALSE)&lt;2,"Alerta",IF(VLOOKUP(BO124,Fundamentus!A:U,20,FALSE)&gt;2,"Alta","n/a"))))</f>
        <v>Moderada</v>
      </c>
      <c r="EY124" s="10">
        <v>3</v>
      </c>
    </row>
    <row r="125" spans="1:155" s="2" customFormat="1" ht="11.25"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5">
        <v>9.2899999999999991</v>
      </c>
      <c r="BC125" s="52">
        <v>10.36</v>
      </c>
      <c r="BD125" s="52">
        <v>10.31</v>
      </c>
      <c r="BE125" s="52">
        <v>10.47</v>
      </c>
      <c r="BF125" s="52">
        <v>10.54</v>
      </c>
      <c r="BG125" s="67">
        <v>10.24</v>
      </c>
      <c r="BH125" s="52">
        <v>10.5</v>
      </c>
      <c r="BI125" s="52">
        <v>10.87</v>
      </c>
      <c r="BJ125" s="52">
        <v>10.51</v>
      </c>
      <c r="BK125" s="52">
        <v>9.7899999999999991</v>
      </c>
      <c r="BL125" s="52">
        <v>9.51</v>
      </c>
      <c r="BM125" s="52">
        <v>9.16</v>
      </c>
      <c r="BN125" s="52" cm="1">
        <f t="array" aca="1" ref="BN125" ca="1">_FV(EB125,"Preço")</f>
        <v>9.16</v>
      </c>
      <c r="BO125" s="69" t="s">
        <v>121</v>
      </c>
      <c r="BP125" s="36" cm="1">
        <f t="array" aca="1" ref="BP125" ca="1">_FV(EB125,"Média de volume",TRUE)</f>
        <v>5466690</v>
      </c>
      <c r="BQ125" s="36">
        <v>6369700</v>
      </c>
      <c r="BR125" s="36" cm="1">
        <f t="array" aca="1" ref="BR125" ca="1">_FV(EB125,"Volume")</f>
        <v>6369700</v>
      </c>
      <c r="BS125" s="24" cm="1">
        <f t="array" aca="1" ref="BS125" ca="1">_FV(EB125,"Beta")</f>
        <v>1.1716</v>
      </c>
      <c r="BT125" s="71" cm="1">
        <f t="array" aca="1" ref="BT125" ca="1">_FV(EB125,"Variação (%)",TRUE)</f>
        <v>-2.5531999999999999E-2</v>
      </c>
      <c r="BV125" s="17" cm="1">
        <f t="array" aca="1" ref="BV125" ca="1">_FV(EB125,"Baixo")</f>
        <v>9.01</v>
      </c>
      <c r="BW125" s="17" cm="1">
        <f t="array" aca="1" ref="BW125" ca="1">_FV(EB125,"Alto")</f>
        <v>9.4700000000000006</v>
      </c>
      <c r="BX125" s="24"/>
      <c r="BY125" s="63" t="e">
        <f ca="1">SQRT(22.5*(BN125/VLOOKUP(BO125,Fundamentus!A:U,3,FALSE))*(BN125/VLOOKUP(BO125,Fundamentus!A:U,4,FALSE)))</f>
        <v>#NUM!</v>
      </c>
      <c r="CA125" s="62">
        <f t="shared" ca="1" si="112"/>
        <v>0</v>
      </c>
      <c r="CB125" s="8"/>
      <c r="CC125" s="61">
        <f t="shared" si="113"/>
        <v>9.15</v>
      </c>
      <c r="CD125" s="61">
        <f t="shared" si="114"/>
        <v>17.21</v>
      </c>
      <c r="CE125" s="61">
        <f t="shared" si="115"/>
        <v>12.925769230769228</v>
      </c>
      <c r="CF125" s="14"/>
      <c r="CG125" s="35">
        <f t="shared" si="98"/>
        <v>7.6676920840785918</v>
      </c>
      <c r="CH125" s="15">
        <f t="shared" si="116"/>
        <v>8.6599999999998545</v>
      </c>
      <c r="CI125" s="35">
        <f t="shared" si="99"/>
        <v>9.6523079159211171</v>
      </c>
      <c r="CK125" s="14"/>
      <c r="CL125" s="17">
        <f t="shared" si="100"/>
        <v>-1.3566666666666709</v>
      </c>
      <c r="CM125" s="17">
        <f t="shared" si="101"/>
        <v>3.8966666666666647</v>
      </c>
      <c r="CN125" s="17">
        <f t="shared" si="102"/>
        <v>6.7033333333333296</v>
      </c>
      <c r="CO125" s="38">
        <f t="shared" si="117"/>
        <v>11.956666666666665</v>
      </c>
      <c r="CP125" s="17">
        <f t="shared" si="103"/>
        <v>14.76333333333333</v>
      </c>
      <c r="CQ125" s="17">
        <f t="shared" si="104"/>
        <v>20.016666666666666</v>
      </c>
      <c r="CR125" s="17">
        <f t="shared" si="105"/>
        <v>22.823333333333331</v>
      </c>
      <c r="CS125" s="2" cm="1">
        <f t="array" aca="1" ref="CS125" ca="1">MAX(_xlfn._xlws.FILTER(CL125:CR125,CL125:CR125&lt;BN125))</f>
        <v>6.7033333333333296</v>
      </c>
      <c r="CT125" s="2" cm="1">
        <f t="array" aca="1" ref="CT125" ca="1">MIN(_xlfn._xlws.FILTER($CL125:$CR125,$CL125:$CR125&gt;BN125))</f>
        <v>11.956666666666665</v>
      </c>
      <c r="CU125" s="16">
        <f t="shared" ca="1" si="136"/>
        <v>0.78368970661362591</v>
      </c>
      <c r="CV125" s="20">
        <f t="shared" ca="1" si="137"/>
        <v>-0.39184485330681296</v>
      </c>
      <c r="CW125" s="20">
        <f t="shared" ca="1" si="138"/>
        <v>-0.26122990220454195</v>
      </c>
      <c r="CX125" s="20">
        <f t="shared" ca="1" si="139"/>
        <v>-0.15673794132272517</v>
      </c>
      <c r="CY125" s="20">
        <f t="shared" ca="1" si="140"/>
        <v>-8.7076634068180656E-2</v>
      </c>
      <c r="CZ125" s="20">
        <f t="shared" ca="1" si="141"/>
        <v>-4.6099394506683877E-2</v>
      </c>
      <c r="DA125" s="20">
        <f t="shared" ca="1" si="142"/>
        <v>-2.3748172927685635E-2</v>
      </c>
      <c r="DB125" s="20">
        <f t="shared" ca="1" si="143"/>
        <v>-1.2056764717132707E-2</v>
      </c>
      <c r="DC125" s="21">
        <f t="shared" ca="1" si="144"/>
        <v>1.2056764717132707E-2</v>
      </c>
      <c r="DD125" s="21">
        <f t="shared" ca="1" si="145"/>
        <v>2.3748172927685635E-2</v>
      </c>
      <c r="DE125" s="21">
        <f t="shared" ca="1" si="146"/>
        <v>4.6099394506683877E-2</v>
      </c>
      <c r="DF125" s="21">
        <f t="shared" ca="1" si="147"/>
        <v>8.7076634068180656E-2</v>
      </c>
      <c r="DG125" s="21">
        <f t="shared" ca="1" si="148"/>
        <v>0.15673794132272517</v>
      </c>
      <c r="DH125" s="21">
        <f t="shared" ca="1" si="149"/>
        <v>0.26122990220454195</v>
      </c>
      <c r="DI125" s="21">
        <f t="shared" ca="1" si="150"/>
        <v>0.39184485330681296</v>
      </c>
      <c r="DK125" s="16" cm="1">
        <f t="array" aca="1" ref="DK125" ca="1">MAX(_xlfn._xlws.FILTER(CV125:DI125,CV125:DI125&lt;BT125))</f>
        <v>-4.6099394506683877E-2</v>
      </c>
      <c r="DL125" s="16" cm="1">
        <f t="array" aca="1" ref="DL125" ca="1">MIN(_xlfn._xlws.FILTER(CV125:DI125,CV125:DI125&gt;BT125))</f>
        <v>-2.3748172927685635E-2</v>
      </c>
      <c r="DM125" s="2" cm="1">
        <f t="array" aca="1" ref="DM125" ca="1">_FV(EB125,"Fechamento anterior",TRUE)</f>
        <v>9.4</v>
      </c>
      <c r="DN125" s="28">
        <f t="shared" ca="1" si="106"/>
        <v>0.92019487795658506</v>
      </c>
      <c r="DO125" s="15">
        <f t="shared" ca="1" si="151"/>
        <v>8.9666656916371714</v>
      </c>
      <c r="DP125" s="15">
        <f t="shared" ca="1" si="152"/>
        <v>9.176767174479755</v>
      </c>
      <c r="DQ125" s="9"/>
      <c r="DR125" s="9"/>
      <c r="DS125" s="9"/>
      <c r="DT125" s="89">
        <v>2.2351221578998243E-2</v>
      </c>
      <c r="DU125" s="89">
        <f t="shared" ca="1" si="107"/>
        <v>2.2351221578998243E-2</v>
      </c>
      <c r="DV125" s="72">
        <f t="shared" ca="1" si="108"/>
        <v>0.50387585544547797</v>
      </c>
      <c r="DW125" s="37"/>
      <c r="DX125" s="35">
        <f t="shared" si="118"/>
        <v>0.49615395796063128</v>
      </c>
      <c r="DY125" s="56"/>
      <c r="DZ125" s="56"/>
      <c r="EB125" s="2" t="e" vm="124">
        <v>#VALUE!</v>
      </c>
      <c r="ED125" s="10" cm="1">
        <f t="array" aca="1" ref="ED125" ca="1">_FV(EB125,"Ações em circulação",TRUE)</f>
        <v>1374118000</v>
      </c>
      <c r="EE125" s="18">
        <f>VLOOKUP(BO125,Fundamentus!A:U,5,FALSE)</f>
        <v>0.60199999999999998</v>
      </c>
      <c r="EF125" s="2">
        <f t="shared" ca="1" si="109"/>
        <v>20908506445.182724</v>
      </c>
      <c r="EG125" s="17">
        <v>-6906079678.843853</v>
      </c>
      <c r="EH125" s="17">
        <f t="shared" ca="1" si="110"/>
        <v>-6906079678.843853</v>
      </c>
      <c r="EJ125" s="16">
        <f t="shared" ca="1" si="97"/>
        <v>0</v>
      </c>
      <c r="EK125" s="32" t="str">
        <f>IF(VLOOKUP(BO125,Fundamentus!A:U,3,FALSE)&lt;15,"Bom",IF(VLOOKUP(BO125,Fundamentus!A:U,3,FALSE)&gt;15,"Ruim","n/a"))</f>
        <v>Bom</v>
      </c>
      <c r="EL125" s="28" t="str">
        <f>IF(VLOOKUP(BO125,Fundamentus!A:U,4,FALSE)&lt;1,"Baixo",IF(VLOOKUP(BO125,Fundamentus!A:U,4,FALSE)&lt;1.5,"Moderado",IF(VLOOKUP(BO125,Fundamentus!A:U,4,FALSE)&gt;1.5,"Alto","n/a")))</f>
        <v>Baixo</v>
      </c>
      <c r="EM125" s="17" t="str">
        <f>IF(VLOOKUP(BO125,Fundamentus!A:U,8,FALSE)&lt;0,"Risco elevado",IF(VLOOKUP(BO125,Fundamentus!A:U,8,FALSE)&lt;1,"Saudável",IF(VLOOKUP(BO125,Fundamentus!A:U,8,FALSE)&lt;3,"Estável",IF(VLOOKUP(BO125,Fundamentus!A:U,8,FALSE)&gt;3,"Alerta","n/a"))))</f>
        <v>Estável</v>
      </c>
      <c r="EN125" s="28" t="str">
        <f t="shared" si="111"/>
        <v>Ruim</v>
      </c>
      <c r="EO125" s="17" t="str">
        <f>IF(VLOOKUP(BO125,Fundamentus!A:U,12,FALSE)&lt;2,"Subvalorizada",IF(VLOOKUP(BO125,Fundamentus!A:U,12,FALSE)&lt;6,"Muita barata",IF(VLOOKUP(BO125,Fundamentus!A:U,12,FALSE)&lt;6,"Barata",IF(VLOOKUP(BO125,Fundamentus!A:U,12,FALSE)&lt;8,"Atrativa",IF(VLOOKUP(BO125,Fundamentus!A:U,12,FALSE)&gt;8,"Supervalorizada","n/a")))))</f>
        <v>Muita barata</v>
      </c>
      <c r="EQ125" s="17" t="str">
        <f>IF(VLOOKUP(BO125,Fundamentus!A:U,17,FALSE)&lt;0.1,"Fraco retorno",IF(VLOOKUP(BO125,Fundamentus!A:U,17,FALSE)&gt;0.1,"Bom retorno","n/a"))</f>
        <v>Fraco retorno</v>
      </c>
      <c r="ER125" s="17" t="str">
        <f>IF(VLOOKUP(BO125,Fundamentus!A:U,16,FALSE)&lt;0.1,"Ineficiente",IF(VLOOKUP(BO125,Fundamentus!A:U,16,FALSE)&gt;0.1,"Eficiente","n/a"))</f>
        <v>Ineficiente</v>
      </c>
      <c r="ES125" s="33" t="str">
        <f>IF(VLOOKUP(BO125,Fundamentus!A:U,16,FALSE)&lt;0.1,"Oper. Ineficiente",IF(VLOOKUP(BO125,Fundamentus!A:U,16,FALSE)&gt;0.1,"Oper.Eficiente","n/a"))</f>
        <v>Oper. Ineficiente</v>
      </c>
      <c r="ET125" s="34">
        <f>VLOOKUP(BO125,Fundamentus!A:U,14,FALSE)</f>
        <v>-0.33029999999999998</v>
      </c>
      <c r="EU125" s="17" t="str">
        <f>IF(VLOOKUP(BO125,Fundamentus!A:U,21,FALSE)&lt;0,"Negativo",IF(VLOOKUP(BO125,Fundamentus!A:U,21,FALSE)&lt;0.05,"Fraco",IF(VLOOKUP(BO125,Fundamentus!A:U,21,FALSE)&lt;0.1,"Bom",IF(VLOOKUP(BO125,Fundamentus!A:U,21,FALSE)&gt;0.1,"Muito bom","n/a"))))</f>
        <v>Negativo</v>
      </c>
      <c r="EW125" s="29" t="str">
        <f>IF(VLOOKUP(BO125,Fundamentus!A:U,15,FALSE)&gt;1,"Bom",IF(VLOOKUP(BO125,Fundamentus!A:U,15,FALSE)&lt;1,"Ruim","n/a"))</f>
        <v>Bom</v>
      </c>
      <c r="EX125" s="17" t="str">
        <f>IF(VLOOKUP(BO125,Fundamentus!A:U,20,FALSE)&lt;0.5,"Baixa",IF(VLOOKUP(BO125,Fundamentus!A:U,20,FALSE)&lt;1,"Moderada",IF(VLOOKUP(BO125,Fundamentus!A:U,20,FALSE)&lt;2,"Alerta",IF(VLOOKUP(BO125,Fundamentus!A:U,20,FALSE)&gt;2,"Alta","n/a"))))</f>
        <v>Baixa</v>
      </c>
      <c r="EY125" s="10"/>
    </row>
    <row r="126" spans="1:155" s="2" customFormat="1" ht="11.25"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5">
        <v>5.97</v>
      </c>
      <c r="BC126" s="52">
        <v>6.36</v>
      </c>
      <c r="BD126" s="52">
        <v>6.6</v>
      </c>
      <c r="BE126" s="52">
        <v>7.19</v>
      </c>
      <c r="BF126" s="52">
        <v>7.49</v>
      </c>
      <c r="BG126" s="67">
        <v>7.11</v>
      </c>
      <c r="BH126" s="52">
        <v>7.33</v>
      </c>
      <c r="BI126" s="52">
        <v>7.34</v>
      </c>
      <c r="BJ126" s="52">
        <v>7.31</v>
      </c>
      <c r="BK126" s="52">
        <v>7.22</v>
      </c>
      <c r="BL126" s="52">
        <v>7.01</v>
      </c>
      <c r="BM126" s="52">
        <v>6.96</v>
      </c>
      <c r="BN126" s="52" cm="1">
        <f t="array" aca="1" ref="BN126" ca="1">_FV(EB126,"Preço")</f>
        <v>6.96</v>
      </c>
      <c r="BO126" s="69" t="s">
        <v>122</v>
      </c>
      <c r="BP126" s="36" cm="1">
        <f t="array" aca="1" ref="BP126" ca="1">_FV(EB126,"Média de volume",TRUE)</f>
        <v>412680</v>
      </c>
      <c r="BQ126" s="36">
        <v>342200</v>
      </c>
      <c r="BR126" s="36" cm="1">
        <f t="array" aca="1" ref="BR126" ca="1">_FV(EB126,"Volume")</f>
        <v>342200</v>
      </c>
      <c r="BS126" s="24" cm="1">
        <f t="array" aca="1" ref="BS126" ca="1">_FV(EB126,"Beta")</f>
        <v>1.4637</v>
      </c>
      <c r="BT126" s="71" cm="1">
        <f t="array" aca="1" ref="BT126" ca="1">_FV(EB126,"Variação (%)",TRUE)</f>
        <v>2.882E-3</v>
      </c>
      <c r="BV126" s="17" cm="1">
        <f t="array" aca="1" ref="BV126" ca="1">_FV(EB126,"Baixo")</f>
        <v>6.85</v>
      </c>
      <c r="BW126" s="17" cm="1">
        <f t="array" aca="1" ref="BW126" ca="1">_FV(EB126,"Alto")</f>
        <v>6.97</v>
      </c>
      <c r="BX126" s="24"/>
      <c r="BY126" s="63">
        <f ca="1">SQRT(22.5*(BN126/VLOOKUP(BO126,Fundamentus!A:U,3,FALSE))*(BN126/VLOOKUP(BO126,Fundamentus!A:U,4,FALSE)))</f>
        <v>5.6471633805136729</v>
      </c>
      <c r="CA126" s="62">
        <f t="shared" ca="1" si="112"/>
        <v>0</v>
      </c>
      <c r="CB126" s="8"/>
      <c r="CC126" s="61">
        <f t="shared" si="113"/>
        <v>5.35</v>
      </c>
      <c r="CD126" s="61">
        <f t="shared" si="114"/>
        <v>7.49</v>
      </c>
      <c r="CE126" s="61">
        <f t="shared" si="115"/>
        <v>6.328153846153846</v>
      </c>
      <c r="CF126" s="14"/>
      <c r="CG126" s="35">
        <f t="shared" si="98"/>
        <v>6.5206904771702705</v>
      </c>
      <c r="CH126" s="15">
        <f t="shared" si="116"/>
        <v>6.8100000000000591</v>
      </c>
      <c r="CI126" s="35">
        <f t="shared" si="99"/>
        <v>7.0993095228298477</v>
      </c>
      <c r="CK126" s="14"/>
      <c r="CL126" s="17">
        <f t="shared" si="100"/>
        <v>3.6033333333333335</v>
      </c>
      <c r="CM126" s="17">
        <f t="shared" si="101"/>
        <v>4.4766666666666666</v>
      </c>
      <c r="CN126" s="17">
        <f t="shared" si="102"/>
        <v>5.7433333333333341</v>
      </c>
      <c r="CO126" s="38">
        <f t="shared" si="117"/>
        <v>6.6166666666666671</v>
      </c>
      <c r="CP126" s="17">
        <f t="shared" si="103"/>
        <v>7.8833333333333346</v>
      </c>
      <c r="CQ126" s="17">
        <f t="shared" si="104"/>
        <v>8.7566666666666677</v>
      </c>
      <c r="CR126" s="17">
        <f t="shared" si="105"/>
        <v>10.023333333333335</v>
      </c>
      <c r="CS126" s="2" cm="1">
        <f t="array" aca="1" ref="CS126" ca="1">MAX(_xlfn._xlws.FILTER(CL126:CR126,CL126:CR126&lt;BN126))</f>
        <v>6.6166666666666671</v>
      </c>
      <c r="CT126" s="2" cm="1">
        <f t="array" aca="1" ref="CT126" ca="1">MIN(_xlfn._xlws.FILTER($CL126:$CR126,$CL126:$CR126&gt;BN126))</f>
        <v>7.8833333333333346</v>
      </c>
      <c r="CU126" s="16">
        <f t="shared" ca="1" si="136"/>
        <v>0.19143576826196496</v>
      </c>
      <c r="CV126" s="20">
        <f t="shared" ca="1" si="137"/>
        <v>-9.5717884130982478E-2</v>
      </c>
      <c r="CW126" s="20">
        <f t="shared" ca="1" si="138"/>
        <v>-6.3811922753988323E-2</v>
      </c>
      <c r="CX126" s="20">
        <f t="shared" ca="1" si="139"/>
        <v>-3.8287153652392991E-2</v>
      </c>
      <c r="CY126" s="20">
        <f t="shared" ca="1" si="140"/>
        <v>-2.1270640917996107E-2</v>
      </c>
      <c r="CZ126" s="20">
        <f t="shared" ca="1" si="141"/>
        <v>-1.1260927544821468E-2</v>
      </c>
      <c r="DA126" s="20">
        <f t="shared" ca="1" si="142"/>
        <v>-5.801083886726211E-3</v>
      </c>
      <c r="DB126" s="20">
        <f t="shared" ca="1" si="143"/>
        <v>-2.9451656655686918E-3</v>
      </c>
      <c r="DC126" s="21">
        <f t="shared" ca="1" si="144"/>
        <v>2.9451656655686918E-3</v>
      </c>
      <c r="DD126" s="21">
        <f t="shared" ca="1" si="145"/>
        <v>5.801083886726211E-3</v>
      </c>
      <c r="DE126" s="21">
        <f t="shared" ca="1" si="146"/>
        <v>1.1260927544821468E-2</v>
      </c>
      <c r="DF126" s="21">
        <f t="shared" ca="1" si="147"/>
        <v>2.1270640917996107E-2</v>
      </c>
      <c r="DG126" s="21">
        <f t="shared" ca="1" si="148"/>
        <v>3.8287153652392991E-2</v>
      </c>
      <c r="DH126" s="21">
        <f t="shared" ca="1" si="149"/>
        <v>6.3811922753988323E-2</v>
      </c>
      <c r="DI126" s="21">
        <f t="shared" ca="1" si="150"/>
        <v>9.5717884130982478E-2</v>
      </c>
      <c r="DK126" s="16" cm="1">
        <f t="array" aca="1" ref="DK126" ca="1">MAX(_xlfn._xlws.FILTER(CV126:DI126,CV126:DI126&lt;BT126))</f>
        <v>-2.9451656655686918E-3</v>
      </c>
      <c r="DL126" s="16" cm="1">
        <f t="array" aca="1" ref="DL126" ca="1">MIN(_xlfn._xlws.FILTER(CV126:DI126,CV126:DI126&gt;BT126))</f>
        <v>2.9451656655686918E-3</v>
      </c>
      <c r="DM126" s="2" cm="1">
        <f t="array" aca="1" ref="DM126" ca="1">_FV(EB126,"Fechamento anterior",TRUE)</f>
        <v>6.94</v>
      </c>
      <c r="DN126" s="28">
        <f t="shared" ca="1" si="106"/>
        <v>0.98924996208098825</v>
      </c>
      <c r="DO126" s="15">
        <f t="shared" ca="1" si="151"/>
        <v>6.9195605502809538</v>
      </c>
      <c r="DP126" s="15">
        <f t="shared" ca="1" si="152"/>
        <v>6.9604394497190469</v>
      </c>
      <c r="DQ126" s="9"/>
      <c r="DR126" s="9"/>
      <c r="DS126" s="9"/>
      <c r="DT126" s="89">
        <v>5.8903313311373835E-3</v>
      </c>
      <c r="DU126" s="89">
        <f t="shared" ca="1" si="107"/>
        <v>5.8903313311373835E-3</v>
      </c>
      <c r="DV126" s="72">
        <f t="shared" ca="1" si="108"/>
        <v>0.51847584736500829</v>
      </c>
      <c r="DW126" s="37"/>
      <c r="DX126" s="35">
        <f t="shared" si="118"/>
        <v>0.1446547614148942</v>
      </c>
      <c r="DY126" s="56"/>
      <c r="DZ126" s="56"/>
      <c r="EB126" s="2" t="e" vm="125">
        <v>#VALUE!</v>
      </c>
      <c r="ED126" s="10" cm="1">
        <f t="array" aca="1" ref="ED126" ca="1">_FV(EB126,"Ações em circulação",TRUE)</f>
        <v>200000000</v>
      </c>
      <c r="EE126" s="18">
        <f>VLOOKUP(BO126,Fundamentus!A:U,5,FALSE)</f>
        <v>0.76700000000000002</v>
      </c>
      <c r="EF126" s="2">
        <f t="shared" ca="1" si="109"/>
        <v>1814863102.9986961</v>
      </c>
      <c r="EG126" s="17">
        <v>102539765.31942633</v>
      </c>
      <c r="EH126" s="17">
        <f t="shared" ca="1" si="110"/>
        <v>102539765.31942633</v>
      </c>
      <c r="EJ126" s="16">
        <f t="shared" ca="1" si="97"/>
        <v>0</v>
      </c>
      <c r="EK126" s="32" t="str">
        <f>IF(VLOOKUP(BO126,Fundamentus!A:U,3,FALSE)&lt;15,"Bom",IF(VLOOKUP(BO126,Fundamentus!A:U,3,FALSE)&gt;15,"Ruim","n/a"))</f>
        <v>Ruim</v>
      </c>
      <c r="EL126" s="28" t="str">
        <f>IF(VLOOKUP(BO126,Fundamentus!A:U,4,FALSE)&lt;1,"Baixo",IF(VLOOKUP(BO126,Fundamentus!A:U,4,FALSE)&lt;1.5,"Moderado",IF(VLOOKUP(BO126,Fundamentus!A:U,4,FALSE)&gt;1.5,"Alto","n/a")))</f>
        <v>Baixo</v>
      </c>
      <c r="EM126" s="17" t="str">
        <f>IF(VLOOKUP(BO126,Fundamentus!A:U,8,FALSE)&lt;0,"Risco elevado",IF(VLOOKUP(BO126,Fundamentus!A:U,8,FALSE)&lt;1,"Saudável",IF(VLOOKUP(BO126,Fundamentus!A:U,8,FALSE)&lt;3,"Estável",IF(VLOOKUP(BO126,Fundamentus!A:U,8,FALSE)&gt;3,"Alerta","n/a"))))</f>
        <v>Saudável</v>
      </c>
      <c r="EN126" s="28" t="str">
        <f t="shared" si="111"/>
        <v>Ruim</v>
      </c>
      <c r="EO126" s="17" t="str">
        <f>IF(VLOOKUP(BO126,Fundamentus!A:U,12,FALSE)&lt;2,"Subvalorizada",IF(VLOOKUP(BO126,Fundamentus!A:U,12,FALSE)&lt;6,"Muita barata",IF(VLOOKUP(BO126,Fundamentus!A:U,12,FALSE)&lt;6,"Barata",IF(VLOOKUP(BO126,Fundamentus!A:U,12,FALSE)&lt;8,"Atrativa",IF(VLOOKUP(BO126,Fundamentus!A:U,12,FALSE)&gt;8,"Supervalorizada","n/a")))))</f>
        <v>Muita barata</v>
      </c>
      <c r="EQ126" s="17" t="str">
        <f>IF(VLOOKUP(BO126,Fundamentus!A:U,17,FALSE)&lt;0.1,"Fraco retorno",IF(VLOOKUP(BO126,Fundamentus!A:U,17,FALSE)&gt;0.1,"Bom retorno","n/a"))</f>
        <v>Fraco retorno</v>
      </c>
      <c r="ER126" s="17" t="str">
        <f>IF(VLOOKUP(BO126,Fundamentus!A:U,16,FALSE)&lt;0.1,"Ineficiente",IF(VLOOKUP(BO126,Fundamentus!A:U,16,FALSE)&gt;0.1,"Eficiente","n/a"))</f>
        <v>Ineficiente</v>
      </c>
      <c r="ES126" s="33" t="str">
        <f>IF(VLOOKUP(BO126,Fundamentus!A:U,16,FALSE)&lt;0.1,"Oper. Ineficiente",IF(VLOOKUP(BO126,Fundamentus!A:U,16,FALSE)&gt;0.1,"Oper.Eficiente","n/a"))</f>
        <v>Oper. Ineficiente</v>
      </c>
      <c r="ET126" s="34">
        <f>VLOOKUP(BO126,Fundamentus!A:U,14,FALSE)</f>
        <v>5.6500000000000002E-2</v>
      </c>
      <c r="EU126" s="17" t="str">
        <f>IF(VLOOKUP(BO126,Fundamentus!A:U,21,FALSE)&lt;0,"Negativo",IF(VLOOKUP(BO126,Fundamentus!A:U,21,FALSE)&lt;0.05,"Fraco",IF(VLOOKUP(BO126,Fundamentus!A:U,21,FALSE)&lt;0.1,"Bom",IF(VLOOKUP(BO126,Fundamentus!A:U,21,FALSE)&gt;0.1,"Muito bom","n/a"))))</f>
        <v>Fraco</v>
      </c>
      <c r="EW126" s="29" t="str">
        <f>IF(VLOOKUP(BO126,Fundamentus!A:U,15,FALSE)&gt;1,"Bom",IF(VLOOKUP(BO126,Fundamentus!A:U,15,FALSE)&lt;1,"Ruim","n/a"))</f>
        <v>Bom</v>
      </c>
      <c r="EX126" s="17" t="str">
        <f>IF(VLOOKUP(BO126,Fundamentus!A:U,20,FALSE)&lt;0.5,"Baixa",IF(VLOOKUP(BO126,Fundamentus!A:U,20,FALSE)&lt;1,"Moderada",IF(VLOOKUP(BO126,Fundamentus!A:U,20,FALSE)&lt;2,"Alerta",IF(VLOOKUP(BO126,Fundamentus!A:U,20,FALSE)&gt;2,"Alta","n/a"))))</f>
        <v>Moderada</v>
      </c>
      <c r="EY126" s="10"/>
    </row>
    <row r="127" spans="1:155" s="2" customFormat="1" ht="11.25"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5">
        <v>31.3</v>
      </c>
      <c r="BC127" s="52">
        <v>33.39</v>
      </c>
      <c r="BD127" s="52">
        <v>33.299999999999997</v>
      </c>
      <c r="BE127" s="52">
        <v>33.369999999999997</v>
      </c>
      <c r="BF127" s="52">
        <v>32.51</v>
      </c>
      <c r="BG127" s="67">
        <v>32.229999999999997</v>
      </c>
      <c r="BH127" s="52">
        <v>32.49</v>
      </c>
      <c r="BI127" s="52">
        <v>32.26</v>
      </c>
      <c r="BJ127" s="52">
        <v>33.68</v>
      </c>
      <c r="BK127" s="52">
        <v>31.6</v>
      </c>
      <c r="BL127" s="52">
        <v>31.36</v>
      </c>
      <c r="BM127" s="52">
        <v>31.46</v>
      </c>
      <c r="BN127" s="52" cm="1">
        <f t="array" aca="1" ref="BN127" ca="1">_FV(EB127,"Preço")</f>
        <v>31.46</v>
      </c>
      <c r="BO127" s="69" t="s">
        <v>62</v>
      </c>
      <c r="BP127" s="36" cm="1">
        <f t="array" aca="1" ref="BP127" ca="1">_FV(EB127,"Média de volume",TRUE)</f>
        <v>21185290</v>
      </c>
      <c r="BQ127" s="36">
        <v>352700</v>
      </c>
      <c r="BR127" s="36" cm="1">
        <f t="array" aca="1" ref="BR127" ca="1">_FV(EB127,"Volume")</f>
        <v>352700</v>
      </c>
      <c r="BS127" s="24" cm="1">
        <f t="array" aca="1" ref="BS127" ca="1">_FV(EB127,"Beta")</f>
        <v>1.2694000000000001</v>
      </c>
      <c r="BT127" s="71" cm="1">
        <f t="array" aca="1" ref="BT127" ca="1">_FV(EB127,"Variação (%)",TRUE)</f>
        <v>6.0760000000000007E-3</v>
      </c>
      <c r="BV127" s="17" cm="1">
        <f t="array" aca="1" ref="BV127" ca="1">_FV(EB127,"Baixo")</f>
        <v>31.27</v>
      </c>
      <c r="BW127" s="17" cm="1">
        <f t="array" aca="1" ref="BW127" ca="1">_FV(EB127,"Alto")</f>
        <v>31.69</v>
      </c>
      <c r="BX127" s="24"/>
      <c r="BY127" s="63">
        <f ca="1">SQRT(22.5*(BN127/VLOOKUP(BO127,Fundamentus!A:U,3,FALSE))*(BN127/VLOOKUP(BO127,Fundamentus!A:U,4,FALSE)))</f>
        <v>38.028020368387779</v>
      </c>
      <c r="CA127" s="62">
        <f t="shared" ca="1" si="112"/>
        <v>0</v>
      </c>
      <c r="CB127" s="8"/>
      <c r="CC127" s="61">
        <f t="shared" si="113"/>
        <v>26.39</v>
      </c>
      <c r="CD127" s="61">
        <f t="shared" si="114"/>
        <v>33.68</v>
      </c>
      <c r="CE127" s="61">
        <f t="shared" si="115"/>
        <v>29.793307692307678</v>
      </c>
      <c r="CF127" s="14"/>
      <c r="CG127" s="35">
        <f t="shared" si="98"/>
        <v>28.381380704777705</v>
      </c>
      <c r="CH127" s="15">
        <f t="shared" si="116"/>
        <v>30.300000000000182</v>
      </c>
      <c r="CI127" s="35">
        <f t="shared" si="99"/>
        <v>32.218619295222659</v>
      </c>
      <c r="CK127" s="14"/>
      <c r="CL127" s="17">
        <f t="shared" si="100"/>
        <v>19.983333333333341</v>
      </c>
      <c r="CM127" s="17">
        <f t="shared" si="101"/>
        <v>23.186666666666671</v>
      </c>
      <c r="CN127" s="17">
        <f t="shared" si="102"/>
        <v>27.273333333333341</v>
      </c>
      <c r="CO127" s="38">
        <f t="shared" si="117"/>
        <v>30.47666666666667</v>
      </c>
      <c r="CP127" s="17">
        <f t="shared" si="103"/>
        <v>34.56333333333334</v>
      </c>
      <c r="CQ127" s="17">
        <f t="shared" si="104"/>
        <v>37.766666666666666</v>
      </c>
      <c r="CR127" s="17">
        <f t="shared" si="105"/>
        <v>41.853333333333339</v>
      </c>
      <c r="CS127" s="2" cm="1">
        <f t="array" aca="1" ref="CS127" ca="1">MAX(_xlfn._xlws.FILTER(CL127:CR127,CL127:CR127&lt;BN127))</f>
        <v>30.47666666666667</v>
      </c>
      <c r="CT127" s="2" cm="1">
        <f t="array" aca="1" ref="CT127" ca="1">MIN(_xlfn._xlws.FILTER($CL127:$CR127,$CL127:$CR127&gt;BN127))</f>
        <v>34.56333333333334</v>
      </c>
      <c r="CU127" s="16">
        <f t="shared" ca="1" si="136"/>
        <v>0.13409165481789365</v>
      </c>
      <c r="CV127" s="20">
        <f t="shared" ca="1" si="137"/>
        <v>-6.7045827408946823E-2</v>
      </c>
      <c r="CW127" s="20">
        <f t="shared" ca="1" si="138"/>
        <v>-4.4697218272631213E-2</v>
      </c>
      <c r="CX127" s="20">
        <f t="shared" ca="1" si="139"/>
        <v>-2.6818330963578729E-2</v>
      </c>
      <c r="CY127" s="20">
        <f t="shared" ca="1" si="140"/>
        <v>-1.4899072757543739E-2</v>
      </c>
      <c r="CZ127" s="20">
        <f t="shared" ca="1" si="141"/>
        <v>-7.8877444010525682E-3</v>
      </c>
      <c r="DA127" s="20">
        <f t="shared" ca="1" si="142"/>
        <v>-4.0633834793301106E-3</v>
      </c>
      <c r="DB127" s="20">
        <f t="shared" ca="1" si="143"/>
        <v>-2.0629485356599021E-3</v>
      </c>
      <c r="DC127" s="21">
        <f t="shared" ca="1" si="144"/>
        <v>2.0629485356599021E-3</v>
      </c>
      <c r="DD127" s="21">
        <f t="shared" ca="1" si="145"/>
        <v>4.0633834793301106E-3</v>
      </c>
      <c r="DE127" s="21">
        <f t="shared" ca="1" si="146"/>
        <v>7.8877444010525682E-3</v>
      </c>
      <c r="DF127" s="21">
        <f t="shared" ca="1" si="147"/>
        <v>1.4899072757543739E-2</v>
      </c>
      <c r="DG127" s="21">
        <f t="shared" ca="1" si="148"/>
        <v>2.6818330963578729E-2</v>
      </c>
      <c r="DH127" s="21">
        <f t="shared" ca="1" si="149"/>
        <v>4.4697218272631213E-2</v>
      </c>
      <c r="DI127" s="21">
        <f t="shared" ca="1" si="150"/>
        <v>6.7045827408946823E-2</v>
      </c>
      <c r="DK127" s="16" cm="1">
        <f t="array" aca="1" ref="DK127" ca="1">MAX(_xlfn._xlws.FILTER(CV127:DI127,CV127:DI127&lt;BT127))</f>
        <v>4.0633834793301106E-3</v>
      </c>
      <c r="DL127" s="16" cm="1">
        <f t="array" aca="1" ref="DL127" ca="1">MIN(_xlfn._xlws.FILTER(CV127:DI127,CV127:DI127&gt;BT127))</f>
        <v>7.8877444010525682E-3</v>
      </c>
      <c r="DM127" s="2" cm="1">
        <f t="array" aca="1" ref="DM127" ca="1">_FV(EB127,"Fechamento anterior",TRUE)</f>
        <v>31.27</v>
      </c>
      <c r="DN127" s="28">
        <f t="shared" ca="1" si="106"/>
        <v>0.52629128124722846</v>
      </c>
      <c r="DO127" s="15">
        <f t="shared" ca="1" si="151"/>
        <v>31.397062001398652</v>
      </c>
      <c r="DP127" s="15">
        <f t="shared" ca="1" si="152"/>
        <v>31.516649767420912</v>
      </c>
      <c r="DQ127" s="9"/>
      <c r="DR127" s="9"/>
      <c r="DS127" s="9"/>
      <c r="DT127" s="89">
        <v>3.8243609217224576E-3</v>
      </c>
      <c r="DU127" s="89">
        <f t="shared" ca="1" si="107"/>
        <v>3.8243609217224576E-3</v>
      </c>
      <c r="DV127" s="72">
        <f t="shared" ca="1" si="108"/>
        <v>0.60460144588784037</v>
      </c>
      <c r="DW127" s="37"/>
      <c r="DX127" s="35">
        <f t="shared" si="118"/>
        <v>0.95930964761123894</v>
      </c>
      <c r="DY127" s="56"/>
      <c r="DZ127" s="56"/>
      <c r="EB127" s="2" t="e" vm="126">
        <v>#VALUE!</v>
      </c>
      <c r="ED127" s="10" cm="1">
        <f t="array" aca="1" ref="ED127" ca="1">_FV(EB127,"Ações em circulação",TRUE)</f>
        <v>10784550000</v>
      </c>
      <c r="EE127" s="18">
        <f>VLOOKUP(BO127,Fundamentus!A:U,5,FALSE)</f>
        <v>0</v>
      </c>
      <c r="EF127" s="2" t="e">
        <f t="shared" ca="1" si="109"/>
        <v>#DIV/0!</v>
      </c>
      <c r="EG127" s="17" t="e">
        <v>#DIV/0!</v>
      </c>
      <c r="EH127" s="17" t="e">
        <f t="shared" ca="1" si="110"/>
        <v>#DIV/0!</v>
      </c>
      <c r="EJ127" s="16" t="e">
        <f t="shared" ca="1" si="97"/>
        <v>#DIV/0!</v>
      </c>
      <c r="EK127" s="32" t="str">
        <f>IF(VLOOKUP(BO127,Fundamentus!A:U,3,FALSE)&lt;15,"Bom",IF(VLOOKUP(BO127,Fundamentus!A:U,3,FALSE)&gt;15,"Ruim","n/a"))</f>
        <v>Bom</v>
      </c>
      <c r="EL127" s="28" t="str">
        <f>IF(VLOOKUP(BO127,Fundamentus!A:U,4,FALSE)&lt;1,"Baixo",IF(VLOOKUP(BO127,Fundamentus!A:U,4,FALSE)&lt;1.5,"Moderado",IF(VLOOKUP(BO127,Fundamentus!A:U,4,FALSE)&gt;1.5,"Alto","n/a")))</f>
        <v>Alto</v>
      </c>
      <c r="EM127" s="17" t="str">
        <f>IF(VLOOKUP(BO127,Fundamentus!A:U,8,FALSE)&lt;0,"Risco elevado",IF(VLOOKUP(BO127,Fundamentus!A:U,8,FALSE)&lt;1,"Saudável",IF(VLOOKUP(BO127,Fundamentus!A:U,8,FALSE)&lt;3,"Estável",IF(VLOOKUP(BO127,Fundamentus!A:U,8,FALSE)&gt;3,"Alerta","n/a"))))</f>
        <v>Saudável</v>
      </c>
      <c r="EN127" s="28" t="str">
        <f t="shared" si="111"/>
        <v>Ruim</v>
      </c>
      <c r="EO127" s="17" t="str">
        <f>IF(VLOOKUP(BO127,Fundamentus!A:U,12,FALSE)&lt;2,"Subvalorizada",IF(VLOOKUP(BO127,Fundamentus!A:U,12,FALSE)&lt;6,"Muita barata",IF(VLOOKUP(BO127,Fundamentus!A:U,12,FALSE)&lt;6,"Barata",IF(VLOOKUP(BO127,Fundamentus!A:U,12,FALSE)&lt;8,"Atrativa",IF(VLOOKUP(BO127,Fundamentus!A:U,12,FALSE)&gt;8,"Supervalorizada","n/a")))))</f>
        <v>Subvalorizada</v>
      </c>
      <c r="EQ127" s="17" t="str">
        <f>IF(VLOOKUP(BO127,Fundamentus!A:U,17,FALSE)&lt;0.1,"Fraco retorno",IF(VLOOKUP(BO127,Fundamentus!A:U,17,FALSE)&gt;0.1,"Bom retorno","n/a"))</f>
        <v>Bom retorno</v>
      </c>
      <c r="ER127" s="17" t="str">
        <f>IF(VLOOKUP(BO127,Fundamentus!A:U,16,FALSE)&lt;0.1,"Ineficiente",IF(VLOOKUP(BO127,Fundamentus!A:U,16,FALSE)&gt;0.1,"Eficiente","n/a"))</f>
        <v>Ineficiente</v>
      </c>
      <c r="ES127" s="33" t="str">
        <f>IF(VLOOKUP(BO127,Fundamentus!A:U,16,FALSE)&lt;0.1,"Oper. Ineficiente",IF(VLOOKUP(BO127,Fundamentus!A:U,16,FALSE)&gt;0.1,"Oper.Eficiente","n/a"))</f>
        <v>Oper. Ineficiente</v>
      </c>
      <c r="ET127" s="34">
        <f>VLOOKUP(BO127,Fundamentus!A:U,14,FALSE)</f>
        <v>0</v>
      </c>
      <c r="EU127" s="17" t="str">
        <f>IF(VLOOKUP(BO127,Fundamentus!A:U,21,FALSE)&lt;0,"Negativo",IF(VLOOKUP(BO127,Fundamentus!A:U,21,FALSE)&lt;0.05,"Fraco",IF(VLOOKUP(BO127,Fundamentus!A:U,21,FALSE)&lt;0.1,"Bom",IF(VLOOKUP(BO127,Fundamentus!A:U,21,FALSE)&gt;0.1,"Muito bom","n/a"))))</f>
        <v>Muito bom</v>
      </c>
      <c r="EW127" s="29" t="str">
        <f>IF(VLOOKUP(BO127,Fundamentus!A:U,15,FALSE)&gt;1,"Bom",IF(VLOOKUP(BO127,Fundamentus!A:U,15,FALSE)&lt;1,"Ruim","n/a"))</f>
        <v>Ruim</v>
      </c>
      <c r="EX127" s="17" t="str">
        <f>IF(VLOOKUP(BO127,Fundamentus!A:U,20,FALSE)&lt;0.5,"Baixa",IF(VLOOKUP(BO127,Fundamentus!A:U,20,FALSE)&lt;1,"Moderada",IF(VLOOKUP(BO127,Fundamentus!A:U,20,FALSE)&lt;2,"Alerta",IF(VLOOKUP(BO127,Fundamentus!A:U,20,FALSE)&gt;2,"Alta","n/a"))))</f>
        <v>Baixa</v>
      </c>
      <c r="EY127" s="10"/>
    </row>
    <row r="128" spans="1:155" s="2" customFormat="1" ht="11.25"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5">
        <v>1.68</v>
      </c>
      <c r="BC128" s="52">
        <v>1.47</v>
      </c>
      <c r="BD128" s="52">
        <v>1.5</v>
      </c>
      <c r="BE128" s="52">
        <v>1.55</v>
      </c>
      <c r="BF128" s="52">
        <v>1.53</v>
      </c>
      <c r="BG128" s="67">
        <v>1.5</v>
      </c>
      <c r="BH128" s="52">
        <v>1.49</v>
      </c>
      <c r="BI128" s="52">
        <v>1.42</v>
      </c>
      <c r="BJ128" s="52">
        <v>1.45</v>
      </c>
      <c r="BK128" s="52">
        <v>1.41</v>
      </c>
      <c r="BL128" s="52">
        <v>1.4</v>
      </c>
      <c r="BM128" s="52">
        <v>1.37</v>
      </c>
      <c r="BN128" s="52" cm="1">
        <f t="array" aca="1" ref="BN128" ca="1">_FV(EB128,"Preço")</f>
        <v>1.37</v>
      </c>
      <c r="BO128" s="69" t="s">
        <v>124</v>
      </c>
      <c r="BP128" s="36" cm="1">
        <f t="array" aca="1" ref="BP128" ca="1">_FV(EB128,"Média de volume",TRUE)</f>
        <v>27180</v>
      </c>
      <c r="BQ128" s="36">
        <v>79800</v>
      </c>
      <c r="BR128" s="36" cm="1">
        <f t="array" aca="1" ref="BR128" ca="1">_FV(EB128,"Volume")</f>
        <v>79800</v>
      </c>
      <c r="BS128" s="24" cm="1">
        <f t="array" aca="1" ref="BS128" ca="1">_FV(EB128,"Beta")</f>
        <v>0.45939999999999998</v>
      </c>
      <c r="BT128" s="71" cm="1">
        <f t="array" aca="1" ref="BT128" ca="1">_FV(EB128,"Variação (%)",TRUE)</f>
        <v>-2.8368999999999998E-2</v>
      </c>
      <c r="BV128" s="17" cm="1">
        <f t="array" aca="1" ref="BV128" ca="1">_FV(EB128,"Baixo")</f>
        <v>1.36</v>
      </c>
      <c r="BW128" s="17" cm="1">
        <f t="array" aca="1" ref="BW128" ca="1">_FV(EB128,"Alto")</f>
        <v>1.41</v>
      </c>
      <c r="BX128" s="24"/>
      <c r="BY128" s="63">
        <f ca="1">SQRT(22.5*(BN128/VLOOKUP(BO128,Fundamentus!A:U,3,FALSE))*(BN128/VLOOKUP(BO128,Fundamentus!A:U,4,FALSE)))</f>
        <v>1.9633857529247196</v>
      </c>
      <c r="CA128" s="62">
        <f t="shared" ca="1" si="112"/>
        <v>0</v>
      </c>
      <c r="CB128" s="8"/>
      <c r="CC128" s="61">
        <f t="shared" si="113"/>
        <v>1.37</v>
      </c>
      <c r="CD128" s="61">
        <f t="shared" si="114"/>
        <v>2.4700000000000002</v>
      </c>
      <c r="CE128" s="61">
        <f t="shared" si="115"/>
        <v>1.8879230769230773</v>
      </c>
      <c r="CF128" s="14"/>
      <c r="CG128" s="35">
        <f t="shared" si="98"/>
        <v>1.287772384288701</v>
      </c>
      <c r="CH128" s="15">
        <f t="shared" si="116"/>
        <v>1.3449999999999989</v>
      </c>
      <c r="CI128" s="35">
        <f t="shared" si="99"/>
        <v>1.4022276157112967</v>
      </c>
      <c r="CK128" s="14"/>
      <c r="CL128" s="17">
        <f t="shared" si="100"/>
        <v>-7.6666666666666661E-2</v>
      </c>
      <c r="CM128" s="17">
        <f t="shared" si="101"/>
        <v>0.64666666666666672</v>
      </c>
      <c r="CN128" s="17">
        <f t="shared" si="102"/>
        <v>1.0233333333333334</v>
      </c>
      <c r="CO128" s="38">
        <f t="shared" si="117"/>
        <v>1.7466666666666668</v>
      </c>
      <c r="CP128" s="17">
        <f t="shared" si="103"/>
        <v>2.1233333333333335</v>
      </c>
      <c r="CQ128" s="17">
        <f t="shared" si="104"/>
        <v>2.8466666666666667</v>
      </c>
      <c r="CR128" s="17">
        <f t="shared" si="105"/>
        <v>3.2233333333333336</v>
      </c>
      <c r="CS128" s="2" cm="1">
        <f t="array" aca="1" ref="CS128" ca="1">MAX(_xlfn._xlws.FILTER(CL128:CR128,CL128:CR128&lt;BN128))</f>
        <v>1.0233333333333334</v>
      </c>
      <c r="CT128" s="2" cm="1">
        <f t="array" aca="1" ref="CT128" ca="1">MIN(_xlfn._xlws.FILTER($CL128:$CR128,$CL128:$CR128&gt;BN128))</f>
        <v>1.7466666666666668</v>
      </c>
      <c r="CU128" s="16">
        <f t="shared" ca="1" si="136"/>
        <v>0.70684039087947892</v>
      </c>
      <c r="CV128" s="20">
        <f t="shared" ca="1" si="137"/>
        <v>-0.35342019543973946</v>
      </c>
      <c r="CW128" s="20">
        <f t="shared" ca="1" si="138"/>
        <v>-0.23561346362649296</v>
      </c>
      <c r="CX128" s="20">
        <f t="shared" ca="1" si="139"/>
        <v>-0.14136807817589578</v>
      </c>
      <c r="CY128" s="20">
        <f t="shared" ca="1" si="140"/>
        <v>-7.8537821208830988E-2</v>
      </c>
      <c r="CZ128" s="20">
        <f t="shared" ca="1" si="141"/>
        <v>-4.1578846522322292E-2</v>
      </c>
      <c r="DA128" s="20">
        <f t="shared" ca="1" si="142"/>
        <v>-2.1419405784226634E-2</v>
      </c>
      <c r="DB128" s="20">
        <f t="shared" ca="1" si="143"/>
        <v>-1.0874467551991984E-2</v>
      </c>
      <c r="DC128" s="21">
        <f t="shared" ca="1" si="144"/>
        <v>1.0874467551991984E-2</v>
      </c>
      <c r="DD128" s="21">
        <f t="shared" ca="1" si="145"/>
        <v>2.1419405784226634E-2</v>
      </c>
      <c r="DE128" s="21">
        <f t="shared" ca="1" si="146"/>
        <v>4.1578846522322292E-2</v>
      </c>
      <c r="DF128" s="21">
        <f t="shared" ca="1" si="147"/>
        <v>7.8537821208830988E-2</v>
      </c>
      <c r="DG128" s="21">
        <f t="shared" ca="1" si="148"/>
        <v>0.14136807817589578</v>
      </c>
      <c r="DH128" s="21">
        <f t="shared" ca="1" si="149"/>
        <v>0.23561346362649296</v>
      </c>
      <c r="DI128" s="21">
        <f t="shared" ca="1" si="150"/>
        <v>0.35342019543973946</v>
      </c>
      <c r="DK128" s="16" cm="1">
        <f t="array" aca="1" ref="DK128" ca="1">MAX(_xlfn._xlws.FILTER(CV128:DI128,CV128:DI128&lt;BT128))</f>
        <v>-4.1578846522322292E-2</v>
      </c>
      <c r="DL128" s="16" cm="1">
        <f t="array" aca="1" ref="DL128" ca="1">MIN(_xlfn._xlws.FILTER(CV128:DI128,CV128:DI128&gt;BT128))</f>
        <v>-2.1419405784226634E-2</v>
      </c>
      <c r="DM128" s="2" cm="1">
        <f t="array" aca="1" ref="DM128" ca="1">_FV(EB128,"Fechamento anterior",TRUE)</f>
        <v>1.41</v>
      </c>
      <c r="DN128" s="28">
        <f t="shared" ca="1" si="106"/>
        <v>0.65527870379449504</v>
      </c>
      <c r="DO128" s="15">
        <f t="shared" ca="1" si="151"/>
        <v>1.3513738264035255</v>
      </c>
      <c r="DP128" s="15">
        <f t="shared" ca="1" si="152"/>
        <v>1.3797986378442404</v>
      </c>
      <c r="DQ128" s="9"/>
      <c r="DR128" s="9"/>
      <c r="DS128" s="9"/>
      <c r="DT128" s="89">
        <v>2.0159440738095658E-2</v>
      </c>
      <c r="DU128" s="89">
        <f t="shared" ca="1" si="107"/>
        <v>2.0159440738095658E-2</v>
      </c>
      <c r="DV128" s="72">
        <f t="shared" ca="1" si="108"/>
        <v>0.43685202833054165</v>
      </c>
      <c r="DW128" s="37"/>
      <c r="DX128" s="35">
        <f t="shared" si="118"/>
        <v>2.8613807855648946E-2</v>
      </c>
      <c r="DY128" s="56"/>
      <c r="DZ128" s="56"/>
      <c r="EB128" s="2" t="e" vm="127">
        <v>#VALUE!</v>
      </c>
      <c r="ED128" s="10" cm="1">
        <f t="array" aca="1" ref="ED128" ca="1">_FV(EB128,"Ações em circulação",TRUE)</f>
        <v>66086360</v>
      </c>
      <c r="EE128" s="18">
        <f>VLOOKUP(BO128,Fundamentus!A:U,5,FALSE)</f>
        <v>0.41599999999999998</v>
      </c>
      <c r="EF128" s="2">
        <f t="shared" ca="1" si="109"/>
        <v>217640175.96153846</v>
      </c>
      <c r="EG128" s="17">
        <v>4135163.3432692308</v>
      </c>
      <c r="EH128" s="17">
        <f t="shared" ca="1" si="110"/>
        <v>4135163.3432692308</v>
      </c>
      <c r="EJ128" s="16">
        <f t="shared" ca="1" si="97"/>
        <v>0</v>
      </c>
      <c r="EK128" s="32" t="str">
        <f>IF(VLOOKUP(BO128,Fundamentus!A:U,3,FALSE)&lt;15,"Bom",IF(VLOOKUP(BO128,Fundamentus!A:U,3,FALSE)&gt;15,"Ruim","n/a"))</f>
        <v>Ruim</v>
      </c>
      <c r="EL128" s="28" t="str">
        <f>IF(VLOOKUP(BO128,Fundamentus!A:U,4,FALSE)&lt;1,"Baixo",IF(VLOOKUP(BO128,Fundamentus!A:U,4,FALSE)&lt;1.5,"Moderado",IF(VLOOKUP(BO128,Fundamentus!A:U,4,FALSE)&gt;1.5,"Alto","n/a")))</f>
        <v>Baixo</v>
      </c>
      <c r="EM128" s="17" t="str">
        <f>IF(VLOOKUP(BO128,Fundamentus!A:U,8,FALSE)&lt;0,"Risco elevado",IF(VLOOKUP(BO128,Fundamentus!A:U,8,FALSE)&lt;1,"Saudável",IF(VLOOKUP(BO128,Fundamentus!A:U,8,FALSE)&lt;3,"Estável",IF(VLOOKUP(BO128,Fundamentus!A:U,8,FALSE)&gt;3,"Alerta","n/a"))))</f>
        <v>Alerta</v>
      </c>
      <c r="EN128" s="28" t="str">
        <f t="shared" si="111"/>
        <v>Ruim</v>
      </c>
      <c r="EO128" s="17" t="str">
        <f>IF(VLOOKUP(BO128,Fundamentus!A:U,12,FALSE)&lt;2,"Subvalorizada",IF(VLOOKUP(BO128,Fundamentus!A:U,12,FALSE)&lt;6,"Muita barata",IF(VLOOKUP(BO128,Fundamentus!A:U,12,FALSE)&lt;6,"Barata",IF(VLOOKUP(BO128,Fundamentus!A:U,12,FALSE)&lt;8,"Atrativa",IF(VLOOKUP(BO128,Fundamentus!A:U,12,FALSE)&gt;8,"Supervalorizada","n/a")))))</f>
        <v>Supervalorizada</v>
      </c>
      <c r="EQ128" s="17" t="str">
        <f>IF(VLOOKUP(BO128,Fundamentus!A:U,17,FALSE)&lt;0.1,"Fraco retorno",IF(VLOOKUP(BO128,Fundamentus!A:U,17,FALSE)&gt;0.1,"Bom retorno","n/a"))</f>
        <v>Fraco retorno</v>
      </c>
      <c r="ER128" s="17" t="str">
        <f>IF(VLOOKUP(BO128,Fundamentus!A:U,16,FALSE)&lt;0.1,"Ineficiente",IF(VLOOKUP(BO128,Fundamentus!A:U,16,FALSE)&gt;0.1,"Eficiente","n/a"))</f>
        <v>Ineficiente</v>
      </c>
      <c r="ES128" s="33" t="str">
        <f>IF(VLOOKUP(BO128,Fundamentus!A:U,16,FALSE)&lt;0.1,"Oper. Ineficiente",IF(VLOOKUP(BO128,Fundamentus!A:U,16,FALSE)&gt;0.1,"Oper.Eficiente","n/a"))</f>
        <v>Oper. Ineficiente</v>
      </c>
      <c r="ET128" s="34">
        <f>VLOOKUP(BO128,Fundamentus!A:U,14,FALSE)</f>
        <v>1.9E-2</v>
      </c>
      <c r="EU128" s="17" t="str">
        <f>IF(VLOOKUP(BO128,Fundamentus!A:U,21,FALSE)&lt;0,"Negativo",IF(VLOOKUP(BO128,Fundamentus!A:U,21,FALSE)&lt;0.05,"Fraco",IF(VLOOKUP(BO128,Fundamentus!A:U,21,FALSE)&lt;0.1,"Bom",IF(VLOOKUP(BO128,Fundamentus!A:U,21,FALSE)&gt;0.1,"Muito bom","n/a"))))</f>
        <v>Bom</v>
      </c>
      <c r="EW128" s="29" t="str">
        <f>IF(VLOOKUP(BO128,Fundamentus!A:U,15,FALSE)&gt;1,"Bom",IF(VLOOKUP(BO128,Fundamentus!A:U,15,FALSE)&lt;1,"Ruim","n/a"))</f>
        <v>Bom</v>
      </c>
      <c r="EX128" s="17" t="str">
        <f>IF(VLOOKUP(BO128,Fundamentus!A:U,20,FALSE)&lt;0.5,"Baixa",IF(VLOOKUP(BO128,Fundamentus!A:U,20,FALSE)&lt;1,"Moderada",IF(VLOOKUP(BO128,Fundamentus!A:U,20,FALSE)&lt;2,"Alerta",IF(VLOOKUP(BO128,Fundamentus!A:U,20,FALSE)&gt;2,"Alta","n/a"))))</f>
        <v>Moderada</v>
      </c>
      <c r="EY128" s="10"/>
    </row>
    <row r="129" spans="1:155" s="2" customFormat="1" ht="11.25"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5">
        <v>5.6</v>
      </c>
      <c r="BC129" s="52">
        <v>5.55</v>
      </c>
      <c r="BD129" s="52">
        <v>5.33</v>
      </c>
      <c r="BE129" s="52">
        <v>5.2</v>
      </c>
      <c r="BF129" s="52">
        <v>5.18</v>
      </c>
      <c r="BG129" s="67">
        <v>4.7699999999999996</v>
      </c>
      <c r="BH129" s="52">
        <v>4.4000000000000004</v>
      </c>
      <c r="BI129" s="52">
        <v>4.1500000000000004</v>
      </c>
      <c r="BJ129" s="52">
        <v>4.47</v>
      </c>
      <c r="BK129" s="52">
        <v>4.29</v>
      </c>
      <c r="BL129" s="52">
        <v>3.92</v>
      </c>
      <c r="BM129" s="52">
        <v>4.2</v>
      </c>
      <c r="BN129" s="52" cm="1">
        <f t="array" aca="1" ref="BN129" ca="1">_FV(EB129,"Preço")</f>
        <v>4.2</v>
      </c>
      <c r="BO129" s="69" t="s">
        <v>125</v>
      </c>
      <c r="BP129" s="36" cm="1">
        <f t="array" aca="1" ref="BP129" ca="1">_FV(EB129,"Média de volume",TRUE)</f>
        <v>15912790</v>
      </c>
      <c r="BQ129" s="36">
        <v>22512100</v>
      </c>
      <c r="BR129" s="36" cm="1">
        <f t="array" aca="1" ref="BR129" ca="1">_FV(EB129,"Volume")</f>
        <v>22512100</v>
      </c>
      <c r="BS129" s="24" cm="1">
        <f t="array" aca="1" ref="BS129" ca="1">_FV(EB129,"Beta")</f>
        <v>0.87009999999999998</v>
      </c>
      <c r="BT129" s="71" cm="1">
        <f t="array" aca="1" ref="BT129" ca="1">_FV(EB129,"Variação (%)",TRUE)</f>
        <v>-1.8692E-2</v>
      </c>
      <c r="BV129" s="17" cm="1">
        <f t="array" aca="1" ref="BV129" ca="1">_FV(EB129,"Baixo")</f>
        <v>4.1399999999999997</v>
      </c>
      <c r="BW129" s="17" cm="1">
        <f t="array" aca="1" ref="BW129" ca="1">_FV(EB129,"Alto")</f>
        <v>4.28</v>
      </c>
      <c r="BX129" s="24"/>
      <c r="BY129" s="63">
        <f ca="1">SQRT(22.5*(BN129/VLOOKUP(BO129,Fundamentus!A:U,3,FALSE))*(BN129/VLOOKUP(BO129,Fundamentus!A:U,4,FALSE)))</f>
        <v>6.6621361417352079</v>
      </c>
      <c r="CA129" s="62">
        <f t="shared" ca="1" si="112"/>
        <v>0</v>
      </c>
      <c r="CB129" s="8"/>
      <c r="CC129" s="61">
        <f t="shared" si="113"/>
        <v>3.92</v>
      </c>
      <c r="CD129" s="61">
        <f t="shared" si="114"/>
        <v>8.5299999999999994</v>
      </c>
      <c r="CE129" s="61">
        <f t="shared" si="115"/>
        <v>6.0104615384615396</v>
      </c>
      <c r="CF129" s="14"/>
      <c r="CG129" s="35">
        <f t="shared" si="98"/>
        <v>3.5277595186792441</v>
      </c>
      <c r="CH129" s="15">
        <f t="shared" si="116"/>
        <v>3.9250000000000682</v>
      </c>
      <c r="CI129" s="35">
        <f t="shared" si="99"/>
        <v>4.3222404813208923</v>
      </c>
      <c r="CK129" s="14"/>
      <c r="CL129" s="17">
        <f t="shared" si="100"/>
        <v>-2.2266666666666666</v>
      </c>
      <c r="CM129" s="17">
        <f t="shared" si="101"/>
        <v>0.84666666666666668</v>
      </c>
      <c r="CN129" s="17">
        <f t="shared" si="102"/>
        <v>2.3833333333333329</v>
      </c>
      <c r="CO129" s="38">
        <f t="shared" si="117"/>
        <v>5.4566666666666661</v>
      </c>
      <c r="CP129" s="17">
        <f t="shared" si="103"/>
        <v>6.9933333333333323</v>
      </c>
      <c r="CQ129" s="17">
        <f t="shared" si="104"/>
        <v>10.066666666666666</v>
      </c>
      <c r="CR129" s="17">
        <f t="shared" si="105"/>
        <v>11.603333333333332</v>
      </c>
      <c r="CS129" s="2" cm="1">
        <f t="array" aca="1" ref="CS129" ca="1">MAX(_xlfn._xlws.FILTER(CL129:CR129,CL129:CR129&lt;BN129))</f>
        <v>2.3833333333333329</v>
      </c>
      <c r="CT129" s="2" cm="1">
        <f t="array" aca="1" ref="CT129" ca="1">MIN(_xlfn._xlws.FILTER($CL129:$CR129,$CL129:$CR129&gt;BN129))</f>
        <v>5.4566666666666661</v>
      </c>
      <c r="CU129" s="16">
        <f t="shared" ca="1" si="136"/>
        <v>1.2895104895104899</v>
      </c>
      <c r="CV129" s="20">
        <f t="shared" ca="1" si="137"/>
        <v>-0.64475524475524493</v>
      </c>
      <c r="CW129" s="20">
        <f t="shared" ca="1" si="138"/>
        <v>-0.42983682983682997</v>
      </c>
      <c r="CX129" s="20">
        <f t="shared" ca="1" si="139"/>
        <v>-0.25790209790209795</v>
      </c>
      <c r="CY129" s="20">
        <f t="shared" ca="1" si="140"/>
        <v>-0.1432789432789433</v>
      </c>
      <c r="CZ129" s="20">
        <f t="shared" ca="1" si="141"/>
        <v>-7.5853558206499402E-2</v>
      </c>
      <c r="DA129" s="20">
        <f t="shared" ca="1" si="142"/>
        <v>-3.907607543971181E-2</v>
      </c>
      <c r="DB129" s="20">
        <f t="shared" ca="1" si="143"/>
        <v>-1.9838622915545997E-2</v>
      </c>
      <c r="DC129" s="21">
        <f t="shared" ca="1" si="144"/>
        <v>1.9838622915545997E-2</v>
      </c>
      <c r="DD129" s="21">
        <f t="shared" ca="1" si="145"/>
        <v>3.907607543971181E-2</v>
      </c>
      <c r="DE129" s="21">
        <f t="shared" ca="1" si="146"/>
        <v>7.5853558206499402E-2</v>
      </c>
      <c r="DF129" s="21">
        <f t="shared" ca="1" si="147"/>
        <v>0.1432789432789433</v>
      </c>
      <c r="DG129" s="21">
        <f t="shared" ca="1" si="148"/>
        <v>0.25790209790209795</v>
      </c>
      <c r="DH129" s="21">
        <f t="shared" ca="1" si="149"/>
        <v>0.42983682983682997</v>
      </c>
      <c r="DI129" s="21">
        <f t="shared" ca="1" si="150"/>
        <v>0.64475524475524493</v>
      </c>
      <c r="DK129" s="16" cm="1">
        <f t="array" aca="1" ref="DK129" ca="1">MAX(_xlfn._xlws.FILTER(CV129:DI129,CV129:DI129&lt;BT129))</f>
        <v>-1.9838622915545997E-2</v>
      </c>
      <c r="DL129" s="16" cm="1">
        <f t="array" aca="1" ref="DL129" ca="1">MIN(_xlfn._xlws.FILTER(CV129:DI129,CV129:DI129&gt;BT129))</f>
        <v>1.9838622915545997E-2</v>
      </c>
      <c r="DM129" s="2" cm="1">
        <f t="array" aca="1" ref="DM129" ca="1">_FV(EB129,"Fechamento anterior",TRUE)</f>
        <v>4.28</v>
      </c>
      <c r="DN129" s="28">
        <f t="shared" ca="1" si="106"/>
        <v>2.8909116710931226E-2</v>
      </c>
      <c r="DO129" s="15">
        <f t="shared" ca="1" si="151"/>
        <v>4.1950906939214629</v>
      </c>
      <c r="DP129" s="15">
        <f t="shared" ca="1" si="152"/>
        <v>4.3649093060785376</v>
      </c>
      <c r="DQ129" s="9"/>
      <c r="DR129" s="9"/>
      <c r="DS129" s="9"/>
      <c r="DT129" s="89">
        <v>3.9677245831091994E-2</v>
      </c>
      <c r="DU129" s="89">
        <f t="shared" ca="1" si="107"/>
        <v>3.9677245831091994E-2</v>
      </c>
      <c r="DV129" s="72">
        <f t="shared" ca="1" si="108"/>
        <v>0.69227587048922434</v>
      </c>
      <c r="DW129" s="37"/>
      <c r="DX129" s="35">
        <f t="shared" si="118"/>
        <v>0.19862024066041201</v>
      </c>
      <c r="DY129" s="56"/>
      <c r="DZ129" s="56"/>
      <c r="EB129" s="2" t="e" vm="128">
        <v>#VALUE!</v>
      </c>
      <c r="ED129" s="10" cm="1">
        <f t="array" aca="1" ref="ED129" ca="1">_FV(EB129,"Ações em circulação",TRUE)</f>
        <v>1253079000</v>
      </c>
      <c r="EE129" s="18">
        <f>VLOOKUP(BO129,Fundamentus!A:U,5,FALSE)</f>
        <v>0.20599999999999999</v>
      </c>
      <c r="EF129" s="2">
        <f t="shared" ca="1" si="109"/>
        <v>25548212621.359226</v>
      </c>
      <c r="EG129" s="17">
        <v>293804445.14563107</v>
      </c>
      <c r="EH129" s="17">
        <f t="shared" ca="1" si="110"/>
        <v>293804445.14563107</v>
      </c>
      <c r="EJ129" s="16">
        <f t="shared" ca="1" si="97"/>
        <v>0</v>
      </c>
      <c r="EK129" s="32" t="str">
        <f>IF(VLOOKUP(BO129,Fundamentus!A:U,3,FALSE)&lt;15,"Bom",IF(VLOOKUP(BO129,Fundamentus!A:U,3,FALSE)&gt;15,"Ruim","n/a"))</f>
        <v>Ruim</v>
      </c>
      <c r="EL129" s="28" t="str">
        <f>IF(VLOOKUP(BO129,Fundamentus!A:U,4,FALSE)&lt;1,"Baixo",IF(VLOOKUP(BO129,Fundamentus!A:U,4,FALSE)&lt;1.5,"Moderado",IF(VLOOKUP(BO129,Fundamentus!A:U,4,FALSE)&gt;1.5,"Alto","n/a")))</f>
        <v>Baixo</v>
      </c>
      <c r="EM129" s="17" t="str">
        <f>IF(VLOOKUP(BO129,Fundamentus!A:U,8,FALSE)&lt;0,"Risco elevado",IF(VLOOKUP(BO129,Fundamentus!A:U,8,FALSE)&lt;1,"Saudável",IF(VLOOKUP(BO129,Fundamentus!A:U,8,FALSE)&lt;3,"Estável",IF(VLOOKUP(BO129,Fundamentus!A:U,8,FALSE)&gt;3,"Alerta","n/a"))))</f>
        <v>Saudável</v>
      </c>
      <c r="EN129" s="28" t="str">
        <f t="shared" si="111"/>
        <v>Ruim</v>
      </c>
      <c r="EO129" s="17" t="str">
        <f>IF(VLOOKUP(BO129,Fundamentus!A:U,12,FALSE)&lt;2,"Subvalorizada",IF(VLOOKUP(BO129,Fundamentus!A:U,12,FALSE)&lt;6,"Muita barata",IF(VLOOKUP(BO129,Fundamentus!A:U,12,FALSE)&lt;6,"Barata",IF(VLOOKUP(BO129,Fundamentus!A:U,12,FALSE)&lt;8,"Atrativa",IF(VLOOKUP(BO129,Fundamentus!A:U,12,FALSE)&gt;8,"Supervalorizada","n/a")))))</f>
        <v>Muita barata</v>
      </c>
      <c r="EQ129" s="17" t="str">
        <f>IF(VLOOKUP(BO129,Fundamentus!A:U,17,FALSE)&lt;0.1,"Fraco retorno",IF(VLOOKUP(BO129,Fundamentus!A:U,17,FALSE)&gt;0.1,"Bom retorno","n/a"))</f>
        <v>Fraco retorno</v>
      </c>
      <c r="ER129" s="17" t="str">
        <f>IF(VLOOKUP(BO129,Fundamentus!A:U,16,FALSE)&lt;0.1,"Ineficiente",IF(VLOOKUP(BO129,Fundamentus!A:U,16,FALSE)&gt;0.1,"Eficiente","n/a"))</f>
        <v>Ineficiente</v>
      </c>
      <c r="ES129" s="33" t="str">
        <f>IF(VLOOKUP(BO129,Fundamentus!A:U,16,FALSE)&lt;0.1,"Oper. Ineficiente",IF(VLOOKUP(BO129,Fundamentus!A:U,16,FALSE)&gt;0.1,"Oper.Eficiente","n/a"))</f>
        <v>Oper. Ineficiente</v>
      </c>
      <c r="ET129" s="34">
        <f>VLOOKUP(BO129,Fundamentus!A:U,14,FALSE)</f>
        <v>1.15E-2</v>
      </c>
      <c r="EU129" s="17" t="str">
        <f>IF(VLOOKUP(BO129,Fundamentus!A:U,21,FALSE)&lt;0,"Negativo",IF(VLOOKUP(BO129,Fundamentus!A:U,21,FALSE)&lt;0.05,"Fraco",IF(VLOOKUP(BO129,Fundamentus!A:U,21,FALSE)&lt;0.1,"Bom",IF(VLOOKUP(BO129,Fundamentus!A:U,21,FALSE)&gt;0.1,"Muito bom","n/a"))))</f>
        <v>Fraco</v>
      </c>
      <c r="EW129" s="29" t="str">
        <f>IF(VLOOKUP(BO129,Fundamentus!A:U,15,FALSE)&gt;1,"Bom",IF(VLOOKUP(BO129,Fundamentus!A:U,15,FALSE)&lt;1,"Ruim","n/a"))</f>
        <v>Bom</v>
      </c>
      <c r="EX129" s="17" t="str">
        <f>IF(VLOOKUP(BO129,Fundamentus!A:U,20,FALSE)&lt;0.5,"Baixa",IF(VLOOKUP(BO129,Fundamentus!A:U,20,FALSE)&lt;1,"Moderada",IF(VLOOKUP(BO129,Fundamentus!A:U,20,FALSE)&lt;2,"Alerta",IF(VLOOKUP(BO129,Fundamentus!A:U,20,FALSE)&gt;2,"Alta","n/a"))))</f>
        <v>Baixa</v>
      </c>
      <c r="EY129" s="10"/>
    </row>
    <row r="130" spans="1:155" s="2" customFormat="1" ht="11.25"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5">
        <v>4.13</v>
      </c>
      <c r="BC130" s="52">
        <v>4.41</v>
      </c>
      <c r="BD130" s="52">
        <v>4.32</v>
      </c>
      <c r="BE130" s="52">
        <v>4.0999999999999996</v>
      </c>
      <c r="BF130" s="52">
        <v>4.09</v>
      </c>
      <c r="BG130" s="67">
        <v>4.08</v>
      </c>
      <c r="BH130" s="52">
        <v>4.0999999999999996</v>
      </c>
      <c r="BI130" s="52">
        <v>3.9</v>
      </c>
      <c r="BJ130" s="52">
        <v>3.89</v>
      </c>
      <c r="BK130" s="52">
        <v>3.68</v>
      </c>
      <c r="BL130" s="52">
        <v>3.57</v>
      </c>
      <c r="BM130" s="52">
        <v>3.46</v>
      </c>
      <c r="BN130" s="52" cm="1">
        <f t="array" aca="1" ref="BN130" ca="1">_FV(EB130,"Preço")</f>
        <v>3.46</v>
      </c>
      <c r="BO130" s="69" t="s">
        <v>126</v>
      </c>
      <c r="BP130" s="36" cm="1">
        <f t="array" aca="1" ref="BP130" ca="1">_FV(EB130,"Média de volume",TRUE)</f>
        <v>606340</v>
      </c>
      <c r="BQ130" s="36">
        <v>513900</v>
      </c>
      <c r="BR130" s="36" cm="1">
        <f t="array" aca="1" ref="BR130" ca="1">_FV(EB130,"Volume")</f>
        <v>513900</v>
      </c>
      <c r="BS130" s="24" cm="1">
        <f t="array" aca="1" ref="BS130" ca="1">_FV(EB130,"Beta")</f>
        <v>0.40610000000000002</v>
      </c>
      <c r="BT130" s="71" cm="1">
        <f t="array" aca="1" ref="BT130" ca="1">_FV(EB130,"Variação (%)",TRUE)</f>
        <v>5.8140000000000006E-3</v>
      </c>
      <c r="BV130" s="17" cm="1">
        <f t="array" aca="1" ref="BV130" ca="1">_FV(EB130,"Baixo")</f>
        <v>3.42</v>
      </c>
      <c r="BW130" s="17" cm="1">
        <f t="array" aca="1" ref="BW130" ca="1">_FV(EB130,"Alto")</f>
        <v>3.49</v>
      </c>
      <c r="BX130" s="24"/>
      <c r="BY130" s="63" t="e">
        <f ca="1">SQRT(22.5*(BN130/VLOOKUP(BO130,Fundamentus!A:U,3,FALSE))*(BN130/VLOOKUP(BO130,Fundamentus!A:U,4,FALSE)))</f>
        <v>#NUM!</v>
      </c>
      <c r="CA130" s="62">
        <f t="shared" ca="1" si="112"/>
        <v>0</v>
      </c>
      <c r="CB130" s="8"/>
      <c r="CC130" s="61">
        <f t="shared" si="113"/>
        <v>3.46</v>
      </c>
      <c r="CD130" s="61">
        <f t="shared" si="114"/>
        <v>7.89</v>
      </c>
      <c r="CE130" s="61">
        <f t="shared" si="115"/>
        <v>5.3469230769230771</v>
      </c>
      <c r="CF130" s="14"/>
      <c r="CG130" s="35">
        <f t="shared" si="98"/>
        <v>2.9821950283585403</v>
      </c>
      <c r="CH130" s="15">
        <f t="shared" si="116"/>
        <v>3.2999999999999545</v>
      </c>
      <c r="CI130" s="35">
        <f t="shared" si="99"/>
        <v>3.6178049716413687</v>
      </c>
      <c r="CK130" s="14"/>
      <c r="CL130" s="17">
        <f t="shared" si="100"/>
        <v>-2.3733333333333322</v>
      </c>
      <c r="CM130" s="17">
        <f t="shared" si="101"/>
        <v>0.54333333333333389</v>
      </c>
      <c r="CN130" s="17">
        <f t="shared" si="102"/>
        <v>2.0566666666666675</v>
      </c>
      <c r="CO130" s="38">
        <f t="shared" si="117"/>
        <v>4.9733333333333336</v>
      </c>
      <c r="CP130" s="17">
        <f t="shared" si="103"/>
        <v>6.4866666666666672</v>
      </c>
      <c r="CQ130" s="17">
        <f t="shared" si="104"/>
        <v>9.4033333333333324</v>
      </c>
      <c r="CR130" s="17">
        <f t="shared" si="105"/>
        <v>10.916666666666668</v>
      </c>
      <c r="CS130" s="2" cm="1">
        <f t="array" aca="1" ref="CS130" ca="1">MAX(_xlfn._xlws.FILTER(CL130:CR130,CL130:CR130&lt;BN130))</f>
        <v>2.0566666666666675</v>
      </c>
      <c r="CT130" s="2" cm="1">
        <f t="array" aca="1" ref="CT130" ca="1">MIN(_xlfn._xlws.FILTER($CL130:$CR130,$CL130:$CR130&gt;BN130))</f>
        <v>4.9733333333333336</v>
      </c>
      <c r="CU130" s="16">
        <f t="shared" ca="1" si="136"/>
        <v>1.4181523500810362</v>
      </c>
      <c r="CV130" s="20">
        <f t="shared" ca="1" si="137"/>
        <v>-0.70907617504051812</v>
      </c>
      <c r="CW130" s="20">
        <f t="shared" ca="1" si="138"/>
        <v>-0.4727174500270121</v>
      </c>
      <c r="CX130" s="20">
        <f t="shared" ca="1" si="139"/>
        <v>-0.28363047001620723</v>
      </c>
      <c r="CY130" s="20">
        <f t="shared" ca="1" si="140"/>
        <v>-0.15757248334233737</v>
      </c>
      <c r="CZ130" s="20">
        <f t="shared" ca="1" si="141"/>
        <v>-8.3420726475355075E-2</v>
      </c>
      <c r="DA130" s="20">
        <f t="shared" ca="1" si="142"/>
        <v>-4.2974313638819282E-2</v>
      </c>
      <c r="DB130" s="20">
        <f t="shared" ca="1" si="143"/>
        <v>-2.1817728462785173E-2</v>
      </c>
      <c r="DC130" s="21">
        <f t="shared" ca="1" si="144"/>
        <v>2.1817728462785173E-2</v>
      </c>
      <c r="DD130" s="21">
        <f t="shared" ca="1" si="145"/>
        <v>4.2974313638819282E-2</v>
      </c>
      <c r="DE130" s="21">
        <f t="shared" ca="1" si="146"/>
        <v>8.3420726475355075E-2</v>
      </c>
      <c r="DF130" s="21">
        <f t="shared" ca="1" si="147"/>
        <v>0.15757248334233737</v>
      </c>
      <c r="DG130" s="21">
        <f t="shared" ca="1" si="148"/>
        <v>0.28363047001620723</v>
      </c>
      <c r="DH130" s="21">
        <f t="shared" ca="1" si="149"/>
        <v>0.4727174500270121</v>
      </c>
      <c r="DI130" s="21">
        <f t="shared" ca="1" si="150"/>
        <v>0.70907617504051812</v>
      </c>
      <c r="DK130" s="16" cm="1">
        <f t="array" aca="1" ref="DK130" ca="1">MAX(_xlfn._xlws.FILTER(CV130:DI130,CV130:DI130&lt;BT130))</f>
        <v>-2.1817728462785173E-2</v>
      </c>
      <c r="DL130" s="16" cm="1">
        <f t="array" aca="1" ref="DL130" ca="1">MIN(_xlfn._xlws.FILTER(CV130:DI130,CV130:DI130&gt;BT130))</f>
        <v>2.1817728462785173E-2</v>
      </c>
      <c r="DM130" s="2" cm="1">
        <f t="array" aca="1" ref="DM130" ca="1">_FV(EB130,"Fechamento anterior",TRUE)</f>
        <v>3.44</v>
      </c>
      <c r="DN130" s="28">
        <f t="shared" ca="1" si="106"/>
        <v>0.63323920265780775</v>
      </c>
      <c r="DO130" s="15">
        <f t="shared" ca="1" si="151"/>
        <v>3.3649470140880191</v>
      </c>
      <c r="DP130" s="15">
        <f t="shared" ca="1" si="152"/>
        <v>3.5150529859119808</v>
      </c>
      <c r="DQ130" s="9"/>
      <c r="DR130" s="9"/>
      <c r="DS130" s="9"/>
      <c r="DT130" s="89">
        <v>4.3635456925570346E-2</v>
      </c>
      <c r="DU130" s="89">
        <f t="shared" ca="1" si="107"/>
        <v>4.3635456925570346E-2</v>
      </c>
      <c r="DV130" s="72">
        <f t="shared" ca="1" si="108"/>
        <v>0.50345342042218488</v>
      </c>
      <c r="DW130" s="37"/>
      <c r="DX130" s="35">
        <f t="shared" si="118"/>
        <v>0.15890248582070712</v>
      </c>
      <c r="DY130" s="56"/>
      <c r="DZ130" s="56"/>
      <c r="EB130" s="2" t="e" vm="129">
        <v>#VALUE!</v>
      </c>
      <c r="ED130" s="10" cm="1">
        <f t="array" aca="1" ref="ED130" ca="1">_FV(EB130,"Ações em circulação",TRUE)</f>
        <v>303541900</v>
      </c>
      <c r="EE130" s="18">
        <f>VLOOKUP(BO130,Fundamentus!A:U,5,FALSE)</f>
        <v>0.45600000000000002</v>
      </c>
      <c r="EF130" s="2">
        <f t="shared" ca="1" si="109"/>
        <v>2303190732.45614</v>
      </c>
      <c r="EG130" s="17">
        <v>-55046258.505701751</v>
      </c>
      <c r="EH130" s="17">
        <f t="shared" ca="1" si="110"/>
        <v>-55046258.505701751</v>
      </c>
      <c r="EJ130" s="16">
        <f t="shared" ca="1" si="97"/>
        <v>0</v>
      </c>
      <c r="EK130" s="32" t="str">
        <f>IF(VLOOKUP(BO130,Fundamentus!A:U,3,FALSE)&lt;15,"Bom",IF(VLOOKUP(BO130,Fundamentus!A:U,3,FALSE)&gt;15,"Ruim","n/a"))</f>
        <v>Bom</v>
      </c>
      <c r="EL130" s="28" t="str">
        <f>IF(VLOOKUP(BO130,Fundamentus!A:U,4,FALSE)&lt;1,"Baixo",IF(VLOOKUP(BO130,Fundamentus!A:U,4,FALSE)&lt;1.5,"Moderado",IF(VLOOKUP(BO130,Fundamentus!A:U,4,FALSE)&gt;1.5,"Alto","n/a")))</f>
        <v>Baixo</v>
      </c>
      <c r="EM130" s="17" t="str">
        <f>IF(VLOOKUP(BO130,Fundamentus!A:U,8,FALSE)&lt;0,"Risco elevado",IF(VLOOKUP(BO130,Fundamentus!A:U,8,FALSE)&lt;1,"Saudável",IF(VLOOKUP(BO130,Fundamentus!A:U,8,FALSE)&lt;3,"Estável",IF(VLOOKUP(BO130,Fundamentus!A:U,8,FALSE)&gt;3,"Alerta","n/a"))))</f>
        <v>Saudável</v>
      </c>
      <c r="EN130" s="28" t="str">
        <f t="shared" si="111"/>
        <v>Ruim</v>
      </c>
      <c r="EO130" s="17" t="str">
        <f>IF(VLOOKUP(BO130,Fundamentus!A:U,12,FALSE)&lt;2,"Subvalorizada",IF(VLOOKUP(BO130,Fundamentus!A:U,12,FALSE)&lt;6,"Muita barata",IF(VLOOKUP(BO130,Fundamentus!A:U,12,FALSE)&lt;6,"Barata",IF(VLOOKUP(BO130,Fundamentus!A:U,12,FALSE)&lt;8,"Atrativa",IF(VLOOKUP(BO130,Fundamentus!A:U,12,FALSE)&gt;8,"Supervalorizada","n/a")))))</f>
        <v>Muita barata</v>
      </c>
      <c r="EQ130" s="17" t="str">
        <f>IF(VLOOKUP(BO130,Fundamentus!A:U,17,FALSE)&lt;0.1,"Fraco retorno",IF(VLOOKUP(BO130,Fundamentus!A:U,17,FALSE)&gt;0.1,"Bom retorno","n/a"))</f>
        <v>Fraco retorno</v>
      </c>
      <c r="ER130" s="17" t="str">
        <f>IF(VLOOKUP(BO130,Fundamentus!A:U,16,FALSE)&lt;0.1,"Ineficiente",IF(VLOOKUP(BO130,Fundamentus!A:U,16,FALSE)&gt;0.1,"Eficiente","n/a"))</f>
        <v>Ineficiente</v>
      </c>
      <c r="ES130" s="33" t="str">
        <f>IF(VLOOKUP(BO130,Fundamentus!A:U,16,FALSE)&lt;0.1,"Oper. Ineficiente",IF(VLOOKUP(BO130,Fundamentus!A:U,16,FALSE)&gt;0.1,"Oper.Eficiente","n/a"))</f>
        <v>Oper. Ineficiente</v>
      </c>
      <c r="ET130" s="34">
        <f>VLOOKUP(BO130,Fundamentus!A:U,14,FALSE)</f>
        <v>-2.3900000000000001E-2</v>
      </c>
      <c r="EU130" s="17" t="str">
        <f>IF(VLOOKUP(BO130,Fundamentus!A:U,21,FALSE)&lt;0,"Negativo",IF(VLOOKUP(BO130,Fundamentus!A:U,21,FALSE)&lt;0.05,"Fraco",IF(VLOOKUP(BO130,Fundamentus!A:U,21,FALSE)&lt;0.1,"Bom",IF(VLOOKUP(BO130,Fundamentus!A:U,21,FALSE)&gt;0.1,"Muito bom","n/a"))))</f>
        <v>Muito bom</v>
      </c>
      <c r="EW130" s="29" t="str">
        <f>IF(VLOOKUP(BO130,Fundamentus!A:U,15,FALSE)&gt;1,"Bom",IF(VLOOKUP(BO130,Fundamentus!A:U,15,FALSE)&lt;1,"Ruim","n/a"))</f>
        <v>Bom</v>
      </c>
      <c r="EX130" s="17" t="str">
        <f>IF(VLOOKUP(BO130,Fundamentus!A:U,20,FALSE)&lt;0.5,"Baixa",IF(VLOOKUP(BO130,Fundamentus!A:U,20,FALSE)&lt;1,"Moderada",IF(VLOOKUP(BO130,Fundamentus!A:U,20,FALSE)&lt;2,"Alerta",IF(VLOOKUP(BO130,Fundamentus!A:U,20,FALSE)&gt;2,"Alta","n/a"))))</f>
        <v>Alta</v>
      </c>
      <c r="EY130" s="10"/>
    </row>
    <row r="131" spans="1:155" s="2" customFormat="1" ht="11.25"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5">
        <v>16.079999999999998</v>
      </c>
      <c r="BC131" s="52">
        <v>16.87</v>
      </c>
      <c r="BD131" s="52">
        <v>16.100000000000001</v>
      </c>
      <c r="BE131" s="52">
        <v>15.6</v>
      </c>
      <c r="BF131" s="52">
        <v>15.87</v>
      </c>
      <c r="BG131" s="67">
        <v>15.61</v>
      </c>
      <c r="BH131" s="52">
        <v>15.07</v>
      </c>
      <c r="BI131" s="52">
        <v>15.61</v>
      </c>
      <c r="BJ131" s="52">
        <v>16.489999999999998</v>
      </c>
      <c r="BK131" s="52">
        <v>16.66</v>
      </c>
      <c r="BL131" s="52">
        <v>16.190000000000001</v>
      </c>
      <c r="BM131" s="52">
        <v>16.52</v>
      </c>
      <c r="BN131" s="52" cm="1">
        <f t="array" aca="1" ref="BN131" ca="1">_FV(EB131,"Preço")</f>
        <v>16.52</v>
      </c>
      <c r="BO131" s="69" t="s">
        <v>127</v>
      </c>
      <c r="BP131" s="36" cm="1">
        <f t="array" aca="1" ref="BP131" ca="1">_FV(EB131,"Média de volume",TRUE)</f>
        <v>3303960</v>
      </c>
      <c r="BQ131" s="36">
        <v>2648500</v>
      </c>
      <c r="BR131" s="36" cm="1">
        <f t="array" aca="1" ref="BR131" ca="1">_FV(EB131,"Volume")</f>
        <v>2648500</v>
      </c>
      <c r="BS131" s="24" cm="1">
        <f t="array" aca="1" ref="BS131" ca="1">_FV(EB131,"Beta")</f>
        <v>0.90049999999999997</v>
      </c>
      <c r="BT131" s="71" cm="1">
        <f t="array" aca="1" ref="BT131" ca="1">_FV(EB131,"Variação (%)",TRUE)</f>
        <v>-1.4907999999999999E-2</v>
      </c>
      <c r="BV131" s="17" cm="1">
        <f t="array" aca="1" ref="BV131" ca="1">_FV(EB131,"Baixo")</f>
        <v>16.37</v>
      </c>
      <c r="BW131" s="17" cm="1">
        <f t="array" aca="1" ref="BW131" ca="1">_FV(EB131,"Alto")</f>
        <v>16.78</v>
      </c>
      <c r="BX131" s="24"/>
      <c r="BY131" s="63">
        <f ca="1">SQRT(22.5*(BN131/VLOOKUP(BO131,Fundamentus!A:U,3,FALSE))*(BN131/VLOOKUP(BO131,Fundamentus!A:U,4,FALSE)))</f>
        <v>37.338590962695235</v>
      </c>
      <c r="CA131" s="62">
        <f t="shared" ca="1" si="112"/>
        <v>0</v>
      </c>
      <c r="CB131" s="8"/>
      <c r="CC131" s="61">
        <f t="shared" si="113"/>
        <v>15.07</v>
      </c>
      <c r="CD131" s="61">
        <f t="shared" si="114"/>
        <v>20.3</v>
      </c>
      <c r="CE131" s="61">
        <f t="shared" si="115"/>
        <v>17.747230769230764</v>
      </c>
      <c r="CF131" s="14"/>
      <c r="CG131" s="35">
        <f t="shared" si="98"/>
        <v>16.027509124209104</v>
      </c>
      <c r="CH131" s="15">
        <f t="shared" si="116"/>
        <v>16.369999999999976</v>
      </c>
      <c r="CI131" s="35">
        <f t="shared" si="99"/>
        <v>16.712490875790849</v>
      </c>
      <c r="CK131" s="14"/>
      <c r="CL131" s="17">
        <f t="shared" si="100"/>
        <v>8.8433333333333337</v>
      </c>
      <c r="CM131" s="17">
        <f t="shared" si="101"/>
        <v>11.956666666666667</v>
      </c>
      <c r="CN131" s="17">
        <f t="shared" si="102"/>
        <v>14.073333333333334</v>
      </c>
      <c r="CO131" s="38">
        <f t="shared" si="117"/>
        <v>17.186666666666667</v>
      </c>
      <c r="CP131" s="17">
        <f t="shared" si="103"/>
        <v>19.303333333333335</v>
      </c>
      <c r="CQ131" s="17">
        <f t="shared" si="104"/>
        <v>22.416666666666668</v>
      </c>
      <c r="CR131" s="17">
        <f t="shared" si="105"/>
        <v>24.533333333333335</v>
      </c>
      <c r="CS131" s="2" cm="1">
        <f t="array" aca="1" ref="CS131" ca="1">MAX(_xlfn._xlws.FILTER(CL131:CR131,CL131:CR131&lt;BN131))</f>
        <v>14.073333333333334</v>
      </c>
      <c r="CT131" s="2" cm="1">
        <f t="array" aca="1" ref="CT131" ca="1">MIN(_xlfn._xlws.FILTER($CL131:$CR131,$CL131:$CR131&gt;BN131))</f>
        <v>17.186666666666667</v>
      </c>
      <c r="CU131" s="16">
        <f t="shared" ca="1" si="136"/>
        <v>0.22122216958787311</v>
      </c>
      <c r="CV131" s="20">
        <f t="shared" ca="1" si="137"/>
        <v>-0.11061108479393655</v>
      </c>
      <c r="CW131" s="20">
        <f t="shared" ca="1" si="138"/>
        <v>-7.3740723195957703E-2</v>
      </c>
      <c r="CX131" s="20">
        <f t="shared" ca="1" si="139"/>
        <v>-4.424443391757462E-2</v>
      </c>
      <c r="CY131" s="20">
        <f t="shared" ca="1" si="140"/>
        <v>-2.4580241065319235E-2</v>
      </c>
      <c r="CZ131" s="20">
        <f t="shared" ca="1" si="141"/>
        <v>-1.3013068799286653E-2</v>
      </c>
      <c r="DA131" s="20">
        <f t="shared" ca="1" si="142"/>
        <v>-6.7037021087234276E-3</v>
      </c>
      <c r="DB131" s="20">
        <f t="shared" ca="1" si="143"/>
        <v>-3.4034179936595862E-3</v>
      </c>
      <c r="DC131" s="21">
        <f t="shared" ca="1" si="144"/>
        <v>3.4034179936595862E-3</v>
      </c>
      <c r="DD131" s="21">
        <f t="shared" ca="1" si="145"/>
        <v>6.7037021087234276E-3</v>
      </c>
      <c r="DE131" s="21">
        <f t="shared" ca="1" si="146"/>
        <v>1.3013068799286653E-2</v>
      </c>
      <c r="DF131" s="21">
        <f t="shared" ca="1" si="147"/>
        <v>2.4580241065319235E-2</v>
      </c>
      <c r="DG131" s="21">
        <f t="shared" ca="1" si="148"/>
        <v>4.424443391757462E-2</v>
      </c>
      <c r="DH131" s="21">
        <f t="shared" ca="1" si="149"/>
        <v>7.3740723195957703E-2</v>
      </c>
      <c r="DI131" s="21">
        <f t="shared" ca="1" si="150"/>
        <v>0.11061108479393655</v>
      </c>
      <c r="DK131" s="16" cm="1">
        <f t="array" aca="1" ref="DK131" ca="1">MAX(_xlfn._xlws.FILTER(CV131:DI131,CV131:DI131&lt;BT131))</f>
        <v>-2.4580241065319235E-2</v>
      </c>
      <c r="DL131" s="16" cm="1">
        <f t="array" aca="1" ref="DL131" ca="1">MIN(_xlfn._xlws.FILTER(CV131:DI131,CV131:DI131&gt;BT131))</f>
        <v>-1.3013068799286653E-2</v>
      </c>
      <c r="DM131" s="2" cm="1">
        <f t="array" aca="1" ref="DM131" ca="1">_FV(EB131,"Fechamento anterior",TRUE)</f>
        <v>16.77</v>
      </c>
      <c r="DN131" s="28">
        <f t="shared" ca="1" si="106"/>
        <v>0.83621716662899448</v>
      </c>
      <c r="DO131" s="15">
        <f t="shared" ca="1" si="151"/>
        <v>16.357789357334596</v>
      </c>
      <c r="DP131" s="15">
        <f t="shared" ca="1" si="152"/>
        <v>16.551770836235963</v>
      </c>
      <c r="DQ131" s="9"/>
      <c r="DR131" s="9"/>
      <c r="DS131" s="9"/>
      <c r="DT131" s="89">
        <v>1.1567172266032582E-2</v>
      </c>
      <c r="DU131" s="89">
        <f t="shared" ca="1" si="107"/>
        <v>1.1567172266032582E-2</v>
      </c>
      <c r="DV131" s="72">
        <f t="shared" ca="1" si="108"/>
        <v>0.43796787185540847</v>
      </c>
      <c r="DW131" s="37"/>
      <c r="DX131" s="35">
        <f t="shared" si="118"/>
        <v>0.17124543789543653</v>
      </c>
      <c r="DY131" s="56"/>
      <c r="DZ131" s="56"/>
      <c r="EB131" s="2" t="e" vm="130">
        <v>#VALUE!</v>
      </c>
      <c r="ED131" s="10" cm="1">
        <f t="array" aca="1" ref="ED131" ca="1">_FV(EB131,"Ações em circulação",TRUE)</f>
        <v>393096600</v>
      </c>
      <c r="EE131" s="18">
        <f>VLOOKUP(BO131,Fundamentus!A:U,5,FALSE)</f>
        <v>0</v>
      </c>
      <c r="EF131" s="2" t="e">
        <f t="shared" ca="1" si="109"/>
        <v>#DIV/0!</v>
      </c>
      <c r="EG131" s="17" t="e">
        <v>#DIV/0!</v>
      </c>
      <c r="EH131" s="17" t="e">
        <f t="shared" ca="1" si="110"/>
        <v>#DIV/0!</v>
      </c>
      <c r="EJ131" s="16" t="e">
        <f t="shared" ref="EJ131:EJ194" ca="1" si="153">(EH131/EG131)-1</f>
        <v>#DIV/0!</v>
      </c>
      <c r="EK131" s="32" t="str">
        <f>IF(VLOOKUP(BO131,Fundamentus!A:U,3,FALSE)&lt;15,"Bom",IF(VLOOKUP(BO131,Fundamentus!A:U,3,FALSE)&gt;15,"Ruim","n/a"))</f>
        <v>Bom</v>
      </c>
      <c r="EL131" s="28" t="str">
        <f>IF(VLOOKUP(BO131,Fundamentus!A:U,4,FALSE)&lt;1,"Baixo",IF(VLOOKUP(BO131,Fundamentus!A:U,4,FALSE)&lt;1.5,"Moderado",IF(VLOOKUP(BO131,Fundamentus!A:U,4,FALSE)&gt;1.5,"Alto","n/a")))</f>
        <v>Baixo</v>
      </c>
      <c r="EM131" s="17" t="str">
        <f>IF(VLOOKUP(BO131,Fundamentus!A:U,8,FALSE)&lt;0,"Risco elevado",IF(VLOOKUP(BO131,Fundamentus!A:U,8,FALSE)&lt;1,"Saudável",IF(VLOOKUP(BO131,Fundamentus!A:U,8,FALSE)&lt;3,"Estável",IF(VLOOKUP(BO131,Fundamentus!A:U,8,FALSE)&gt;3,"Alerta","n/a"))))</f>
        <v>Alerta</v>
      </c>
      <c r="EN131" s="28" t="str">
        <f t="shared" si="111"/>
        <v>Ruim</v>
      </c>
      <c r="EO131" s="17" t="str">
        <f>IF(VLOOKUP(BO131,Fundamentus!A:U,12,FALSE)&lt;2,"Subvalorizada",IF(VLOOKUP(BO131,Fundamentus!A:U,12,FALSE)&lt;6,"Muita barata",IF(VLOOKUP(BO131,Fundamentus!A:U,12,FALSE)&lt;6,"Barata",IF(VLOOKUP(BO131,Fundamentus!A:U,12,FALSE)&lt;8,"Atrativa",IF(VLOOKUP(BO131,Fundamentus!A:U,12,FALSE)&gt;8,"Supervalorizada","n/a")))))</f>
        <v>Subvalorizada</v>
      </c>
      <c r="EQ131" s="17" t="str">
        <f>IF(VLOOKUP(BO131,Fundamentus!A:U,17,FALSE)&lt;0.1,"Fraco retorno",IF(VLOOKUP(BO131,Fundamentus!A:U,17,FALSE)&gt;0.1,"Bom retorno","n/a"))</f>
        <v>Bom retorno</v>
      </c>
      <c r="ER131" s="17" t="str">
        <f>IF(VLOOKUP(BO131,Fundamentus!A:U,16,FALSE)&lt;0.1,"Ineficiente",IF(VLOOKUP(BO131,Fundamentus!A:U,16,FALSE)&gt;0.1,"Eficiente","n/a"))</f>
        <v>Ineficiente</v>
      </c>
      <c r="ES131" s="33" t="str">
        <f>IF(VLOOKUP(BO131,Fundamentus!A:U,16,FALSE)&lt;0.1,"Oper. Ineficiente",IF(VLOOKUP(BO131,Fundamentus!A:U,16,FALSE)&gt;0.1,"Oper.Eficiente","n/a"))</f>
        <v>Oper. Ineficiente</v>
      </c>
      <c r="ET131" s="34">
        <f>VLOOKUP(BO131,Fundamentus!A:U,14,FALSE)</f>
        <v>0</v>
      </c>
      <c r="EU131" s="17" t="str">
        <f>IF(VLOOKUP(BO131,Fundamentus!A:U,21,FALSE)&lt;0,"Negativo",IF(VLOOKUP(BO131,Fundamentus!A:U,21,FALSE)&lt;0.05,"Fraco",IF(VLOOKUP(BO131,Fundamentus!A:U,21,FALSE)&lt;0.1,"Bom",IF(VLOOKUP(BO131,Fundamentus!A:U,21,FALSE)&gt;0.1,"Muito bom","n/a"))))</f>
        <v>Fraco</v>
      </c>
      <c r="EW131" s="29" t="str">
        <f>IF(VLOOKUP(BO131,Fundamentus!A:U,15,FALSE)&gt;1,"Bom",IF(VLOOKUP(BO131,Fundamentus!A:U,15,FALSE)&lt;1,"Ruim","n/a"))</f>
        <v>Bom</v>
      </c>
      <c r="EX131" s="17" t="str">
        <f>IF(VLOOKUP(BO131,Fundamentus!A:U,20,FALSE)&lt;0.5,"Baixa",IF(VLOOKUP(BO131,Fundamentus!A:U,20,FALSE)&lt;1,"Moderada",IF(VLOOKUP(BO131,Fundamentus!A:U,20,FALSE)&lt;2,"Alerta",IF(VLOOKUP(BO131,Fundamentus!A:U,20,FALSE)&gt;2,"Alta","n/a"))))</f>
        <v>Baixa</v>
      </c>
      <c r="EY131" s="10"/>
    </row>
    <row r="132" spans="1:155" s="2" customFormat="1" ht="11.25"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5">
        <v>21.04</v>
      </c>
      <c r="BC132" s="52">
        <v>22.31</v>
      </c>
      <c r="BD132" s="52">
        <v>24.28</v>
      </c>
      <c r="BE132" s="52">
        <v>23.88</v>
      </c>
      <c r="BF132" s="52">
        <v>24.29</v>
      </c>
      <c r="BG132" s="67">
        <v>26.52</v>
      </c>
      <c r="BH132" s="52">
        <v>27.51</v>
      </c>
      <c r="BI132" s="52">
        <v>27.75</v>
      </c>
      <c r="BJ132" s="52">
        <v>28.64</v>
      </c>
      <c r="BK132" s="52">
        <v>27.28</v>
      </c>
      <c r="BL132" s="52">
        <v>26.12</v>
      </c>
      <c r="BM132" s="52">
        <v>25.46</v>
      </c>
      <c r="BN132" s="52" cm="1">
        <f t="array" aca="1" ref="BN132" ca="1">_FV(EB132,"Preço")</f>
        <v>25.46</v>
      </c>
      <c r="BO132" s="66" t="s">
        <v>128</v>
      </c>
      <c r="BP132" s="36" cm="1">
        <f t="array" aca="1" ref="BP132" ca="1">_FV(EB132,"Média de volume",TRUE)</f>
        <v>2918080</v>
      </c>
      <c r="BQ132" s="36">
        <v>3748600</v>
      </c>
      <c r="BR132" s="36" cm="1">
        <f t="array" aca="1" ref="BR132" ca="1">_FV(EB132,"Volume")</f>
        <v>3748600</v>
      </c>
      <c r="BS132" s="24" cm="1">
        <f t="array" aca="1" ref="BS132" ca="1">_FV(EB132,"Beta")</f>
        <v>0.92069999999999996</v>
      </c>
      <c r="BT132" s="71" cm="1">
        <f t="array" aca="1" ref="BT132" ca="1">_FV(EB132,"Variação (%)",TRUE)</f>
        <v>-1.8881999999999999E-2</v>
      </c>
      <c r="BV132" s="17" cm="1">
        <f t="array" aca="1" ref="BV132" ca="1">_FV(EB132,"Baixo")</f>
        <v>25.46</v>
      </c>
      <c r="BW132" s="17" cm="1">
        <f t="array" aca="1" ref="BW132" ca="1">_FV(EB132,"Alto")</f>
        <v>26.02</v>
      </c>
      <c r="BX132" s="24"/>
      <c r="BY132" s="63">
        <f ca="1">SQRT(22.5*(BN132/VLOOKUP(BO132,Fundamentus!A:U,3,FALSE))*(BN132/VLOOKUP(BO132,Fundamentus!A:U,4,FALSE)))</f>
        <v>41.900800988276679</v>
      </c>
      <c r="CA132" s="62">
        <f t="shared" ca="1" si="112"/>
        <v>0</v>
      </c>
      <c r="CB132" s="8"/>
      <c r="CC132" s="61">
        <f t="shared" si="113"/>
        <v>19.329999999999998</v>
      </c>
      <c r="CD132" s="61">
        <f t="shared" si="114"/>
        <v>28.64</v>
      </c>
      <c r="CE132" s="61">
        <f t="shared" si="115"/>
        <v>22.729153846153846</v>
      </c>
      <c r="CF132" s="14"/>
      <c r="CG132" s="35">
        <f t="shared" si="98"/>
        <v>21.781012608548593</v>
      </c>
      <c r="CH132" s="15">
        <f t="shared" si="116"/>
        <v>24.199999999999818</v>
      </c>
      <c r="CI132" s="35">
        <f t="shared" si="99"/>
        <v>26.618987391451043</v>
      </c>
      <c r="CK132" s="14"/>
      <c r="CL132" s="17">
        <f t="shared" si="100"/>
        <v>11.443333333333335</v>
      </c>
      <c r="CM132" s="17">
        <f t="shared" si="101"/>
        <v>15.386666666666667</v>
      </c>
      <c r="CN132" s="17">
        <f t="shared" si="102"/>
        <v>20.753333333333337</v>
      </c>
      <c r="CO132" s="38">
        <f t="shared" si="117"/>
        <v>24.696666666666669</v>
      </c>
      <c r="CP132" s="17">
        <f t="shared" si="103"/>
        <v>30.06333333333334</v>
      </c>
      <c r="CQ132" s="17">
        <f t="shared" si="104"/>
        <v>34.006666666666675</v>
      </c>
      <c r="CR132" s="17">
        <f t="shared" si="105"/>
        <v>39.373333333333342</v>
      </c>
      <c r="CS132" s="2" cm="1">
        <f t="array" aca="1" ref="CS132" ca="1">MAX(_xlfn._xlws.FILTER(CL132:CR132,CL132:CR132&lt;BN132))</f>
        <v>24.696666666666669</v>
      </c>
      <c r="CT132" s="2" cm="1">
        <f t="array" aca="1" ref="CT132" ca="1">MIN(_xlfn._xlws.FILTER($CL132:$CR132,$CL132:$CR132&gt;BN132))</f>
        <v>30.06333333333334</v>
      </c>
      <c r="CU132" s="16">
        <f t="shared" ca="1" si="136"/>
        <v>0.21730327979484421</v>
      </c>
      <c r="CV132" s="20">
        <f t="shared" ca="1" si="137"/>
        <v>-0.1086516398974221</v>
      </c>
      <c r="CW132" s="20">
        <f t="shared" ca="1" si="138"/>
        <v>-7.2434426598281407E-2</v>
      </c>
      <c r="CX132" s="20">
        <f t="shared" ca="1" si="139"/>
        <v>-4.3460655958968843E-2</v>
      </c>
      <c r="CY132" s="20">
        <f t="shared" ca="1" si="140"/>
        <v>-2.4144808866093801E-2</v>
      </c>
      <c r="CZ132" s="20">
        <f t="shared" ca="1" si="141"/>
        <v>-1.2782545870284953E-2</v>
      </c>
      <c r="DA132" s="20">
        <f t="shared" ca="1" si="142"/>
        <v>-6.584947872571037E-3</v>
      </c>
      <c r="DB132" s="20">
        <f t="shared" ca="1" si="143"/>
        <v>-3.3431273814591416E-3</v>
      </c>
      <c r="DC132" s="21">
        <f t="shared" ca="1" si="144"/>
        <v>3.3431273814591416E-3</v>
      </c>
      <c r="DD132" s="21">
        <f t="shared" ca="1" si="145"/>
        <v>6.584947872571037E-3</v>
      </c>
      <c r="DE132" s="21">
        <f t="shared" ca="1" si="146"/>
        <v>1.2782545870284953E-2</v>
      </c>
      <c r="DF132" s="21">
        <f t="shared" ca="1" si="147"/>
        <v>2.4144808866093801E-2</v>
      </c>
      <c r="DG132" s="21">
        <f t="shared" ca="1" si="148"/>
        <v>4.3460655958968843E-2</v>
      </c>
      <c r="DH132" s="21">
        <f t="shared" ca="1" si="149"/>
        <v>7.2434426598281407E-2</v>
      </c>
      <c r="DI132" s="21">
        <f t="shared" ca="1" si="150"/>
        <v>0.1086516398974221</v>
      </c>
      <c r="DK132" s="16" cm="1">
        <f t="array" aca="1" ref="DK132" ca="1">MAX(_xlfn._xlws.FILTER(CV132:DI132,CV132:DI132&lt;BT132))</f>
        <v>-2.4144808866093801E-2</v>
      </c>
      <c r="DL132" s="16" cm="1">
        <f t="array" aca="1" ref="DL132" ca="1">MIN(_xlfn._xlws.FILTER(CV132:DI132,CV132:DI132&gt;BT132))</f>
        <v>-1.2782545870284953E-2</v>
      </c>
      <c r="DM132" s="2" cm="1">
        <f t="array" aca="1" ref="DM132" ca="1">_FV(EB132,"Fechamento anterior",TRUE)</f>
        <v>25.95</v>
      </c>
      <c r="DN132" s="28">
        <f t="shared" ca="1" si="106"/>
        <v>0.46314212113596676</v>
      </c>
      <c r="DO132" s="15">
        <f t="shared" ca="1" si="151"/>
        <v>25.323442209924867</v>
      </c>
      <c r="DP132" s="15">
        <f t="shared" ca="1" si="152"/>
        <v>25.618292934666105</v>
      </c>
      <c r="DQ132" s="9"/>
      <c r="DR132" s="9"/>
      <c r="DS132" s="9"/>
      <c r="DT132" s="89">
        <v>1.1362262995808848E-2</v>
      </c>
      <c r="DU132" s="89">
        <f t="shared" ca="1" si="107"/>
        <v>1.1362262995808848E-2</v>
      </c>
      <c r="DV132" s="72">
        <f t="shared" ca="1" si="108"/>
        <v>0.52087911018183108</v>
      </c>
      <c r="DW132" s="37"/>
      <c r="DX132" s="35">
        <f t="shared" si="118"/>
        <v>1.2094936957256122</v>
      </c>
      <c r="DY132" s="56"/>
      <c r="DZ132" s="56"/>
      <c r="EB132" s="2" t="e" vm="131">
        <v>#VALUE!</v>
      </c>
      <c r="ED132" s="10" cm="1">
        <f t="array" aca="1" ref="ED132" ca="1">_FV(EB132,"Ações em circulação",TRUE)</f>
        <v>380253100</v>
      </c>
      <c r="EE132" s="18">
        <f>VLOOKUP(BO132,Fundamentus!A:U,5,FALSE)</f>
        <v>1.216</v>
      </c>
      <c r="EF132" s="2">
        <f t="shared" ca="1" si="109"/>
        <v>7961549281.25</v>
      </c>
      <c r="EG132" s="17">
        <v>1374163405.9437501</v>
      </c>
      <c r="EH132" s="17">
        <f t="shared" ca="1" si="110"/>
        <v>1374163405.9437501</v>
      </c>
      <c r="EJ132" s="16">
        <f t="shared" ca="1" si="153"/>
        <v>0</v>
      </c>
      <c r="EK132" s="32" t="str">
        <f>IF(VLOOKUP(BO132,Fundamentus!A:U,3,FALSE)&lt;15,"Bom",IF(VLOOKUP(BO132,Fundamentus!A:U,3,FALSE)&gt;15,"Ruim","n/a"))</f>
        <v>Bom</v>
      </c>
      <c r="EL132" s="28" t="str">
        <f>IF(VLOOKUP(BO132,Fundamentus!A:U,4,FALSE)&lt;1,"Baixo",IF(VLOOKUP(BO132,Fundamentus!A:U,4,FALSE)&lt;1.5,"Moderado",IF(VLOOKUP(BO132,Fundamentus!A:U,4,FALSE)&gt;1.5,"Alto","n/a")))</f>
        <v>Moderado</v>
      </c>
      <c r="EM132" s="17" t="str">
        <f>IF(VLOOKUP(BO132,Fundamentus!A:U,8,FALSE)&lt;0,"Risco elevado",IF(VLOOKUP(BO132,Fundamentus!A:U,8,FALSE)&lt;1,"Saudável",IF(VLOOKUP(BO132,Fundamentus!A:U,8,FALSE)&lt;3,"Estável",IF(VLOOKUP(BO132,Fundamentus!A:U,8,FALSE)&gt;3,"Alerta","n/a"))))</f>
        <v>Alerta</v>
      </c>
      <c r="EN132" s="28" t="str">
        <f t="shared" si="111"/>
        <v>Bom</v>
      </c>
      <c r="EO132" s="17" t="str">
        <f>IF(VLOOKUP(BO132,Fundamentus!A:U,12,FALSE)&lt;2,"Subvalorizada",IF(VLOOKUP(BO132,Fundamentus!A:U,12,FALSE)&lt;6,"Muita barata",IF(VLOOKUP(BO132,Fundamentus!A:U,12,FALSE)&lt;6,"Barata",IF(VLOOKUP(BO132,Fundamentus!A:U,12,FALSE)&lt;8,"Atrativa",IF(VLOOKUP(BO132,Fundamentus!A:U,12,FALSE)&gt;8,"Supervalorizada","n/a")))))</f>
        <v>Muita barata</v>
      </c>
      <c r="EQ132" s="17" t="str">
        <f>IF(VLOOKUP(BO132,Fundamentus!A:U,17,FALSE)&lt;0.1,"Fraco retorno",IF(VLOOKUP(BO132,Fundamentus!A:U,17,FALSE)&gt;0.1,"Bom retorno","n/a"))</f>
        <v>Bom retorno</v>
      </c>
      <c r="ER132" s="17" t="str">
        <f>IF(VLOOKUP(BO132,Fundamentus!A:U,16,FALSE)&lt;0.1,"Ineficiente",IF(VLOOKUP(BO132,Fundamentus!A:U,16,FALSE)&gt;0.1,"Eficiente","n/a"))</f>
        <v>Eficiente</v>
      </c>
      <c r="ES132" s="33" t="str">
        <f>IF(VLOOKUP(BO132,Fundamentus!A:U,16,FALSE)&lt;0.1,"Oper. Ineficiente",IF(VLOOKUP(BO132,Fundamentus!A:U,16,FALSE)&gt;0.1,"Oper.Eficiente","n/a"))</f>
        <v>Oper.Eficiente</v>
      </c>
      <c r="ET132" s="34">
        <f>VLOOKUP(BO132,Fundamentus!A:U,14,FALSE)</f>
        <v>0.1726</v>
      </c>
      <c r="EU132" s="17" t="str">
        <f>IF(VLOOKUP(BO132,Fundamentus!A:U,21,FALSE)&lt;0,"Negativo",IF(VLOOKUP(BO132,Fundamentus!A:U,21,FALSE)&lt;0.05,"Fraco",IF(VLOOKUP(BO132,Fundamentus!A:U,21,FALSE)&lt;0.1,"Bom",IF(VLOOKUP(BO132,Fundamentus!A:U,21,FALSE)&gt;0.1,"Muito bom","n/a"))))</f>
        <v>Muito bom</v>
      </c>
      <c r="EW132" s="29" t="str">
        <f>IF(VLOOKUP(BO132,Fundamentus!A:U,15,FALSE)&gt;1,"Bom",IF(VLOOKUP(BO132,Fundamentus!A:U,15,FALSE)&lt;1,"Ruim","n/a"))</f>
        <v>Bom</v>
      </c>
      <c r="EX132" s="17" t="str">
        <f>IF(VLOOKUP(BO132,Fundamentus!A:U,20,FALSE)&lt;0.5,"Baixa",IF(VLOOKUP(BO132,Fundamentus!A:U,20,FALSE)&lt;1,"Moderada",IF(VLOOKUP(BO132,Fundamentus!A:U,20,FALSE)&lt;2,"Alerta",IF(VLOOKUP(BO132,Fundamentus!A:U,20,FALSE)&gt;2,"Alta","n/a"))))</f>
        <v>Moderada</v>
      </c>
      <c r="EY132" s="10"/>
    </row>
    <row r="133" spans="1:155" s="2" customFormat="1" ht="11.25"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5">
        <v>43.9</v>
      </c>
      <c r="BC133" s="52">
        <v>40.75</v>
      </c>
      <c r="BD133" s="52">
        <v>40.590000000000003</v>
      </c>
      <c r="BE133" s="52">
        <v>42.96</v>
      </c>
      <c r="BF133" s="52">
        <v>43.8</v>
      </c>
      <c r="BG133" s="67">
        <v>44.02</v>
      </c>
      <c r="BH133" s="52">
        <v>43.26</v>
      </c>
      <c r="BI133" s="52">
        <v>40.549999999999997</v>
      </c>
      <c r="BJ133" s="52">
        <v>39.18</v>
      </c>
      <c r="BK133" s="52">
        <v>36.659999999999997</v>
      </c>
      <c r="BL133" s="52">
        <v>35.799999999999997</v>
      </c>
      <c r="BM133" s="52">
        <v>36.18</v>
      </c>
      <c r="BN133" s="52" cm="1">
        <f t="array" aca="1" ref="BN133" ca="1">_FV(EB133,"Preço")</f>
        <v>36.18</v>
      </c>
      <c r="BO133" s="69" t="s">
        <v>129</v>
      </c>
      <c r="BP133" s="36" cm="1">
        <f t="array" aca="1" ref="BP133" ca="1">_FV(EB133,"Média de volume",TRUE)</f>
        <v>4757530</v>
      </c>
      <c r="BQ133" s="36">
        <v>2045600</v>
      </c>
      <c r="BR133" s="36" cm="1">
        <f t="array" aca="1" ref="BR133" ca="1">_FV(EB133,"Volume")</f>
        <v>2045600</v>
      </c>
      <c r="BS133" s="24" cm="1">
        <f t="array" aca="1" ref="BS133" ca="1">_FV(EB133,"Beta")</f>
        <v>1.1960999999999999</v>
      </c>
      <c r="BT133" s="71" cm="1">
        <f t="array" aca="1" ref="BT133" ca="1">_FV(EB133,"Variação (%)",TRUE)</f>
        <v>5.8379999999999994E-3</v>
      </c>
      <c r="BV133" s="17" cm="1">
        <f t="array" aca="1" ref="BV133" ca="1">_FV(EB133,"Baixo")</f>
        <v>35.79</v>
      </c>
      <c r="BW133" s="17" cm="1">
        <f t="array" aca="1" ref="BW133" ca="1">_FV(EB133,"Alto")</f>
        <v>36.21</v>
      </c>
      <c r="BX133" s="24"/>
      <c r="BY133" s="63">
        <f ca="1">SQRT(22.5*(BN133/VLOOKUP(BO133,Fundamentus!A:U,3,FALSE))*(BN133/VLOOKUP(BO133,Fundamentus!A:U,4,FALSE)))</f>
        <v>31.233012871075527</v>
      </c>
      <c r="CA133" s="62">
        <f t="shared" ca="1" si="112"/>
        <v>0</v>
      </c>
      <c r="CB133" s="8"/>
      <c r="CC133" s="61">
        <f t="shared" si="113"/>
        <v>28.1</v>
      </c>
      <c r="CD133" s="61">
        <f t="shared" si="114"/>
        <v>49.88</v>
      </c>
      <c r="CE133" s="61">
        <f t="shared" si="115"/>
        <v>39.535153846153854</v>
      </c>
      <c r="CF133" s="14"/>
      <c r="CG133" s="35">
        <f t="shared" si="98"/>
        <v>31.849488685878971</v>
      </c>
      <c r="CH133" s="15">
        <f t="shared" si="116"/>
        <v>34.489999999999782</v>
      </c>
      <c r="CI133" s="35">
        <f t="shared" si="99"/>
        <v>37.130511314120589</v>
      </c>
      <c r="CK133" s="14"/>
      <c r="CL133" s="17">
        <f t="shared" si="100"/>
        <v>4.1933333333333351</v>
      </c>
      <c r="CM133" s="17">
        <f t="shared" si="101"/>
        <v>16.146666666666668</v>
      </c>
      <c r="CN133" s="17">
        <f t="shared" si="102"/>
        <v>25.973333333333336</v>
      </c>
      <c r="CO133" s="38">
        <f t="shared" si="117"/>
        <v>37.926666666666669</v>
      </c>
      <c r="CP133" s="17">
        <f t="shared" si="103"/>
        <v>47.753333333333337</v>
      </c>
      <c r="CQ133" s="17">
        <f t="shared" si="104"/>
        <v>59.706666666666671</v>
      </c>
      <c r="CR133" s="17">
        <f t="shared" si="105"/>
        <v>69.533333333333331</v>
      </c>
      <c r="CS133" s="2" cm="1">
        <f t="array" aca="1" ref="CS133" ca="1">MAX(_xlfn._xlws.FILTER(CL133:CR133,CL133:CR133&lt;BN133))</f>
        <v>25.973333333333336</v>
      </c>
      <c r="CT133" s="2" cm="1">
        <f t="array" aca="1" ref="CT133" ca="1">MIN(_xlfn._xlws.FILTER($CL133:$CR133,$CL133:$CR133&gt;BN133))</f>
        <v>37.926666666666669</v>
      </c>
      <c r="CU133" s="16">
        <f t="shared" ca="1" si="136"/>
        <v>0.46021560574948661</v>
      </c>
      <c r="CV133" s="20">
        <f t="shared" ca="1" si="137"/>
        <v>-0.23010780287474331</v>
      </c>
      <c r="CW133" s="20">
        <f t="shared" ca="1" si="138"/>
        <v>-0.15340520191649554</v>
      </c>
      <c r="CX133" s="20">
        <f t="shared" ca="1" si="139"/>
        <v>-9.2043121149897322E-2</v>
      </c>
      <c r="CY133" s="20">
        <f t="shared" ca="1" si="140"/>
        <v>-5.1135067305498515E-2</v>
      </c>
      <c r="CZ133" s="20">
        <f t="shared" ca="1" si="141"/>
        <v>-2.7071506220558036E-2</v>
      </c>
      <c r="DA133" s="20">
        <f t="shared" ca="1" si="142"/>
        <v>-1.3945927446954139E-2</v>
      </c>
      <c r="DB133" s="20">
        <f t="shared" ca="1" si="143"/>
        <v>-7.08024008845364E-3</v>
      </c>
      <c r="DC133" s="21">
        <f t="shared" ca="1" si="144"/>
        <v>7.08024008845364E-3</v>
      </c>
      <c r="DD133" s="21">
        <f t="shared" ca="1" si="145"/>
        <v>1.3945927446954139E-2</v>
      </c>
      <c r="DE133" s="21">
        <f t="shared" ca="1" si="146"/>
        <v>2.7071506220558036E-2</v>
      </c>
      <c r="DF133" s="21">
        <f t="shared" ca="1" si="147"/>
        <v>5.1135067305498515E-2</v>
      </c>
      <c r="DG133" s="21">
        <f t="shared" ca="1" si="148"/>
        <v>9.2043121149897322E-2</v>
      </c>
      <c r="DH133" s="21">
        <f t="shared" ca="1" si="149"/>
        <v>0.15340520191649554</v>
      </c>
      <c r="DI133" s="21">
        <f t="shared" ca="1" si="150"/>
        <v>0.23010780287474331</v>
      </c>
      <c r="DK133" s="16" cm="1">
        <f t="array" aca="1" ref="DK133" ca="1">MAX(_xlfn._xlws.FILTER(CV133:DI133,CV133:DI133&lt;BT133))</f>
        <v>-7.08024008845364E-3</v>
      </c>
      <c r="DL133" s="16" cm="1">
        <f t="array" aca="1" ref="DL133" ca="1">MIN(_xlfn._xlws.FILTER(CV133:DI133,CV133:DI133&gt;BT133))</f>
        <v>7.08024008845364E-3</v>
      </c>
      <c r="DM133" s="2" cm="1">
        <f t="array" aca="1" ref="DM133" ca="1">_FV(EB133,"Fechamento anterior",TRUE)</f>
        <v>35.97</v>
      </c>
      <c r="DN133" s="28">
        <f t="shared" ca="1" si="106"/>
        <v>0.91228817284528607</v>
      </c>
      <c r="DO133" s="15">
        <f t="shared" ca="1" si="151"/>
        <v>35.715323764018322</v>
      </c>
      <c r="DP133" s="15">
        <f t="shared" ca="1" si="152"/>
        <v>36.224676235981676</v>
      </c>
      <c r="DQ133" s="9"/>
      <c r="DR133" s="9"/>
      <c r="DS133" s="9"/>
      <c r="DT133" s="89">
        <v>1.416048017690728E-2</v>
      </c>
      <c r="DU133" s="89">
        <f t="shared" ca="1" si="107"/>
        <v>1.416048017690728E-2</v>
      </c>
      <c r="DV133" s="72">
        <f t="shared" ca="1" si="108"/>
        <v>0.64002755487640206</v>
      </c>
      <c r="DW133" s="37"/>
      <c r="DX133" s="35">
        <f t="shared" si="118"/>
        <v>1.3202556570604052</v>
      </c>
      <c r="DY133" s="56"/>
      <c r="DZ133" s="56"/>
      <c r="EB133" s="2" t="e" vm="132">
        <v>#VALUE!</v>
      </c>
      <c r="ED133" s="10" cm="1">
        <f t="array" aca="1" ref="ED133" ca="1">_FV(EB133,"Ações em circulação",TRUE)</f>
        <v>1082621000</v>
      </c>
      <c r="EE133" s="18">
        <f>VLOOKUP(BO133,Fundamentus!A:U,5,FALSE)</f>
        <v>1.0129999999999999</v>
      </c>
      <c r="EF133" s="2">
        <f t="shared" ca="1" si="109"/>
        <v>38666562467.917084</v>
      </c>
      <c r="EG133" s="17">
        <v>1917861498.4086874</v>
      </c>
      <c r="EH133" s="17">
        <f t="shared" ca="1" si="110"/>
        <v>1917861498.4086874</v>
      </c>
      <c r="EJ133" s="16">
        <f t="shared" ca="1" si="153"/>
        <v>0</v>
      </c>
      <c r="EK133" s="32" t="str">
        <f>IF(VLOOKUP(BO133,Fundamentus!A:U,3,FALSE)&lt;15,"Bom",IF(VLOOKUP(BO133,Fundamentus!A:U,3,FALSE)&gt;15,"Ruim","n/a"))</f>
        <v>Ruim</v>
      </c>
      <c r="EL133" s="28" t="str">
        <f>IF(VLOOKUP(BO133,Fundamentus!A:U,4,FALSE)&lt;1,"Baixo",IF(VLOOKUP(BO133,Fundamentus!A:U,4,FALSE)&lt;1.5,"Moderado",IF(VLOOKUP(BO133,Fundamentus!A:U,4,FALSE)&gt;1.5,"Alto","n/a")))</f>
        <v>Moderado</v>
      </c>
      <c r="EM133" s="17" t="str">
        <f>IF(VLOOKUP(BO133,Fundamentus!A:U,8,FALSE)&lt;0,"Risco elevado",IF(VLOOKUP(BO133,Fundamentus!A:U,8,FALSE)&lt;1,"Saudável",IF(VLOOKUP(BO133,Fundamentus!A:U,8,FALSE)&lt;3,"Estável",IF(VLOOKUP(BO133,Fundamentus!A:U,8,FALSE)&gt;3,"Alerta","n/a"))))</f>
        <v>Alerta</v>
      </c>
      <c r="EN133" s="28" t="str">
        <f t="shared" si="111"/>
        <v>Bom</v>
      </c>
      <c r="EO133" s="17" t="str">
        <f>IF(VLOOKUP(BO133,Fundamentus!A:U,12,FALSE)&lt;2,"Subvalorizada",IF(VLOOKUP(BO133,Fundamentus!A:U,12,FALSE)&lt;6,"Muita barata",IF(VLOOKUP(BO133,Fundamentus!A:U,12,FALSE)&lt;6,"Barata",IF(VLOOKUP(BO133,Fundamentus!A:U,12,FALSE)&lt;8,"Atrativa",IF(VLOOKUP(BO133,Fundamentus!A:U,12,FALSE)&gt;8,"Supervalorizada","n/a")))))</f>
        <v>Muita barata</v>
      </c>
      <c r="EQ133" s="17" t="str">
        <f>IF(VLOOKUP(BO133,Fundamentus!A:U,17,FALSE)&lt;0.1,"Fraco retorno",IF(VLOOKUP(BO133,Fundamentus!A:U,17,FALSE)&gt;0.1,"Bom retorno","n/a"))</f>
        <v>Fraco retorno</v>
      </c>
      <c r="ER133" s="17" t="str">
        <f>IF(VLOOKUP(BO133,Fundamentus!A:U,16,FALSE)&lt;0.1,"Ineficiente",IF(VLOOKUP(BO133,Fundamentus!A:U,16,FALSE)&gt;0.1,"Eficiente","n/a"))</f>
        <v>Ineficiente</v>
      </c>
      <c r="ES133" s="33" t="str">
        <f>IF(VLOOKUP(BO133,Fundamentus!A:U,16,FALSE)&lt;0.1,"Oper. Ineficiente",IF(VLOOKUP(BO133,Fundamentus!A:U,16,FALSE)&gt;0.1,"Oper.Eficiente","n/a"))</f>
        <v>Oper. Ineficiente</v>
      </c>
      <c r="ET133" s="34">
        <f>VLOOKUP(BO133,Fundamentus!A:U,14,FALSE)</f>
        <v>4.9599999999999998E-2</v>
      </c>
      <c r="EU133" s="17" t="str">
        <f>IF(VLOOKUP(BO133,Fundamentus!A:U,21,FALSE)&lt;0,"Negativo",IF(VLOOKUP(BO133,Fundamentus!A:U,21,FALSE)&lt;0.05,"Fraco",IF(VLOOKUP(BO133,Fundamentus!A:U,21,FALSE)&lt;0.1,"Bom",IF(VLOOKUP(BO133,Fundamentus!A:U,21,FALSE)&gt;0.1,"Muito bom","n/a"))))</f>
        <v>Muito bom</v>
      </c>
      <c r="EW133" s="29" t="str">
        <f>IF(VLOOKUP(BO133,Fundamentus!A:U,15,FALSE)&gt;1,"Bom",IF(VLOOKUP(BO133,Fundamentus!A:U,15,FALSE)&lt;1,"Ruim","n/a"))</f>
        <v>Bom</v>
      </c>
      <c r="EX133" s="17" t="str">
        <f>IF(VLOOKUP(BO133,Fundamentus!A:U,20,FALSE)&lt;0.5,"Baixa",IF(VLOOKUP(BO133,Fundamentus!A:U,20,FALSE)&lt;1,"Moderada",IF(VLOOKUP(BO133,Fundamentus!A:U,20,FALSE)&lt;2,"Alerta",IF(VLOOKUP(BO133,Fundamentus!A:U,20,FALSE)&gt;2,"Alta","n/a"))))</f>
        <v>Alerta</v>
      </c>
      <c r="EY133" s="10"/>
    </row>
    <row r="134" spans="1:155" s="2" customFormat="1" ht="11.25"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5">
        <v>8.52</v>
      </c>
      <c r="BC134" s="52">
        <v>8.2899999999999991</v>
      </c>
      <c r="BD134" s="52">
        <v>8.25</v>
      </c>
      <c r="BE134" s="52">
        <v>9.07</v>
      </c>
      <c r="BF134" s="52">
        <v>8.99</v>
      </c>
      <c r="BG134" s="67">
        <v>8.65</v>
      </c>
      <c r="BH134" s="52">
        <v>8.8000000000000007</v>
      </c>
      <c r="BI134" s="52">
        <v>8.6199999999999992</v>
      </c>
      <c r="BJ134" s="52">
        <v>8.77</v>
      </c>
      <c r="BK134" s="52">
        <v>8.0399999999999991</v>
      </c>
      <c r="BL134" s="52">
        <v>7.87</v>
      </c>
      <c r="BM134" s="52">
        <v>7.17</v>
      </c>
      <c r="BN134" s="52" cm="1">
        <f t="array" aca="1" ref="BN134" ca="1">_FV(EB134,"Preço")</f>
        <v>7.17</v>
      </c>
      <c r="BO134" s="69" t="s">
        <v>130</v>
      </c>
      <c r="BP134" s="36" cm="1">
        <f t="array" aca="1" ref="BP134" ca="1">_FV(EB134,"Média de volume",TRUE)</f>
        <v>3630890</v>
      </c>
      <c r="BQ134" s="36">
        <v>2409800</v>
      </c>
      <c r="BR134" s="36" cm="1">
        <f t="array" aca="1" ref="BR134" ca="1">_FV(EB134,"Volume")</f>
        <v>2409800</v>
      </c>
      <c r="BS134" s="24" cm="1">
        <f t="array" aca="1" ref="BS134" ca="1">_FV(EB134,"Beta")</f>
        <v>0.83360000000000001</v>
      </c>
      <c r="BT134" s="71" cm="1">
        <f t="array" aca="1" ref="BT134" ca="1">_FV(EB134,"Variação (%)",TRUE)</f>
        <v>1.3969999999999998E-3</v>
      </c>
      <c r="BV134" s="17" cm="1">
        <f t="array" aca="1" ref="BV134" ca="1">_FV(EB134,"Baixo")</f>
        <v>7.11</v>
      </c>
      <c r="BW134" s="17" cm="1">
        <f t="array" aca="1" ref="BW134" ca="1">_FV(EB134,"Alto")</f>
        <v>7.22</v>
      </c>
      <c r="BX134" s="24"/>
      <c r="BY134" s="63">
        <f ca="1">SQRT(22.5*(BN134/VLOOKUP(BO134,Fundamentus!A:U,3,FALSE))*(BN134/VLOOKUP(BO134,Fundamentus!A:U,4,FALSE)))</f>
        <v>14.124320509849518</v>
      </c>
      <c r="CA134" s="62">
        <f t="shared" ca="1" si="112"/>
        <v>0</v>
      </c>
      <c r="CB134" s="8"/>
      <c r="CC134" s="61">
        <f t="shared" si="113"/>
        <v>7.17</v>
      </c>
      <c r="CD134" s="61">
        <f t="shared" si="114"/>
        <v>12.28</v>
      </c>
      <c r="CE134" s="61">
        <f t="shared" si="115"/>
        <v>9.7513846153846124</v>
      </c>
      <c r="CF134" s="14"/>
      <c r="CG134" s="35">
        <f t="shared" ref="CG134:CG197" si="154">CH134-DX134*2</f>
        <v>5.5821621380884618</v>
      </c>
      <c r="CH134" s="15">
        <f t="shared" si="116"/>
        <v>6.7200000000002547</v>
      </c>
      <c r="CI134" s="35">
        <f t="shared" ref="CI134:CI197" si="155">CH134+DX134*2</f>
        <v>7.8578378619120475</v>
      </c>
      <c r="CK134" s="14"/>
      <c r="CL134" s="17">
        <f t="shared" ref="CL134:CL197" si="156">CC134-2*(CD134-CO134)</f>
        <v>0.82333333333333591</v>
      </c>
      <c r="CM134" s="17">
        <f t="shared" ref="CM134:CM197" si="157">CO134-(CD134-CC134)</f>
        <v>3.9966666666666679</v>
      </c>
      <c r="CN134" s="17">
        <f t="shared" ref="CN134:CN197" si="158">2*CO134-CD134</f>
        <v>5.9333333333333353</v>
      </c>
      <c r="CO134" s="38">
        <f t="shared" si="117"/>
        <v>9.1066666666666674</v>
      </c>
      <c r="CP134" s="17">
        <f t="shared" ref="CP134:CP197" si="159">2*CO134-CC134</f>
        <v>11.043333333333335</v>
      </c>
      <c r="CQ134" s="17">
        <f t="shared" ref="CQ134:CQ197" si="160">CO134+(CD134-CC134)</f>
        <v>14.216666666666667</v>
      </c>
      <c r="CR134" s="17">
        <f t="shared" ref="CR134:CR197" si="161">CD134+2*(CO134-CC134)</f>
        <v>16.153333333333336</v>
      </c>
      <c r="CS134" s="2" cm="1">
        <f t="array" aca="1" ref="CS134" ca="1">MAX(_xlfn._xlws.FILTER(CL134:CR134,CL134:CR134&lt;BN134))</f>
        <v>5.9333333333333353</v>
      </c>
      <c r="CT134" s="2" cm="1">
        <f t="array" aca="1" ref="CT134" ca="1">MIN(_xlfn._xlws.FILTER($CL134:$CR134,$CL134:$CR134&gt;BN134))</f>
        <v>9.1066666666666674</v>
      </c>
      <c r="CU134" s="16">
        <f t="shared" ca="1" si="136"/>
        <v>0.53483146067415688</v>
      </c>
      <c r="CV134" s="20">
        <f t="shared" ca="1" si="137"/>
        <v>-0.26741573033707844</v>
      </c>
      <c r="CW134" s="20">
        <f t="shared" ca="1" si="138"/>
        <v>-0.17827715355805229</v>
      </c>
      <c r="CX134" s="20">
        <f t="shared" ca="1" si="139"/>
        <v>-0.10696629213483137</v>
      </c>
      <c r="CY134" s="20">
        <f t="shared" ca="1" si="140"/>
        <v>-5.94257178526841E-2</v>
      </c>
      <c r="CZ134" s="20">
        <f t="shared" ca="1" si="141"/>
        <v>-3.1460674157303345E-2</v>
      </c>
      <c r="DA134" s="20">
        <f t="shared" ca="1" si="142"/>
        <v>-1.6207013959822936E-2</v>
      </c>
      <c r="DB134" s="20">
        <f t="shared" ca="1" si="143"/>
        <v>-8.2281763180639522E-3</v>
      </c>
      <c r="DC134" s="21">
        <f t="shared" ca="1" si="144"/>
        <v>8.2281763180639522E-3</v>
      </c>
      <c r="DD134" s="21">
        <f t="shared" ca="1" si="145"/>
        <v>1.6207013959822936E-2</v>
      </c>
      <c r="DE134" s="21">
        <f t="shared" ca="1" si="146"/>
        <v>3.1460674157303345E-2</v>
      </c>
      <c r="DF134" s="21">
        <f t="shared" ca="1" si="147"/>
        <v>5.94257178526841E-2</v>
      </c>
      <c r="DG134" s="21">
        <f t="shared" ca="1" si="148"/>
        <v>0.10696629213483137</v>
      </c>
      <c r="DH134" s="21">
        <f t="shared" ca="1" si="149"/>
        <v>0.17827715355805229</v>
      </c>
      <c r="DI134" s="21">
        <f t="shared" ca="1" si="150"/>
        <v>0.26741573033707844</v>
      </c>
      <c r="DK134" s="16" cm="1">
        <f t="array" aca="1" ref="DK134" ca="1">MAX(_xlfn._xlws.FILTER(CV134:DI134,CV134:DI134&lt;BT134))</f>
        <v>-8.2281763180639522E-3</v>
      </c>
      <c r="DL134" s="16" cm="1">
        <f t="array" aca="1" ref="DL134" ca="1">MIN(_xlfn._xlws.FILTER(CV134:DI134,CV134:DI134&gt;BT134))</f>
        <v>8.2281763180639522E-3</v>
      </c>
      <c r="DM134" s="2" cm="1">
        <f t="array" aca="1" ref="DM134" ca="1">_FV(EB134,"Fechamento anterior",TRUE)</f>
        <v>7.16</v>
      </c>
      <c r="DN134" s="28">
        <f t="shared" ref="DN134:DN197" ca="1" si="162">(BN134-DO134)/(DP134-DO134)</f>
        <v>0.58486984179146351</v>
      </c>
      <c r="DO134" s="15">
        <f t="shared" ca="1" si="151"/>
        <v>7.1010862575626623</v>
      </c>
      <c r="DP134" s="15">
        <f t="shared" ca="1" si="152"/>
        <v>7.218913742437338</v>
      </c>
      <c r="DQ134" s="9"/>
      <c r="DR134" s="9"/>
      <c r="DS134" s="9"/>
      <c r="DT134" s="89">
        <v>1.6456352636127904E-2</v>
      </c>
      <c r="DU134" s="89">
        <f t="shared" ref="DU134:DU197" ca="1" si="163">DL134-DK134</f>
        <v>1.6456352636127904E-2</v>
      </c>
      <c r="DV134" s="72">
        <f t="shared" ref="DV134:DV197" ca="1" si="164">(BN134-CH134)/(CH134-CG134)</f>
        <v>0.3954869274991924</v>
      </c>
      <c r="DW134" s="37"/>
      <c r="DX134" s="35">
        <f t="shared" si="118"/>
        <v>0.5689189309558963</v>
      </c>
      <c r="DY134" s="56"/>
      <c r="DZ134" s="56"/>
      <c r="EB134" s="2" t="e" vm="133">
        <v>#VALUE!</v>
      </c>
      <c r="ED134" s="10" cm="1">
        <f t="array" aca="1" ref="ED134" ca="1">_FV(EB134,"Ações em circulação",TRUE)</f>
        <v>355608600</v>
      </c>
      <c r="EE134" s="18">
        <f>VLOOKUP(BO134,Fundamentus!A:U,5,FALSE)</f>
        <v>0.191</v>
      </c>
      <c r="EF134" s="2">
        <f t="shared" ref="EF134:EF197" ca="1" si="165">(BN134*ED134)/EE134</f>
        <v>13349286188.481676</v>
      </c>
      <c r="EG134" s="17">
        <v>615402093.28900528</v>
      </c>
      <c r="EH134" s="17">
        <f t="shared" ref="EH134:EH197" ca="1" si="166">EF134*ET134</f>
        <v>615402093.28900528</v>
      </c>
      <c r="EJ134" s="16">
        <f t="shared" ca="1" si="153"/>
        <v>0</v>
      </c>
      <c r="EK134" s="32" t="str">
        <f>IF(VLOOKUP(BO134,Fundamentus!A:U,3,FALSE)&lt;15,"Bom",IF(VLOOKUP(BO134,Fundamentus!A:U,3,FALSE)&gt;15,"Ruim","n/a"))</f>
        <v>Bom</v>
      </c>
      <c r="EL134" s="28" t="str">
        <f>IF(VLOOKUP(BO134,Fundamentus!A:U,4,FALSE)&lt;1,"Baixo",IF(VLOOKUP(BO134,Fundamentus!A:U,4,FALSE)&lt;1.5,"Moderado",IF(VLOOKUP(BO134,Fundamentus!A:U,4,FALSE)&gt;1.5,"Alto","n/a")))</f>
        <v>Baixo</v>
      </c>
      <c r="EM134" s="17" t="str">
        <f>IF(VLOOKUP(BO134,Fundamentus!A:U,8,FALSE)&lt;0,"Risco elevado",IF(VLOOKUP(BO134,Fundamentus!A:U,8,FALSE)&lt;1,"Saudável",IF(VLOOKUP(BO134,Fundamentus!A:U,8,FALSE)&lt;3,"Estável",IF(VLOOKUP(BO134,Fundamentus!A:U,8,FALSE)&gt;3,"Alerta","n/a"))))</f>
        <v>Saudável</v>
      </c>
      <c r="EN134" s="28" t="str">
        <f t="shared" ref="EN134:EN197" si="167">IF(EE134&gt;1,"Bom","Ruim")</f>
        <v>Ruim</v>
      </c>
      <c r="EO134" s="17" t="str">
        <f>IF(VLOOKUP(BO134,Fundamentus!A:U,12,FALSE)&lt;2,"Subvalorizada",IF(VLOOKUP(BO134,Fundamentus!A:U,12,FALSE)&lt;6,"Muita barata",IF(VLOOKUP(BO134,Fundamentus!A:U,12,FALSE)&lt;6,"Barata",IF(VLOOKUP(BO134,Fundamentus!A:U,12,FALSE)&lt;8,"Atrativa",IF(VLOOKUP(BO134,Fundamentus!A:U,12,FALSE)&gt;8,"Supervalorizada","n/a")))))</f>
        <v>Muita barata</v>
      </c>
      <c r="EQ134" s="17" t="str">
        <f>IF(VLOOKUP(BO134,Fundamentus!A:U,17,FALSE)&lt;0.1,"Fraco retorno",IF(VLOOKUP(BO134,Fundamentus!A:U,17,FALSE)&gt;0.1,"Bom retorno","n/a"))</f>
        <v>Bom retorno</v>
      </c>
      <c r="ER134" s="17" t="str">
        <f>IF(VLOOKUP(BO134,Fundamentus!A:U,16,FALSE)&lt;0.1,"Ineficiente",IF(VLOOKUP(BO134,Fundamentus!A:U,16,FALSE)&gt;0.1,"Eficiente","n/a"))</f>
        <v>Ineficiente</v>
      </c>
      <c r="ES134" s="33" t="str">
        <f>IF(VLOOKUP(BO134,Fundamentus!A:U,16,FALSE)&lt;0.1,"Oper. Ineficiente",IF(VLOOKUP(BO134,Fundamentus!A:U,16,FALSE)&gt;0.1,"Oper.Eficiente","n/a"))</f>
        <v>Oper. Ineficiente</v>
      </c>
      <c r="ET134" s="34">
        <f>VLOOKUP(BO134,Fundamentus!A:U,14,FALSE)</f>
        <v>4.6100000000000002E-2</v>
      </c>
      <c r="EU134" s="17" t="str">
        <f>IF(VLOOKUP(BO134,Fundamentus!A:U,21,FALSE)&lt;0,"Negativo",IF(VLOOKUP(BO134,Fundamentus!A:U,21,FALSE)&lt;0.05,"Fraco",IF(VLOOKUP(BO134,Fundamentus!A:U,21,FALSE)&lt;0.1,"Bom",IF(VLOOKUP(BO134,Fundamentus!A:U,21,FALSE)&gt;0.1,"Muito bom","n/a"))))</f>
        <v>Muito bom</v>
      </c>
      <c r="EW134" s="29" t="str">
        <f>IF(VLOOKUP(BO134,Fundamentus!A:U,15,FALSE)&gt;1,"Bom",IF(VLOOKUP(BO134,Fundamentus!A:U,15,FALSE)&lt;1,"Ruim","n/a"))</f>
        <v>Bom</v>
      </c>
      <c r="EX134" s="17" t="str">
        <f>IF(VLOOKUP(BO134,Fundamentus!A:U,20,FALSE)&lt;0.5,"Baixa",IF(VLOOKUP(BO134,Fundamentus!A:U,20,FALSE)&lt;1,"Moderada",IF(VLOOKUP(BO134,Fundamentus!A:U,20,FALSE)&lt;2,"Alerta",IF(VLOOKUP(BO134,Fundamentus!A:U,20,FALSE)&gt;2,"Alta","n/a"))))</f>
        <v>Alta</v>
      </c>
      <c r="EY134" s="10"/>
    </row>
    <row r="135" spans="1:155" s="2" customFormat="1" ht="11.25"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5">
        <v>7.85</v>
      </c>
      <c r="BC135" s="52">
        <v>7.58</v>
      </c>
      <c r="BD135" s="52">
        <v>7.66</v>
      </c>
      <c r="BE135" s="52">
        <v>8.02</v>
      </c>
      <c r="BF135" s="52">
        <v>8.15</v>
      </c>
      <c r="BG135" s="67">
        <v>8.0299999999999994</v>
      </c>
      <c r="BH135" s="52">
        <v>8.3000000000000007</v>
      </c>
      <c r="BI135" s="52">
        <v>8.23</v>
      </c>
      <c r="BJ135" s="52">
        <v>8.27</v>
      </c>
      <c r="BK135" s="52">
        <v>7.91</v>
      </c>
      <c r="BL135" s="52">
        <v>7.65</v>
      </c>
      <c r="BM135" s="52">
        <v>7.08</v>
      </c>
      <c r="BN135" s="52" cm="1">
        <f t="array" aca="1" ref="BN135" ca="1">_FV(EB135,"Preço")</f>
        <v>7.08</v>
      </c>
      <c r="BO135" s="69" t="s">
        <v>131</v>
      </c>
      <c r="BP135" s="36" cm="1">
        <f t="array" aca="1" ref="BP135" ca="1">_FV(EB135,"Média de volume",TRUE)</f>
        <v>3630890</v>
      </c>
      <c r="BQ135" s="36">
        <v>17500</v>
      </c>
      <c r="BR135" s="36" cm="1">
        <f t="array" aca="1" ref="BR135" ca="1">_FV(EB135,"Volume")</f>
        <v>17500</v>
      </c>
      <c r="BS135" s="24" cm="1">
        <f t="array" aca="1" ref="BS135" ca="1">_FV(EB135,"Beta")</f>
        <v>0.83360000000000001</v>
      </c>
      <c r="BT135" s="71" cm="1">
        <f t="array" aca="1" ref="BT135" ca="1">_FV(EB135,"Variação (%)",TRUE)</f>
        <v>4.2550000000000001E-3</v>
      </c>
      <c r="BV135" s="17" cm="1">
        <f t="array" aca="1" ref="BV135" ca="1">_FV(EB135,"Baixo")</f>
        <v>7.06</v>
      </c>
      <c r="BW135" s="17" cm="1">
        <f t="array" aca="1" ref="BW135" ca="1">_FV(EB135,"Alto")</f>
        <v>7.1</v>
      </c>
      <c r="BX135" s="24"/>
      <c r="BY135" s="63">
        <f ca="1">SQRT(22.5*(BN135/VLOOKUP(BO135,Fundamentus!A:U,3,FALSE))*(BN135/VLOOKUP(BO135,Fundamentus!A:U,4,FALSE)))</f>
        <v>14.180434549234899</v>
      </c>
      <c r="CA135" s="62">
        <f t="shared" ref="CA135:CA198" ca="1" si="168">(BN135 - BM135) / BM135</f>
        <v>0</v>
      </c>
      <c r="CB135" s="8"/>
      <c r="CC135" s="61">
        <f t="shared" ref="CC135:CC198" si="169">MIN(A135:BM135)</f>
        <v>7.08</v>
      </c>
      <c r="CD135" s="61">
        <f t="shared" ref="CD135:CD198" si="170">MAX(A135:BM135)</f>
        <v>10.4</v>
      </c>
      <c r="CE135" s="61">
        <f t="shared" ref="CE135:CE198" si="171">AVERAGE(A135:BM135)</f>
        <v>8.5355384615384597</v>
      </c>
      <c r="CF135" s="14"/>
      <c r="CG135" s="35">
        <f t="shared" si="154"/>
        <v>5.9023163018703011</v>
      </c>
      <c r="CH135" s="15">
        <f t="shared" ref="CH135:CH198" si="172">FORECAST("01/08/2025", BJ135:BM135, $BJ$5:$BM$5)</f>
        <v>6.7699999999999818</v>
      </c>
      <c r="CI135" s="35">
        <f t="shared" si="155"/>
        <v>7.6376836981296625</v>
      </c>
      <c r="CK135" s="14"/>
      <c r="CL135" s="17">
        <f t="shared" si="156"/>
        <v>3.0333333333333332</v>
      </c>
      <c r="CM135" s="17">
        <f t="shared" si="157"/>
        <v>5.0566666666666666</v>
      </c>
      <c r="CN135" s="17">
        <f t="shared" si="158"/>
        <v>6.3533333333333335</v>
      </c>
      <c r="CO135" s="38">
        <f t="shared" ref="CO135:CO198" si="173">(CD135+CC135+BL135)/3</f>
        <v>8.3766666666666669</v>
      </c>
      <c r="CP135" s="17">
        <f t="shared" si="159"/>
        <v>9.6733333333333338</v>
      </c>
      <c r="CQ135" s="17">
        <f t="shared" si="160"/>
        <v>11.696666666666667</v>
      </c>
      <c r="CR135" s="17">
        <f t="shared" si="161"/>
        <v>12.993333333333334</v>
      </c>
      <c r="CS135" s="2" cm="1">
        <f t="array" aca="1" ref="CS135" ca="1">MAX(_xlfn._xlws.FILTER(CL135:CR135,CL135:CR135&lt;BN135))</f>
        <v>6.3533333333333335</v>
      </c>
      <c r="CT135" s="2" cm="1">
        <f t="array" aca="1" ref="CT135" ca="1">MIN(_xlfn._xlws.FILTER($CL135:$CR135,$CL135:$CR135&gt;BN135))</f>
        <v>8.3766666666666669</v>
      </c>
      <c r="CU135" s="16">
        <f t="shared" ca="1" si="136"/>
        <v>0.31846799580272833</v>
      </c>
      <c r="CV135" s="20">
        <f t="shared" ca="1" si="137"/>
        <v>-0.15923399790136417</v>
      </c>
      <c r="CW135" s="20">
        <f t="shared" ca="1" si="138"/>
        <v>-0.10615599860090945</v>
      </c>
      <c r="CX135" s="20">
        <f t="shared" ca="1" si="139"/>
        <v>-6.3693599160545664E-2</v>
      </c>
      <c r="CY135" s="20">
        <f t="shared" ca="1" si="140"/>
        <v>-3.5385332866969814E-2</v>
      </c>
      <c r="CZ135" s="20">
        <f t="shared" ca="1" si="141"/>
        <v>-1.8733411517807549E-2</v>
      </c>
      <c r="DA135" s="20">
        <f t="shared" ca="1" si="142"/>
        <v>-9.6505453273554032E-3</v>
      </c>
      <c r="DB135" s="20">
        <f t="shared" ca="1" si="143"/>
        <v>-4.8995076277342821E-3</v>
      </c>
      <c r="DC135" s="21">
        <f t="shared" ca="1" si="144"/>
        <v>4.8995076277342821E-3</v>
      </c>
      <c r="DD135" s="21">
        <f t="shared" ca="1" si="145"/>
        <v>9.6505453273554032E-3</v>
      </c>
      <c r="DE135" s="21">
        <f t="shared" ca="1" si="146"/>
        <v>1.8733411517807549E-2</v>
      </c>
      <c r="DF135" s="21">
        <f t="shared" ca="1" si="147"/>
        <v>3.5385332866969814E-2</v>
      </c>
      <c r="DG135" s="21">
        <f t="shared" ca="1" si="148"/>
        <v>6.3693599160545664E-2</v>
      </c>
      <c r="DH135" s="21">
        <f t="shared" ca="1" si="149"/>
        <v>0.10615599860090945</v>
      </c>
      <c r="DI135" s="21">
        <f t="shared" ca="1" si="150"/>
        <v>0.15923399790136417</v>
      </c>
      <c r="DK135" s="16" cm="1">
        <f t="array" aca="1" ref="DK135" ca="1">MAX(_xlfn._xlws.FILTER(CV135:DI135,CV135:DI135&lt;BT135))</f>
        <v>-4.8995076277342821E-3</v>
      </c>
      <c r="DL135" s="16" cm="1">
        <f t="array" aca="1" ref="DL135" ca="1">MIN(_xlfn._xlws.FILTER(CV135:DI135,CV135:DI135&gt;BT135))</f>
        <v>4.8995076277342821E-3</v>
      </c>
      <c r="DM135" s="2" cm="1">
        <f t="array" aca="1" ref="DM135" ca="1">_FV(EB135,"Fechamento anterior",TRUE)</f>
        <v>7.05</v>
      </c>
      <c r="DN135" s="28">
        <f t="shared" ca="1" si="162"/>
        <v>0.93425987591574189</v>
      </c>
      <c r="DO135" s="15">
        <f t="shared" ca="1" si="151"/>
        <v>7.0154584712244734</v>
      </c>
      <c r="DP135" s="15">
        <f t="shared" ca="1" si="152"/>
        <v>7.0845415287755262</v>
      </c>
      <c r="DQ135" s="9"/>
      <c r="DR135" s="9"/>
      <c r="DS135" s="9"/>
      <c r="DT135" s="89">
        <v>9.7990152554685642E-3</v>
      </c>
      <c r="DU135" s="89">
        <f t="shared" ca="1" si="163"/>
        <v>9.7990152554685642E-3</v>
      </c>
      <c r="DV135" s="72">
        <f t="shared" ca="1" si="164"/>
        <v>0.35727304854088299</v>
      </c>
      <c r="DW135" s="37"/>
      <c r="DX135" s="35">
        <f t="shared" ref="DX135:DX198" si="174">_xlfn.STDEV.P(BJ135:BM135)</f>
        <v>0.43384184906484052</v>
      </c>
      <c r="DY135" s="56"/>
      <c r="DZ135" s="56"/>
      <c r="EB135" s="2" t="e" vm="134">
        <v>#VALUE!</v>
      </c>
      <c r="ED135" s="10" cm="1">
        <f t="array" aca="1" ref="ED135" ca="1">_FV(EB135,"Ações em circulação",TRUE)</f>
        <v>355608600</v>
      </c>
      <c r="EE135" s="18">
        <f>VLOOKUP(BO135,Fundamentus!A:U,5,FALSE)</f>
        <v>0.187</v>
      </c>
      <c r="EF135" s="2">
        <f t="shared" ca="1" si="165"/>
        <v>13463683893.048128</v>
      </c>
      <c r="EG135" s="17">
        <v>620675827.46951878</v>
      </c>
      <c r="EH135" s="17">
        <f t="shared" ca="1" si="166"/>
        <v>620675827.46951878</v>
      </c>
      <c r="EJ135" s="16">
        <f t="shared" ca="1" si="153"/>
        <v>0</v>
      </c>
      <c r="EK135" s="32" t="str">
        <f>IF(VLOOKUP(BO135,Fundamentus!A:U,3,FALSE)&lt;15,"Bom",IF(VLOOKUP(BO135,Fundamentus!A:U,3,FALSE)&gt;15,"Ruim","n/a"))</f>
        <v>Bom</v>
      </c>
      <c r="EL135" s="28" t="str">
        <f>IF(VLOOKUP(BO135,Fundamentus!A:U,4,FALSE)&lt;1,"Baixo",IF(VLOOKUP(BO135,Fundamentus!A:U,4,FALSE)&lt;1.5,"Moderado",IF(VLOOKUP(BO135,Fundamentus!A:U,4,FALSE)&gt;1.5,"Alto","n/a")))</f>
        <v>Baixo</v>
      </c>
      <c r="EM135" s="17" t="str">
        <f>IF(VLOOKUP(BO135,Fundamentus!A:U,8,FALSE)&lt;0,"Risco elevado",IF(VLOOKUP(BO135,Fundamentus!A:U,8,FALSE)&lt;1,"Saudável",IF(VLOOKUP(BO135,Fundamentus!A:U,8,FALSE)&lt;3,"Estável",IF(VLOOKUP(BO135,Fundamentus!A:U,8,FALSE)&gt;3,"Alerta","n/a"))))</f>
        <v>Saudável</v>
      </c>
      <c r="EN135" s="28" t="str">
        <f t="shared" si="167"/>
        <v>Ruim</v>
      </c>
      <c r="EO135" s="17" t="str">
        <f>IF(VLOOKUP(BO135,Fundamentus!A:U,12,FALSE)&lt;2,"Subvalorizada",IF(VLOOKUP(BO135,Fundamentus!A:U,12,FALSE)&lt;6,"Muita barata",IF(VLOOKUP(BO135,Fundamentus!A:U,12,FALSE)&lt;6,"Barata",IF(VLOOKUP(BO135,Fundamentus!A:U,12,FALSE)&lt;8,"Atrativa",IF(VLOOKUP(BO135,Fundamentus!A:U,12,FALSE)&gt;8,"Supervalorizada","n/a")))))</f>
        <v>Muita barata</v>
      </c>
      <c r="EQ135" s="17" t="str">
        <f>IF(VLOOKUP(BO135,Fundamentus!A:U,17,FALSE)&lt;0.1,"Fraco retorno",IF(VLOOKUP(BO135,Fundamentus!A:U,17,FALSE)&gt;0.1,"Bom retorno","n/a"))</f>
        <v>Bom retorno</v>
      </c>
      <c r="ER135" s="17" t="str">
        <f>IF(VLOOKUP(BO135,Fundamentus!A:U,16,FALSE)&lt;0.1,"Ineficiente",IF(VLOOKUP(BO135,Fundamentus!A:U,16,FALSE)&gt;0.1,"Eficiente","n/a"))</f>
        <v>Ineficiente</v>
      </c>
      <c r="ES135" s="33" t="str">
        <f>IF(VLOOKUP(BO135,Fundamentus!A:U,16,FALSE)&lt;0.1,"Oper. Ineficiente",IF(VLOOKUP(BO135,Fundamentus!A:U,16,FALSE)&gt;0.1,"Oper.Eficiente","n/a"))</f>
        <v>Oper. Ineficiente</v>
      </c>
      <c r="ET135" s="34">
        <f>VLOOKUP(BO135,Fundamentus!A:U,14,FALSE)</f>
        <v>4.6100000000000002E-2</v>
      </c>
      <c r="EU135" s="17" t="str">
        <f>IF(VLOOKUP(BO135,Fundamentus!A:U,21,FALSE)&lt;0,"Negativo",IF(VLOOKUP(BO135,Fundamentus!A:U,21,FALSE)&lt;0.05,"Fraco",IF(VLOOKUP(BO135,Fundamentus!A:U,21,FALSE)&lt;0.1,"Bom",IF(VLOOKUP(BO135,Fundamentus!A:U,21,FALSE)&gt;0.1,"Muito bom","n/a"))))</f>
        <v>Muito bom</v>
      </c>
      <c r="EW135" s="29" t="str">
        <f>IF(VLOOKUP(BO135,Fundamentus!A:U,15,FALSE)&gt;1,"Bom",IF(VLOOKUP(BO135,Fundamentus!A:U,15,FALSE)&lt;1,"Ruim","n/a"))</f>
        <v>Bom</v>
      </c>
      <c r="EX135" s="17" t="str">
        <f>IF(VLOOKUP(BO135,Fundamentus!A:U,20,FALSE)&lt;0.5,"Baixa",IF(VLOOKUP(BO135,Fundamentus!A:U,20,FALSE)&lt;1,"Moderada",IF(VLOOKUP(BO135,Fundamentus!A:U,20,FALSE)&lt;2,"Alerta",IF(VLOOKUP(BO135,Fundamentus!A:U,20,FALSE)&gt;2,"Alta","n/a"))))</f>
        <v>Alta</v>
      </c>
      <c r="EY135" s="10"/>
    </row>
    <row r="136" spans="1:155" s="2" customFormat="1" ht="11.25"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5">
        <v>1</v>
      </c>
      <c r="BC136" s="52">
        <v>1.01</v>
      </c>
      <c r="BD136" s="52">
        <v>0.94</v>
      </c>
      <c r="BE136" s="52">
        <v>0.98</v>
      </c>
      <c r="BF136" s="52">
        <v>0.97</v>
      </c>
      <c r="BG136" s="67">
        <v>0.96</v>
      </c>
      <c r="BH136" s="52">
        <v>0.99</v>
      </c>
      <c r="BI136" s="52">
        <v>0.89</v>
      </c>
      <c r="BJ136" s="52">
        <v>0.88</v>
      </c>
      <c r="BK136" s="52">
        <v>1.0900000000000001</v>
      </c>
      <c r="BL136" s="52">
        <v>1</v>
      </c>
      <c r="BM136" s="52">
        <v>1</v>
      </c>
      <c r="BN136" s="52" cm="1">
        <f t="array" aca="1" ref="BN136" ca="1">_FV(EB136,"Preço")</f>
        <v>1</v>
      </c>
      <c r="BO136" s="69" t="s">
        <v>132</v>
      </c>
      <c r="BP136" s="36" cm="1">
        <f t="array" aca="1" ref="BP136" ca="1">_FV(EB136,"Média de volume",TRUE)</f>
        <v>247130</v>
      </c>
      <c r="BQ136" s="36">
        <v>251700</v>
      </c>
      <c r="BR136" s="36" cm="1">
        <f t="array" aca="1" ref="BR136" ca="1">_FV(EB136,"Volume")</f>
        <v>251700</v>
      </c>
      <c r="BS136" s="24" cm="1">
        <f t="array" aca="1" ref="BS136" ca="1">_FV(EB136,"Beta")</f>
        <v>1.4765999999999999</v>
      </c>
      <c r="BT136" s="71" cm="1">
        <f t="array" aca="1" ref="BT136" ca="1">_FV(EB136,"Variação (%)",TRUE)</f>
        <v>1.0101000000000001E-2</v>
      </c>
      <c r="BV136" s="17" cm="1">
        <f t="array" aca="1" ref="BV136" ca="1">_FV(EB136,"Baixo")</f>
        <v>0.97</v>
      </c>
      <c r="BW136" s="17" cm="1">
        <f t="array" aca="1" ref="BW136" ca="1">_FV(EB136,"Alto")</f>
        <v>1</v>
      </c>
      <c r="BX136" s="24"/>
      <c r="BY136" s="63" t="e">
        <f ca="1">SQRT(22.5*(BN136/VLOOKUP(BO136,Fundamentus!A:U,3,FALSE))*(BN136/VLOOKUP(BO136,Fundamentus!A:U,4,FALSE)))</f>
        <v>#N/A</v>
      </c>
      <c r="CA136" s="62">
        <f t="shared" ca="1" si="168"/>
        <v>0</v>
      </c>
      <c r="CB136" s="8"/>
      <c r="CC136" s="61">
        <f t="shared" si="169"/>
        <v>0.88</v>
      </c>
      <c r="CD136" s="61">
        <f t="shared" si="170"/>
        <v>3.08</v>
      </c>
      <c r="CE136" s="61">
        <f t="shared" si="171"/>
        <v>1.756923076923077</v>
      </c>
      <c r="CF136" s="14"/>
      <c r="CG136" s="35">
        <f t="shared" si="154"/>
        <v>0.91075188443400923</v>
      </c>
      <c r="CH136" s="15">
        <f t="shared" si="172"/>
        <v>1.0600000000000023</v>
      </c>
      <c r="CI136" s="35">
        <f t="shared" si="155"/>
        <v>1.2092481155659953</v>
      </c>
      <c r="CK136" s="14"/>
      <c r="CL136" s="17">
        <f t="shared" si="156"/>
        <v>-1.9733333333333336</v>
      </c>
      <c r="CM136" s="17">
        <f t="shared" si="157"/>
        <v>-0.54666666666666686</v>
      </c>
      <c r="CN136" s="17">
        <f t="shared" si="158"/>
        <v>0.22666666666666657</v>
      </c>
      <c r="CO136" s="38">
        <f t="shared" si="173"/>
        <v>1.6533333333333333</v>
      </c>
      <c r="CP136" s="17">
        <f t="shared" si="159"/>
        <v>2.4266666666666667</v>
      </c>
      <c r="CQ136" s="17">
        <f t="shared" si="160"/>
        <v>3.8533333333333335</v>
      </c>
      <c r="CR136" s="17">
        <f t="shared" si="161"/>
        <v>4.6266666666666669</v>
      </c>
      <c r="CS136" s="2" cm="1">
        <f t="array" aca="1" ref="CS136" ca="1">MAX(_xlfn._xlws.FILTER(CL136:CR136,CL136:CR136&lt;BN136))</f>
        <v>0.22666666666666657</v>
      </c>
      <c r="CT136" s="2" cm="1">
        <f t="array" aca="1" ref="CT136" ca="1">MIN(_xlfn._xlws.FILTER($CL136:$CR136,$CL136:$CR136&gt;BN136))</f>
        <v>1.6533333333333333</v>
      </c>
      <c r="CU136" s="16">
        <f t="shared" ca="1" si="136"/>
        <v>6.2941176470588269</v>
      </c>
      <c r="CV136" s="20">
        <f t="shared" ca="1" si="137"/>
        <v>-3.1470588235294135</v>
      </c>
      <c r="CW136" s="20">
        <f t="shared" ca="1" si="138"/>
        <v>-2.0980392156862755</v>
      </c>
      <c r="CX136" s="20">
        <f t="shared" ca="1" si="139"/>
        <v>-1.2588235294117653</v>
      </c>
      <c r="CY136" s="20">
        <f t="shared" ca="1" si="140"/>
        <v>-0.69934640522875857</v>
      </c>
      <c r="CZ136" s="20">
        <f t="shared" ca="1" si="141"/>
        <v>-0.37024221453287215</v>
      </c>
      <c r="DA136" s="20">
        <f t="shared" ca="1" si="142"/>
        <v>-0.19073083778966143</v>
      </c>
      <c r="DB136" s="20">
        <f t="shared" ca="1" si="143"/>
        <v>-9.683257918552042E-2</v>
      </c>
      <c r="DC136" s="21">
        <f t="shared" ca="1" si="144"/>
        <v>9.683257918552042E-2</v>
      </c>
      <c r="DD136" s="21">
        <f t="shared" ca="1" si="145"/>
        <v>0.19073083778966143</v>
      </c>
      <c r="DE136" s="21">
        <f t="shared" ca="1" si="146"/>
        <v>0.37024221453287215</v>
      </c>
      <c r="DF136" s="21">
        <f t="shared" ca="1" si="147"/>
        <v>0.69934640522875857</v>
      </c>
      <c r="DG136" s="21">
        <f t="shared" ca="1" si="148"/>
        <v>1.2588235294117653</v>
      </c>
      <c r="DH136" s="21">
        <f t="shared" ca="1" si="149"/>
        <v>2.0980392156862755</v>
      </c>
      <c r="DI136" s="21">
        <f t="shared" ca="1" si="150"/>
        <v>3.1470588235294135</v>
      </c>
      <c r="DK136" s="16" cm="1">
        <f t="array" aca="1" ref="DK136" ca="1">MAX(_xlfn._xlws.FILTER(CV136:DI136,CV136:DI136&lt;BT136))</f>
        <v>-9.683257918552042E-2</v>
      </c>
      <c r="DL136" s="16" cm="1">
        <f t="array" aca="1" ref="DL136" ca="1">MIN(_xlfn._xlws.FILTER(CV136:DI136,CV136:DI136&gt;BT136))</f>
        <v>9.683257918552042E-2</v>
      </c>
      <c r="DM136" s="2" cm="1">
        <f t="array" aca="1" ref="DM136" ca="1">_FV(EB136,"Fechamento anterior",TRUE)</f>
        <v>0.99</v>
      </c>
      <c r="DN136" s="28">
        <f t="shared" ca="1" si="162"/>
        <v>0.55215708486736559</v>
      </c>
      <c r="DO136" s="15">
        <f t="shared" ca="1" si="151"/>
        <v>0.89413574660633477</v>
      </c>
      <c r="DP136" s="15">
        <f t="shared" ca="1" si="152"/>
        <v>1.0858642533936651</v>
      </c>
      <c r="DQ136" s="9"/>
      <c r="DR136" s="9"/>
      <c r="DS136" s="9"/>
      <c r="DT136" s="89">
        <v>0.19366515837104084</v>
      </c>
      <c r="DU136" s="89">
        <f t="shared" ca="1" si="163"/>
        <v>0.19366515837104084</v>
      </c>
      <c r="DV136" s="72">
        <f t="shared" ca="1" si="164"/>
        <v>-0.40201512610369994</v>
      </c>
      <c r="DW136" s="37"/>
      <c r="DX136" s="35">
        <f t="shared" si="174"/>
        <v>7.4624057782996522E-2</v>
      </c>
      <c r="DY136" s="56"/>
      <c r="DZ136" s="56"/>
      <c r="EB136" s="2" t="e" vm="135">
        <v>#VALUE!</v>
      </c>
      <c r="ED136" s="10" cm="1">
        <f t="array" aca="1" ref="ED136" ca="1">_FV(EB136,"Ações em circulação",TRUE)</f>
        <v>122763400</v>
      </c>
      <c r="EE136" s="18" t="e">
        <f>VLOOKUP(BO136,Fundamentus!A:U,5,FALSE)</f>
        <v>#N/A</v>
      </c>
      <c r="EF136" s="2" t="e">
        <f t="shared" ca="1" si="165"/>
        <v>#N/A</v>
      </c>
      <c r="EG136" s="17" t="e">
        <v>#N/A</v>
      </c>
      <c r="EH136" s="17" t="e">
        <f t="shared" ca="1" si="166"/>
        <v>#N/A</v>
      </c>
      <c r="EJ136" s="16" t="e">
        <f t="shared" ca="1" si="153"/>
        <v>#N/A</v>
      </c>
      <c r="EK136" s="32" t="e">
        <f>IF(VLOOKUP(BO136,Fundamentus!A:U,3,FALSE)&lt;15,"Bom",IF(VLOOKUP(BO136,Fundamentus!A:U,3,FALSE)&gt;15,"Ruim","n/a"))</f>
        <v>#N/A</v>
      </c>
      <c r="EL136" s="28" t="e">
        <f>IF(VLOOKUP(BO136,Fundamentus!A:U,4,FALSE)&lt;1,"Baixo",IF(VLOOKUP(BO136,Fundamentus!A:U,4,FALSE)&lt;1.5,"Moderado",IF(VLOOKUP(BO136,Fundamentus!A:U,4,FALSE)&gt;1.5,"Alto","n/a")))</f>
        <v>#N/A</v>
      </c>
      <c r="EM136" s="17" t="e">
        <f>IF(VLOOKUP(BO136,Fundamentus!A:U,8,FALSE)&lt;0,"Risco elevado",IF(VLOOKUP(BO136,Fundamentus!A:U,8,FALSE)&lt;1,"Saudável",IF(VLOOKUP(BO136,Fundamentus!A:U,8,FALSE)&lt;3,"Estável",IF(VLOOKUP(BO136,Fundamentus!A:U,8,FALSE)&gt;3,"Alerta","n/a"))))</f>
        <v>#N/A</v>
      </c>
      <c r="EN136" s="28" t="e">
        <f t="shared" si="167"/>
        <v>#N/A</v>
      </c>
      <c r="EO136" s="17" t="e">
        <f>IF(VLOOKUP(BO136,Fundamentus!A:U,12,FALSE)&lt;2,"Subvalorizada",IF(VLOOKUP(BO136,Fundamentus!A:U,12,FALSE)&lt;6,"Muita barata",IF(VLOOKUP(BO136,Fundamentus!A:U,12,FALSE)&lt;6,"Barata",IF(VLOOKUP(BO136,Fundamentus!A:U,12,FALSE)&lt;8,"Atrativa",IF(VLOOKUP(BO136,Fundamentus!A:U,12,FALSE)&gt;8,"Supervalorizada","n/a")))))</f>
        <v>#N/A</v>
      </c>
      <c r="EQ136" s="17" t="e">
        <f>IF(VLOOKUP(BO136,Fundamentus!A:U,17,FALSE)&lt;0.1,"Fraco retorno",IF(VLOOKUP(BO136,Fundamentus!A:U,17,FALSE)&gt;0.1,"Bom retorno","n/a"))</f>
        <v>#N/A</v>
      </c>
      <c r="ER136" s="17" t="e">
        <f>IF(VLOOKUP(BO136,Fundamentus!A:U,16,FALSE)&lt;0.1,"Ineficiente",IF(VLOOKUP(BO136,Fundamentus!A:U,16,FALSE)&gt;0.1,"Eficiente","n/a"))</f>
        <v>#N/A</v>
      </c>
      <c r="ES136" s="33" t="e">
        <f>IF(VLOOKUP(BO136,Fundamentus!A:U,16,FALSE)&lt;0.1,"Oper. Ineficiente",IF(VLOOKUP(BO136,Fundamentus!A:U,16,FALSE)&gt;0.1,"Oper.Eficiente","n/a"))</f>
        <v>#N/A</v>
      </c>
      <c r="ET136" s="34" t="e">
        <f>VLOOKUP(BO136,Fundamentus!A:U,14,FALSE)</f>
        <v>#N/A</v>
      </c>
      <c r="EU136" s="17" t="e">
        <f>IF(VLOOKUP(BO136,Fundamentus!A:U,21,FALSE)&lt;0,"Negativo",IF(VLOOKUP(BO136,Fundamentus!A:U,21,FALSE)&lt;0.05,"Fraco",IF(VLOOKUP(BO136,Fundamentus!A:U,21,FALSE)&lt;0.1,"Bom",IF(VLOOKUP(BO136,Fundamentus!A:U,21,FALSE)&gt;0.1,"Muito bom","n/a"))))</f>
        <v>#N/A</v>
      </c>
      <c r="EW136" s="29" t="e">
        <f>IF(VLOOKUP(BO136,Fundamentus!A:U,15,FALSE)&gt;1,"Bom",IF(VLOOKUP(BO136,Fundamentus!A:U,15,FALSE)&lt;1,"Ruim","n/a"))</f>
        <v>#N/A</v>
      </c>
      <c r="EX136" s="17" t="e">
        <f>IF(VLOOKUP(BO136,Fundamentus!A:U,20,FALSE)&lt;0.5,"Baixa",IF(VLOOKUP(BO136,Fundamentus!A:U,20,FALSE)&lt;1,"Moderada",IF(VLOOKUP(BO136,Fundamentus!A:U,20,FALSE)&lt;2,"Alerta",IF(VLOOKUP(BO136,Fundamentus!A:U,20,FALSE)&gt;2,"Alta","n/a"))))</f>
        <v>#N/A</v>
      </c>
      <c r="EY136" s="10"/>
    </row>
    <row r="137" spans="1:155" s="2" customFormat="1" ht="11.25"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5">
        <v>8.35</v>
      </c>
      <c r="BC137" s="52">
        <v>8.67</v>
      </c>
      <c r="BD137" s="52">
        <v>8.51</v>
      </c>
      <c r="BE137" s="52">
        <v>8.36</v>
      </c>
      <c r="BF137" s="52">
        <v>9.2200000000000006</v>
      </c>
      <c r="BG137" s="67">
        <v>9.19</v>
      </c>
      <c r="BH137" s="52">
        <v>8.91</v>
      </c>
      <c r="BI137" s="52">
        <v>8.82</v>
      </c>
      <c r="BJ137" s="52">
        <v>9.3699999999999992</v>
      </c>
      <c r="BK137" s="52">
        <v>9.32</v>
      </c>
      <c r="BL137" s="52">
        <v>9</v>
      </c>
      <c r="BM137" s="52">
        <v>9.5399999999999991</v>
      </c>
      <c r="BN137" s="52" cm="1">
        <f t="array" aca="1" ref="BN137" ca="1">_FV(EB137,"Preço")</f>
        <v>9.5399999999999991</v>
      </c>
      <c r="BO137" s="69" t="s">
        <v>133</v>
      </c>
      <c r="BP137" s="36" cm="1">
        <f t="array" aca="1" ref="BP137" ca="1">_FV(EB137,"Média de volume",TRUE)</f>
        <v>5615120</v>
      </c>
      <c r="BQ137" s="36">
        <v>2503500</v>
      </c>
      <c r="BR137" s="36" cm="1">
        <f t="array" aca="1" ref="BR137" ca="1">_FV(EB137,"Volume")</f>
        <v>2503500</v>
      </c>
      <c r="BS137" s="24" cm="1">
        <f t="array" aca="1" ref="BS137" ca="1">_FV(EB137,"Beta")</f>
        <v>0.66120000000000001</v>
      </c>
      <c r="BT137" s="71" cm="1">
        <f t="array" aca="1" ref="BT137" ca="1">_FV(EB137,"Variação (%)",TRUE)</f>
        <v>-9.3460000000000001E-3</v>
      </c>
      <c r="BV137" s="17" cm="1">
        <f t="array" aca="1" ref="BV137" ca="1">_FV(EB137,"Baixo")</f>
        <v>9.48</v>
      </c>
      <c r="BW137" s="17" cm="1">
        <f t="array" aca="1" ref="BW137" ca="1">_FV(EB137,"Alto")</f>
        <v>9.69</v>
      </c>
      <c r="BX137" s="24"/>
      <c r="BY137" s="63">
        <f ca="1">SQRT(22.5*(BN137/VLOOKUP(BO137,Fundamentus!A:U,3,FALSE))*(BN137/VLOOKUP(BO137,Fundamentus!A:U,4,FALSE)))</f>
        <v>22.08264967706403</v>
      </c>
      <c r="CA137" s="62">
        <f t="shared" ca="1" si="168"/>
        <v>0</v>
      </c>
      <c r="CB137" s="8"/>
      <c r="CC137" s="61">
        <f t="shared" si="169"/>
        <v>8.16</v>
      </c>
      <c r="CD137" s="61">
        <f t="shared" si="170"/>
        <v>11.57</v>
      </c>
      <c r="CE137" s="61">
        <f t="shared" si="171"/>
        <v>9.9401538461538479</v>
      </c>
      <c r="CF137" s="14"/>
      <c r="CG137" s="35">
        <f t="shared" si="154"/>
        <v>8.964263515908744</v>
      </c>
      <c r="CH137" s="15">
        <f t="shared" si="172"/>
        <v>9.355000000000004</v>
      </c>
      <c r="CI137" s="35">
        <f t="shared" si="155"/>
        <v>9.7457364840912639</v>
      </c>
      <c r="CK137" s="14"/>
      <c r="CL137" s="17">
        <f t="shared" si="156"/>
        <v>4.173333333333332</v>
      </c>
      <c r="CM137" s="17">
        <f t="shared" si="157"/>
        <v>6.1666666666666661</v>
      </c>
      <c r="CN137" s="17">
        <f t="shared" si="158"/>
        <v>7.5833333333333321</v>
      </c>
      <c r="CO137" s="38">
        <f t="shared" si="173"/>
        <v>9.5766666666666662</v>
      </c>
      <c r="CP137" s="17">
        <f t="shared" si="159"/>
        <v>10.993333333333332</v>
      </c>
      <c r="CQ137" s="17">
        <f t="shared" si="160"/>
        <v>12.986666666666666</v>
      </c>
      <c r="CR137" s="17">
        <f t="shared" si="161"/>
        <v>14.403333333333332</v>
      </c>
      <c r="CS137" s="2" cm="1">
        <f t="array" aca="1" ref="CS137" ca="1">MAX(_xlfn._xlws.FILTER(CL137:CR137,CL137:CR137&lt;BN137))</f>
        <v>7.5833333333333321</v>
      </c>
      <c r="CT137" s="2" cm="1">
        <f t="array" aca="1" ref="CT137" ca="1">MIN(_xlfn._xlws.FILTER($CL137:$CR137,$CL137:$CR137&gt;BN137))</f>
        <v>9.5766666666666662</v>
      </c>
      <c r="CU137" s="16">
        <f t="shared" ca="1" si="136"/>
        <v>0.2628571428571429</v>
      </c>
      <c r="CV137" s="20">
        <f t="shared" ca="1" si="137"/>
        <v>-0.13142857142857145</v>
      </c>
      <c r="CW137" s="20">
        <f t="shared" ca="1" si="138"/>
        <v>-8.7619047619047638E-2</v>
      </c>
      <c r="CX137" s="20">
        <f t="shared" ca="1" si="139"/>
        <v>-5.2571428571428581E-2</v>
      </c>
      <c r="CY137" s="20">
        <f t="shared" ca="1" si="140"/>
        <v>-2.9206349206349212E-2</v>
      </c>
      <c r="CZ137" s="20">
        <f t="shared" ca="1" si="141"/>
        <v>-1.5462184873949583E-2</v>
      </c>
      <c r="DA137" s="20">
        <f t="shared" ca="1" si="142"/>
        <v>-7.9653679653679671E-3</v>
      </c>
      <c r="DB137" s="20">
        <f t="shared" ca="1" si="143"/>
        <v>-4.043956043956045E-3</v>
      </c>
      <c r="DC137" s="21">
        <f t="shared" ca="1" si="144"/>
        <v>4.043956043956045E-3</v>
      </c>
      <c r="DD137" s="21">
        <f t="shared" ca="1" si="145"/>
        <v>7.9653679653679671E-3</v>
      </c>
      <c r="DE137" s="21">
        <f t="shared" ca="1" si="146"/>
        <v>1.5462184873949583E-2</v>
      </c>
      <c r="DF137" s="21">
        <f t="shared" ca="1" si="147"/>
        <v>2.9206349206349212E-2</v>
      </c>
      <c r="DG137" s="21">
        <f t="shared" ca="1" si="148"/>
        <v>5.2571428571428581E-2</v>
      </c>
      <c r="DH137" s="21">
        <f t="shared" ca="1" si="149"/>
        <v>8.7619047619047638E-2</v>
      </c>
      <c r="DI137" s="21">
        <f t="shared" ca="1" si="150"/>
        <v>0.13142857142857145</v>
      </c>
      <c r="DK137" s="16" cm="1">
        <f t="array" aca="1" ref="DK137" ca="1">MAX(_xlfn._xlws.FILTER(CV137:DI137,CV137:DI137&lt;BT137))</f>
        <v>-1.5462184873949583E-2</v>
      </c>
      <c r="DL137" s="16" cm="1">
        <f t="array" aca="1" ref="DL137" ca="1">MIN(_xlfn._xlws.FILTER(CV137:DI137,CV137:DI137&gt;BT137))</f>
        <v>-7.9653679653679671E-3</v>
      </c>
      <c r="DM137" s="2" cm="1">
        <f t="array" aca="1" ref="DM137" ca="1">_FV(EB137,"Fechamento anterior",TRUE)</f>
        <v>9.6300000000000008</v>
      </c>
      <c r="DN137" s="28">
        <f t="shared" ca="1" si="162"/>
        <v>0.81586499390489975</v>
      </c>
      <c r="DO137" s="15">
        <f t="shared" ca="1" si="151"/>
        <v>9.4810991596638665</v>
      </c>
      <c r="DP137" s="15">
        <f t="shared" ca="1" si="152"/>
        <v>9.5532935064935067</v>
      </c>
      <c r="DQ137" s="9"/>
      <c r="DR137" s="9"/>
      <c r="DS137" s="9"/>
      <c r="DT137" s="89">
        <v>7.4968169085816161E-3</v>
      </c>
      <c r="DU137" s="89">
        <f t="shared" ca="1" si="163"/>
        <v>7.4968169085816161E-3</v>
      </c>
      <c r="DV137" s="72">
        <f t="shared" ca="1" si="164"/>
        <v>0.47346487346901239</v>
      </c>
      <c r="DW137" s="37"/>
      <c r="DX137" s="35">
        <f t="shared" si="174"/>
        <v>0.19536824204563003</v>
      </c>
      <c r="DY137" s="56"/>
      <c r="DZ137" s="56"/>
      <c r="EB137" s="2" t="e" vm="136">
        <v>#VALUE!</v>
      </c>
      <c r="ED137" s="10" cm="1">
        <f t="array" aca="1" ref="ED137" ca="1">_FV(EB137,"Ações em circulação",TRUE)</f>
        <v>993705800</v>
      </c>
      <c r="EE137" s="18">
        <f>VLOOKUP(BO137,Fundamentus!A:U,5,FALSE)</f>
        <v>0.14000000000000001</v>
      </c>
      <c r="EF137" s="2">
        <f t="shared" ca="1" si="165"/>
        <v>67713952371.428566</v>
      </c>
      <c r="EG137" s="17">
        <v>3290898085.2514281</v>
      </c>
      <c r="EH137" s="17">
        <f t="shared" ca="1" si="166"/>
        <v>3290898085.2514281</v>
      </c>
      <c r="EJ137" s="16">
        <f t="shared" ca="1" si="153"/>
        <v>0</v>
      </c>
      <c r="EK137" s="32" t="str">
        <f>IF(VLOOKUP(BO137,Fundamentus!A:U,3,FALSE)&lt;15,"Bom",IF(VLOOKUP(BO137,Fundamentus!A:U,3,FALSE)&gt;15,"Ruim","n/a"))</f>
        <v>Bom</v>
      </c>
      <c r="EL137" s="28" t="str">
        <f>IF(VLOOKUP(BO137,Fundamentus!A:U,4,FALSE)&lt;1,"Baixo",IF(VLOOKUP(BO137,Fundamentus!A:U,4,FALSE)&lt;1.5,"Moderado",IF(VLOOKUP(BO137,Fundamentus!A:U,4,FALSE)&gt;1.5,"Alto","n/a")))</f>
        <v>Baixo</v>
      </c>
      <c r="EM137" s="17" t="str">
        <f>IF(VLOOKUP(BO137,Fundamentus!A:U,8,FALSE)&lt;0,"Risco elevado",IF(VLOOKUP(BO137,Fundamentus!A:U,8,FALSE)&lt;1,"Saudável",IF(VLOOKUP(BO137,Fundamentus!A:U,8,FALSE)&lt;3,"Estável",IF(VLOOKUP(BO137,Fundamentus!A:U,8,FALSE)&gt;3,"Alerta","n/a"))))</f>
        <v>Saudável</v>
      </c>
      <c r="EN137" s="28" t="str">
        <f t="shared" si="167"/>
        <v>Ruim</v>
      </c>
      <c r="EO137" s="17" t="str">
        <f>IF(VLOOKUP(BO137,Fundamentus!A:U,12,FALSE)&lt;2,"Subvalorizada",IF(VLOOKUP(BO137,Fundamentus!A:U,12,FALSE)&lt;6,"Muita barata",IF(VLOOKUP(BO137,Fundamentus!A:U,12,FALSE)&lt;6,"Barata",IF(VLOOKUP(BO137,Fundamentus!A:U,12,FALSE)&lt;8,"Atrativa",IF(VLOOKUP(BO137,Fundamentus!A:U,12,FALSE)&gt;8,"Supervalorizada","n/a")))))</f>
        <v>Subvalorizada</v>
      </c>
      <c r="EQ137" s="17" t="str">
        <f>IF(VLOOKUP(BO137,Fundamentus!A:U,17,FALSE)&lt;0.1,"Fraco retorno",IF(VLOOKUP(BO137,Fundamentus!A:U,17,FALSE)&gt;0.1,"Bom retorno","n/a"))</f>
        <v>Fraco retorno</v>
      </c>
      <c r="ER137" s="17" t="str">
        <f>IF(VLOOKUP(BO137,Fundamentus!A:U,16,FALSE)&lt;0.1,"Ineficiente",IF(VLOOKUP(BO137,Fundamentus!A:U,16,FALSE)&gt;0.1,"Eficiente","n/a"))</f>
        <v>Ineficiente</v>
      </c>
      <c r="ES137" s="33" t="str">
        <f>IF(VLOOKUP(BO137,Fundamentus!A:U,16,FALSE)&lt;0.1,"Oper. Ineficiente",IF(VLOOKUP(BO137,Fundamentus!A:U,16,FALSE)&gt;0.1,"Oper.Eficiente","n/a"))</f>
        <v>Oper. Ineficiente</v>
      </c>
      <c r="ET137" s="34">
        <f>VLOOKUP(BO137,Fundamentus!A:U,14,FALSE)</f>
        <v>4.8599999999999997E-2</v>
      </c>
      <c r="EU137" s="17" t="str">
        <f>IF(VLOOKUP(BO137,Fundamentus!A:U,21,FALSE)&lt;0,"Negativo",IF(VLOOKUP(BO137,Fundamentus!A:U,21,FALSE)&lt;0.05,"Fraco",IF(VLOOKUP(BO137,Fundamentus!A:U,21,FALSE)&lt;0.1,"Bom",IF(VLOOKUP(BO137,Fundamentus!A:U,21,FALSE)&gt;0.1,"Muito bom","n/a"))))</f>
        <v>Fraco</v>
      </c>
      <c r="EW137" s="29" t="str">
        <f>IF(VLOOKUP(BO137,Fundamentus!A:U,15,FALSE)&gt;1,"Bom",IF(VLOOKUP(BO137,Fundamentus!A:U,15,FALSE)&lt;1,"Ruim","n/a"))</f>
        <v>Bom</v>
      </c>
      <c r="EX137" s="17" t="str">
        <f>IF(VLOOKUP(BO137,Fundamentus!A:U,20,FALSE)&lt;0.5,"Baixa",IF(VLOOKUP(BO137,Fundamentus!A:U,20,FALSE)&lt;1,"Moderada",IF(VLOOKUP(BO137,Fundamentus!A:U,20,FALSE)&lt;2,"Alerta",IF(VLOOKUP(BO137,Fundamentus!A:U,20,FALSE)&gt;2,"Alta","n/a"))))</f>
        <v>Moderada</v>
      </c>
      <c r="EY137" s="10"/>
    </row>
    <row r="138" spans="1:155" s="2" customFormat="1" ht="11.25"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5">
        <v>3.75</v>
      </c>
      <c r="BC138" s="52">
        <v>4.09</v>
      </c>
      <c r="BD138" s="52">
        <v>4.05</v>
      </c>
      <c r="BE138" s="52">
        <v>3.85</v>
      </c>
      <c r="BF138" s="52">
        <v>3.99</v>
      </c>
      <c r="BG138" s="67">
        <v>3.98</v>
      </c>
      <c r="BH138" s="52">
        <v>3.83</v>
      </c>
      <c r="BI138" s="52">
        <v>3.95</v>
      </c>
      <c r="BJ138" s="52">
        <v>4</v>
      </c>
      <c r="BK138" s="52">
        <v>4.33</v>
      </c>
      <c r="BL138" s="52">
        <v>4.25</v>
      </c>
      <c r="BM138" s="52">
        <v>4.3</v>
      </c>
      <c r="BN138" s="52" cm="1">
        <f t="array" aca="1" ref="BN138" ca="1">_FV(EB138,"Preço")</f>
        <v>4.3</v>
      </c>
      <c r="BO138" s="69" t="s">
        <v>134</v>
      </c>
      <c r="BP138" s="36" t="e" cm="1" vm="3">
        <f t="array" ref="BP138">_FV(EB138,"Média de volume",TRUE)</f>
        <v>#VALUE!</v>
      </c>
      <c r="BQ138" s="36">
        <v>100</v>
      </c>
      <c r="BR138" s="36" cm="1">
        <f t="array" aca="1" ref="BR138" ca="1">_FV(EB138,"Volume")</f>
        <v>100</v>
      </c>
      <c r="BS138" s="24" t="e" cm="1" vm="137">
        <f t="array" ref="BS138">_FV(EB138,"Beta")</f>
        <v>#VALUE!</v>
      </c>
      <c r="BT138" s="71" cm="1">
        <f t="array" aca="1" ref="BT138" ca="1">_FV(EB138,"Variação (%)",TRUE)</f>
        <v>2.3310000000000002E-3</v>
      </c>
      <c r="BV138" s="17" cm="1">
        <f t="array" aca="1" ref="BV138" ca="1">_FV(EB138,"Baixo")</f>
        <v>4.3</v>
      </c>
      <c r="BW138" s="17" cm="1">
        <f t="array" aca="1" ref="BW138" ca="1">_FV(EB138,"Alto")</f>
        <v>4.3</v>
      </c>
      <c r="BX138" s="24"/>
      <c r="BY138" s="63" t="e">
        <f ca="1">SQRT(22.5*(BN138/VLOOKUP(BO138,Fundamentus!A:U,3,FALSE))*(BN138/VLOOKUP(BO138,Fundamentus!A:U,4,FALSE)))</f>
        <v>#NUM!</v>
      </c>
      <c r="CA138" s="62">
        <f t="shared" ca="1" si="168"/>
        <v>0</v>
      </c>
      <c r="CB138" s="8"/>
      <c r="CC138" s="61">
        <f t="shared" si="169"/>
        <v>3.73</v>
      </c>
      <c r="CD138" s="61">
        <f t="shared" si="170"/>
        <v>4.57</v>
      </c>
      <c r="CE138" s="61">
        <f t="shared" si="171"/>
        <v>4.0880000000000001</v>
      </c>
      <c r="CF138" s="14"/>
      <c r="CG138" s="35">
        <f t="shared" si="154"/>
        <v>4.1646156686742373</v>
      </c>
      <c r="CH138" s="15">
        <f t="shared" si="172"/>
        <v>4.4250000000000682</v>
      </c>
      <c r="CI138" s="35">
        <f t="shared" si="155"/>
        <v>4.6853843313258992</v>
      </c>
      <c r="CK138" s="14"/>
      <c r="CL138" s="17">
        <f t="shared" si="156"/>
        <v>2.9566666666666666</v>
      </c>
      <c r="CM138" s="17">
        <f t="shared" si="157"/>
        <v>3.3433333333333333</v>
      </c>
      <c r="CN138" s="17">
        <f t="shared" si="158"/>
        <v>3.7966666666666669</v>
      </c>
      <c r="CO138" s="38">
        <f t="shared" si="173"/>
        <v>4.1833333333333336</v>
      </c>
      <c r="CP138" s="17">
        <f t="shared" si="159"/>
        <v>4.6366666666666667</v>
      </c>
      <c r="CQ138" s="17">
        <f t="shared" si="160"/>
        <v>5.0233333333333334</v>
      </c>
      <c r="CR138" s="17">
        <f t="shared" si="161"/>
        <v>5.4766666666666675</v>
      </c>
      <c r="CS138" s="2" cm="1">
        <f t="array" aca="1" ref="CS138" ca="1">MAX(_xlfn._xlws.FILTER(CL138:CR138,CL138:CR138&lt;BN138))</f>
        <v>4.1833333333333336</v>
      </c>
      <c r="CT138" s="2" cm="1">
        <f t="array" aca="1" ref="CT138" ca="1">MIN(_xlfn._xlws.FILTER($CL138:$CR138,$CL138:$CR138&gt;BN138))</f>
        <v>4.6366666666666667</v>
      </c>
      <c r="CU138" s="16">
        <f t="shared" ca="1" si="136"/>
        <v>0.10836653386454187</v>
      </c>
      <c r="CV138" s="20">
        <f t="shared" ca="1" si="137"/>
        <v>-5.4183266932270935E-2</v>
      </c>
      <c r="CW138" s="20">
        <f t="shared" ca="1" si="138"/>
        <v>-3.612217795484729E-2</v>
      </c>
      <c r="CX138" s="20">
        <f t="shared" ca="1" si="139"/>
        <v>-2.1673306772908373E-2</v>
      </c>
      <c r="CY138" s="20">
        <f t="shared" ca="1" si="140"/>
        <v>-1.2040725984949097E-2</v>
      </c>
      <c r="CZ138" s="20">
        <f t="shared" ca="1" si="141"/>
        <v>-6.3745019920318745E-3</v>
      </c>
      <c r="DA138" s="20">
        <f t="shared" ca="1" si="142"/>
        <v>-3.2838343595315718E-3</v>
      </c>
      <c r="DB138" s="20">
        <f t="shared" ca="1" si="143"/>
        <v>-1.667177444069875E-3</v>
      </c>
      <c r="DC138" s="21">
        <f t="shared" ca="1" si="144"/>
        <v>1.667177444069875E-3</v>
      </c>
      <c r="DD138" s="21">
        <f t="shared" ca="1" si="145"/>
        <v>3.2838343595315718E-3</v>
      </c>
      <c r="DE138" s="21">
        <f t="shared" ca="1" si="146"/>
        <v>6.3745019920318745E-3</v>
      </c>
      <c r="DF138" s="21">
        <f t="shared" ca="1" si="147"/>
        <v>1.2040725984949097E-2</v>
      </c>
      <c r="DG138" s="21">
        <f t="shared" ca="1" si="148"/>
        <v>2.1673306772908373E-2</v>
      </c>
      <c r="DH138" s="21">
        <f t="shared" ca="1" si="149"/>
        <v>3.612217795484729E-2</v>
      </c>
      <c r="DI138" s="21">
        <f t="shared" ca="1" si="150"/>
        <v>5.4183266932270935E-2</v>
      </c>
      <c r="DK138" s="16" cm="1">
        <f t="array" aca="1" ref="DK138" ca="1">MAX(_xlfn._xlws.FILTER(CV138:DI138,CV138:DI138&lt;BT138))</f>
        <v>1.667177444069875E-3</v>
      </c>
      <c r="DL138" s="16" cm="1">
        <f t="array" aca="1" ref="DL138" ca="1">MIN(_xlfn._xlws.FILTER(CV138:DI138,CV138:DI138&gt;BT138))</f>
        <v>3.2838343595315718E-3</v>
      </c>
      <c r="DM138" s="2" cm="1">
        <f t="array" aca="1" ref="DM138" ca="1">_FV(EB138,"Fechamento anterior",TRUE)</f>
        <v>4.29</v>
      </c>
      <c r="DN138" s="28">
        <f t="shared" ca="1" si="162"/>
        <v>0.41061580882352711</v>
      </c>
      <c r="DO138" s="15">
        <f t="shared" ca="1" si="151"/>
        <v>4.2971521912350594</v>
      </c>
      <c r="DP138" s="15">
        <f t="shared" ca="1" si="152"/>
        <v>4.3040876494023905</v>
      </c>
      <c r="DQ138" s="9"/>
      <c r="DR138" s="9"/>
      <c r="DS138" s="9"/>
      <c r="DT138" s="89">
        <v>1.6166569154616969E-3</v>
      </c>
      <c r="DU138" s="89">
        <f t="shared" ca="1" si="163"/>
        <v>1.6166569154616969E-3</v>
      </c>
      <c r="DV138" s="72">
        <f t="shared" ca="1" si="164"/>
        <v>-0.48005960790186764</v>
      </c>
      <c r="DW138" s="37"/>
      <c r="DX138" s="35">
        <f t="shared" si="174"/>
        <v>0.13019216566291536</v>
      </c>
      <c r="DY138" s="56"/>
      <c r="DZ138" s="56"/>
      <c r="EB138" s="2" t="e" vm="138">
        <v>#VALUE!</v>
      </c>
      <c r="ED138" s="10" cm="1">
        <f t="array" aca="1" ref="ED138" ca="1">_FV(EB138,"Ações em circulação",TRUE)</f>
        <v>75645290</v>
      </c>
      <c r="EE138" s="18">
        <f>VLOOKUP(BO138,Fundamentus!A:U,5,FALSE)</f>
        <v>0.50700000000000001</v>
      </c>
      <c r="EF138" s="2">
        <f t="shared" ca="1" si="165"/>
        <v>641567548.32347143</v>
      </c>
      <c r="EG138" s="17">
        <v>-4170189.064102564</v>
      </c>
      <c r="EH138" s="17">
        <f t="shared" ca="1" si="166"/>
        <v>-4170189.064102564</v>
      </c>
      <c r="EJ138" s="16">
        <f t="shared" ca="1" si="153"/>
        <v>0</v>
      </c>
      <c r="EK138" s="32" t="str">
        <f>IF(VLOOKUP(BO138,Fundamentus!A:U,3,FALSE)&lt;15,"Bom",IF(VLOOKUP(BO138,Fundamentus!A:U,3,FALSE)&gt;15,"Ruim","n/a"))</f>
        <v>Bom</v>
      </c>
      <c r="EL138" s="28" t="str">
        <f>IF(VLOOKUP(BO138,Fundamentus!A:U,4,FALSE)&lt;1,"Baixo",IF(VLOOKUP(BO138,Fundamentus!A:U,4,FALSE)&lt;1.5,"Moderado",IF(VLOOKUP(BO138,Fundamentus!A:U,4,FALSE)&gt;1.5,"Alto","n/a")))</f>
        <v>Baixo</v>
      </c>
      <c r="EM138" s="17" t="str">
        <f>IF(VLOOKUP(BO138,Fundamentus!A:U,8,FALSE)&lt;0,"Risco elevado",IF(VLOOKUP(BO138,Fundamentus!A:U,8,FALSE)&lt;1,"Saudável",IF(VLOOKUP(BO138,Fundamentus!A:U,8,FALSE)&lt;3,"Estável",IF(VLOOKUP(BO138,Fundamentus!A:U,8,FALSE)&gt;3,"Alerta","n/a"))))</f>
        <v>Saudável</v>
      </c>
      <c r="EN138" s="28" t="str">
        <f t="shared" si="167"/>
        <v>Ruim</v>
      </c>
      <c r="EO138" s="17" t="str">
        <f>IF(VLOOKUP(BO138,Fundamentus!A:U,12,FALSE)&lt;2,"Subvalorizada",IF(VLOOKUP(BO138,Fundamentus!A:U,12,FALSE)&lt;6,"Muita barata",IF(VLOOKUP(BO138,Fundamentus!A:U,12,FALSE)&lt;6,"Barata",IF(VLOOKUP(BO138,Fundamentus!A:U,12,FALSE)&lt;8,"Atrativa",IF(VLOOKUP(BO138,Fundamentus!A:U,12,FALSE)&gt;8,"Supervalorizada","n/a")))))</f>
        <v>Subvalorizada</v>
      </c>
      <c r="EQ138" s="17" t="str">
        <f>IF(VLOOKUP(BO138,Fundamentus!A:U,17,FALSE)&lt;0.1,"Fraco retorno",IF(VLOOKUP(BO138,Fundamentus!A:U,17,FALSE)&gt;0.1,"Bom retorno","n/a"))</f>
        <v>Fraco retorno</v>
      </c>
      <c r="ER138" s="17" t="str">
        <f>IF(VLOOKUP(BO138,Fundamentus!A:U,16,FALSE)&lt;0.1,"Ineficiente",IF(VLOOKUP(BO138,Fundamentus!A:U,16,FALSE)&gt;0.1,"Eficiente","n/a"))</f>
        <v>Ineficiente</v>
      </c>
      <c r="ES138" s="33" t="str">
        <f>IF(VLOOKUP(BO138,Fundamentus!A:U,16,FALSE)&lt;0.1,"Oper. Ineficiente",IF(VLOOKUP(BO138,Fundamentus!A:U,16,FALSE)&gt;0.1,"Oper.Eficiente","n/a"))</f>
        <v>Oper. Ineficiente</v>
      </c>
      <c r="ET138" s="34">
        <f>VLOOKUP(BO138,Fundamentus!A:U,14,FALSE)</f>
        <v>-6.4999999999999997E-3</v>
      </c>
      <c r="EU138" s="17" t="str">
        <f>IF(VLOOKUP(BO138,Fundamentus!A:U,21,FALSE)&lt;0,"Negativo",IF(VLOOKUP(BO138,Fundamentus!A:U,21,FALSE)&lt;0.05,"Fraco",IF(VLOOKUP(BO138,Fundamentus!A:U,21,FALSE)&lt;0.1,"Bom",IF(VLOOKUP(BO138,Fundamentus!A:U,21,FALSE)&gt;0.1,"Muito bom","n/a"))))</f>
        <v>Fraco</v>
      </c>
      <c r="EW138" s="29" t="str">
        <f>IF(VLOOKUP(BO138,Fundamentus!A:U,15,FALSE)&gt;1,"Bom",IF(VLOOKUP(BO138,Fundamentus!A:U,15,FALSE)&lt;1,"Ruim","n/a"))</f>
        <v>Bom</v>
      </c>
      <c r="EX138" s="17" t="str">
        <f>IF(VLOOKUP(BO138,Fundamentus!A:U,20,FALSE)&lt;0.5,"Baixa",IF(VLOOKUP(BO138,Fundamentus!A:U,20,FALSE)&lt;1,"Moderada",IF(VLOOKUP(BO138,Fundamentus!A:U,20,FALSE)&lt;2,"Alerta",IF(VLOOKUP(BO138,Fundamentus!A:U,20,FALSE)&gt;2,"Alta","n/a"))))</f>
        <v>Baixa</v>
      </c>
      <c r="EY138" s="10"/>
    </row>
    <row r="139" spans="1:155" s="2" customFormat="1" ht="11.25"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5">
        <v>20.39</v>
      </c>
      <c r="BC139" s="52">
        <v>20.62</v>
      </c>
      <c r="BD139" s="52">
        <v>21.42</v>
      </c>
      <c r="BE139" s="52">
        <v>20.3</v>
      </c>
      <c r="BF139" s="52">
        <v>20.52</v>
      </c>
      <c r="BG139" s="67">
        <v>21</v>
      </c>
      <c r="BH139" s="52">
        <v>20.79</v>
      </c>
      <c r="BI139" s="52">
        <v>19.899999999999999</v>
      </c>
      <c r="BJ139" s="52">
        <v>19.850000000000001</v>
      </c>
      <c r="BK139" s="52">
        <v>21.88</v>
      </c>
      <c r="BL139" s="52">
        <v>20.399999999999999</v>
      </c>
      <c r="BM139" s="52">
        <v>20.89</v>
      </c>
      <c r="BN139" s="52" cm="1">
        <f t="array" aca="1" ref="BN139" ca="1">_FV(EB139,"Preço")</f>
        <v>20.89</v>
      </c>
      <c r="BO139" s="69" t="s">
        <v>135</v>
      </c>
      <c r="BP139" s="36" cm="1">
        <f t="array" aca="1" ref="BP139" ca="1">_FV(EB139,"Média de volume",TRUE)</f>
        <v>4895230</v>
      </c>
      <c r="BQ139" s="36">
        <v>1977000</v>
      </c>
      <c r="BR139" s="36" cm="1">
        <f t="array" aca="1" ref="BR139" ca="1">_FV(EB139,"Volume")</f>
        <v>1977000</v>
      </c>
      <c r="BS139" s="24" cm="1">
        <f t="array" aca="1" ref="BS139" ca="1">_FV(EB139,"Beta")</f>
        <v>1.5505</v>
      </c>
      <c r="BT139" s="71" cm="1">
        <f t="array" aca="1" ref="BT139" ca="1">_FV(EB139,"Variação (%)",TRUE)</f>
        <v>-9.4830000000000001E-3</v>
      </c>
      <c r="BV139" s="17" cm="1">
        <f t="array" aca="1" ref="BV139" ca="1">_FV(EB139,"Baixo")</f>
        <v>20.88</v>
      </c>
      <c r="BW139" s="17" cm="1">
        <f t="array" aca="1" ref="BW139" ca="1">_FV(EB139,"Alto")</f>
        <v>21.21</v>
      </c>
      <c r="BX139" s="24"/>
      <c r="BY139" s="63">
        <f ca="1">SQRT(22.5*(BN139/VLOOKUP(BO139,Fundamentus!A:U,3,FALSE))*(BN139/VLOOKUP(BO139,Fundamentus!A:U,4,FALSE)))</f>
        <v>21.235407029563035</v>
      </c>
      <c r="CA139" s="62">
        <f t="shared" ca="1" si="168"/>
        <v>0</v>
      </c>
      <c r="CB139" s="8"/>
      <c r="CC139" s="61">
        <f t="shared" si="169"/>
        <v>16.72</v>
      </c>
      <c r="CD139" s="61">
        <f t="shared" si="170"/>
        <v>28.32</v>
      </c>
      <c r="CE139" s="61">
        <f t="shared" si="171"/>
        <v>21.966153846153851</v>
      </c>
      <c r="CF139" s="14"/>
      <c r="CG139" s="35">
        <f t="shared" si="154"/>
        <v>19.672049900365245</v>
      </c>
      <c r="CH139" s="15">
        <f t="shared" si="172"/>
        <v>21.165000000000191</v>
      </c>
      <c r="CI139" s="35">
        <f t="shared" si="155"/>
        <v>22.657950099635137</v>
      </c>
      <c r="CK139" s="14"/>
      <c r="CL139" s="17">
        <f t="shared" si="156"/>
        <v>3.7066666666666634</v>
      </c>
      <c r="CM139" s="17">
        <f t="shared" si="157"/>
        <v>10.213333333333331</v>
      </c>
      <c r="CN139" s="17">
        <f t="shared" si="158"/>
        <v>15.306666666666665</v>
      </c>
      <c r="CO139" s="38">
        <f t="shared" si="173"/>
        <v>21.813333333333333</v>
      </c>
      <c r="CP139" s="17">
        <f t="shared" si="159"/>
        <v>26.906666666666666</v>
      </c>
      <c r="CQ139" s="17">
        <f t="shared" si="160"/>
        <v>33.413333333333334</v>
      </c>
      <c r="CR139" s="17">
        <f t="shared" si="161"/>
        <v>38.506666666666668</v>
      </c>
      <c r="CS139" s="2" cm="1">
        <f t="array" aca="1" ref="CS139" ca="1">MAX(_xlfn._xlws.FILTER(CL139:CR139,CL139:CR139&lt;BN139))</f>
        <v>15.306666666666665</v>
      </c>
      <c r="CT139" s="2" cm="1">
        <f t="array" aca="1" ref="CT139" ca="1">MIN(_xlfn._xlws.FILTER($CL139:$CR139,$CL139:$CR139&gt;BN139))</f>
        <v>21.813333333333333</v>
      </c>
      <c r="CU139" s="16">
        <f t="shared" ca="1" si="136"/>
        <v>0.42508710801393734</v>
      </c>
      <c r="CV139" s="20">
        <f t="shared" ca="1" si="137"/>
        <v>-0.21254355400696867</v>
      </c>
      <c r="CW139" s="20">
        <f t="shared" ca="1" si="138"/>
        <v>-0.14169570267131246</v>
      </c>
      <c r="CX139" s="20">
        <f t="shared" ca="1" si="139"/>
        <v>-8.5017421602787469E-2</v>
      </c>
      <c r="CY139" s="20">
        <f t="shared" ca="1" si="140"/>
        <v>-4.7231900890437481E-2</v>
      </c>
      <c r="CZ139" s="20">
        <f t="shared" ca="1" si="141"/>
        <v>-2.5005124000819844E-2</v>
      </c>
      <c r="DA139" s="20">
        <f t="shared" ca="1" si="142"/>
        <v>-1.2881427515573859E-2</v>
      </c>
      <c r="DB139" s="20">
        <f t="shared" ca="1" si="143"/>
        <v>-6.5398016617528821E-3</v>
      </c>
      <c r="DC139" s="21">
        <f t="shared" ca="1" si="144"/>
        <v>6.5398016617528821E-3</v>
      </c>
      <c r="DD139" s="21">
        <f t="shared" ca="1" si="145"/>
        <v>1.2881427515573859E-2</v>
      </c>
      <c r="DE139" s="21">
        <f t="shared" ca="1" si="146"/>
        <v>2.5005124000819844E-2</v>
      </c>
      <c r="DF139" s="21">
        <f t="shared" ca="1" si="147"/>
        <v>4.7231900890437481E-2</v>
      </c>
      <c r="DG139" s="21">
        <f t="shared" ca="1" si="148"/>
        <v>8.5017421602787469E-2</v>
      </c>
      <c r="DH139" s="21">
        <f t="shared" ca="1" si="149"/>
        <v>0.14169570267131246</v>
      </c>
      <c r="DI139" s="21">
        <f t="shared" ca="1" si="150"/>
        <v>0.21254355400696867</v>
      </c>
      <c r="DK139" s="16" cm="1">
        <f t="array" aca="1" ref="DK139" ca="1">MAX(_xlfn._xlws.FILTER(CV139:DI139,CV139:DI139&lt;BT139))</f>
        <v>-1.2881427515573859E-2</v>
      </c>
      <c r="DL139" s="16" cm="1">
        <f t="array" aca="1" ref="DL139" ca="1">MIN(_xlfn._xlws.FILTER(CV139:DI139,CV139:DI139&gt;BT139))</f>
        <v>-6.5398016617528821E-3</v>
      </c>
      <c r="DM139" s="2" cm="1">
        <f t="array" aca="1" ref="DM139" ca="1">_FV(EB139,"Fechamento anterior",TRUE)</f>
        <v>21.09</v>
      </c>
      <c r="DN139" s="28">
        <f t="shared" ca="1" si="162"/>
        <v>0.53586575682671045</v>
      </c>
      <c r="DO139" s="15">
        <f t="shared" ca="1" si="151"/>
        <v>20.818330693696549</v>
      </c>
      <c r="DP139" s="15">
        <f t="shared" ca="1" si="152"/>
        <v>20.952075582953633</v>
      </c>
      <c r="DQ139" s="9"/>
      <c r="DR139" s="9"/>
      <c r="DS139" s="9"/>
      <c r="DT139" s="89">
        <v>6.3416258538209766E-3</v>
      </c>
      <c r="DU139" s="89">
        <f t="shared" ca="1" si="163"/>
        <v>6.3416258538209766E-3</v>
      </c>
      <c r="DV139" s="72">
        <f t="shared" ca="1" si="164"/>
        <v>-0.18419905666467554</v>
      </c>
      <c r="DW139" s="37"/>
      <c r="DX139" s="35">
        <f t="shared" si="174"/>
        <v>0.74647504981747315</v>
      </c>
      <c r="DY139" s="56"/>
      <c r="DZ139" s="56"/>
      <c r="EB139" s="2" t="e" vm="139">
        <v>#VALUE!</v>
      </c>
      <c r="ED139" s="10" cm="1">
        <f t="array" aca="1" ref="ED139" ca="1">_FV(EB139,"Ações em circulação",TRUE)</f>
        <v>1682473000</v>
      </c>
      <c r="EE139" s="18">
        <f>VLOOKUP(BO139,Fundamentus!A:U,5,FALSE)</f>
        <v>0.57599999999999996</v>
      </c>
      <c r="EF139" s="2">
        <f t="shared" ca="1" si="165"/>
        <v>61018855850.69445</v>
      </c>
      <c r="EG139" s="17">
        <v>4112670884.3368058</v>
      </c>
      <c r="EH139" s="17">
        <f t="shared" ca="1" si="166"/>
        <v>4112670884.3368058</v>
      </c>
      <c r="EJ139" s="16">
        <f t="shared" ca="1" si="153"/>
        <v>0</v>
      </c>
      <c r="EK139" s="32" t="str">
        <f>IF(VLOOKUP(BO139,Fundamentus!A:U,3,FALSE)&lt;15,"Bom",IF(VLOOKUP(BO139,Fundamentus!A:U,3,FALSE)&gt;15,"Ruim","n/a"))</f>
        <v>Bom</v>
      </c>
      <c r="EL139" s="28" t="str">
        <f>IF(VLOOKUP(BO139,Fundamentus!A:U,4,FALSE)&lt;1,"Baixo",IF(VLOOKUP(BO139,Fundamentus!A:U,4,FALSE)&lt;1.5,"Moderado",IF(VLOOKUP(BO139,Fundamentus!A:U,4,FALSE)&gt;1.5,"Alto","n/a")))</f>
        <v>Alto</v>
      </c>
      <c r="EM139" s="17" t="str">
        <f>IF(VLOOKUP(BO139,Fundamentus!A:U,8,FALSE)&lt;0,"Risco elevado",IF(VLOOKUP(BO139,Fundamentus!A:U,8,FALSE)&lt;1,"Saudável",IF(VLOOKUP(BO139,Fundamentus!A:U,8,FALSE)&lt;3,"Estável",IF(VLOOKUP(BO139,Fundamentus!A:U,8,FALSE)&gt;3,"Alerta","n/a"))))</f>
        <v>Alerta</v>
      </c>
      <c r="EN139" s="28" t="str">
        <f t="shared" si="167"/>
        <v>Ruim</v>
      </c>
      <c r="EO139" s="17" t="str">
        <f>IF(VLOOKUP(BO139,Fundamentus!A:U,12,FALSE)&lt;2,"Subvalorizada",IF(VLOOKUP(BO139,Fundamentus!A:U,12,FALSE)&lt;6,"Muita barata",IF(VLOOKUP(BO139,Fundamentus!A:U,12,FALSE)&lt;6,"Barata",IF(VLOOKUP(BO139,Fundamentus!A:U,12,FALSE)&lt;8,"Atrativa",IF(VLOOKUP(BO139,Fundamentus!A:U,12,FALSE)&gt;8,"Supervalorizada","n/a")))))</f>
        <v>Muita barata</v>
      </c>
      <c r="EQ139" s="17" t="str">
        <f>IF(VLOOKUP(BO139,Fundamentus!A:U,17,FALSE)&lt;0.1,"Fraco retorno",IF(VLOOKUP(BO139,Fundamentus!A:U,17,FALSE)&gt;0.1,"Bom retorno","n/a"))</f>
        <v>Bom retorno</v>
      </c>
      <c r="ER139" s="17" t="str">
        <f>IF(VLOOKUP(BO139,Fundamentus!A:U,16,FALSE)&lt;0.1,"Ineficiente",IF(VLOOKUP(BO139,Fundamentus!A:U,16,FALSE)&gt;0.1,"Eficiente","n/a"))</f>
        <v>Eficiente</v>
      </c>
      <c r="ES139" s="33" t="str">
        <f>IF(VLOOKUP(BO139,Fundamentus!A:U,16,FALSE)&lt;0.1,"Oper. Ineficiente",IF(VLOOKUP(BO139,Fundamentus!A:U,16,FALSE)&gt;0.1,"Oper.Eficiente","n/a"))</f>
        <v>Oper.Eficiente</v>
      </c>
      <c r="ET139" s="34">
        <f>VLOOKUP(BO139,Fundamentus!A:U,14,FALSE)</f>
        <v>6.7400000000000002E-2</v>
      </c>
      <c r="EU139" s="17" t="str">
        <f>IF(VLOOKUP(BO139,Fundamentus!A:U,21,FALSE)&lt;0,"Negativo",IF(VLOOKUP(BO139,Fundamentus!A:U,21,FALSE)&lt;0.05,"Fraco",IF(VLOOKUP(BO139,Fundamentus!A:U,21,FALSE)&lt;0.1,"Bom",IF(VLOOKUP(BO139,Fundamentus!A:U,21,FALSE)&gt;0.1,"Muito bom","n/a"))))</f>
        <v>Bom</v>
      </c>
      <c r="EW139" s="29" t="str">
        <f>IF(VLOOKUP(BO139,Fundamentus!A:U,15,FALSE)&gt;1,"Bom",IF(VLOOKUP(BO139,Fundamentus!A:U,15,FALSE)&lt;1,"Ruim","n/a"))</f>
        <v>Bom</v>
      </c>
      <c r="EX139" s="17" t="str">
        <f>IF(VLOOKUP(BO139,Fundamentus!A:U,20,FALSE)&lt;0.5,"Baixa",IF(VLOOKUP(BO139,Fundamentus!A:U,20,FALSE)&lt;1,"Moderada",IF(VLOOKUP(BO139,Fundamentus!A:U,20,FALSE)&lt;2,"Alerta",IF(VLOOKUP(BO139,Fundamentus!A:U,20,FALSE)&gt;2,"Alta","n/a"))))</f>
        <v>Alerta</v>
      </c>
      <c r="EY139" s="10"/>
    </row>
    <row r="140" spans="1:155" s="2" customFormat="1" ht="11.25"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5">
        <v>14.28</v>
      </c>
      <c r="BC140" s="52">
        <v>14.47</v>
      </c>
      <c r="BD140" s="52">
        <v>13.91</v>
      </c>
      <c r="BE140" s="52">
        <v>14.7</v>
      </c>
      <c r="BF140" s="52">
        <v>14.01</v>
      </c>
      <c r="BG140" s="67">
        <v>14.87</v>
      </c>
      <c r="BH140" s="52">
        <v>15.67</v>
      </c>
      <c r="BI140" s="52">
        <v>16</v>
      </c>
      <c r="BJ140" s="52">
        <v>15.12</v>
      </c>
      <c r="BK140" s="52">
        <v>14.28</v>
      </c>
      <c r="BL140" s="52">
        <v>14.55</v>
      </c>
      <c r="BM140" s="52">
        <v>15.15</v>
      </c>
      <c r="BN140" s="52" cm="1">
        <f t="array" aca="1" ref="BN140" ca="1">_FV(EB140,"Preço")</f>
        <v>15.15</v>
      </c>
      <c r="BO140" s="69" t="s">
        <v>136</v>
      </c>
      <c r="BP140" s="36" cm="1">
        <f t="array" aca="1" ref="BP140" ca="1">_FV(EB140,"Média de volume",TRUE)</f>
        <v>1480470</v>
      </c>
      <c r="BQ140" s="36">
        <v>855700</v>
      </c>
      <c r="BR140" s="36" cm="1">
        <f t="array" aca="1" ref="BR140" ca="1">_FV(EB140,"Volume")</f>
        <v>855700</v>
      </c>
      <c r="BS140" s="24" cm="1">
        <f t="array" aca="1" ref="BS140" ca="1">_FV(EB140,"Beta")</f>
        <v>1.2448999999999999</v>
      </c>
      <c r="BT140" s="71" cm="1">
        <f t="array" aca="1" ref="BT140" ca="1">_FV(EB140,"Variação (%)",TRUE)</f>
        <v>1.8145000000000001E-2</v>
      </c>
      <c r="BV140" s="17" cm="1">
        <f t="array" aca="1" ref="BV140" ca="1">_FV(EB140,"Baixo")</f>
        <v>14.8</v>
      </c>
      <c r="BW140" s="17" cm="1">
        <f t="array" aca="1" ref="BW140" ca="1">_FV(EB140,"Alto")</f>
        <v>15.15</v>
      </c>
      <c r="BX140" s="24"/>
      <c r="BY140" s="63">
        <f ca="1">SQRT(22.5*(BN140/VLOOKUP(BO140,Fundamentus!A:U,3,FALSE))*(BN140/VLOOKUP(BO140,Fundamentus!A:U,4,FALSE)))</f>
        <v>16.594179294641041</v>
      </c>
      <c r="CA140" s="62">
        <f t="shared" ca="1" si="168"/>
        <v>0</v>
      </c>
      <c r="CB140" s="8"/>
      <c r="CC140" s="61">
        <f t="shared" si="169"/>
        <v>11.6</v>
      </c>
      <c r="CD140" s="61">
        <f t="shared" si="170"/>
        <v>23.76</v>
      </c>
      <c r="CE140" s="61">
        <f t="shared" si="171"/>
        <v>17.360230769230768</v>
      </c>
      <c r="CF140" s="14"/>
      <c r="CG140" s="35">
        <f t="shared" si="154"/>
        <v>14.119815459097556</v>
      </c>
      <c r="CH140" s="15">
        <f t="shared" si="172"/>
        <v>14.865000000000009</v>
      </c>
      <c r="CI140" s="35">
        <f t="shared" si="155"/>
        <v>15.610184540902463</v>
      </c>
      <c r="CK140" s="14"/>
      <c r="CL140" s="17">
        <f t="shared" si="156"/>
        <v>-2.6466666666666701</v>
      </c>
      <c r="CM140" s="17">
        <f t="shared" si="157"/>
        <v>4.4766666666666648</v>
      </c>
      <c r="CN140" s="17">
        <f t="shared" si="158"/>
        <v>9.5133333333333319</v>
      </c>
      <c r="CO140" s="38">
        <f t="shared" si="173"/>
        <v>16.636666666666667</v>
      </c>
      <c r="CP140" s="17">
        <f t="shared" si="159"/>
        <v>21.673333333333332</v>
      </c>
      <c r="CQ140" s="17">
        <f t="shared" si="160"/>
        <v>28.796666666666667</v>
      </c>
      <c r="CR140" s="17">
        <f t="shared" si="161"/>
        <v>33.833333333333336</v>
      </c>
      <c r="CS140" s="2" cm="1">
        <f t="array" aca="1" ref="CS140" ca="1">MAX(_xlfn._xlws.FILTER(CL140:CR140,CL140:CR140&lt;BN140))</f>
        <v>9.5133333333333319</v>
      </c>
      <c r="CT140" s="2" cm="1">
        <f t="array" aca="1" ref="CT140" ca="1">MIN(_xlfn._xlws.FILTER($CL140:$CR140,$CL140:$CR140&gt;BN140))</f>
        <v>16.636666666666667</v>
      </c>
      <c r="CU140" s="16">
        <f t="shared" ca="1" si="136"/>
        <v>0.74877365101611804</v>
      </c>
      <c r="CV140" s="20">
        <f t="shared" ca="1" si="137"/>
        <v>-0.37438682550805902</v>
      </c>
      <c r="CW140" s="20">
        <f t="shared" ca="1" si="138"/>
        <v>-0.24959121700537268</v>
      </c>
      <c r="CX140" s="20">
        <f t="shared" ca="1" si="139"/>
        <v>-0.14975473020322361</v>
      </c>
      <c r="CY140" s="20">
        <f t="shared" ca="1" si="140"/>
        <v>-8.3197072335124231E-2</v>
      </c>
      <c r="CZ140" s="20">
        <f t="shared" ca="1" si="141"/>
        <v>-4.4045508883301061E-2</v>
      </c>
      <c r="DA140" s="20">
        <f t="shared" ca="1" si="142"/>
        <v>-2.269011063685206E-2</v>
      </c>
      <c r="DB140" s="20">
        <f t="shared" ca="1" si="143"/>
        <v>-1.1519594631017201E-2</v>
      </c>
      <c r="DC140" s="21">
        <f t="shared" ca="1" si="144"/>
        <v>1.1519594631017201E-2</v>
      </c>
      <c r="DD140" s="21">
        <f t="shared" ca="1" si="145"/>
        <v>2.269011063685206E-2</v>
      </c>
      <c r="DE140" s="21">
        <f t="shared" ca="1" si="146"/>
        <v>4.4045508883301061E-2</v>
      </c>
      <c r="DF140" s="21">
        <f t="shared" ca="1" si="147"/>
        <v>8.3197072335124231E-2</v>
      </c>
      <c r="DG140" s="21">
        <f t="shared" ca="1" si="148"/>
        <v>0.14975473020322361</v>
      </c>
      <c r="DH140" s="21">
        <f t="shared" ca="1" si="149"/>
        <v>0.24959121700537268</v>
      </c>
      <c r="DI140" s="21">
        <f t="shared" ca="1" si="150"/>
        <v>0.37438682550805902</v>
      </c>
      <c r="DK140" s="16" cm="1">
        <f t="array" aca="1" ref="DK140" ca="1">MAX(_xlfn._xlws.FILTER(CV140:DI140,CV140:DI140&lt;BT140))</f>
        <v>1.1519594631017201E-2</v>
      </c>
      <c r="DL140" s="16" cm="1">
        <f t="array" aca="1" ref="DL140" ca="1">MIN(_xlfn._xlws.FILTER(CV140:DI140,CV140:DI140&gt;BT140))</f>
        <v>2.269011063685206E-2</v>
      </c>
      <c r="DM140" s="2" cm="1">
        <f t="array" aca="1" ref="DM140" ca="1">_FV(EB140,"Fechamento anterior",TRUE)</f>
        <v>14.88</v>
      </c>
      <c r="DN140" s="28">
        <f t="shared" ca="1" si="162"/>
        <v>0.59312986578637605</v>
      </c>
      <c r="DO140" s="15">
        <f t="shared" ca="1" si="151"/>
        <v>15.051411568109536</v>
      </c>
      <c r="DP140" s="15">
        <f t="shared" ca="1" si="152"/>
        <v>15.217628846276359</v>
      </c>
      <c r="DQ140" s="9"/>
      <c r="DR140" s="9"/>
      <c r="DS140" s="9"/>
      <c r="DT140" s="89">
        <v>1.1170516005834859E-2</v>
      </c>
      <c r="DU140" s="89">
        <f t="shared" ca="1" si="163"/>
        <v>1.1170516005834859E-2</v>
      </c>
      <c r="DV140" s="72">
        <f t="shared" ca="1" si="164"/>
        <v>0.38245559905851356</v>
      </c>
      <c r="DW140" s="37"/>
      <c r="DX140" s="35">
        <f t="shared" si="174"/>
        <v>0.37259227045122661</v>
      </c>
      <c r="DY140" s="56"/>
      <c r="DZ140" s="56"/>
      <c r="EB140" s="2" t="e" vm="140">
        <v>#VALUE!</v>
      </c>
      <c r="ED140" s="10" cm="1">
        <f t="array" aca="1" ref="ED140" ca="1">_FV(EB140,"Ações em circulação",TRUE)</f>
        <v>327611100</v>
      </c>
      <c r="EE140" s="18">
        <f>VLOOKUP(BO140,Fundamentus!A:U,5,FALSE)</f>
        <v>1.0569999999999999</v>
      </c>
      <c r="EF140" s="2">
        <f t="shared" ca="1" si="165"/>
        <v>4695655785.2412491</v>
      </c>
      <c r="EG140" s="17">
        <v>441391643.81267744</v>
      </c>
      <c r="EH140" s="17">
        <f t="shared" ca="1" si="166"/>
        <v>441391643.81267744</v>
      </c>
      <c r="EJ140" s="16">
        <f t="shared" ca="1" si="153"/>
        <v>0</v>
      </c>
      <c r="EK140" s="32" t="str">
        <f>IF(VLOOKUP(BO140,Fundamentus!A:U,3,FALSE)&lt;15,"Bom",IF(VLOOKUP(BO140,Fundamentus!A:U,3,FALSE)&gt;15,"Ruim","n/a"))</f>
        <v>Bom</v>
      </c>
      <c r="EL140" s="28" t="str">
        <f>IF(VLOOKUP(BO140,Fundamentus!A:U,4,FALSE)&lt;1,"Baixo",IF(VLOOKUP(BO140,Fundamentus!A:U,4,FALSE)&lt;1.5,"Moderado",IF(VLOOKUP(BO140,Fundamentus!A:U,4,FALSE)&gt;1.5,"Alto","n/a")))</f>
        <v>Alto</v>
      </c>
      <c r="EM140" s="17" t="str">
        <f>IF(VLOOKUP(BO140,Fundamentus!A:U,8,FALSE)&lt;0,"Risco elevado",IF(VLOOKUP(BO140,Fundamentus!A:U,8,FALSE)&lt;1,"Saudável",IF(VLOOKUP(BO140,Fundamentus!A:U,8,FALSE)&lt;3,"Estável",IF(VLOOKUP(BO140,Fundamentus!A:U,8,FALSE)&gt;3,"Alerta","n/a"))))</f>
        <v>Estável</v>
      </c>
      <c r="EN140" s="28" t="str">
        <f t="shared" si="167"/>
        <v>Bom</v>
      </c>
      <c r="EO140" s="17" t="str">
        <f>IF(VLOOKUP(BO140,Fundamentus!A:U,12,FALSE)&lt;2,"Subvalorizada",IF(VLOOKUP(BO140,Fundamentus!A:U,12,FALSE)&lt;6,"Muita barata",IF(VLOOKUP(BO140,Fundamentus!A:U,12,FALSE)&lt;6,"Barata",IF(VLOOKUP(BO140,Fundamentus!A:U,12,FALSE)&lt;8,"Atrativa",IF(VLOOKUP(BO140,Fundamentus!A:U,12,FALSE)&gt;8,"Supervalorizada","n/a")))))</f>
        <v>Supervalorizada</v>
      </c>
      <c r="EQ140" s="17" t="str">
        <f>IF(VLOOKUP(BO140,Fundamentus!A:U,17,FALSE)&lt;0.1,"Fraco retorno",IF(VLOOKUP(BO140,Fundamentus!A:U,17,FALSE)&gt;0.1,"Bom retorno","n/a"))</f>
        <v>Bom retorno</v>
      </c>
      <c r="ER140" s="17" t="str">
        <f>IF(VLOOKUP(BO140,Fundamentus!A:U,16,FALSE)&lt;0.1,"Ineficiente",IF(VLOOKUP(BO140,Fundamentus!A:U,16,FALSE)&gt;0.1,"Eficiente","n/a"))</f>
        <v>Eficiente</v>
      </c>
      <c r="ES140" s="33" t="str">
        <f>IF(VLOOKUP(BO140,Fundamentus!A:U,16,FALSE)&lt;0.1,"Oper. Ineficiente",IF(VLOOKUP(BO140,Fundamentus!A:U,16,FALSE)&gt;0.1,"Oper.Eficiente","n/a"))</f>
        <v>Oper.Eficiente</v>
      </c>
      <c r="ET140" s="34">
        <f>VLOOKUP(BO140,Fundamentus!A:U,14,FALSE)</f>
        <v>9.4E-2</v>
      </c>
      <c r="EU140" s="17" t="str">
        <f>IF(VLOOKUP(BO140,Fundamentus!A:U,21,FALSE)&lt;0,"Negativo",IF(VLOOKUP(BO140,Fundamentus!A:U,21,FALSE)&lt;0.05,"Fraco",IF(VLOOKUP(BO140,Fundamentus!A:U,21,FALSE)&lt;0.1,"Bom",IF(VLOOKUP(BO140,Fundamentus!A:U,21,FALSE)&gt;0.1,"Muito bom","n/a"))))</f>
        <v>Muito bom</v>
      </c>
      <c r="EW140" s="29" t="str">
        <f>IF(VLOOKUP(BO140,Fundamentus!A:U,15,FALSE)&gt;1,"Bom",IF(VLOOKUP(BO140,Fundamentus!A:U,15,FALSE)&lt;1,"Ruim","n/a"))</f>
        <v>Bom</v>
      </c>
      <c r="EX140" s="17" t="str">
        <f>IF(VLOOKUP(BO140,Fundamentus!A:U,20,FALSE)&lt;0.5,"Baixa",IF(VLOOKUP(BO140,Fundamentus!A:U,20,FALSE)&lt;1,"Moderada",IF(VLOOKUP(BO140,Fundamentus!A:U,20,FALSE)&lt;2,"Alerta",IF(VLOOKUP(BO140,Fundamentus!A:U,20,FALSE)&gt;2,"Alta","n/a"))))</f>
        <v>Baixa</v>
      </c>
      <c r="EY140" s="10"/>
    </row>
    <row r="141" spans="1:155" s="2" customFormat="1" ht="11.25"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5">
        <v>4.1399999999999997</v>
      </c>
      <c r="BC141" s="52">
        <v>4.78</v>
      </c>
      <c r="BD141" s="52">
        <v>4.68</v>
      </c>
      <c r="BE141" s="52">
        <v>4.7</v>
      </c>
      <c r="BF141" s="52">
        <v>4.37</v>
      </c>
      <c r="BG141" s="67">
        <v>4.3099999999999996</v>
      </c>
      <c r="BH141" s="52">
        <v>4.2</v>
      </c>
      <c r="BI141" s="52">
        <v>4.84</v>
      </c>
      <c r="BJ141" s="52">
        <v>4.8899999999999997</v>
      </c>
      <c r="BK141" s="52">
        <v>4.9000000000000004</v>
      </c>
      <c r="BL141" s="52">
        <v>4.5</v>
      </c>
      <c r="BM141" s="52">
        <v>4.74</v>
      </c>
      <c r="BN141" s="52" cm="1">
        <f t="array" aca="1" ref="BN141" ca="1">_FV(EB141,"Preço")</f>
        <v>4.74</v>
      </c>
      <c r="BO141" s="69" t="s">
        <v>137</v>
      </c>
      <c r="BP141" s="36" cm="1">
        <f t="array" aca="1" ref="BP141" ca="1">_FV(EB141,"Média de volume",TRUE)</f>
        <v>2746440</v>
      </c>
      <c r="BQ141" s="36">
        <v>2279600</v>
      </c>
      <c r="BR141" s="36" cm="1">
        <f t="array" aca="1" ref="BR141" ca="1">_FV(EB141,"Volume")</f>
        <v>2279600</v>
      </c>
      <c r="BS141" s="24" cm="1">
        <f t="array" aca="1" ref="BS141" ca="1">_FV(EB141,"Beta")</f>
        <v>0.97240000000000004</v>
      </c>
      <c r="BT141" s="71" cm="1">
        <f t="array" aca="1" ref="BT141" ca="1">_FV(EB141,"Variação (%)",TRUE)</f>
        <v>6.3690000000000005E-3</v>
      </c>
      <c r="BV141" s="17" cm="1">
        <f t="array" aca="1" ref="BV141" ca="1">_FV(EB141,"Baixo")</f>
        <v>4.6100000000000003</v>
      </c>
      <c r="BW141" s="17" cm="1">
        <f t="array" aca="1" ref="BW141" ca="1">_FV(EB141,"Alto")</f>
        <v>4.74</v>
      </c>
      <c r="BX141" s="24"/>
      <c r="BY141" s="63">
        <f ca="1">SQRT(22.5*(BN141/VLOOKUP(BO141,Fundamentus!A:U,3,FALSE))*(BN141/VLOOKUP(BO141,Fundamentus!A:U,4,FALSE)))</f>
        <v>6.3470253417829321</v>
      </c>
      <c r="CA141" s="62">
        <f t="shared" ca="1" si="168"/>
        <v>0</v>
      </c>
      <c r="CB141" s="8"/>
      <c r="CC141" s="61">
        <f t="shared" si="169"/>
        <v>3.93</v>
      </c>
      <c r="CD141" s="61">
        <f t="shared" si="170"/>
        <v>7.4</v>
      </c>
      <c r="CE141" s="61">
        <f t="shared" si="171"/>
        <v>5.3082307692307671</v>
      </c>
      <c r="CF141" s="14"/>
      <c r="CG141" s="35">
        <f t="shared" si="154"/>
        <v>4.2217740728221926</v>
      </c>
      <c r="CH141" s="15">
        <f t="shared" si="172"/>
        <v>4.5450000000000728</v>
      </c>
      <c r="CI141" s="35">
        <f t="shared" si="155"/>
        <v>4.8682259271779529</v>
      </c>
      <c r="CK141" s="14"/>
      <c r="CL141" s="17">
        <f t="shared" si="156"/>
        <v>-0.31666666666666776</v>
      </c>
      <c r="CM141" s="17">
        <f t="shared" si="157"/>
        <v>1.8066666666666662</v>
      </c>
      <c r="CN141" s="17">
        <f t="shared" si="158"/>
        <v>3.1533333333333324</v>
      </c>
      <c r="CO141" s="38">
        <f t="shared" si="173"/>
        <v>5.2766666666666664</v>
      </c>
      <c r="CP141" s="17">
        <f t="shared" si="159"/>
        <v>6.6233333333333331</v>
      </c>
      <c r="CQ141" s="17">
        <f t="shared" si="160"/>
        <v>8.7466666666666661</v>
      </c>
      <c r="CR141" s="17">
        <f t="shared" si="161"/>
        <v>10.093333333333334</v>
      </c>
      <c r="CS141" s="2" cm="1">
        <f t="array" aca="1" ref="CS141" ca="1">MAX(_xlfn._xlws.FILTER(CL141:CR141,CL141:CR141&lt;BN141))</f>
        <v>3.1533333333333324</v>
      </c>
      <c r="CT141" s="2" cm="1">
        <f t="array" aca="1" ref="CT141" ca="1">MIN(_xlfn._xlws.FILTER($CL141:$CR141,$CL141:$CR141&gt;BN141))</f>
        <v>5.2766666666666664</v>
      </c>
      <c r="CU141" s="16">
        <f t="shared" ca="1" si="136"/>
        <v>0.67336152219873191</v>
      </c>
      <c r="CV141" s="20">
        <f t="shared" ca="1" si="137"/>
        <v>-0.33668076109936595</v>
      </c>
      <c r="CW141" s="20">
        <f t="shared" ca="1" si="138"/>
        <v>-0.22445384073291064</v>
      </c>
      <c r="CX141" s="20">
        <f t="shared" ca="1" si="139"/>
        <v>-0.13467230443974637</v>
      </c>
      <c r="CY141" s="20">
        <f t="shared" ca="1" si="140"/>
        <v>-7.4817946910970212E-2</v>
      </c>
      <c r="CZ141" s="20">
        <f t="shared" ca="1" si="141"/>
        <v>-3.9609501305807759E-2</v>
      </c>
      <c r="DA141" s="20">
        <f t="shared" ca="1" si="142"/>
        <v>-2.0404894612082784E-2</v>
      </c>
      <c r="DB141" s="20">
        <f t="shared" ca="1" si="143"/>
        <v>-1.0359408033826645E-2</v>
      </c>
      <c r="DC141" s="21">
        <f t="shared" ca="1" si="144"/>
        <v>1.0359408033826645E-2</v>
      </c>
      <c r="DD141" s="21">
        <f t="shared" ca="1" si="145"/>
        <v>2.0404894612082784E-2</v>
      </c>
      <c r="DE141" s="21">
        <f t="shared" ca="1" si="146"/>
        <v>3.9609501305807759E-2</v>
      </c>
      <c r="DF141" s="21">
        <f t="shared" ca="1" si="147"/>
        <v>7.4817946910970212E-2</v>
      </c>
      <c r="DG141" s="21">
        <f t="shared" ca="1" si="148"/>
        <v>0.13467230443974637</v>
      </c>
      <c r="DH141" s="21">
        <f t="shared" ca="1" si="149"/>
        <v>0.22445384073291064</v>
      </c>
      <c r="DI141" s="21">
        <f t="shared" ca="1" si="150"/>
        <v>0.33668076109936595</v>
      </c>
      <c r="DK141" s="16" cm="1">
        <f t="array" aca="1" ref="DK141" ca="1">MAX(_xlfn._xlws.FILTER(CV141:DI141,CV141:DI141&lt;BT141))</f>
        <v>-1.0359408033826645E-2</v>
      </c>
      <c r="DL141" s="16" cm="1">
        <f t="array" aca="1" ref="DL141" ca="1">MIN(_xlfn._xlws.FILTER(CV141:DI141,CV141:DI141&gt;BT141))</f>
        <v>1.0359408033826645E-2</v>
      </c>
      <c r="DM141" s="2" cm="1">
        <f t="array" aca="1" ref="DM141" ca="1">_FV(EB141,"Fechamento anterior",TRUE)</f>
        <v>4.71</v>
      </c>
      <c r="DN141" s="28">
        <f t="shared" ca="1" si="162"/>
        <v>0.80742233199012325</v>
      </c>
      <c r="DO141" s="15">
        <f t="shared" ca="1" si="151"/>
        <v>4.6612071881606765</v>
      </c>
      <c r="DP141" s="15">
        <f t="shared" ca="1" si="152"/>
        <v>4.7587928118393235</v>
      </c>
      <c r="DQ141" s="9"/>
      <c r="DR141" s="9"/>
      <c r="DS141" s="9"/>
      <c r="DT141" s="89">
        <v>2.071881606765329E-2</v>
      </c>
      <c r="DU141" s="89">
        <f t="shared" ca="1" si="163"/>
        <v>2.071881606765329E-2</v>
      </c>
      <c r="DV141" s="72">
        <f t="shared" ca="1" si="164"/>
        <v>0.60329318784075636</v>
      </c>
      <c r="DW141" s="37"/>
      <c r="DX141" s="35">
        <f t="shared" si="174"/>
        <v>0.16161296358893987</v>
      </c>
      <c r="DY141" s="56"/>
      <c r="DZ141" s="56"/>
      <c r="EB141" s="2" t="e" vm="141">
        <v>#VALUE!</v>
      </c>
      <c r="ED141" s="10" cm="1">
        <f t="array" aca="1" ref="ED141" ca="1">_FV(EB141,"Ações em circulação",TRUE)</f>
        <v>651072700</v>
      </c>
      <c r="EE141" s="18">
        <f>VLOOKUP(BO141,Fundamentus!A:U,5,FALSE)</f>
        <v>0.35199999999999998</v>
      </c>
      <c r="EF141" s="2">
        <f t="shared" ca="1" si="165"/>
        <v>8767285789.772728</v>
      </c>
      <c r="EG141" s="17">
        <v>289320431.06250006</v>
      </c>
      <c r="EH141" s="17">
        <f t="shared" ca="1" si="166"/>
        <v>289320431.06250006</v>
      </c>
      <c r="EJ141" s="16">
        <f t="shared" ca="1" si="153"/>
        <v>0</v>
      </c>
      <c r="EK141" s="32" t="str">
        <f>IF(VLOOKUP(BO141,Fundamentus!A:U,3,FALSE)&lt;15,"Bom",IF(VLOOKUP(BO141,Fundamentus!A:U,3,FALSE)&gt;15,"Ruim","n/a"))</f>
        <v>Ruim</v>
      </c>
      <c r="EL141" s="28" t="str">
        <f>IF(VLOOKUP(BO141,Fundamentus!A:U,4,FALSE)&lt;1,"Baixo",IF(VLOOKUP(BO141,Fundamentus!A:U,4,FALSE)&lt;1.5,"Moderado",IF(VLOOKUP(BO141,Fundamentus!A:U,4,FALSE)&gt;1.5,"Alto","n/a")))</f>
        <v>Baixo</v>
      </c>
      <c r="EM141" s="17" t="str">
        <f>IF(VLOOKUP(BO141,Fundamentus!A:U,8,FALSE)&lt;0,"Risco elevado",IF(VLOOKUP(BO141,Fundamentus!A:U,8,FALSE)&lt;1,"Saudável",IF(VLOOKUP(BO141,Fundamentus!A:U,8,FALSE)&lt;3,"Estável",IF(VLOOKUP(BO141,Fundamentus!A:U,8,FALSE)&gt;3,"Alerta","n/a"))))</f>
        <v>Estável</v>
      </c>
      <c r="EN141" s="28" t="str">
        <f t="shared" si="167"/>
        <v>Ruim</v>
      </c>
      <c r="EO141" s="17" t="str">
        <f>IF(VLOOKUP(BO141,Fundamentus!A:U,12,FALSE)&lt;2,"Subvalorizada",IF(VLOOKUP(BO141,Fundamentus!A:U,12,FALSE)&lt;6,"Muita barata",IF(VLOOKUP(BO141,Fundamentus!A:U,12,FALSE)&lt;6,"Barata",IF(VLOOKUP(BO141,Fundamentus!A:U,12,FALSE)&lt;8,"Atrativa",IF(VLOOKUP(BO141,Fundamentus!A:U,12,FALSE)&gt;8,"Supervalorizada","n/a")))))</f>
        <v>Muita barata</v>
      </c>
      <c r="EQ141" s="17" t="str">
        <f>IF(VLOOKUP(BO141,Fundamentus!A:U,17,FALSE)&lt;0.1,"Fraco retorno",IF(VLOOKUP(BO141,Fundamentus!A:U,17,FALSE)&gt;0.1,"Bom retorno","n/a"))</f>
        <v>Fraco retorno</v>
      </c>
      <c r="ER141" s="17" t="str">
        <f>IF(VLOOKUP(BO141,Fundamentus!A:U,16,FALSE)&lt;0.1,"Ineficiente",IF(VLOOKUP(BO141,Fundamentus!A:U,16,FALSE)&gt;0.1,"Eficiente","n/a"))</f>
        <v>Ineficiente</v>
      </c>
      <c r="ES141" s="33" t="str">
        <f>IF(VLOOKUP(BO141,Fundamentus!A:U,16,FALSE)&lt;0.1,"Oper. Ineficiente",IF(VLOOKUP(BO141,Fundamentus!A:U,16,FALSE)&gt;0.1,"Oper.Eficiente","n/a"))</f>
        <v>Oper. Ineficiente</v>
      </c>
      <c r="ET141" s="34">
        <f>VLOOKUP(BO141,Fundamentus!A:U,14,FALSE)</f>
        <v>3.3000000000000002E-2</v>
      </c>
      <c r="EU141" s="17" t="str">
        <f>IF(VLOOKUP(BO141,Fundamentus!A:U,21,FALSE)&lt;0,"Negativo",IF(VLOOKUP(BO141,Fundamentus!A:U,21,FALSE)&lt;0.05,"Fraco",IF(VLOOKUP(BO141,Fundamentus!A:U,21,FALSE)&lt;0.1,"Bom",IF(VLOOKUP(BO141,Fundamentus!A:U,21,FALSE)&gt;0.1,"Muito bom","n/a"))))</f>
        <v>Negativo</v>
      </c>
      <c r="EW141" s="29" t="str">
        <f>IF(VLOOKUP(BO141,Fundamentus!A:U,15,FALSE)&gt;1,"Bom",IF(VLOOKUP(BO141,Fundamentus!A:U,15,FALSE)&lt;1,"Ruim","n/a"))</f>
        <v>Bom</v>
      </c>
      <c r="EX141" s="17" t="str">
        <f>IF(VLOOKUP(BO141,Fundamentus!A:U,20,FALSE)&lt;0.5,"Baixa",IF(VLOOKUP(BO141,Fundamentus!A:U,20,FALSE)&lt;1,"Moderada",IF(VLOOKUP(BO141,Fundamentus!A:U,20,FALSE)&lt;2,"Alerta",IF(VLOOKUP(BO141,Fundamentus!A:U,20,FALSE)&gt;2,"Alta","n/a"))))</f>
        <v>Moderada</v>
      </c>
      <c r="EY141" s="10"/>
    </row>
    <row r="142" spans="1:155" s="2" customFormat="1" ht="11.25"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5">
        <v>4.0599999999999996</v>
      </c>
      <c r="BC142" s="52">
        <v>4.0199999999999996</v>
      </c>
      <c r="BD142" s="52">
        <v>3.98</v>
      </c>
      <c r="BE142" s="52">
        <v>3.8</v>
      </c>
      <c r="BF142" s="52">
        <v>3.85</v>
      </c>
      <c r="BG142" s="67">
        <v>3.85</v>
      </c>
      <c r="BH142" s="52">
        <v>3.63</v>
      </c>
      <c r="BI142" s="52">
        <v>3.68</v>
      </c>
      <c r="BJ142" s="52">
        <v>3.99</v>
      </c>
      <c r="BK142" s="52">
        <v>3.81</v>
      </c>
      <c r="BL142" s="52">
        <v>3.84</v>
      </c>
      <c r="BM142" s="52">
        <v>3.81</v>
      </c>
      <c r="BN142" s="52" cm="1">
        <f t="array" aca="1" ref="BN142" ca="1">_FV(EB142,"Preço")</f>
        <v>3.81</v>
      </c>
      <c r="BO142" s="69" t="s">
        <v>138</v>
      </c>
      <c r="BP142" s="36" cm="1">
        <f t="array" aca="1" ref="BP142" ca="1">_FV(EB142,"Média de volume",TRUE)</f>
        <v>1366220</v>
      </c>
      <c r="BQ142" s="36">
        <v>131900</v>
      </c>
      <c r="BR142" s="36" cm="1">
        <f t="array" aca="1" ref="BR142" ca="1">_FV(EB142,"Volume")</f>
        <v>131900</v>
      </c>
      <c r="BS142" s="24" cm="1">
        <f t="array" aca="1" ref="BS142" ca="1">_FV(EB142,"Beta")</f>
        <v>0.35289999999999999</v>
      </c>
      <c r="BT142" s="71" cm="1">
        <f t="array" aca="1" ref="BT142" ca="1">_FV(EB142,"Variação (%)",TRUE)</f>
        <v>0</v>
      </c>
      <c r="BV142" s="17" cm="1">
        <f t="array" aca="1" ref="BV142" ca="1">_FV(EB142,"Baixo")</f>
        <v>3.79</v>
      </c>
      <c r="BW142" s="17" cm="1">
        <f t="array" aca="1" ref="BW142" ca="1">_FV(EB142,"Alto")</f>
        <v>3.84</v>
      </c>
      <c r="BX142" s="24"/>
      <c r="BY142" s="63">
        <f ca="1">SQRT(22.5*(BN142/VLOOKUP(BO142,Fundamentus!A:U,3,FALSE))*(BN142/VLOOKUP(BO142,Fundamentus!A:U,4,FALSE)))</f>
        <v>3.0199736908982691</v>
      </c>
      <c r="CA142" s="62">
        <f t="shared" ca="1" si="168"/>
        <v>0</v>
      </c>
      <c r="CB142" s="8"/>
      <c r="CC142" s="61">
        <f t="shared" si="169"/>
        <v>3.63</v>
      </c>
      <c r="CD142" s="61">
        <f t="shared" si="170"/>
        <v>4.9000000000000004</v>
      </c>
      <c r="CE142" s="61">
        <f t="shared" si="171"/>
        <v>4.2052307692307691</v>
      </c>
      <c r="CF142" s="14"/>
      <c r="CG142" s="35">
        <f t="shared" si="154"/>
        <v>3.5857518844340204</v>
      </c>
      <c r="CH142" s="15">
        <f t="shared" si="172"/>
        <v>3.7350000000000136</v>
      </c>
      <c r="CI142" s="35">
        <f t="shared" si="155"/>
        <v>3.8842481155660069</v>
      </c>
      <c r="CK142" s="14"/>
      <c r="CL142" s="17">
        <f t="shared" si="156"/>
        <v>2.0766666666666671</v>
      </c>
      <c r="CM142" s="17">
        <f t="shared" si="157"/>
        <v>2.8533333333333335</v>
      </c>
      <c r="CN142" s="17">
        <f t="shared" si="158"/>
        <v>3.3466666666666676</v>
      </c>
      <c r="CO142" s="38">
        <f t="shared" si="173"/>
        <v>4.123333333333334</v>
      </c>
      <c r="CP142" s="17">
        <f t="shared" si="159"/>
        <v>4.616666666666668</v>
      </c>
      <c r="CQ142" s="17">
        <f t="shared" si="160"/>
        <v>5.3933333333333344</v>
      </c>
      <c r="CR142" s="17">
        <f t="shared" si="161"/>
        <v>5.8866666666666685</v>
      </c>
      <c r="CS142" s="2" cm="1">
        <f t="array" aca="1" ref="CS142" ca="1">MAX(_xlfn._xlws.FILTER(CL142:CR142,CL142:CR142&lt;BN142))</f>
        <v>3.3466666666666676</v>
      </c>
      <c r="CT142" s="2" cm="1">
        <f t="array" aca="1" ref="CT142" ca="1">MIN(_xlfn._xlws.FILTER($CL142:$CR142,$CL142:$CR142&gt;BN142))</f>
        <v>4.123333333333334</v>
      </c>
      <c r="CU142" s="16">
        <f t="shared" ca="1" si="136"/>
        <v>0.23207171314741015</v>
      </c>
      <c r="CV142" s="20">
        <f t="shared" ca="1" si="137"/>
        <v>-0.11603585657370508</v>
      </c>
      <c r="CW142" s="20">
        <f t="shared" ca="1" si="138"/>
        <v>-7.7357237715803384E-2</v>
      </c>
      <c r="CX142" s="20">
        <f t="shared" ca="1" si="139"/>
        <v>-4.6414342629482033E-2</v>
      </c>
      <c r="CY142" s="20">
        <f t="shared" ca="1" si="140"/>
        <v>-2.5785745905267794E-2</v>
      </c>
      <c r="CZ142" s="20">
        <f t="shared" ca="1" si="141"/>
        <v>-1.3651277243965303E-2</v>
      </c>
      <c r="DA142" s="20">
        <f t="shared" ca="1" si="142"/>
        <v>-7.0324761559821258E-3</v>
      </c>
      <c r="DB142" s="20">
        <f t="shared" ca="1" si="143"/>
        <v>-3.5703340484216947E-3</v>
      </c>
      <c r="DC142" s="21">
        <f t="shared" ca="1" si="144"/>
        <v>3.5703340484216947E-3</v>
      </c>
      <c r="DD142" s="21">
        <f t="shared" ca="1" si="145"/>
        <v>7.0324761559821258E-3</v>
      </c>
      <c r="DE142" s="21">
        <f t="shared" ca="1" si="146"/>
        <v>1.3651277243965303E-2</v>
      </c>
      <c r="DF142" s="21">
        <f t="shared" ca="1" si="147"/>
        <v>2.5785745905267794E-2</v>
      </c>
      <c r="DG142" s="21">
        <f t="shared" ca="1" si="148"/>
        <v>4.6414342629482033E-2</v>
      </c>
      <c r="DH142" s="21">
        <f t="shared" ca="1" si="149"/>
        <v>7.7357237715803384E-2</v>
      </c>
      <c r="DI142" s="21">
        <f t="shared" ca="1" si="150"/>
        <v>0.11603585657370508</v>
      </c>
      <c r="DK142" s="16" cm="1">
        <f t="array" aca="1" ref="DK142" ca="1">MAX(_xlfn._xlws.FILTER(CV142:DI142,CV142:DI142&lt;BT142))</f>
        <v>-3.5703340484216947E-3</v>
      </c>
      <c r="DL142" s="16" cm="1">
        <f t="array" aca="1" ref="DL142" ca="1">MIN(_xlfn._xlws.FILTER(CV142:DI142,CV142:DI142&gt;BT142))</f>
        <v>3.5703340484216947E-3</v>
      </c>
      <c r="DM142" s="2" cm="1">
        <f t="array" aca="1" ref="DM142" ca="1">_FV(EB142,"Fechamento anterior",TRUE)</f>
        <v>3.81</v>
      </c>
      <c r="DN142" s="28">
        <f t="shared" ca="1" si="162"/>
        <v>0.5</v>
      </c>
      <c r="DO142" s="15">
        <f t="shared" ca="1" si="151"/>
        <v>3.7963970272755132</v>
      </c>
      <c r="DP142" s="15">
        <f t="shared" ca="1" si="152"/>
        <v>3.8236029727244869</v>
      </c>
      <c r="DQ142" s="9"/>
      <c r="DR142" s="9"/>
      <c r="DS142" s="9"/>
      <c r="DT142" s="89">
        <v>7.1406680968433894E-3</v>
      </c>
      <c r="DU142" s="89">
        <f t="shared" ca="1" si="163"/>
        <v>7.1406680968433894E-3</v>
      </c>
      <c r="DV142" s="72">
        <f t="shared" ca="1" si="164"/>
        <v>0.50251890762951401</v>
      </c>
      <c r="DW142" s="37"/>
      <c r="DX142" s="35">
        <f t="shared" si="174"/>
        <v>7.4624057782996578E-2</v>
      </c>
      <c r="DY142" s="56"/>
      <c r="DZ142" s="56"/>
      <c r="EB142" s="2" t="e" vm="142">
        <v>#VALUE!</v>
      </c>
      <c r="ED142" s="10" cm="1">
        <f t="array" aca="1" ref="ED142" ca="1">_FV(EB142,"Ações em circulação",TRUE)</f>
        <v>1235936000</v>
      </c>
      <c r="EE142" s="18">
        <f>VLOOKUP(BO142,Fundamentus!A:U,5,FALSE)</f>
        <v>1.1759999999999999</v>
      </c>
      <c r="EF142" s="2">
        <f t="shared" ca="1" si="165"/>
        <v>4004180408.1632657</v>
      </c>
      <c r="EG142" s="17">
        <v>405623475.34693885</v>
      </c>
      <c r="EH142" s="17">
        <f t="shared" ca="1" si="166"/>
        <v>405623475.34693885</v>
      </c>
      <c r="EJ142" s="16">
        <f t="shared" ca="1" si="153"/>
        <v>0</v>
      </c>
      <c r="EK142" s="32" t="str">
        <f>IF(VLOOKUP(BO142,Fundamentus!A:U,3,FALSE)&lt;15,"Bom",IF(VLOOKUP(BO142,Fundamentus!A:U,3,FALSE)&gt;15,"Ruim","n/a"))</f>
        <v>Bom</v>
      </c>
      <c r="EL142" s="28" t="str">
        <f>IF(VLOOKUP(BO142,Fundamentus!A:U,4,FALSE)&lt;1,"Baixo",IF(VLOOKUP(BO142,Fundamentus!A:U,4,FALSE)&lt;1.5,"Moderado",IF(VLOOKUP(BO142,Fundamentus!A:U,4,FALSE)&gt;1.5,"Alto","n/a")))</f>
        <v>Alto</v>
      </c>
      <c r="EM142" s="17" t="str">
        <f>IF(VLOOKUP(BO142,Fundamentus!A:U,8,FALSE)&lt;0,"Risco elevado",IF(VLOOKUP(BO142,Fundamentus!A:U,8,FALSE)&lt;1,"Saudável",IF(VLOOKUP(BO142,Fundamentus!A:U,8,FALSE)&lt;3,"Estável",IF(VLOOKUP(BO142,Fundamentus!A:U,8,FALSE)&gt;3,"Alerta","n/a"))))</f>
        <v>Alerta</v>
      </c>
      <c r="EN142" s="28" t="str">
        <f t="shared" si="167"/>
        <v>Bom</v>
      </c>
      <c r="EO142" s="17" t="str">
        <f>IF(VLOOKUP(BO142,Fundamentus!A:U,12,FALSE)&lt;2,"Subvalorizada",IF(VLOOKUP(BO142,Fundamentus!A:U,12,FALSE)&lt;6,"Muita barata",IF(VLOOKUP(BO142,Fundamentus!A:U,12,FALSE)&lt;6,"Barata",IF(VLOOKUP(BO142,Fundamentus!A:U,12,FALSE)&lt;8,"Atrativa",IF(VLOOKUP(BO142,Fundamentus!A:U,12,FALSE)&gt;8,"Supervalorizada","n/a")))))</f>
        <v>Muita barata</v>
      </c>
      <c r="EQ142" s="17" t="str">
        <f>IF(VLOOKUP(BO142,Fundamentus!A:U,17,FALSE)&lt;0.1,"Fraco retorno",IF(VLOOKUP(BO142,Fundamentus!A:U,17,FALSE)&gt;0.1,"Bom retorno","n/a"))</f>
        <v>Bom retorno</v>
      </c>
      <c r="ER142" s="17" t="str">
        <f>IF(VLOOKUP(BO142,Fundamentus!A:U,16,FALSE)&lt;0.1,"Ineficiente",IF(VLOOKUP(BO142,Fundamentus!A:U,16,FALSE)&gt;0.1,"Eficiente","n/a"))</f>
        <v>Ineficiente</v>
      </c>
      <c r="ES142" s="33" t="str">
        <f>IF(VLOOKUP(BO142,Fundamentus!A:U,16,FALSE)&lt;0.1,"Oper. Ineficiente",IF(VLOOKUP(BO142,Fundamentus!A:U,16,FALSE)&gt;0.1,"Oper.Eficiente","n/a"))</f>
        <v>Oper. Ineficiente</v>
      </c>
      <c r="ET142" s="34">
        <f>VLOOKUP(BO142,Fundamentus!A:U,14,FALSE)</f>
        <v>0.1013</v>
      </c>
      <c r="EU142" s="17" t="str">
        <f>IF(VLOOKUP(BO142,Fundamentus!A:U,21,FALSE)&lt;0,"Negativo",IF(VLOOKUP(BO142,Fundamentus!A:U,21,FALSE)&lt;0.05,"Fraco",IF(VLOOKUP(BO142,Fundamentus!A:U,21,FALSE)&lt;0.1,"Bom",IF(VLOOKUP(BO142,Fundamentus!A:U,21,FALSE)&gt;0.1,"Muito bom","n/a"))))</f>
        <v>Bom</v>
      </c>
      <c r="EW142" s="29" t="str">
        <f>IF(VLOOKUP(BO142,Fundamentus!A:U,15,FALSE)&gt;1,"Bom",IF(VLOOKUP(BO142,Fundamentus!A:U,15,FALSE)&lt;1,"Ruim","n/a"))</f>
        <v>Bom</v>
      </c>
      <c r="EX142" s="17" t="str">
        <f>IF(VLOOKUP(BO142,Fundamentus!A:U,20,FALSE)&lt;0.5,"Baixa",IF(VLOOKUP(BO142,Fundamentus!A:U,20,FALSE)&lt;1,"Moderada",IF(VLOOKUP(BO142,Fundamentus!A:U,20,FALSE)&lt;2,"Alerta",IF(VLOOKUP(BO142,Fundamentus!A:U,20,FALSE)&gt;2,"Alta","n/a"))))</f>
        <v>Alta</v>
      </c>
      <c r="EY142" s="10"/>
    </row>
    <row r="143" spans="1:155" s="2" customFormat="1" ht="11.25"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5">
        <v>7.67</v>
      </c>
      <c r="BC143" s="52">
        <v>7.72</v>
      </c>
      <c r="BD143" s="52">
        <v>7.76</v>
      </c>
      <c r="BE143" s="52">
        <v>7.99</v>
      </c>
      <c r="BF143" s="52">
        <v>7.82</v>
      </c>
      <c r="BG143" s="67">
        <v>7.78</v>
      </c>
      <c r="BH143" s="52">
        <v>7.73</v>
      </c>
      <c r="BI143" s="52">
        <v>7.9</v>
      </c>
      <c r="BJ143" s="52">
        <v>8.08</v>
      </c>
      <c r="BK143" s="52">
        <v>7.95</v>
      </c>
      <c r="BL143" s="52">
        <v>7.71</v>
      </c>
      <c r="BM143" s="52">
        <v>7.58</v>
      </c>
      <c r="BN143" s="52" cm="1">
        <f t="array" aca="1" ref="BN143" ca="1">_FV(EB143,"Preço")</f>
        <v>7.58</v>
      </c>
      <c r="BO143" s="69" t="s">
        <v>139</v>
      </c>
      <c r="BP143" s="36" cm="1">
        <f t="array" aca="1" ref="BP143" ca="1">_FV(EB143,"Média de volume",TRUE)</f>
        <v>3514580</v>
      </c>
      <c r="BQ143" s="36">
        <v>4418900</v>
      </c>
      <c r="BR143" s="36" cm="1">
        <f t="array" aca="1" ref="BR143" ca="1">_FV(EB143,"Volume")</f>
        <v>4418900</v>
      </c>
      <c r="BS143" s="24" cm="1">
        <f t="array" aca="1" ref="BS143" ca="1">_FV(EB143,"Beta")</f>
        <v>1.3026</v>
      </c>
      <c r="BT143" s="71" cm="1">
        <f t="array" aca="1" ref="BT143" ca="1">_FV(EB143,"Variação (%)",TRUE)</f>
        <v>2.0188000000000001E-2</v>
      </c>
      <c r="BV143" s="17" cm="1">
        <f t="array" aca="1" ref="BV143" ca="1">_FV(EB143,"Baixo")</f>
        <v>7.35</v>
      </c>
      <c r="BW143" s="17" cm="1">
        <f t="array" aca="1" ref="BW143" ca="1">_FV(EB143,"Alto")</f>
        <v>7.58</v>
      </c>
      <c r="BX143" s="24"/>
      <c r="BY143" s="63">
        <f ca="1">SQRT(22.5*(BN143/VLOOKUP(BO143,Fundamentus!A:U,3,FALSE))*(BN143/VLOOKUP(BO143,Fundamentus!A:U,4,FALSE)))</f>
        <v>7.849466279739282</v>
      </c>
      <c r="CA143" s="62">
        <f t="shared" ca="1" si="168"/>
        <v>0</v>
      </c>
      <c r="CB143" s="8"/>
      <c r="CC143" s="61">
        <f t="shared" si="169"/>
        <v>5.96</v>
      </c>
      <c r="CD143" s="61">
        <f t="shared" si="170"/>
        <v>8.09</v>
      </c>
      <c r="CE143" s="61">
        <f t="shared" si="171"/>
        <v>7.2937692307692323</v>
      </c>
      <c r="CF143" s="14"/>
      <c r="CG143" s="35">
        <f t="shared" si="154"/>
        <v>7.0028265689772029</v>
      </c>
      <c r="CH143" s="15">
        <f t="shared" si="172"/>
        <v>7.3949999999997544</v>
      </c>
      <c r="CI143" s="35">
        <f t="shared" si="155"/>
        <v>7.787173431022306</v>
      </c>
      <c r="CK143" s="14"/>
      <c r="CL143" s="17">
        <f t="shared" si="156"/>
        <v>4.286666666666668</v>
      </c>
      <c r="CM143" s="17">
        <f t="shared" si="157"/>
        <v>5.123333333333334</v>
      </c>
      <c r="CN143" s="17">
        <f t="shared" si="158"/>
        <v>6.4166666666666679</v>
      </c>
      <c r="CO143" s="38">
        <f t="shared" si="173"/>
        <v>7.2533333333333339</v>
      </c>
      <c r="CP143" s="17">
        <f t="shared" si="159"/>
        <v>8.5466666666666669</v>
      </c>
      <c r="CQ143" s="17">
        <f t="shared" si="160"/>
        <v>9.3833333333333329</v>
      </c>
      <c r="CR143" s="17">
        <f t="shared" si="161"/>
        <v>10.676666666666668</v>
      </c>
      <c r="CS143" s="2" cm="1">
        <f t="array" aca="1" ref="CS143" ca="1">MAX(_xlfn._xlws.FILTER(CL143:CR143,CL143:CR143&lt;BN143))</f>
        <v>7.2533333333333339</v>
      </c>
      <c r="CT143" s="2" cm="1">
        <f t="array" aca="1" ref="CT143" ca="1">MIN(_xlfn._xlws.FILTER($CL143:$CR143,$CL143:$CR143&gt;BN143))</f>
        <v>8.5466666666666669</v>
      </c>
      <c r="CU143" s="16">
        <f t="shared" ca="1" si="136"/>
        <v>0.17830882352941169</v>
      </c>
      <c r="CV143" s="20">
        <f t="shared" ca="1" si="137"/>
        <v>-8.9154411764705843E-2</v>
      </c>
      <c r="CW143" s="20">
        <f t="shared" ca="1" si="138"/>
        <v>-5.9436274509803898E-2</v>
      </c>
      <c r="CX143" s="20">
        <f t="shared" ca="1" si="139"/>
        <v>-3.5661764705882337E-2</v>
      </c>
      <c r="CY143" s="20">
        <f t="shared" ca="1" si="140"/>
        <v>-1.9812091503267966E-2</v>
      </c>
      <c r="CZ143" s="20">
        <f t="shared" ca="1" si="141"/>
        <v>-1.0488754325259511E-2</v>
      </c>
      <c r="DA143" s="20">
        <f t="shared" ca="1" si="142"/>
        <v>-5.403297682709445E-3</v>
      </c>
      <c r="DB143" s="20">
        <f t="shared" ca="1" si="143"/>
        <v>-2.7432126696832568E-3</v>
      </c>
      <c r="DC143" s="21">
        <f t="shared" ca="1" si="144"/>
        <v>2.7432126696832568E-3</v>
      </c>
      <c r="DD143" s="21">
        <f t="shared" ca="1" si="145"/>
        <v>5.403297682709445E-3</v>
      </c>
      <c r="DE143" s="21">
        <f t="shared" ca="1" si="146"/>
        <v>1.0488754325259511E-2</v>
      </c>
      <c r="DF143" s="21">
        <f t="shared" ca="1" si="147"/>
        <v>1.9812091503267966E-2</v>
      </c>
      <c r="DG143" s="21">
        <f t="shared" ca="1" si="148"/>
        <v>3.5661764705882337E-2</v>
      </c>
      <c r="DH143" s="21">
        <f t="shared" ca="1" si="149"/>
        <v>5.9436274509803898E-2</v>
      </c>
      <c r="DI143" s="21">
        <f t="shared" ca="1" si="150"/>
        <v>8.9154411764705843E-2</v>
      </c>
      <c r="DK143" s="16" cm="1">
        <f t="array" aca="1" ref="DK143" ca="1">MAX(_xlfn._xlws.FILTER(CV143:DI143,CV143:DI143&lt;BT143))</f>
        <v>1.9812091503267966E-2</v>
      </c>
      <c r="DL143" s="16" cm="1">
        <f t="array" aca="1" ref="DL143" ca="1">MIN(_xlfn._xlws.FILTER(CV143:DI143,CV143:DI143&gt;BT143))</f>
        <v>3.5661764705882337E-2</v>
      </c>
      <c r="DM143" s="2" cm="1">
        <f t="array" aca="1" ref="DM143" ca="1">_FV(EB143,"Fechamento anterior",TRUE)</f>
        <v>7.43</v>
      </c>
      <c r="DN143" s="28">
        <f t="shared" ca="1" si="162"/>
        <v>2.3743946941214306E-2</v>
      </c>
      <c r="DO143" s="15">
        <f t="shared" ca="1" si="151"/>
        <v>7.5772038398692807</v>
      </c>
      <c r="DP143" s="15">
        <f t="shared" ca="1" si="152"/>
        <v>7.6949669117647055</v>
      </c>
      <c r="DQ143" s="9"/>
      <c r="DR143" s="9"/>
      <c r="DS143" s="9"/>
      <c r="DT143" s="89">
        <v>1.5849673202614371E-2</v>
      </c>
      <c r="DU143" s="89">
        <f t="shared" ca="1" si="163"/>
        <v>1.5849673202614371E-2</v>
      </c>
      <c r="DV143" s="72">
        <f t="shared" ca="1" si="164"/>
        <v>0.47173006982619226</v>
      </c>
      <c r="DW143" s="37"/>
      <c r="DX143" s="35">
        <f t="shared" si="174"/>
        <v>0.19608671551127579</v>
      </c>
      <c r="DY143" s="56"/>
      <c r="DZ143" s="56"/>
      <c r="EB143" s="2" t="e" vm="143">
        <v>#VALUE!</v>
      </c>
      <c r="ED143" s="10" cm="1">
        <f t="array" aca="1" ref="ED143" ca="1">_FV(EB143,"Ações em circulação",TRUE)</f>
        <v>2248470000</v>
      </c>
      <c r="EE143" s="18">
        <f>VLOOKUP(BO143,Fundamentus!A:U,5,FALSE)</f>
        <v>0.51800000000000002</v>
      </c>
      <c r="EF143" s="2">
        <f t="shared" ca="1" si="165"/>
        <v>32902321621.62162</v>
      </c>
      <c r="EG143" s="17">
        <v>1408219365.4054053</v>
      </c>
      <c r="EH143" s="17">
        <f t="shared" ca="1" si="166"/>
        <v>1408219365.4054053</v>
      </c>
      <c r="EJ143" s="16">
        <f t="shared" ca="1" si="153"/>
        <v>0</v>
      </c>
      <c r="EK143" s="32" t="str">
        <f>IF(VLOOKUP(BO143,Fundamentus!A:U,3,FALSE)&lt;15,"Bom",IF(VLOOKUP(BO143,Fundamentus!A:U,3,FALSE)&gt;15,"Ruim","n/a"))</f>
        <v>Bom</v>
      </c>
      <c r="EL143" s="28" t="str">
        <f>IF(VLOOKUP(BO143,Fundamentus!A:U,4,FALSE)&lt;1,"Baixo",IF(VLOOKUP(BO143,Fundamentus!A:U,4,FALSE)&lt;1.5,"Moderado",IF(VLOOKUP(BO143,Fundamentus!A:U,4,FALSE)&gt;1.5,"Alto","n/a")))</f>
        <v>Alto</v>
      </c>
      <c r="EM143" s="17" t="str">
        <f>IF(VLOOKUP(BO143,Fundamentus!A:U,8,FALSE)&lt;0,"Risco elevado",IF(VLOOKUP(BO143,Fundamentus!A:U,8,FALSE)&lt;1,"Saudável",IF(VLOOKUP(BO143,Fundamentus!A:U,8,FALSE)&lt;3,"Estável",IF(VLOOKUP(BO143,Fundamentus!A:U,8,FALSE)&gt;3,"Alerta","n/a"))))</f>
        <v>Estável</v>
      </c>
      <c r="EN143" s="28" t="str">
        <f t="shared" si="167"/>
        <v>Ruim</v>
      </c>
      <c r="EO143" s="17" t="str">
        <f>IF(VLOOKUP(BO143,Fundamentus!A:U,12,FALSE)&lt;2,"Subvalorizada",IF(VLOOKUP(BO143,Fundamentus!A:U,12,FALSE)&lt;6,"Muita barata",IF(VLOOKUP(BO143,Fundamentus!A:U,12,FALSE)&lt;6,"Barata",IF(VLOOKUP(BO143,Fundamentus!A:U,12,FALSE)&lt;8,"Atrativa",IF(VLOOKUP(BO143,Fundamentus!A:U,12,FALSE)&gt;8,"Supervalorizada","n/a")))))</f>
        <v>Atrativa</v>
      </c>
      <c r="EQ143" s="17" t="str">
        <f>IF(VLOOKUP(BO143,Fundamentus!A:U,17,FALSE)&lt;0.1,"Fraco retorno",IF(VLOOKUP(BO143,Fundamentus!A:U,17,FALSE)&gt;0.1,"Bom retorno","n/a"))</f>
        <v>Bom retorno</v>
      </c>
      <c r="ER143" s="17" t="str">
        <f>IF(VLOOKUP(BO143,Fundamentus!A:U,16,FALSE)&lt;0.1,"Ineficiente",IF(VLOOKUP(BO143,Fundamentus!A:U,16,FALSE)&gt;0.1,"Eficiente","n/a"))</f>
        <v>Eficiente</v>
      </c>
      <c r="ES143" s="33" t="str">
        <f>IF(VLOOKUP(BO143,Fundamentus!A:U,16,FALSE)&lt;0.1,"Oper. Ineficiente",IF(VLOOKUP(BO143,Fundamentus!A:U,16,FALSE)&gt;0.1,"Oper.Eficiente","n/a"))</f>
        <v>Oper.Eficiente</v>
      </c>
      <c r="ET143" s="34">
        <f>VLOOKUP(BO143,Fundamentus!A:U,14,FALSE)</f>
        <v>4.2799999999999998E-2</v>
      </c>
      <c r="EU143" s="17" t="str">
        <f>IF(VLOOKUP(BO143,Fundamentus!A:U,21,FALSE)&lt;0,"Negativo",IF(VLOOKUP(BO143,Fundamentus!A:U,21,FALSE)&lt;0.05,"Fraco",IF(VLOOKUP(BO143,Fundamentus!A:U,21,FALSE)&lt;0.1,"Bom",IF(VLOOKUP(BO143,Fundamentus!A:U,21,FALSE)&gt;0.1,"Muito bom","n/a"))))</f>
        <v>Muito bom</v>
      </c>
      <c r="EW143" s="29" t="str">
        <f>IF(VLOOKUP(BO143,Fundamentus!A:U,15,FALSE)&gt;1,"Bom",IF(VLOOKUP(BO143,Fundamentus!A:U,15,FALSE)&lt;1,"Ruim","n/a"))</f>
        <v>Bom</v>
      </c>
      <c r="EX143" s="17" t="str">
        <f>IF(VLOOKUP(BO143,Fundamentus!A:U,20,FALSE)&lt;0.5,"Baixa",IF(VLOOKUP(BO143,Fundamentus!A:U,20,FALSE)&lt;1,"Moderada",IF(VLOOKUP(BO143,Fundamentus!A:U,20,FALSE)&lt;2,"Alerta",IF(VLOOKUP(BO143,Fundamentus!A:U,20,FALSE)&gt;2,"Alta","n/a"))))</f>
        <v>Baixa</v>
      </c>
      <c r="EY143" s="10"/>
    </row>
    <row r="144" spans="1:155" s="2" customFormat="1" ht="11.25"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5">
        <v>19.57</v>
      </c>
      <c r="BC144" s="52">
        <v>19.82</v>
      </c>
      <c r="BD144" s="52">
        <v>19.3</v>
      </c>
      <c r="BE144" s="52">
        <v>19.489999999999998</v>
      </c>
      <c r="BF144" s="52">
        <v>20.149999999999999</v>
      </c>
      <c r="BG144" s="67">
        <v>20.56</v>
      </c>
      <c r="BH144" s="52">
        <v>21.52</v>
      </c>
      <c r="BI144" s="52">
        <v>21.33</v>
      </c>
      <c r="BJ144" s="52">
        <v>22.46</v>
      </c>
      <c r="BK144" s="52">
        <v>21.16</v>
      </c>
      <c r="BL144" s="52">
        <v>20.37</v>
      </c>
      <c r="BM144" s="52">
        <v>19.989999999999998</v>
      </c>
      <c r="BN144" s="52" cm="1">
        <f t="array" aca="1" ref="BN144" ca="1">_FV(EB144,"Preço")</f>
        <v>19.989999999999998</v>
      </c>
      <c r="BO144" s="69" t="s">
        <v>140</v>
      </c>
      <c r="BP144" s="36" cm="1">
        <f t="array" aca="1" ref="BP144" ca="1">_FV(EB144,"Média de volume",TRUE)</f>
        <v>7150410</v>
      </c>
      <c r="BQ144" s="36">
        <v>2490800</v>
      </c>
      <c r="BR144" s="36" cm="1">
        <f t="array" aca="1" ref="BR144" ca="1">_FV(EB144,"Volume")</f>
        <v>2490800</v>
      </c>
      <c r="BS144" s="24" cm="1">
        <f t="array" aca="1" ref="BS144" ca="1">_FV(EB144,"Beta")</f>
        <v>0.69579999999999997</v>
      </c>
      <c r="BT144" s="71" cm="1">
        <f t="array" aca="1" ref="BT144" ca="1">_FV(EB144,"Variação (%)",TRUE)</f>
        <v>2.5080000000000002E-3</v>
      </c>
      <c r="BV144" s="17" cm="1">
        <f t="array" aca="1" ref="BV144" ca="1">_FV(EB144,"Baixo")</f>
        <v>19.91</v>
      </c>
      <c r="BW144" s="17" cm="1">
        <f t="array" aca="1" ref="BW144" ca="1">_FV(EB144,"Alto")</f>
        <v>20.11</v>
      </c>
      <c r="BX144" s="24"/>
      <c r="BY144" s="63">
        <f ca="1">SQRT(22.5*(BN144/VLOOKUP(BO144,Fundamentus!A:U,3,FALSE))*(BN144/VLOOKUP(BO144,Fundamentus!A:U,4,FALSE)))</f>
        <v>5.1081000846854625</v>
      </c>
      <c r="CA144" s="62">
        <f t="shared" ca="1" si="168"/>
        <v>0</v>
      </c>
      <c r="CB144" s="8"/>
      <c r="CC144" s="61">
        <f t="shared" si="169"/>
        <v>13.82</v>
      </c>
      <c r="CD144" s="61">
        <f t="shared" si="170"/>
        <v>22.46</v>
      </c>
      <c r="CE144" s="61">
        <f t="shared" si="171"/>
        <v>17.433461538461536</v>
      </c>
      <c r="CF144" s="14"/>
      <c r="CG144" s="35">
        <f t="shared" si="154"/>
        <v>17.054470973510032</v>
      </c>
      <c r="CH144" s="15">
        <f t="shared" si="172"/>
        <v>18.944999999999709</v>
      </c>
      <c r="CI144" s="35">
        <f t="shared" si="155"/>
        <v>20.835529026489386</v>
      </c>
      <c r="CK144" s="14"/>
      <c r="CL144" s="17">
        <f t="shared" si="156"/>
        <v>6.6666666666666714</v>
      </c>
      <c r="CM144" s="17">
        <f t="shared" si="157"/>
        <v>10.243333333333336</v>
      </c>
      <c r="CN144" s="17">
        <f t="shared" si="158"/>
        <v>15.306666666666672</v>
      </c>
      <c r="CO144" s="38">
        <f t="shared" si="173"/>
        <v>18.883333333333336</v>
      </c>
      <c r="CP144" s="17">
        <f t="shared" si="159"/>
        <v>23.946666666666673</v>
      </c>
      <c r="CQ144" s="17">
        <f t="shared" si="160"/>
        <v>27.523333333333337</v>
      </c>
      <c r="CR144" s="17">
        <f t="shared" si="161"/>
        <v>32.586666666666673</v>
      </c>
      <c r="CS144" s="2" cm="1">
        <f t="array" aca="1" ref="CS144" ca="1">MAX(_xlfn._xlws.FILTER(CL144:CR144,CL144:CR144&lt;BN144))</f>
        <v>18.883333333333336</v>
      </c>
      <c r="CT144" s="2" cm="1">
        <f t="array" aca="1" ref="CT144" ca="1">MIN(_xlfn._xlws.FILTER($CL144:$CR144,$CL144:$CR144&gt;BN144))</f>
        <v>23.946666666666673</v>
      </c>
      <c r="CU144" s="16">
        <f t="shared" ca="1" si="136"/>
        <v>0.26813768755516332</v>
      </c>
      <c r="CV144" s="20">
        <f t="shared" ca="1" si="137"/>
        <v>-0.13406884377758166</v>
      </c>
      <c r="CW144" s="20">
        <f t="shared" ca="1" si="138"/>
        <v>-8.9379229185054435E-2</v>
      </c>
      <c r="CX144" s="20">
        <f t="shared" ca="1" si="139"/>
        <v>-5.3627537511032664E-2</v>
      </c>
      <c r="CY144" s="20">
        <f t="shared" ca="1" si="140"/>
        <v>-2.9793076395018145E-2</v>
      </c>
      <c r="CZ144" s="20">
        <f t="shared" ca="1" si="141"/>
        <v>-1.5772805150303725E-2</v>
      </c>
      <c r="DA144" s="20">
        <f t="shared" ca="1" si="142"/>
        <v>-8.1253844713685859E-3</v>
      </c>
      <c r="DB144" s="20">
        <f t="shared" ca="1" si="143"/>
        <v>-4.1251951931563589E-3</v>
      </c>
      <c r="DC144" s="21">
        <f t="shared" ca="1" si="144"/>
        <v>4.1251951931563589E-3</v>
      </c>
      <c r="DD144" s="21">
        <f t="shared" ca="1" si="145"/>
        <v>8.1253844713685859E-3</v>
      </c>
      <c r="DE144" s="21">
        <f t="shared" ca="1" si="146"/>
        <v>1.5772805150303725E-2</v>
      </c>
      <c r="DF144" s="21">
        <f t="shared" ca="1" si="147"/>
        <v>2.9793076395018145E-2</v>
      </c>
      <c r="DG144" s="21">
        <f t="shared" ca="1" si="148"/>
        <v>5.3627537511032664E-2</v>
      </c>
      <c r="DH144" s="21">
        <f t="shared" ca="1" si="149"/>
        <v>8.9379229185054435E-2</v>
      </c>
      <c r="DI144" s="21">
        <f t="shared" ca="1" si="150"/>
        <v>0.13406884377758166</v>
      </c>
      <c r="DK144" s="16" cm="1">
        <f t="array" aca="1" ref="DK144" ca="1">MAX(_xlfn._xlws.FILTER(CV144:DI144,CV144:DI144&lt;BT144))</f>
        <v>-4.1251951931563589E-3</v>
      </c>
      <c r="DL144" s="16" cm="1">
        <f t="array" aca="1" ref="DL144" ca="1">MIN(_xlfn._xlws.FILTER(CV144:DI144,CV144:DI144&gt;BT144))</f>
        <v>4.1251951931563589E-3</v>
      </c>
      <c r="DM144" s="2" cm="1">
        <f t="array" aca="1" ref="DM144" ca="1">_FV(EB144,"Fechamento anterior",TRUE)</f>
        <v>19.940000000000001</v>
      </c>
      <c r="DN144" s="28">
        <f t="shared" ca="1" si="162"/>
        <v>0.80392774769335495</v>
      </c>
      <c r="DO144" s="15">
        <f t="shared" ca="1" si="151"/>
        <v>19.857743607848462</v>
      </c>
      <c r="DP144" s="15">
        <f t="shared" ca="1" si="152"/>
        <v>20.02225639215154</v>
      </c>
      <c r="DQ144" s="9"/>
      <c r="DR144" s="9"/>
      <c r="DS144" s="9"/>
      <c r="DT144" s="89">
        <v>8.2503903863127177E-3</v>
      </c>
      <c r="DU144" s="89">
        <f t="shared" ca="1" si="163"/>
        <v>8.2503903863127177E-3</v>
      </c>
      <c r="DV144" s="72">
        <f t="shared" ca="1" si="164"/>
        <v>0.55275533216257422</v>
      </c>
      <c r="DW144" s="37"/>
      <c r="DX144" s="35">
        <f t="shared" si="174"/>
        <v>0.94526451324483829</v>
      </c>
      <c r="DY144" s="56"/>
      <c r="DZ144" s="56"/>
      <c r="EB144" s="2" t="e" vm="144">
        <v>#VALUE!</v>
      </c>
      <c r="ED144" s="10" cm="1">
        <f t="array" aca="1" ref="ED144" ca="1">_FV(EB144,"Ações em circulação",TRUE)</f>
        <v>2420804000</v>
      </c>
      <c r="EE144" s="18">
        <f>VLOOKUP(BO144,Fundamentus!A:U,5,FALSE)</f>
        <v>162.40899999999999</v>
      </c>
      <c r="EF144" s="2">
        <f t="shared" ca="1" si="165"/>
        <v>297962994.41533417</v>
      </c>
      <c r="EG144" s="17">
        <v>278059066.38838983</v>
      </c>
      <c r="EH144" s="17">
        <f t="shared" ca="1" si="166"/>
        <v>278059066.38838983</v>
      </c>
      <c r="EJ144" s="16">
        <f t="shared" ca="1" si="153"/>
        <v>0</v>
      </c>
      <c r="EK144" s="32" t="str">
        <f>IF(VLOOKUP(BO144,Fundamentus!A:U,3,FALSE)&lt;15,"Bom",IF(VLOOKUP(BO144,Fundamentus!A:U,3,FALSE)&gt;15,"Ruim","n/a"))</f>
        <v>Ruim</v>
      </c>
      <c r="EL144" s="28" t="str">
        <f>IF(VLOOKUP(BO144,Fundamentus!A:U,4,FALSE)&lt;1,"Baixo",IF(VLOOKUP(BO144,Fundamentus!A:U,4,FALSE)&lt;1.5,"Moderado",IF(VLOOKUP(BO144,Fundamentus!A:U,4,FALSE)&gt;1.5,"Alto","n/a")))</f>
        <v>Alto</v>
      </c>
      <c r="EM144" s="17" t="str">
        <f>IF(VLOOKUP(BO144,Fundamentus!A:U,8,FALSE)&lt;0,"Risco elevado",IF(VLOOKUP(BO144,Fundamentus!A:U,8,FALSE)&lt;1,"Saudável",IF(VLOOKUP(BO144,Fundamentus!A:U,8,FALSE)&lt;3,"Estável",IF(VLOOKUP(BO144,Fundamentus!A:U,8,FALSE)&gt;3,"Alerta","n/a"))))</f>
        <v>Risco elevado</v>
      </c>
      <c r="EN144" s="28" t="str">
        <f t="shared" si="167"/>
        <v>Bom</v>
      </c>
      <c r="EO144" s="17" t="str">
        <f>IF(VLOOKUP(BO144,Fundamentus!A:U,12,FALSE)&lt;2,"Subvalorizada",IF(VLOOKUP(BO144,Fundamentus!A:U,12,FALSE)&lt;6,"Muita barata",IF(VLOOKUP(BO144,Fundamentus!A:U,12,FALSE)&lt;6,"Barata",IF(VLOOKUP(BO144,Fundamentus!A:U,12,FALSE)&lt;8,"Atrativa",IF(VLOOKUP(BO144,Fundamentus!A:U,12,FALSE)&gt;8,"Supervalorizada","n/a")))))</f>
        <v>Supervalorizada</v>
      </c>
      <c r="EQ144" s="17" t="str">
        <f>IF(VLOOKUP(BO144,Fundamentus!A:U,17,FALSE)&lt;0.1,"Fraco retorno",IF(VLOOKUP(BO144,Fundamentus!A:U,17,FALSE)&gt;0.1,"Bom retorno","n/a"))</f>
        <v>Fraco retorno</v>
      </c>
      <c r="ER144" s="17" t="str">
        <f>IF(VLOOKUP(BO144,Fundamentus!A:U,16,FALSE)&lt;0.1,"Ineficiente",IF(VLOOKUP(BO144,Fundamentus!A:U,16,FALSE)&gt;0.1,"Eficiente","n/a"))</f>
        <v>Ineficiente</v>
      </c>
      <c r="ES144" s="33" t="str">
        <f>IF(VLOOKUP(BO144,Fundamentus!A:U,16,FALSE)&lt;0.1,"Oper. Ineficiente",IF(VLOOKUP(BO144,Fundamentus!A:U,16,FALSE)&gt;0.1,"Oper.Eficiente","n/a"))</f>
        <v>Oper. Ineficiente</v>
      </c>
      <c r="ET144" s="34">
        <f>VLOOKUP(BO144,Fundamentus!A:U,14,FALSE)</f>
        <v>0.93320000000000003</v>
      </c>
      <c r="EU144" s="17" t="str">
        <f>IF(VLOOKUP(BO144,Fundamentus!A:U,21,FALSE)&lt;0,"Negativo",IF(VLOOKUP(BO144,Fundamentus!A:U,21,FALSE)&lt;0.05,"Fraco",IF(VLOOKUP(BO144,Fundamentus!A:U,21,FALSE)&lt;0.1,"Bom",IF(VLOOKUP(BO144,Fundamentus!A:U,21,FALSE)&gt;0.1,"Muito bom","n/a"))))</f>
        <v>Negativo</v>
      </c>
      <c r="EW144" s="29" t="str">
        <f>IF(VLOOKUP(BO144,Fundamentus!A:U,15,FALSE)&gt;1,"Bom",IF(VLOOKUP(BO144,Fundamentus!A:U,15,FALSE)&lt;1,"Ruim","n/a"))</f>
        <v>Ruim</v>
      </c>
      <c r="EX144" s="17" t="str">
        <f>IF(VLOOKUP(BO144,Fundamentus!A:U,20,FALSE)&lt;0.5,"Baixa",IF(VLOOKUP(BO144,Fundamentus!A:U,20,FALSE)&lt;1,"Moderada",IF(VLOOKUP(BO144,Fundamentus!A:U,20,FALSE)&lt;2,"Alerta",IF(VLOOKUP(BO144,Fundamentus!A:U,20,FALSE)&gt;2,"Alta","n/a"))))</f>
        <v>Baixa</v>
      </c>
      <c r="EY144" s="10"/>
    </row>
    <row r="145" spans="1:155" s="2" customFormat="1" ht="11.25"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5">
        <v>22.28</v>
      </c>
      <c r="BC145" s="52">
        <v>22.99</v>
      </c>
      <c r="BD145" s="52">
        <v>22.39</v>
      </c>
      <c r="BE145" s="52">
        <v>22.27</v>
      </c>
      <c r="BF145" s="52">
        <v>22.5</v>
      </c>
      <c r="BG145" s="67">
        <v>22.84</v>
      </c>
      <c r="BH145" s="52">
        <v>22.61</v>
      </c>
      <c r="BI145" s="52">
        <v>22.56</v>
      </c>
      <c r="BJ145" s="52">
        <v>23.45</v>
      </c>
      <c r="BK145" s="52">
        <v>22.5</v>
      </c>
      <c r="BL145" s="52">
        <v>22.64</v>
      </c>
      <c r="BM145" s="52">
        <v>21.78</v>
      </c>
      <c r="BN145" s="52" cm="1">
        <f t="array" aca="1" ref="BN145" ca="1">_FV(EB145,"Preço")</f>
        <v>21.78</v>
      </c>
      <c r="BO145" s="69" t="s">
        <v>141</v>
      </c>
      <c r="BP145" s="36" cm="1">
        <f t="array" aca="1" ref="BP145" ca="1">_FV(EB145,"Média de volume",TRUE)</f>
        <v>7893080</v>
      </c>
      <c r="BQ145" s="36">
        <v>500</v>
      </c>
      <c r="BR145" s="36" cm="1">
        <f t="array" aca="1" ref="BR145" ca="1">_FV(EB145,"Volume")</f>
        <v>500</v>
      </c>
      <c r="BS145" s="24" cm="1">
        <f t="array" aca="1" ref="BS145" ca="1">_FV(EB145,"Beta")</f>
        <v>1.3812</v>
      </c>
      <c r="BT145" s="71" cm="1">
        <f t="array" aca="1" ref="BT145" ca="1">_FV(EB145,"Variação (%)",TRUE)</f>
        <v>-9.1740000000000007E-4</v>
      </c>
      <c r="BV145" s="17" cm="1">
        <f t="array" aca="1" ref="BV145" ca="1">_FV(EB145,"Baixo")</f>
        <v>21.76</v>
      </c>
      <c r="BW145" s="17" cm="1">
        <f t="array" aca="1" ref="BW145" ca="1">_FV(EB145,"Alto")</f>
        <v>21.86</v>
      </c>
      <c r="BX145" s="24"/>
      <c r="BY145" s="63">
        <f ca="1">SQRT(22.5*(BN145/VLOOKUP(BO145,Fundamentus!A:U,3,FALSE))*(BN145/VLOOKUP(BO145,Fundamentus!A:U,4,FALSE)))</f>
        <v>10.943946780168607</v>
      </c>
      <c r="CA145" s="62">
        <f t="shared" ca="1" si="168"/>
        <v>0</v>
      </c>
      <c r="CB145" s="8"/>
      <c r="CC145" s="61">
        <f t="shared" si="169"/>
        <v>13.87</v>
      </c>
      <c r="CD145" s="61">
        <f t="shared" si="170"/>
        <v>23.45</v>
      </c>
      <c r="CE145" s="61">
        <f t="shared" si="171"/>
        <v>17.409538461538464</v>
      </c>
      <c r="CF145" s="14"/>
      <c r="CG145" s="35">
        <f t="shared" si="154"/>
        <v>20.189135336558628</v>
      </c>
      <c r="CH145" s="15">
        <f t="shared" si="172"/>
        <v>21.375000000000455</v>
      </c>
      <c r="CI145" s="35">
        <f t="shared" si="155"/>
        <v>22.560864663442281</v>
      </c>
      <c r="CK145" s="14"/>
      <c r="CL145" s="17">
        <f t="shared" si="156"/>
        <v>6.9433333333333369</v>
      </c>
      <c r="CM145" s="17">
        <f t="shared" si="157"/>
        <v>10.406666666666668</v>
      </c>
      <c r="CN145" s="17">
        <f t="shared" si="158"/>
        <v>16.523333333333337</v>
      </c>
      <c r="CO145" s="38">
        <f t="shared" si="173"/>
        <v>19.986666666666668</v>
      </c>
      <c r="CP145" s="17">
        <f t="shared" si="159"/>
        <v>26.103333333333339</v>
      </c>
      <c r="CQ145" s="17">
        <f t="shared" si="160"/>
        <v>29.56666666666667</v>
      </c>
      <c r="CR145" s="17">
        <f t="shared" si="161"/>
        <v>35.683333333333337</v>
      </c>
      <c r="CS145" s="2" cm="1">
        <f t="array" aca="1" ref="CS145" ca="1">MAX(_xlfn._xlws.FILTER(CL145:CR145,CL145:CR145&lt;BN145))</f>
        <v>19.986666666666668</v>
      </c>
      <c r="CT145" s="2" cm="1">
        <f t="array" aca="1" ref="CT145" ca="1">MIN(_xlfn._xlws.FILTER($CL145:$CR145,$CL145:$CR145&gt;BN145))</f>
        <v>26.103333333333339</v>
      </c>
      <c r="CU145" s="16">
        <f t="shared" ca="1" si="136"/>
        <v>0.30603735823882605</v>
      </c>
      <c r="CV145" s="20">
        <f t="shared" ca="1" si="137"/>
        <v>-0.15301867911941303</v>
      </c>
      <c r="CW145" s="20">
        <f t="shared" ca="1" si="138"/>
        <v>-0.10201245274627535</v>
      </c>
      <c r="CX145" s="20">
        <f t="shared" ca="1" si="139"/>
        <v>-6.1207471647765209E-2</v>
      </c>
      <c r="CY145" s="20">
        <f t="shared" ca="1" si="140"/>
        <v>-3.4004150915425115E-2</v>
      </c>
      <c r="CZ145" s="20">
        <f t="shared" ca="1" si="141"/>
        <v>-1.8002197543460358E-2</v>
      </c>
      <c r="DA145" s="20">
        <f t="shared" ca="1" si="142"/>
        <v>-9.2738593405704856E-3</v>
      </c>
      <c r="DB145" s="20">
        <f t="shared" ca="1" si="143"/>
        <v>-4.7082670498280934E-3</v>
      </c>
      <c r="DC145" s="21">
        <f t="shared" ca="1" si="144"/>
        <v>4.7082670498280934E-3</v>
      </c>
      <c r="DD145" s="21">
        <f t="shared" ca="1" si="145"/>
        <v>9.2738593405704856E-3</v>
      </c>
      <c r="DE145" s="21">
        <f t="shared" ca="1" si="146"/>
        <v>1.8002197543460358E-2</v>
      </c>
      <c r="DF145" s="21">
        <f t="shared" ca="1" si="147"/>
        <v>3.4004150915425115E-2</v>
      </c>
      <c r="DG145" s="21">
        <f t="shared" ca="1" si="148"/>
        <v>6.1207471647765209E-2</v>
      </c>
      <c r="DH145" s="21">
        <f t="shared" ca="1" si="149"/>
        <v>0.10201245274627535</v>
      </c>
      <c r="DI145" s="21">
        <f t="shared" ca="1" si="150"/>
        <v>0.15301867911941303</v>
      </c>
      <c r="DK145" s="16" cm="1">
        <f t="array" aca="1" ref="DK145" ca="1">MAX(_xlfn._xlws.FILTER(CV145:DI145,CV145:DI145&lt;BT145))</f>
        <v>-4.7082670498280934E-3</v>
      </c>
      <c r="DL145" s="16" cm="1">
        <f t="array" aca="1" ref="DL145" ca="1">MIN(_xlfn._xlws.FILTER(CV145:DI145,CV145:DI145&gt;BT145))</f>
        <v>4.7082670498280934E-3</v>
      </c>
      <c r="DM145" s="2" cm="1">
        <f t="array" aca="1" ref="DM145" ca="1">_FV(EB145,"Fechamento anterior",TRUE)</f>
        <v>21.8</v>
      </c>
      <c r="DN145" s="28">
        <f t="shared" ca="1" si="162"/>
        <v>0.40257230707696978</v>
      </c>
      <c r="DO145" s="15">
        <f t="shared" ca="1" si="151"/>
        <v>21.69735977831375</v>
      </c>
      <c r="DP145" s="15">
        <f t="shared" ca="1" si="152"/>
        <v>21.902640221686251</v>
      </c>
      <c r="DQ145" s="9"/>
      <c r="DR145" s="9"/>
      <c r="DS145" s="9"/>
      <c r="DT145" s="89">
        <v>9.4165340996561868E-3</v>
      </c>
      <c r="DU145" s="89">
        <f t="shared" ca="1" si="163"/>
        <v>9.4165340996561868E-3</v>
      </c>
      <c r="DV145" s="72">
        <f t="shared" ca="1" si="164"/>
        <v>0.34152295155172568</v>
      </c>
      <c r="DW145" s="37"/>
      <c r="DX145" s="35">
        <f t="shared" si="174"/>
        <v>0.59293233172091331</v>
      </c>
      <c r="DY145" s="56"/>
      <c r="DZ145" s="56"/>
      <c r="EB145" s="2" t="e" vm="145">
        <v>#VALUE!</v>
      </c>
      <c r="ED145" s="10" cm="1">
        <f t="array" aca="1" ref="ED145" ca="1">_FV(EB145,"Ações em circulação",TRUE)</f>
        <v>10108690000</v>
      </c>
      <c r="EE145" s="18">
        <f>VLOOKUP(BO145,Fundamentus!A:U,5,FALSE)</f>
        <v>0</v>
      </c>
      <c r="EF145" s="2" t="e">
        <f t="shared" ca="1" si="165"/>
        <v>#DIV/0!</v>
      </c>
      <c r="EG145" s="17" t="e">
        <v>#DIV/0!</v>
      </c>
      <c r="EH145" s="17" t="e">
        <f t="shared" ca="1" si="166"/>
        <v>#DIV/0!</v>
      </c>
      <c r="EJ145" s="16" t="e">
        <f t="shared" ca="1" si="153"/>
        <v>#DIV/0!</v>
      </c>
      <c r="EK145" s="32" t="str">
        <f>IF(VLOOKUP(BO145,Fundamentus!A:U,3,FALSE)&lt;15,"Bom",IF(VLOOKUP(BO145,Fundamentus!A:U,3,FALSE)&gt;15,"Ruim","n/a"))</f>
        <v>Ruim</v>
      </c>
      <c r="EL145" s="28" t="str">
        <f>IF(VLOOKUP(BO145,Fundamentus!A:U,4,FALSE)&lt;1,"Baixo",IF(VLOOKUP(BO145,Fundamentus!A:U,4,FALSE)&lt;1.5,"Moderado",IF(VLOOKUP(BO145,Fundamentus!A:U,4,FALSE)&gt;1.5,"Alto","n/a")))</f>
        <v>Alto</v>
      </c>
      <c r="EM145" s="17" t="str">
        <f>IF(VLOOKUP(BO145,Fundamentus!A:U,8,FALSE)&lt;0,"Risco elevado",IF(VLOOKUP(BO145,Fundamentus!A:U,8,FALSE)&lt;1,"Saudável",IF(VLOOKUP(BO145,Fundamentus!A:U,8,FALSE)&lt;3,"Estável",IF(VLOOKUP(BO145,Fundamentus!A:U,8,FALSE)&gt;3,"Alerta","n/a"))))</f>
        <v>Saudável</v>
      </c>
      <c r="EN145" s="28" t="str">
        <f t="shared" si="167"/>
        <v>Ruim</v>
      </c>
      <c r="EO145" s="17" t="str">
        <f>IF(VLOOKUP(BO145,Fundamentus!A:U,12,FALSE)&lt;2,"Subvalorizada",IF(VLOOKUP(BO145,Fundamentus!A:U,12,FALSE)&lt;6,"Muita barata",IF(VLOOKUP(BO145,Fundamentus!A:U,12,FALSE)&lt;6,"Barata",IF(VLOOKUP(BO145,Fundamentus!A:U,12,FALSE)&lt;8,"Atrativa",IF(VLOOKUP(BO145,Fundamentus!A:U,12,FALSE)&gt;8,"Supervalorizada","n/a")))))</f>
        <v>Subvalorizada</v>
      </c>
      <c r="EQ145" s="17" t="str">
        <f>IF(VLOOKUP(BO145,Fundamentus!A:U,17,FALSE)&lt;0.1,"Fraco retorno",IF(VLOOKUP(BO145,Fundamentus!A:U,17,FALSE)&gt;0.1,"Bom retorno","n/a"))</f>
        <v>Bom retorno</v>
      </c>
      <c r="ER145" s="17" t="str">
        <f>IF(VLOOKUP(BO145,Fundamentus!A:U,16,FALSE)&lt;0.1,"Ineficiente",IF(VLOOKUP(BO145,Fundamentus!A:U,16,FALSE)&gt;0.1,"Eficiente","n/a"))</f>
        <v>Ineficiente</v>
      </c>
      <c r="ES145" s="33" t="str">
        <f>IF(VLOOKUP(BO145,Fundamentus!A:U,16,FALSE)&lt;0.1,"Oper. Ineficiente",IF(VLOOKUP(BO145,Fundamentus!A:U,16,FALSE)&gt;0.1,"Oper.Eficiente","n/a"))</f>
        <v>Oper. Ineficiente</v>
      </c>
      <c r="ET145" s="34">
        <f>VLOOKUP(BO145,Fundamentus!A:U,14,FALSE)</f>
        <v>0</v>
      </c>
      <c r="EU145" s="17" t="str">
        <f>IF(VLOOKUP(BO145,Fundamentus!A:U,21,FALSE)&lt;0,"Negativo",IF(VLOOKUP(BO145,Fundamentus!A:U,21,FALSE)&lt;0.05,"Fraco",IF(VLOOKUP(BO145,Fundamentus!A:U,21,FALSE)&lt;0.1,"Bom",IF(VLOOKUP(BO145,Fundamentus!A:U,21,FALSE)&gt;0.1,"Muito bom","n/a"))))</f>
        <v>Muito bom</v>
      </c>
      <c r="EW145" s="29" t="str">
        <f>IF(VLOOKUP(BO145,Fundamentus!A:U,15,FALSE)&gt;1,"Bom",IF(VLOOKUP(BO145,Fundamentus!A:U,15,FALSE)&lt;1,"Ruim","n/a"))</f>
        <v>Ruim</v>
      </c>
      <c r="EX145" s="17" t="str">
        <f>IF(VLOOKUP(BO145,Fundamentus!A:U,20,FALSE)&lt;0.5,"Baixa",IF(VLOOKUP(BO145,Fundamentus!A:U,20,FALSE)&lt;1,"Moderada",IF(VLOOKUP(BO145,Fundamentus!A:U,20,FALSE)&lt;2,"Alerta",IF(VLOOKUP(BO145,Fundamentus!A:U,20,FALSE)&gt;2,"Alta","n/a"))))</f>
        <v>Baixa</v>
      </c>
      <c r="EY145" s="10"/>
    </row>
    <row r="146" spans="1:155" s="2" customFormat="1" ht="11.25"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5">
        <v>21.9</v>
      </c>
      <c r="BC146" s="52">
        <v>24.14</v>
      </c>
      <c r="BD146" s="52">
        <v>24.61</v>
      </c>
      <c r="BE146" s="52">
        <v>25.99</v>
      </c>
      <c r="BF146" s="52">
        <v>24.62</v>
      </c>
      <c r="BG146" s="67">
        <v>24.36</v>
      </c>
      <c r="BH146" s="52">
        <v>25.47</v>
      </c>
      <c r="BI146" s="52">
        <v>26.18</v>
      </c>
      <c r="BJ146" s="52">
        <v>27.23</v>
      </c>
      <c r="BK146" s="52">
        <v>25.51</v>
      </c>
      <c r="BL146" s="52">
        <v>25.58</v>
      </c>
      <c r="BM146" s="52">
        <v>25.25</v>
      </c>
      <c r="BN146" s="52" cm="1">
        <f t="array" aca="1" ref="BN146" ca="1">_FV(EB146,"Preço")</f>
        <v>25.25</v>
      </c>
      <c r="BO146" s="69" t="s">
        <v>142</v>
      </c>
      <c r="BP146" s="36" cm="1">
        <f t="array" aca="1" ref="BP146" ca="1">_FV(EB146,"Média de volume",TRUE)</f>
        <v>3006910</v>
      </c>
      <c r="BQ146" s="36">
        <v>1828800</v>
      </c>
      <c r="BR146" s="36" cm="1">
        <f t="array" aca="1" ref="BR146" ca="1">_FV(EB146,"Volume")</f>
        <v>1828800</v>
      </c>
      <c r="BS146" s="24" cm="1">
        <f t="array" aca="1" ref="BS146" ca="1">_FV(EB146,"Beta")</f>
        <v>1.4246000000000001</v>
      </c>
      <c r="BT146" s="71" cm="1">
        <f t="array" aca="1" ref="BT146" ca="1">_FV(EB146,"Variação (%)",TRUE)</f>
        <v>7.9839999999999998E-3</v>
      </c>
      <c r="BV146" s="17" cm="1">
        <f t="array" aca="1" ref="BV146" ca="1">_FV(EB146,"Baixo")</f>
        <v>24.93</v>
      </c>
      <c r="BW146" s="17" cm="1">
        <f t="array" aca="1" ref="BW146" ca="1">_FV(EB146,"Alto")</f>
        <v>25.32</v>
      </c>
      <c r="BX146" s="24"/>
      <c r="BY146" s="63">
        <f ca="1">SQRT(22.5*(BN146/VLOOKUP(BO146,Fundamentus!A:U,3,FALSE))*(BN146/VLOOKUP(BO146,Fundamentus!A:U,4,FALSE)))</f>
        <v>27.59604043486587</v>
      </c>
      <c r="CA146" s="62">
        <f t="shared" ca="1" si="168"/>
        <v>0</v>
      </c>
      <c r="CB146" s="8"/>
      <c r="CC146" s="61">
        <f t="shared" si="169"/>
        <v>17.059999999999999</v>
      </c>
      <c r="CD146" s="61">
        <f t="shared" si="170"/>
        <v>28.57</v>
      </c>
      <c r="CE146" s="61">
        <f t="shared" si="171"/>
        <v>22.942076923076918</v>
      </c>
      <c r="CF146" s="14"/>
      <c r="CG146" s="35">
        <f t="shared" si="154"/>
        <v>22.861134596584204</v>
      </c>
      <c r="CH146" s="15">
        <f t="shared" si="172"/>
        <v>24.424999999999727</v>
      </c>
      <c r="CI146" s="35">
        <f t="shared" si="155"/>
        <v>25.98886540341525</v>
      </c>
      <c r="CK146" s="14"/>
      <c r="CL146" s="17">
        <f t="shared" si="156"/>
        <v>7.3933333333333273</v>
      </c>
      <c r="CM146" s="17">
        <f t="shared" si="157"/>
        <v>12.226666666666663</v>
      </c>
      <c r="CN146" s="17">
        <f t="shared" si="158"/>
        <v>18.903333333333329</v>
      </c>
      <c r="CO146" s="38">
        <f t="shared" si="173"/>
        <v>23.736666666666665</v>
      </c>
      <c r="CP146" s="17">
        <f t="shared" si="159"/>
        <v>30.41333333333333</v>
      </c>
      <c r="CQ146" s="17">
        <f t="shared" si="160"/>
        <v>35.24666666666667</v>
      </c>
      <c r="CR146" s="17">
        <f t="shared" si="161"/>
        <v>41.923333333333332</v>
      </c>
      <c r="CS146" s="2" cm="1">
        <f t="array" aca="1" ref="CS146" ca="1">MAX(_xlfn._xlws.FILTER(CL146:CR146,CL146:CR146&lt;BN146))</f>
        <v>23.736666666666665</v>
      </c>
      <c r="CT146" s="2" cm="1">
        <f t="array" aca="1" ref="CT146" ca="1">MIN(_xlfn._xlws.FILTER($CL146:$CR146,$CL146:$CR146&gt;BN146))</f>
        <v>30.41333333333333</v>
      </c>
      <c r="CU146" s="16">
        <f t="shared" ca="1" si="136"/>
        <v>0.28128071900014051</v>
      </c>
      <c r="CV146" s="20">
        <f t="shared" ca="1" si="137"/>
        <v>-0.14064035950007026</v>
      </c>
      <c r="CW146" s="20">
        <f t="shared" ca="1" si="138"/>
        <v>-9.3760239666713499E-2</v>
      </c>
      <c r="CX146" s="20">
        <f t="shared" ca="1" si="139"/>
        <v>-5.6256143800028101E-2</v>
      </c>
      <c r="CY146" s="20">
        <f t="shared" ca="1" si="140"/>
        <v>-3.1253413222237833E-2</v>
      </c>
      <c r="CZ146" s="20">
        <f t="shared" ca="1" si="141"/>
        <v>-1.6545924647067087E-2</v>
      </c>
      <c r="DA146" s="20">
        <f t="shared" ca="1" si="142"/>
        <v>-8.5236581515194098E-3</v>
      </c>
      <c r="DB146" s="20">
        <f t="shared" ca="1" si="143"/>
        <v>-4.3273956769252385E-3</v>
      </c>
      <c r="DC146" s="21">
        <f t="shared" ca="1" si="144"/>
        <v>4.3273956769252385E-3</v>
      </c>
      <c r="DD146" s="21">
        <f t="shared" ca="1" si="145"/>
        <v>8.5236581515194098E-3</v>
      </c>
      <c r="DE146" s="21">
        <f t="shared" ca="1" si="146"/>
        <v>1.6545924647067087E-2</v>
      </c>
      <c r="DF146" s="21">
        <f t="shared" ca="1" si="147"/>
        <v>3.1253413222237833E-2</v>
      </c>
      <c r="DG146" s="21">
        <f t="shared" ca="1" si="148"/>
        <v>5.6256143800028101E-2</v>
      </c>
      <c r="DH146" s="21">
        <f t="shared" ca="1" si="149"/>
        <v>9.3760239666713499E-2</v>
      </c>
      <c r="DI146" s="21">
        <f t="shared" ca="1" si="150"/>
        <v>0.14064035950007026</v>
      </c>
      <c r="DK146" s="16" cm="1">
        <f t="array" aca="1" ref="DK146" ca="1">MAX(_xlfn._xlws.FILTER(CV146:DI146,CV146:DI146&lt;BT146))</f>
        <v>4.3273956769252385E-3</v>
      </c>
      <c r="DL146" s="16" cm="1">
        <f t="array" aca="1" ref="DL146" ca="1">MIN(_xlfn._xlws.FILTER(CV146:DI146,CV146:DI146&gt;BT146))</f>
        <v>8.5236581515194098E-3</v>
      </c>
      <c r="DM146" s="2" cm="1">
        <f t="array" aca="1" ref="DM146" ca="1">_FV(EB146,"Fechamento anterior",TRUE)</f>
        <v>25.05</v>
      </c>
      <c r="DN146" s="28">
        <f t="shared" ca="1" si="162"/>
        <v>0.87140313108182543</v>
      </c>
      <c r="DO146" s="15">
        <f t="shared" ca="1" si="151"/>
        <v>25.158401261706977</v>
      </c>
      <c r="DP146" s="15">
        <f t="shared" ca="1" si="152"/>
        <v>25.26351763669556</v>
      </c>
      <c r="DQ146" s="9"/>
      <c r="DR146" s="9"/>
      <c r="DS146" s="9"/>
      <c r="DT146" s="89">
        <v>4.1962624745941713E-3</v>
      </c>
      <c r="DU146" s="89">
        <f t="shared" ca="1" si="163"/>
        <v>4.1962624745941713E-3</v>
      </c>
      <c r="DV146" s="72">
        <f t="shared" ca="1" si="164"/>
        <v>0.52753900572162493</v>
      </c>
      <c r="DW146" s="37"/>
      <c r="DX146" s="35">
        <f t="shared" si="174"/>
        <v>0.78193270170776219</v>
      </c>
      <c r="DY146" s="56"/>
      <c r="DZ146" s="56"/>
      <c r="EB146" s="2" t="e" vm="146">
        <v>#VALUE!</v>
      </c>
      <c r="ED146" s="10" cm="1">
        <f t="array" aca="1" ref="ED146" ca="1">_FV(EB146,"Ações em circulação",TRUE)</f>
        <v>236197800</v>
      </c>
      <c r="EE146" s="18">
        <f>VLOOKUP(BO146,Fundamentus!A:U,5,FALSE)</f>
        <v>2.246</v>
      </c>
      <c r="EF146" s="2">
        <f t="shared" ca="1" si="165"/>
        <v>2655384884.2386465</v>
      </c>
      <c r="EG146" s="17">
        <v>728637612.23508453</v>
      </c>
      <c r="EH146" s="17">
        <f t="shared" ca="1" si="166"/>
        <v>728637612.23508453</v>
      </c>
      <c r="EJ146" s="16">
        <f t="shared" ca="1" si="153"/>
        <v>0</v>
      </c>
      <c r="EK146" s="32" t="str">
        <f>IF(VLOOKUP(BO146,Fundamentus!A:U,3,FALSE)&lt;15,"Bom",IF(VLOOKUP(BO146,Fundamentus!A:U,3,FALSE)&gt;15,"Ruim","n/a"))</f>
        <v>Bom</v>
      </c>
      <c r="EL146" s="28" t="str">
        <f>IF(VLOOKUP(BO146,Fundamentus!A:U,4,FALSE)&lt;1,"Baixo",IF(VLOOKUP(BO146,Fundamentus!A:U,4,FALSE)&lt;1.5,"Moderado",IF(VLOOKUP(BO146,Fundamentus!A:U,4,FALSE)&gt;1.5,"Alto","n/a")))</f>
        <v>Alto</v>
      </c>
      <c r="EM146" s="17" t="str">
        <f>IF(VLOOKUP(BO146,Fundamentus!A:U,8,FALSE)&lt;0,"Risco elevado",IF(VLOOKUP(BO146,Fundamentus!A:U,8,FALSE)&lt;1,"Saudável",IF(VLOOKUP(BO146,Fundamentus!A:U,8,FALSE)&lt;3,"Estável",IF(VLOOKUP(BO146,Fundamentus!A:U,8,FALSE)&gt;3,"Alerta","n/a"))))</f>
        <v>Alerta</v>
      </c>
      <c r="EN146" s="28" t="str">
        <f t="shared" si="167"/>
        <v>Bom</v>
      </c>
      <c r="EO146" s="17" t="str">
        <f>IF(VLOOKUP(BO146,Fundamentus!A:U,12,FALSE)&lt;2,"Subvalorizada",IF(VLOOKUP(BO146,Fundamentus!A:U,12,FALSE)&lt;6,"Muita barata",IF(VLOOKUP(BO146,Fundamentus!A:U,12,FALSE)&lt;6,"Barata",IF(VLOOKUP(BO146,Fundamentus!A:U,12,FALSE)&lt;8,"Atrativa",IF(VLOOKUP(BO146,Fundamentus!A:U,12,FALSE)&gt;8,"Supervalorizada","n/a")))))</f>
        <v>Atrativa</v>
      </c>
      <c r="EQ146" s="17" t="str">
        <f>IF(VLOOKUP(BO146,Fundamentus!A:U,17,FALSE)&lt;0.1,"Fraco retorno",IF(VLOOKUP(BO146,Fundamentus!A:U,17,FALSE)&gt;0.1,"Bom retorno","n/a"))</f>
        <v>Bom retorno</v>
      </c>
      <c r="ER146" s="17" t="str">
        <f>IF(VLOOKUP(BO146,Fundamentus!A:U,16,FALSE)&lt;0.1,"Ineficiente",IF(VLOOKUP(BO146,Fundamentus!A:U,16,FALSE)&gt;0.1,"Eficiente","n/a"))</f>
        <v>Eficiente</v>
      </c>
      <c r="ES146" s="33" t="str">
        <f>IF(VLOOKUP(BO146,Fundamentus!A:U,16,FALSE)&lt;0.1,"Oper. Ineficiente",IF(VLOOKUP(BO146,Fundamentus!A:U,16,FALSE)&gt;0.1,"Oper.Eficiente","n/a"))</f>
        <v>Oper.Eficiente</v>
      </c>
      <c r="ET146" s="34">
        <f>VLOOKUP(BO146,Fundamentus!A:U,14,FALSE)</f>
        <v>0.27439999999999998</v>
      </c>
      <c r="EU146" s="17" t="str">
        <f>IF(VLOOKUP(BO146,Fundamentus!A:U,21,FALSE)&lt;0,"Negativo",IF(VLOOKUP(BO146,Fundamentus!A:U,21,FALSE)&lt;0.05,"Fraco",IF(VLOOKUP(BO146,Fundamentus!A:U,21,FALSE)&lt;0.1,"Bom",IF(VLOOKUP(BO146,Fundamentus!A:U,21,FALSE)&gt;0.1,"Muito bom","n/a"))))</f>
        <v>Muito bom</v>
      </c>
      <c r="EW146" s="29" t="str">
        <f>IF(VLOOKUP(BO146,Fundamentus!A:U,15,FALSE)&gt;1,"Bom",IF(VLOOKUP(BO146,Fundamentus!A:U,15,FALSE)&lt;1,"Ruim","n/a"))</f>
        <v>Bom</v>
      </c>
      <c r="EX146" s="17" t="str">
        <f>IF(VLOOKUP(BO146,Fundamentus!A:U,20,FALSE)&lt;0.5,"Baixa",IF(VLOOKUP(BO146,Fundamentus!A:U,20,FALSE)&lt;1,"Moderada",IF(VLOOKUP(BO146,Fundamentus!A:U,20,FALSE)&lt;2,"Alerta",IF(VLOOKUP(BO146,Fundamentus!A:U,20,FALSE)&gt;2,"Alta","n/a"))))</f>
        <v>Baixa</v>
      </c>
      <c r="EY146" s="10"/>
    </row>
    <row r="147" spans="1:155" s="2" customFormat="1" ht="11.25"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5">
        <v>20.75</v>
      </c>
      <c r="BC147" s="52">
        <v>21.32</v>
      </c>
      <c r="BD147" s="52">
        <v>21.63</v>
      </c>
      <c r="BE147" s="52">
        <v>21.14</v>
      </c>
      <c r="BF147" s="52">
        <v>21.56</v>
      </c>
      <c r="BG147" s="67">
        <v>20.73</v>
      </c>
      <c r="BH147" s="52">
        <v>20.73</v>
      </c>
      <c r="BI147" s="52">
        <v>20.72</v>
      </c>
      <c r="BJ147" s="52">
        <v>20.78</v>
      </c>
      <c r="BK147" s="52">
        <v>20.09</v>
      </c>
      <c r="BL147" s="52">
        <v>19.79</v>
      </c>
      <c r="BM147" s="52">
        <v>20.5</v>
      </c>
      <c r="BN147" s="52" cm="1">
        <f t="array" aca="1" ref="BN147" ca="1">_FV(EB147,"Preço")</f>
        <v>20.5</v>
      </c>
      <c r="BO147" s="69" t="s">
        <v>143</v>
      </c>
      <c r="BP147" s="36" cm="1">
        <f t="array" aca="1" ref="BP147" ca="1">_FV(EB147,"Média de volume",TRUE)</f>
        <v>227630</v>
      </c>
      <c r="BQ147" s="36">
        <v>190300</v>
      </c>
      <c r="BR147" s="36" cm="1">
        <f t="array" aca="1" ref="BR147" ca="1">_FV(EB147,"Volume")</f>
        <v>190300</v>
      </c>
      <c r="BS147" s="24" cm="1">
        <f t="array" aca="1" ref="BS147" ca="1">_FV(EB147,"Beta")</f>
        <v>1.1469</v>
      </c>
      <c r="BT147" s="71" cm="1">
        <f t="array" aca="1" ref="BT147" ca="1">_FV(EB147,"Variação (%)",TRUE)</f>
        <v>3.4308999999999999E-2</v>
      </c>
      <c r="BV147" s="17" cm="1">
        <f t="array" aca="1" ref="BV147" ca="1">_FV(EB147,"Baixo")</f>
        <v>19.8</v>
      </c>
      <c r="BW147" s="17" cm="1">
        <f t="array" aca="1" ref="BW147" ca="1">_FV(EB147,"Alto")</f>
        <v>20.57</v>
      </c>
      <c r="BX147" s="24"/>
      <c r="BY147" s="63">
        <f ca="1">SQRT(22.5*(BN147/VLOOKUP(BO147,Fundamentus!A:U,3,FALSE))*(BN147/VLOOKUP(BO147,Fundamentus!A:U,4,FALSE)))</f>
        <v>65.847183101307451</v>
      </c>
      <c r="CA147" s="62">
        <f t="shared" ca="1" si="168"/>
        <v>0</v>
      </c>
      <c r="CB147" s="8"/>
      <c r="CC147" s="61">
        <f t="shared" si="169"/>
        <v>16.55</v>
      </c>
      <c r="CD147" s="61">
        <f t="shared" si="170"/>
        <v>24.74</v>
      </c>
      <c r="CE147" s="61">
        <f t="shared" si="171"/>
        <v>20.973076923076924</v>
      </c>
      <c r="CF147" s="14"/>
      <c r="CG147" s="35">
        <f t="shared" si="154"/>
        <v>19.247240143581088</v>
      </c>
      <c r="CH147" s="15">
        <f t="shared" si="172"/>
        <v>20.004999999999995</v>
      </c>
      <c r="CI147" s="35">
        <f t="shared" si="155"/>
        <v>20.762759856418903</v>
      </c>
      <c r="CK147" s="14"/>
      <c r="CL147" s="17">
        <f t="shared" si="156"/>
        <v>7.7900000000000027</v>
      </c>
      <c r="CM147" s="17">
        <f t="shared" si="157"/>
        <v>12.170000000000002</v>
      </c>
      <c r="CN147" s="17">
        <f t="shared" si="158"/>
        <v>15.98</v>
      </c>
      <c r="CO147" s="38">
        <f t="shared" si="173"/>
        <v>20.36</v>
      </c>
      <c r="CP147" s="17">
        <f t="shared" si="159"/>
        <v>24.169999999999998</v>
      </c>
      <c r="CQ147" s="17">
        <f t="shared" si="160"/>
        <v>28.549999999999997</v>
      </c>
      <c r="CR147" s="17">
        <f t="shared" si="161"/>
        <v>32.36</v>
      </c>
      <c r="CS147" s="2" cm="1">
        <f t="array" aca="1" ref="CS147" ca="1">MAX(_xlfn._xlws.FILTER(CL147:CR147,CL147:CR147&lt;BN147))</f>
        <v>20.36</v>
      </c>
      <c r="CT147" s="2" cm="1">
        <f t="array" aca="1" ref="CT147" ca="1">MIN(_xlfn._xlws.FILTER($CL147:$CR147,$CL147:$CR147&gt;BN147))</f>
        <v>24.169999999999998</v>
      </c>
      <c r="CU147" s="16">
        <f t="shared" ref="CU147:CU178" ca="1" si="175">(CT147/CS147)-1</f>
        <v>0.18713163064832994</v>
      </c>
      <c r="CV147" s="20">
        <f t="shared" ref="CV147:CV178" ca="1" si="176">-$CU147/2</f>
        <v>-9.3565815324164969E-2</v>
      </c>
      <c r="CW147" s="20">
        <f t="shared" ref="CW147:CW178" ca="1" si="177">-$CU147/3</f>
        <v>-6.237721021610998E-2</v>
      </c>
      <c r="CX147" s="20">
        <f t="shared" ref="CX147:CX178" ca="1" si="178">-$CU147/5</f>
        <v>-3.7426326129665989E-2</v>
      </c>
      <c r="CY147" s="20">
        <f t="shared" ref="CY147:CY178" ca="1" si="179">-$CU147/9</f>
        <v>-2.0792403405369992E-2</v>
      </c>
      <c r="CZ147" s="20">
        <f t="shared" ref="CZ147:CZ178" ca="1" si="180">-$CU147/17</f>
        <v>-1.1007742979313525E-2</v>
      </c>
      <c r="DA147" s="20">
        <f t="shared" ref="DA147:DA178" ca="1" si="181">-$CU147/33</f>
        <v>-5.6706554741918162E-3</v>
      </c>
      <c r="DB147" s="20">
        <f t="shared" ref="DB147:DB178" ca="1" si="182">-$CU147/65</f>
        <v>-2.8789481638204608E-3</v>
      </c>
      <c r="DC147" s="21">
        <f t="shared" ref="DC147:DC178" ca="1" si="183">-$CU147/65*-1</f>
        <v>2.8789481638204608E-3</v>
      </c>
      <c r="DD147" s="21">
        <f t="shared" ref="DD147:DD178" ca="1" si="184">-$CU147/33*-1</f>
        <v>5.6706554741918162E-3</v>
      </c>
      <c r="DE147" s="21">
        <f t="shared" ref="DE147:DE178" ca="1" si="185">-$CU147/17*-1</f>
        <v>1.1007742979313525E-2</v>
      </c>
      <c r="DF147" s="21">
        <f t="shared" ref="DF147:DF178" ca="1" si="186">-$CU147/9*-1</f>
        <v>2.0792403405369992E-2</v>
      </c>
      <c r="DG147" s="21">
        <f t="shared" ref="DG147:DG178" ca="1" si="187">-$CU147/5*-1</f>
        <v>3.7426326129665989E-2</v>
      </c>
      <c r="DH147" s="21">
        <f t="shared" ref="DH147:DH178" ca="1" si="188">-$CU147/3*-1</f>
        <v>6.237721021610998E-2</v>
      </c>
      <c r="DI147" s="21">
        <f t="shared" ref="DI147:DI178" ca="1" si="189">-$CU147/2*-1</f>
        <v>9.3565815324164969E-2</v>
      </c>
      <c r="DK147" s="16" cm="1">
        <f t="array" aca="1" ref="DK147" ca="1">MAX(_xlfn._xlws.FILTER(CV147:DI147,CV147:DI147&lt;BT147))</f>
        <v>2.0792403405369992E-2</v>
      </c>
      <c r="DL147" s="16" cm="1">
        <f t="array" aca="1" ref="DL147" ca="1">MIN(_xlfn._xlws.FILTER(CV147:DI147,CV147:DI147&gt;BT147))</f>
        <v>3.7426326129665989E-2</v>
      </c>
      <c r="DM147" s="2" cm="1">
        <f t="array" aca="1" ref="DM147" ca="1">_FV(EB147,"Fechamento anterior",TRUE)</f>
        <v>19.82</v>
      </c>
      <c r="DN147" s="28">
        <f t="shared" ca="1" si="162"/>
        <v>0.81257895865942886</v>
      </c>
      <c r="DO147" s="15">
        <f t="shared" ref="DO147:DO178" ca="1" si="190">DM147+(DM147*DK147)</f>
        <v>20.232105435494432</v>
      </c>
      <c r="DP147" s="15">
        <f t="shared" ref="DP147:DP178" ca="1" si="191">DM147+(DM147*DL147)</f>
        <v>20.561789783889981</v>
      </c>
      <c r="DQ147" s="9"/>
      <c r="DR147" s="9"/>
      <c r="DS147" s="9"/>
      <c r="DT147" s="89">
        <v>1.6633922724295997E-2</v>
      </c>
      <c r="DU147" s="89">
        <f t="shared" ca="1" si="163"/>
        <v>1.6633922724295997E-2</v>
      </c>
      <c r="DV147" s="72">
        <f t="shared" ca="1" si="164"/>
        <v>0.65324125553354329</v>
      </c>
      <c r="DW147" s="37"/>
      <c r="DX147" s="35">
        <f t="shared" si="174"/>
        <v>0.37887992820945332</v>
      </c>
      <c r="DY147" s="56"/>
      <c r="DZ147" s="56"/>
      <c r="EB147" s="2" t="e" vm="147">
        <v>#VALUE!</v>
      </c>
      <c r="ED147" s="10" cm="1">
        <f t="array" aca="1" ref="ED147" ca="1">_FV(EB147,"Ações em circulação",TRUE)</f>
        <v>87859150</v>
      </c>
      <c r="EE147" s="18">
        <f>VLOOKUP(BO147,Fundamentus!A:U,5,FALSE)</f>
        <v>7.8550000000000004</v>
      </c>
      <c r="EF147" s="2">
        <f t="shared" ca="1" si="165"/>
        <v>229295044.55760661</v>
      </c>
      <c r="EG147" s="17">
        <v>389136620.11871421</v>
      </c>
      <c r="EH147" s="17">
        <f t="shared" ca="1" si="166"/>
        <v>389136620.11871421</v>
      </c>
      <c r="EJ147" s="16">
        <f t="shared" ca="1" si="153"/>
        <v>0</v>
      </c>
      <c r="EK147" s="32" t="str">
        <f>IF(VLOOKUP(BO147,Fundamentus!A:U,3,FALSE)&lt;15,"Bom",IF(VLOOKUP(BO147,Fundamentus!A:U,3,FALSE)&gt;15,"Ruim","n/a"))</f>
        <v>Bom</v>
      </c>
      <c r="EL147" s="28" t="str">
        <f>IF(VLOOKUP(BO147,Fundamentus!A:U,4,FALSE)&lt;1,"Baixo",IF(VLOOKUP(BO147,Fundamentus!A:U,4,FALSE)&lt;1.5,"Moderado",IF(VLOOKUP(BO147,Fundamentus!A:U,4,FALSE)&gt;1.5,"Alto","n/a")))</f>
        <v>Baixo</v>
      </c>
      <c r="EM147" s="17" t="str">
        <f>IF(VLOOKUP(BO147,Fundamentus!A:U,8,FALSE)&lt;0,"Risco elevado",IF(VLOOKUP(BO147,Fundamentus!A:U,8,FALSE)&lt;1,"Saudável",IF(VLOOKUP(BO147,Fundamentus!A:U,8,FALSE)&lt;3,"Estável",IF(VLOOKUP(BO147,Fundamentus!A:U,8,FALSE)&gt;3,"Alerta","n/a"))))</f>
        <v>Alerta</v>
      </c>
      <c r="EN147" s="28" t="str">
        <f t="shared" si="167"/>
        <v>Bom</v>
      </c>
      <c r="EO147" s="17" t="str">
        <f>IF(VLOOKUP(BO147,Fundamentus!A:U,12,FALSE)&lt;2,"Subvalorizada",IF(VLOOKUP(BO147,Fundamentus!A:U,12,FALSE)&lt;6,"Muita barata",IF(VLOOKUP(BO147,Fundamentus!A:U,12,FALSE)&lt;6,"Barata",IF(VLOOKUP(BO147,Fundamentus!A:U,12,FALSE)&lt;8,"Atrativa",IF(VLOOKUP(BO147,Fundamentus!A:U,12,FALSE)&gt;8,"Supervalorizada","n/a")))))</f>
        <v>Supervalorizada</v>
      </c>
      <c r="EQ147" s="17" t="str">
        <f>IF(VLOOKUP(BO147,Fundamentus!A:U,17,FALSE)&lt;0.1,"Fraco retorno",IF(VLOOKUP(BO147,Fundamentus!A:U,17,FALSE)&gt;0.1,"Bom retorno","n/a"))</f>
        <v>Bom retorno</v>
      </c>
      <c r="ER147" s="17" t="str">
        <f>IF(VLOOKUP(BO147,Fundamentus!A:U,16,FALSE)&lt;0.1,"Ineficiente",IF(VLOOKUP(BO147,Fundamentus!A:U,16,FALSE)&gt;0.1,"Eficiente","n/a"))</f>
        <v>Ineficiente</v>
      </c>
      <c r="ES147" s="33" t="str">
        <f>IF(VLOOKUP(BO147,Fundamentus!A:U,16,FALSE)&lt;0.1,"Oper. Ineficiente",IF(VLOOKUP(BO147,Fundamentus!A:U,16,FALSE)&gt;0.1,"Oper.Eficiente","n/a"))</f>
        <v>Oper. Ineficiente</v>
      </c>
      <c r="ET147" s="34">
        <f>VLOOKUP(BO147,Fundamentus!A:U,14,FALSE)</f>
        <v>1.6971000000000001</v>
      </c>
      <c r="EU147" s="17" t="str">
        <f>IF(VLOOKUP(BO147,Fundamentus!A:U,21,FALSE)&lt;0,"Negativo",IF(VLOOKUP(BO147,Fundamentus!A:U,21,FALSE)&lt;0.05,"Fraco",IF(VLOOKUP(BO147,Fundamentus!A:U,21,FALSE)&lt;0.1,"Bom",IF(VLOOKUP(BO147,Fundamentus!A:U,21,FALSE)&gt;0.1,"Muito bom","n/a"))))</f>
        <v>Muito bom</v>
      </c>
      <c r="EW147" s="29" t="str">
        <f>IF(VLOOKUP(BO147,Fundamentus!A:U,15,FALSE)&gt;1,"Bom",IF(VLOOKUP(BO147,Fundamentus!A:U,15,FALSE)&lt;1,"Ruim","n/a"))</f>
        <v>Bom</v>
      </c>
      <c r="EX147" s="17" t="str">
        <f>IF(VLOOKUP(BO147,Fundamentus!A:U,20,FALSE)&lt;0.5,"Baixa",IF(VLOOKUP(BO147,Fundamentus!A:U,20,FALSE)&lt;1,"Moderada",IF(VLOOKUP(BO147,Fundamentus!A:U,20,FALSE)&lt;2,"Alerta",IF(VLOOKUP(BO147,Fundamentus!A:U,20,FALSE)&gt;2,"Alta","n/a"))))</f>
        <v>Moderada</v>
      </c>
      <c r="EY147" s="10"/>
    </row>
    <row r="148" spans="1:155" s="2" customFormat="1" ht="11.25"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5">
        <v>2.0699999999999998</v>
      </c>
      <c r="BC148" s="52">
        <v>2.2400000000000002</v>
      </c>
      <c r="BD148" s="52">
        <v>2.19</v>
      </c>
      <c r="BE148" s="52">
        <v>2.13</v>
      </c>
      <c r="BF148" s="52">
        <v>2.1</v>
      </c>
      <c r="BG148" s="67">
        <v>1.91</v>
      </c>
      <c r="BH148" s="52">
        <v>1.77</v>
      </c>
      <c r="BI148" s="52">
        <v>1.83</v>
      </c>
      <c r="BJ148" s="52">
        <v>1.85</v>
      </c>
      <c r="BK148" s="52">
        <v>1.77</v>
      </c>
      <c r="BL148" s="52">
        <v>1.67</v>
      </c>
      <c r="BM148" s="52">
        <v>1.66</v>
      </c>
      <c r="BN148" s="52" cm="1">
        <f t="array" aca="1" ref="BN148" ca="1">_FV(EB148,"Preço")</f>
        <v>1.66</v>
      </c>
      <c r="BO148" s="69" t="s">
        <v>144</v>
      </c>
      <c r="BP148" s="36" cm="1">
        <f t="array" aca="1" ref="BP148" ca="1">_FV(EB148,"Média de volume",TRUE)</f>
        <v>1396160</v>
      </c>
      <c r="BQ148" s="36">
        <v>1072900</v>
      </c>
      <c r="BR148" s="36" cm="1">
        <f t="array" aca="1" ref="BR148" ca="1">_FV(EB148,"Volume")</f>
        <v>1072900</v>
      </c>
      <c r="BS148" s="24" cm="1">
        <f t="array" aca="1" ref="BS148" ca="1">_FV(EB148,"Beta")</f>
        <v>1.4211</v>
      </c>
      <c r="BT148" s="71" cm="1">
        <f t="array" aca="1" ref="BT148" ca="1">_FV(EB148,"Variação (%)",TRUE)</f>
        <v>-2.3529000000000001E-2</v>
      </c>
      <c r="BV148" s="17" cm="1">
        <f t="array" aca="1" ref="BV148" ca="1">_FV(EB148,"Baixo")</f>
        <v>1.66</v>
      </c>
      <c r="BW148" s="17" cm="1">
        <f t="array" aca="1" ref="BW148" ca="1">_FV(EB148,"Alto")</f>
        <v>1.7</v>
      </c>
      <c r="BX148" s="24"/>
      <c r="BY148" s="63">
        <f ca="1">SQRT(22.5*(BN148/VLOOKUP(BO148,Fundamentus!A:U,3,FALSE))*(BN148/VLOOKUP(BO148,Fundamentus!A:U,4,FALSE)))</f>
        <v>1.1536348658837527</v>
      </c>
      <c r="CA148" s="62">
        <f t="shared" ca="1" si="168"/>
        <v>0</v>
      </c>
      <c r="CB148" s="8"/>
      <c r="CC148" s="61">
        <f t="shared" si="169"/>
        <v>1.39</v>
      </c>
      <c r="CD148" s="61">
        <f t="shared" si="170"/>
        <v>2.31</v>
      </c>
      <c r="CE148" s="61">
        <f t="shared" si="171"/>
        <v>1.8865384615384611</v>
      </c>
      <c r="CF148" s="14"/>
      <c r="CG148" s="35">
        <f t="shared" si="154"/>
        <v>1.4141956354911642</v>
      </c>
      <c r="CH148" s="15">
        <f t="shared" si="172"/>
        <v>1.5699999999999932</v>
      </c>
      <c r="CI148" s="35">
        <f t="shared" si="155"/>
        <v>1.7258043645088221</v>
      </c>
      <c r="CK148" s="14"/>
      <c r="CL148" s="17">
        <f t="shared" si="156"/>
        <v>0.34999999999999987</v>
      </c>
      <c r="CM148" s="17">
        <f t="shared" si="157"/>
        <v>0.86999999999999988</v>
      </c>
      <c r="CN148" s="17">
        <f t="shared" si="158"/>
        <v>1.27</v>
      </c>
      <c r="CO148" s="38">
        <f t="shared" si="173"/>
        <v>1.79</v>
      </c>
      <c r="CP148" s="17">
        <f t="shared" si="159"/>
        <v>2.1900000000000004</v>
      </c>
      <c r="CQ148" s="17">
        <f t="shared" si="160"/>
        <v>2.71</v>
      </c>
      <c r="CR148" s="17">
        <f t="shared" si="161"/>
        <v>3.1100000000000003</v>
      </c>
      <c r="CS148" s="2" cm="1">
        <f t="array" aca="1" ref="CS148" ca="1">MAX(_xlfn._xlws.FILTER(CL148:CR148,CL148:CR148&lt;BN148))</f>
        <v>1.27</v>
      </c>
      <c r="CT148" s="2" cm="1">
        <f t="array" aca="1" ref="CT148" ca="1">MIN(_xlfn._xlws.FILTER($CL148:$CR148,$CL148:$CR148&gt;BN148))</f>
        <v>1.79</v>
      </c>
      <c r="CU148" s="16">
        <f t="shared" ca="1" si="175"/>
        <v>0.40944881889763773</v>
      </c>
      <c r="CV148" s="20">
        <f t="shared" ca="1" si="176"/>
        <v>-0.20472440944881887</v>
      </c>
      <c r="CW148" s="20">
        <f t="shared" ca="1" si="177"/>
        <v>-0.1364829396325459</v>
      </c>
      <c r="CX148" s="20">
        <f t="shared" ca="1" si="178"/>
        <v>-8.1889763779527544E-2</v>
      </c>
      <c r="CY148" s="20">
        <f t="shared" ca="1" si="179"/>
        <v>-4.5494313210848639E-2</v>
      </c>
      <c r="CZ148" s="20">
        <f t="shared" ca="1" si="180"/>
        <v>-2.4085224641037514E-2</v>
      </c>
      <c r="DA148" s="20">
        <f t="shared" ca="1" si="181"/>
        <v>-1.2407539966595082E-2</v>
      </c>
      <c r="DB148" s="20">
        <f t="shared" ca="1" si="182"/>
        <v>-6.2992125984251959E-3</v>
      </c>
      <c r="DC148" s="21">
        <f t="shared" ca="1" si="183"/>
        <v>6.2992125984251959E-3</v>
      </c>
      <c r="DD148" s="21">
        <f t="shared" ca="1" si="184"/>
        <v>1.2407539966595082E-2</v>
      </c>
      <c r="DE148" s="21">
        <f t="shared" ca="1" si="185"/>
        <v>2.4085224641037514E-2</v>
      </c>
      <c r="DF148" s="21">
        <f t="shared" ca="1" si="186"/>
        <v>4.5494313210848639E-2</v>
      </c>
      <c r="DG148" s="21">
        <f t="shared" ca="1" si="187"/>
        <v>8.1889763779527544E-2</v>
      </c>
      <c r="DH148" s="21">
        <f t="shared" ca="1" si="188"/>
        <v>0.1364829396325459</v>
      </c>
      <c r="DI148" s="21">
        <f t="shared" ca="1" si="189"/>
        <v>0.20472440944881887</v>
      </c>
      <c r="DK148" s="16" cm="1">
        <f t="array" aca="1" ref="DK148" ca="1">MAX(_xlfn._xlws.FILTER(CV148:DI148,CV148:DI148&lt;BT148))</f>
        <v>-2.4085224641037514E-2</v>
      </c>
      <c r="DL148" s="16" cm="1">
        <f t="array" aca="1" ref="DL148" ca="1">MIN(_xlfn._xlws.FILTER(CV148:DI148,CV148:DI148&gt;BT148))</f>
        <v>-1.2407539966595082E-2</v>
      </c>
      <c r="DM148" s="2" cm="1">
        <f t="array" aca="1" ref="DM148" ca="1">_FV(EB148,"Fechamento anterior",TRUE)</f>
        <v>1.7</v>
      </c>
      <c r="DN148" s="28">
        <f t="shared" ca="1" si="162"/>
        <v>4.7596153846150874E-2</v>
      </c>
      <c r="DO148" s="15">
        <f t="shared" ca="1" si="190"/>
        <v>1.6590551181102362</v>
      </c>
      <c r="DP148" s="15">
        <f t="shared" ca="1" si="191"/>
        <v>1.6789071820567882</v>
      </c>
      <c r="DQ148" s="9"/>
      <c r="DR148" s="9"/>
      <c r="DS148" s="9"/>
      <c r="DT148" s="89">
        <v>1.1677684674442431E-2</v>
      </c>
      <c r="DU148" s="89">
        <f t="shared" ca="1" si="163"/>
        <v>1.1677684674442431E-2</v>
      </c>
      <c r="DV148" s="72">
        <f t="shared" ca="1" si="164"/>
        <v>0.57764748942515487</v>
      </c>
      <c r="DW148" s="37"/>
      <c r="DX148" s="35">
        <f t="shared" si="174"/>
        <v>7.790218225441449E-2</v>
      </c>
      <c r="DY148" s="56"/>
      <c r="DZ148" s="56"/>
      <c r="EB148" s="2" t="e" vm="148">
        <v>#VALUE!</v>
      </c>
      <c r="ED148" s="10" cm="1">
        <f t="array" aca="1" ref="ED148" ca="1">_FV(EB148,"Ações em circulação",TRUE)</f>
        <v>284014300</v>
      </c>
      <c r="EE148" s="18">
        <f>VLOOKUP(BO148,Fundamentus!A:U,5,FALSE)</f>
        <v>0.30599999999999999</v>
      </c>
      <c r="EF148" s="2">
        <f t="shared" ca="1" si="165"/>
        <v>1540731169.9346406</v>
      </c>
      <c r="EG148" s="17">
        <v>12325849.359477125</v>
      </c>
      <c r="EH148" s="17">
        <f t="shared" ca="1" si="166"/>
        <v>12325849.359477125</v>
      </c>
      <c r="EJ148" s="16">
        <f t="shared" ca="1" si="153"/>
        <v>0</v>
      </c>
      <c r="EK148" s="32" t="str">
        <f>IF(VLOOKUP(BO148,Fundamentus!A:U,3,FALSE)&lt;15,"Bom",IF(VLOOKUP(BO148,Fundamentus!A:U,3,FALSE)&gt;15,"Ruim","n/a"))</f>
        <v>Ruim</v>
      </c>
      <c r="EL148" s="28" t="str">
        <f>IF(VLOOKUP(BO148,Fundamentus!A:U,4,FALSE)&lt;1,"Baixo",IF(VLOOKUP(BO148,Fundamentus!A:U,4,FALSE)&lt;1.5,"Moderado",IF(VLOOKUP(BO148,Fundamentus!A:U,4,FALSE)&gt;1.5,"Alto","n/a")))</f>
        <v>Baixo</v>
      </c>
      <c r="EM148" s="17" t="str">
        <f>IF(VLOOKUP(BO148,Fundamentus!A:U,8,FALSE)&lt;0,"Risco elevado",IF(VLOOKUP(BO148,Fundamentus!A:U,8,FALSE)&lt;1,"Saudável",IF(VLOOKUP(BO148,Fundamentus!A:U,8,FALSE)&lt;3,"Estável",IF(VLOOKUP(BO148,Fundamentus!A:U,8,FALSE)&gt;3,"Alerta","n/a"))))</f>
        <v>Alerta</v>
      </c>
      <c r="EN148" s="28" t="str">
        <f t="shared" si="167"/>
        <v>Ruim</v>
      </c>
      <c r="EO148" s="17" t="str">
        <f>IF(VLOOKUP(BO148,Fundamentus!A:U,12,FALSE)&lt;2,"Subvalorizada",IF(VLOOKUP(BO148,Fundamentus!A:U,12,FALSE)&lt;6,"Muita barata",IF(VLOOKUP(BO148,Fundamentus!A:U,12,FALSE)&lt;6,"Barata",IF(VLOOKUP(BO148,Fundamentus!A:U,12,FALSE)&lt;8,"Atrativa",IF(VLOOKUP(BO148,Fundamentus!A:U,12,FALSE)&gt;8,"Supervalorizada","n/a")))))</f>
        <v>Subvalorizada</v>
      </c>
      <c r="EQ148" s="17" t="str">
        <f>IF(VLOOKUP(BO148,Fundamentus!A:U,17,FALSE)&lt;0.1,"Fraco retorno",IF(VLOOKUP(BO148,Fundamentus!A:U,17,FALSE)&gt;0.1,"Bom retorno","n/a"))</f>
        <v>Fraco retorno</v>
      </c>
      <c r="ER148" s="17" t="str">
        <f>IF(VLOOKUP(BO148,Fundamentus!A:U,16,FALSE)&lt;0.1,"Ineficiente",IF(VLOOKUP(BO148,Fundamentus!A:U,16,FALSE)&gt;0.1,"Eficiente","n/a"))</f>
        <v>Eficiente</v>
      </c>
      <c r="ES148" s="33" t="str">
        <f>IF(VLOOKUP(BO148,Fundamentus!A:U,16,FALSE)&lt;0.1,"Oper. Ineficiente",IF(VLOOKUP(BO148,Fundamentus!A:U,16,FALSE)&gt;0.1,"Oper.Eficiente","n/a"))</f>
        <v>Oper.Eficiente</v>
      </c>
      <c r="ET148" s="34">
        <f>VLOOKUP(BO148,Fundamentus!A:U,14,FALSE)</f>
        <v>8.0000000000000002E-3</v>
      </c>
      <c r="EU148" s="17" t="str">
        <f>IF(VLOOKUP(BO148,Fundamentus!A:U,21,FALSE)&lt;0,"Negativo",IF(VLOOKUP(BO148,Fundamentus!A:U,21,FALSE)&lt;0.05,"Fraco",IF(VLOOKUP(BO148,Fundamentus!A:U,21,FALSE)&lt;0.1,"Bom",IF(VLOOKUP(BO148,Fundamentus!A:U,21,FALSE)&gt;0.1,"Muito bom","n/a"))))</f>
        <v>Negativo</v>
      </c>
      <c r="EW148" s="29" t="str">
        <f>IF(VLOOKUP(BO148,Fundamentus!A:U,15,FALSE)&gt;1,"Bom",IF(VLOOKUP(BO148,Fundamentus!A:U,15,FALSE)&lt;1,"Ruim","n/a"))</f>
        <v>Bom</v>
      </c>
      <c r="EX148" s="17" t="str">
        <f>IF(VLOOKUP(BO148,Fundamentus!A:U,20,FALSE)&lt;0.5,"Baixa",IF(VLOOKUP(BO148,Fundamentus!A:U,20,FALSE)&lt;1,"Moderada",IF(VLOOKUP(BO148,Fundamentus!A:U,20,FALSE)&lt;2,"Alerta",IF(VLOOKUP(BO148,Fundamentus!A:U,20,FALSE)&gt;2,"Alta","n/a"))))</f>
        <v>Alerta</v>
      </c>
      <c r="EY148" s="10"/>
    </row>
    <row r="149" spans="1:155" s="2" customFormat="1" ht="11.25"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5">
        <v>9.1999999999999993</v>
      </c>
      <c r="BC149" s="52">
        <v>9</v>
      </c>
      <c r="BD149" s="52">
        <v>8.74</v>
      </c>
      <c r="BE149" s="52">
        <v>8.6999999999999993</v>
      </c>
      <c r="BF149" s="52">
        <v>8.4</v>
      </c>
      <c r="BG149" s="67">
        <v>8.18</v>
      </c>
      <c r="BH149" s="52">
        <v>8.9600000000000009</v>
      </c>
      <c r="BI149" s="52">
        <v>9.52</v>
      </c>
      <c r="BJ149" s="52">
        <v>9.5399999999999991</v>
      </c>
      <c r="BK149" s="52">
        <v>9.34</v>
      </c>
      <c r="BL149" s="52">
        <v>9.09</v>
      </c>
      <c r="BM149" s="52">
        <v>9.2799999999999994</v>
      </c>
      <c r="BN149" s="52" cm="1">
        <f t="array" aca="1" ref="BN149" ca="1">_FV(EB149,"Preço")</f>
        <v>9.2799999999999994</v>
      </c>
      <c r="BO149" s="69" t="s">
        <v>145</v>
      </c>
      <c r="BP149" s="36" cm="1">
        <f t="array" aca="1" ref="BP149" ca="1">_FV(EB149,"Média de volume",TRUE)</f>
        <v>290940</v>
      </c>
      <c r="BQ149" s="36">
        <v>167800</v>
      </c>
      <c r="BR149" s="36" cm="1">
        <f t="array" aca="1" ref="BR149" ca="1">_FV(EB149,"Volume")</f>
        <v>167800</v>
      </c>
      <c r="BS149" s="24" cm="1">
        <f t="array" aca="1" ref="BS149" ca="1">_FV(EB149,"Beta")</f>
        <v>1.1771</v>
      </c>
      <c r="BT149" s="71" cm="1">
        <f t="array" aca="1" ref="BT149" ca="1">_FV(EB149,"Variação (%)",TRUE)</f>
        <v>2.16E-3</v>
      </c>
      <c r="BV149" s="17" cm="1">
        <f t="array" aca="1" ref="BV149" ca="1">_FV(EB149,"Baixo")</f>
        <v>9.16</v>
      </c>
      <c r="BW149" s="17" cm="1">
        <f t="array" aca="1" ref="BW149" ca="1">_FV(EB149,"Alto")</f>
        <v>9.33</v>
      </c>
      <c r="BX149" s="24"/>
      <c r="BY149" s="63">
        <f ca="1">SQRT(22.5*(BN149/VLOOKUP(BO149,Fundamentus!A:U,3,FALSE))*(BN149/VLOOKUP(BO149,Fundamentus!A:U,4,FALSE)))</f>
        <v>10.991544308645015</v>
      </c>
      <c r="CA149" s="62">
        <f t="shared" ca="1" si="168"/>
        <v>0</v>
      </c>
      <c r="CB149" s="8"/>
      <c r="CC149" s="61">
        <f t="shared" si="169"/>
        <v>8.08</v>
      </c>
      <c r="CD149" s="61">
        <f t="shared" si="170"/>
        <v>11.51</v>
      </c>
      <c r="CE149" s="61">
        <f t="shared" si="171"/>
        <v>9.4450769230769218</v>
      </c>
      <c r="CF149" s="14"/>
      <c r="CG149" s="35">
        <f t="shared" si="154"/>
        <v>8.7339470448663779</v>
      </c>
      <c r="CH149" s="15">
        <f t="shared" si="172"/>
        <v>9.05499999999995</v>
      </c>
      <c r="CI149" s="35">
        <f t="shared" si="155"/>
        <v>9.3760529551335221</v>
      </c>
      <c r="CK149" s="14"/>
      <c r="CL149" s="17">
        <f t="shared" si="156"/>
        <v>4.1800000000000015</v>
      </c>
      <c r="CM149" s="17">
        <f t="shared" si="157"/>
        <v>6.1300000000000008</v>
      </c>
      <c r="CN149" s="17">
        <f t="shared" si="158"/>
        <v>7.6100000000000012</v>
      </c>
      <c r="CO149" s="38">
        <f t="shared" si="173"/>
        <v>9.56</v>
      </c>
      <c r="CP149" s="17">
        <f t="shared" si="159"/>
        <v>11.040000000000001</v>
      </c>
      <c r="CQ149" s="17">
        <f t="shared" si="160"/>
        <v>12.99</v>
      </c>
      <c r="CR149" s="17">
        <f t="shared" si="161"/>
        <v>14.47</v>
      </c>
      <c r="CS149" s="2" cm="1">
        <f t="array" aca="1" ref="CS149" ca="1">MAX(_xlfn._xlws.FILTER(CL149:CR149,CL149:CR149&lt;BN149))</f>
        <v>7.6100000000000012</v>
      </c>
      <c r="CT149" s="2" cm="1">
        <f t="array" aca="1" ref="CT149" ca="1">MIN(_xlfn._xlws.FILTER($CL149:$CR149,$CL149:$CR149&gt;BN149))</f>
        <v>9.56</v>
      </c>
      <c r="CU149" s="16">
        <f t="shared" ca="1" si="175"/>
        <v>0.25624178712220758</v>
      </c>
      <c r="CV149" s="20">
        <f t="shared" ca="1" si="176"/>
        <v>-0.12812089356110379</v>
      </c>
      <c r="CW149" s="20">
        <f t="shared" ca="1" si="177"/>
        <v>-8.5413929040735859E-2</v>
      </c>
      <c r="CX149" s="20">
        <f t="shared" ca="1" si="178"/>
        <v>-5.1248357424441518E-2</v>
      </c>
      <c r="CY149" s="20">
        <f t="shared" ca="1" si="179"/>
        <v>-2.8471309680245287E-2</v>
      </c>
      <c r="CZ149" s="20">
        <f t="shared" ca="1" si="180"/>
        <v>-1.5073046301306329E-2</v>
      </c>
      <c r="DA149" s="20">
        <f t="shared" ca="1" si="181"/>
        <v>-7.7649026400668959E-3</v>
      </c>
      <c r="DB149" s="20">
        <f t="shared" ca="1" si="182"/>
        <v>-3.9421813403416554E-3</v>
      </c>
      <c r="DC149" s="21">
        <f t="shared" ca="1" si="183"/>
        <v>3.9421813403416554E-3</v>
      </c>
      <c r="DD149" s="21">
        <f t="shared" ca="1" si="184"/>
        <v>7.7649026400668959E-3</v>
      </c>
      <c r="DE149" s="21">
        <f t="shared" ca="1" si="185"/>
        <v>1.5073046301306329E-2</v>
      </c>
      <c r="DF149" s="21">
        <f t="shared" ca="1" si="186"/>
        <v>2.8471309680245287E-2</v>
      </c>
      <c r="DG149" s="21">
        <f t="shared" ca="1" si="187"/>
        <v>5.1248357424441518E-2</v>
      </c>
      <c r="DH149" s="21">
        <f t="shared" ca="1" si="188"/>
        <v>8.5413929040735859E-2</v>
      </c>
      <c r="DI149" s="21">
        <f t="shared" ca="1" si="189"/>
        <v>0.12812089356110379</v>
      </c>
      <c r="DK149" s="16" cm="1">
        <f t="array" aca="1" ref="DK149" ca="1">MAX(_xlfn._xlws.FILTER(CV149:DI149,CV149:DI149&lt;BT149))</f>
        <v>-3.9421813403416554E-3</v>
      </c>
      <c r="DL149" s="16" cm="1">
        <f t="array" aca="1" ref="DL149" ca="1">MIN(_xlfn._xlws.FILTER(CV149:DI149,CV149:DI149&gt;BT149))</f>
        <v>3.9421813403416554E-3</v>
      </c>
      <c r="DM149" s="2" cm="1">
        <f t="array" aca="1" ref="DM149" ca="1">_FV(EB149,"Fechamento anterior",TRUE)</f>
        <v>9.26</v>
      </c>
      <c r="DN149" s="28">
        <f t="shared" ca="1" si="162"/>
        <v>0.77393808495320415</v>
      </c>
      <c r="DO149" s="15">
        <f t="shared" ca="1" si="190"/>
        <v>9.2234954007884369</v>
      </c>
      <c r="DP149" s="15">
        <f t="shared" ca="1" si="191"/>
        <v>9.2965045992115627</v>
      </c>
      <c r="DQ149" s="9"/>
      <c r="DR149" s="9"/>
      <c r="DS149" s="9"/>
      <c r="DT149" s="89">
        <v>7.8843626806833107E-3</v>
      </c>
      <c r="DU149" s="89">
        <f t="shared" ca="1" si="163"/>
        <v>7.8843626806833107E-3</v>
      </c>
      <c r="DV149" s="72">
        <f t="shared" ca="1" si="164"/>
        <v>0.70081896585078773</v>
      </c>
      <c r="DW149" s="37"/>
      <c r="DX149" s="35">
        <f t="shared" si="174"/>
        <v>0.16052647756678623</v>
      </c>
      <c r="DY149" s="56"/>
      <c r="DZ149" s="56"/>
      <c r="EB149" s="2" t="e" vm="149">
        <v>#VALUE!</v>
      </c>
      <c r="ED149" s="10" cm="1">
        <f t="array" aca="1" ref="ED149" ca="1">_FV(EB149,"Ações em circulação",TRUE)</f>
        <v>150377500</v>
      </c>
      <c r="EE149" s="18">
        <f>VLOOKUP(BO149,Fundamentus!A:U,5,FALSE)</f>
        <v>0.28100000000000003</v>
      </c>
      <c r="EF149" s="2">
        <f t="shared" ca="1" si="165"/>
        <v>4966203558.7188606</v>
      </c>
      <c r="EG149" s="17">
        <v>97337589.750889659</v>
      </c>
      <c r="EH149" s="17">
        <f t="shared" ca="1" si="166"/>
        <v>97337589.750889659</v>
      </c>
      <c r="EJ149" s="16">
        <f t="shared" ca="1" si="153"/>
        <v>0</v>
      </c>
      <c r="EK149" s="32" t="str">
        <f>IF(VLOOKUP(BO149,Fundamentus!A:U,3,FALSE)&lt;15,"Bom",IF(VLOOKUP(BO149,Fundamentus!A:U,3,FALSE)&gt;15,"Ruim","n/a"))</f>
        <v>Bom</v>
      </c>
      <c r="EL149" s="28" t="str">
        <f>IF(VLOOKUP(BO149,Fundamentus!A:U,4,FALSE)&lt;1,"Baixo",IF(VLOOKUP(BO149,Fundamentus!A:U,4,FALSE)&lt;1.5,"Moderado",IF(VLOOKUP(BO149,Fundamentus!A:U,4,FALSE)&gt;1.5,"Alto","n/a")))</f>
        <v>Moderado</v>
      </c>
      <c r="EM149" s="17" t="str">
        <f>IF(VLOOKUP(BO149,Fundamentus!A:U,8,FALSE)&lt;0,"Risco elevado",IF(VLOOKUP(BO149,Fundamentus!A:U,8,FALSE)&lt;1,"Saudável",IF(VLOOKUP(BO149,Fundamentus!A:U,8,FALSE)&lt;3,"Estável",IF(VLOOKUP(BO149,Fundamentus!A:U,8,FALSE)&gt;3,"Alerta","n/a"))))</f>
        <v>Estável</v>
      </c>
      <c r="EN149" s="28" t="str">
        <f t="shared" si="167"/>
        <v>Ruim</v>
      </c>
      <c r="EO149" s="17" t="str">
        <f>IF(VLOOKUP(BO149,Fundamentus!A:U,12,FALSE)&lt;2,"Subvalorizada",IF(VLOOKUP(BO149,Fundamentus!A:U,12,FALSE)&lt;6,"Muita barata",IF(VLOOKUP(BO149,Fundamentus!A:U,12,FALSE)&lt;6,"Barata",IF(VLOOKUP(BO149,Fundamentus!A:U,12,FALSE)&lt;8,"Atrativa",IF(VLOOKUP(BO149,Fundamentus!A:U,12,FALSE)&gt;8,"Supervalorizada","n/a")))))</f>
        <v>Atrativa</v>
      </c>
      <c r="EQ149" s="17" t="str">
        <f>IF(VLOOKUP(BO149,Fundamentus!A:U,17,FALSE)&lt;0.1,"Fraco retorno",IF(VLOOKUP(BO149,Fundamentus!A:U,17,FALSE)&gt;0.1,"Bom retorno","n/a"))</f>
        <v>Fraco retorno</v>
      </c>
      <c r="ER149" s="17" t="str">
        <f>IF(VLOOKUP(BO149,Fundamentus!A:U,16,FALSE)&lt;0.1,"Ineficiente",IF(VLOOKUP(BO149,Fundamentus!A:U,16,FALSE)&gt;0.1,"Eficiente","n/a"))</f>
        <v>Ineficiente</v>
      </c>
      <c r="ES149" s="33" t="str">
        <f>IF(VLOOKUP(BO149,Fundamentus!A:U,16,FALSE)&lt;0.1,"Oper. Ineficiente",IF(VLOOKUP(BO149,Fundamentus!A:U,16,FALSE)&gt;0.1,"Oper.Eficiente","n/a"))</f>
        <v>Oper. Ineficiente</v>
      </c>
      <c r="ET149" s="34">
        <f>VLOOKUP(BO149,Fundamentus!A:U,14,FALSE)</f>
        <v>1.9599999999999999E-2</v>
      </c>
      <c r="EU149" s="17" t="str">
        <f>IF(VLOOKUP(BO149,Fundamentus!A:U,21,FALSE)&lt;0,"Negativo",IF(VLOOKUP(BO149,Fundamentus!A:U,21,FALSE)&lt;0.05,"Fraco",IF(VLOOKUP(BO149,Fundamentus!A:U,21,FALSE)&lt;0.1,"Bom",IF(VLOOKUP(BO149,Fundamentus!A:U,21,FALSE)&gt;0.1,"Muito bom","n/a"))))</f>
        <v>Muito bom</v>
      </c>
      <c r="EW149" s="29" t="str">
        <f>IF(VLOOKUP(BO149,Fundamentus!A:U,15,FALSE)&gt;1,"Bom",IF(VLOOKUP(BO149,Fundamentus!A:U,15,FALSE)&lt;1,"Ruim","n/a"))</f>
        <v>Bom</v>
      </c>
      <c r="EX149" s="17" t="str">
        <f>IF(VLOOKUP(BO149,Fundamentus!A:U,20,FALSE)&lt;0.5,"Baixa",IF(VLOOKUP(BO149,Fundamentus!A:U,20,FALSE)&lt;1,"Moderada",IF(VLOOKUP(BO149,Fundamentus!A:U,20,FALSE)&lt;2,"Alerta",IF(VLOOKUP(BO149,Fundamentus!A:U,20,FALSE)&gt;2,"Alta","n/a"))))</f>
        <v>Moderada</v>
      </c>
      <c r="EY149" s="10"/>
    </row>
    <row r="150" spans="1:155" s="2" customFormat="1" ht="11.25"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5">
        <v>9.9600000000000009</v>
      </c>
      <c r="BC150" s="52">
        <v>10.59</v>
      </c>
      <c r="BD150" s="52">
        <v>10.61</v>
      </c>
      <c r="BE150" s="52">
        <v>10.74</v>
      </c>
      <c r="BF150" s="52">
        <v>10.74</v>
      </c>
      <c r="BG150" s="67">
        <v>10.77</v>
      </c>
      <c r="BH150" s="52">
        <v>10.8</v>
      </c>
      <c r="BI150" s="52">
        <v>11</v>
      </c>
      <c r="BJ150" s="52">
        <v>11.34</v>
      </c>
      <c r="BK150" s="52">
        <v>11.03</v>
      </c>
      <c r="BL150" s="52">
        <v>11.22</v>
      </c>
      <c r="BM150" s="52">
        <v>11.44</v>
      </c>
      <c r="BN150" s="52" cm="1">
        <f t="array" aca="1" ref="BN150" ca="1">_FV(EB150,"Preço")</f>
        <v>11.44</v>
      </c>
      <c r="BO150" s="69" t="s">
        <v>146</v>
      </c>
      <c r="BP150" s="36" t="e" cm="1" vm="3">
        <f t="array" ref="BP150">_FV(EB150,"Média de volume",TRUE)</f>
        <v>#VALUE!</v>
      </c>
      <c r="BQ150" s="36">
        <v>1900</v>
      </c>
      <c r="BR150" s="36" cm="1">
        <f t="array" aca="1" ref="BR150" ca="1">_FV(EB150,"Volume")</f>
        <v>1900</v>
      </c>
      <c r="BS150" s="24" t="e" cm="1" vm="137">
        <f t="array" ref="BS150">_FV(EB150,"Beta")</f>
        <v>#VALUE!</v>
      </c>
      <c r="BT150" s="71" cm="1">
        <f t="array" aca="1" ref="BT150" ca="1">_FV(EB150,"Variação (%)",TRUE)</f>
        <v>2.6290000000000003E-3</v>
      </c>
      <c r="BV150" s="17" cm="1">
        <f t="array" aca="1" ref="BV150" ca="1">_FV(EB150,"Baixo")</f>
        <v>11.44</v>
      </c>
      <c r="BW150" s="17" cm="1">
        <f t="array" aca="1" ref="BW150" ca="1">_FV(EB150,"Alto")</f>
        <v>11.44</v>
      </c>
      <c r="BX150" s="24"/>
      <c r="BY150" s="63" t="e">
        <f ca="1">SQRT(22.5*(BN150/VLOOKUP(BO150,Fundamentus!A:U,3,FALSE))*(BN150/VLOOKUP(BO150,Fundamentus!A:U,4,FALSE)))</f>
        <v>#N/A</v>
      </c>
      <c r="CA150" s="62">
        <f t="shared" ca="1" si="168"/>
        <v>0</v>
      </c>
      <c r="CB150" s="8"/>
      <c r="CC150" s="61">
        <f t="shared" si="169"/>
        <v>7</v>
      </c>
      <c r="CD150" s="61">
        <f t="shared" si="170"/>
        <v>11.44</v>
      </c>
      <c r="CE150" s="61">
        <f t="shared" si="171"/>
        <v>9.441769230769232</v>
      </c>
      <c r="CF150" s="14"/>
      <c r="CG150" s="35">
        <f t="shared" si="154"/>
        <v>11.074590438918486</v>
      </c>
      <c r="CH150" s="15">
        <f t="shared" si="172"/>
        <v>11.379999999999995</v>
      </c>
      <c r="CI150" s="35">
        <f t="shared" si="155"/>
        <v>11.685409561081505</v>
      </c>
      <c r="CK150" s="14"/>
      <c r="CL150" s="17">
        <f t="shared" si="156"/>
        <v>3.8933333333333309</v>
      </c>
      <c r="CM150" s="17">
        <f t="shared" si="157"/>
        <v>5.4466666666666654</v>
      </c>
      <c r="CN150" s="17">
        <f t="shared" si="158"/>
        <v>8.3333333333333304</v>
      </c>
      <c r="CO150" s="38">
        <f t="shared" si="173"/>
        <v>9.8866666666666649</v>
      </c>
      <c r="CP150" s="17">
        <f t="shared" si="159"/>
        <v>12.77333333333333</v>
      </c>
      <c r="CQ150" s="17">
        <f t="shared" si="160"/>
        <v>14.326666666666664</v>
      </c>
      <c r="CR150" s="17">
        <f t="shared" si="161"/>
        <v>17.213333333333331</v>
      </c>
      <c r="CS150" s="2" cm="1">
        <f t="array" aca="1" ref="CS150" ca="1">MAX(_xlfn._xlws.FILTER(CL150:CR150,CL150:CR150&lt;BN150))</f>
        <v>9.8866666666666649</v>
      </c>
      <c r="CT150" s="2" cm="1">
        <f t="array" aca="1" ref="CT150" ca="1">MIN(_xlfn._xlws.FILTER($CL150:$CR150,$CL150:$CR150&gt;BN150))</f>
        <v>12.77333333333333</v>
      </c>
      <c r="CU150" s="16">
        <f t="shared" ca="1" si="175"/>
        <v>0.29197572488199586</v>
      </c>
      <c r="CV150" s="20">
        <f t="shared" ca="1" si="176"/>
        <v>-0.14598786244099793</v>
      </c>
      <c r="CW150" s="20">
        <f t="shared" ca="1" si="177"/>
        <v>-9.7325241627331957E-2</v>
      </c>
      <c r="CX150" s="20">
        <f t="shared" ca="1" si="178"/>
        <v>-5.8395144976399173E-2</v>
      </c>
      <c r="CY150" s="20">
        <f t="shared" ca="1" si="179"/>
        <v>-3.2441747209110652E-2</v>
      </c>
      <c r="CZ150" s="20">
        <f t="shared" ca="1" si="180"/>
        <v>-1.7175042640117405E-2</v>
      </c>
      <c r="DA150" s="20">
        <f t="shared" ca="1" si="181"/>
        <v>-8.8477492388483597E-3</v>
      </c>
      <c r="DB150" s="20">
        <f t="shared" ca="1" si="182"/>
        <v>-4.4919342289537825E-3</v>
      </c>
      <c r="DC150" s="21">
        <f t="shared" ca="1" si="183"/>
        <v>4.4919342289537825E-3</v>
      </c>
      <c r="DD150" s="21">
        <f t="shared" ca="1" si="184"/>
        <v>8.8477492388483597E-3</v>
      </c>
      <c r="DE150" s="21">
        <f t="shared" ca="1" si="185"/>
        <v>1.7175042640117405E-2</v>
      </c>
      <c r="DF150" s="21">
        <f t="shared" ca="1" si="186"/>
        <v>3.2441747209110652E-2</v>
      </c>
      <c r="DG150" s="21">
        <f t="shared" ca="1" si="187"/>
        <v>5.8395144976399173E-2</v>
      </c>
      <c r="DH150" s="21">
        <f t="shared" ca="1" si="188"/>
        <v>9.7325241627331957E-2</v>
      </c>
      <c r="DI150" s="21">
        <f t="shared" ca="1" si="189"/>
        <v>0.14598786244099793</v>
      </c>
      <c r="DK150" s="16" cm="1">
        <f t="array" aca="1" ref="DK150" ca="1">MAX(_xlfn._xlws.FILTER(CV150:DI150,CV150:DI150&lt;BT150))</f>
        <v>-4.4919342289537825E-3</v>
      </c>
      <c r="DL150" s="16" cm="1">
        <f t="array" aca="1" ref="DL150" ca="1">MIN(_xlfn._xlws.FILTER(CV150:DI150,CV150:DI150&gt;BT150))</f>
        <v>4.4919342289537825E-3</v>
      </c>
      <c r="DM150" s="2" cm="1">
        <f t="array" aca="1" ref="DM150" ca="1">_FV(EB150,"Fechamento anterior",TRUE)</f>
        <v>11.41</v>
      </c>
      <c r="DN150" s="28">
        <f t="shared" ca="1" si="162"/>
        <v>0.79266596903570952</v>
      </c>
      <c r="DO150" s="15">
        <f t="shared" ca="1" si="190"/>
        <v>11.358747030447638</v>
      </c>
      <c r="DP150" s="15">
        <f t="shared" ca="1" si="191"/>
        <v>11.461252969552362</v>
      </c>
      <c r="DQ150" s="9"/>
      <c r="DR150" s="9"/>
      <c r="DS150" s="9"/>
      <c r="DT150" s="89">
        <v>8.9838684579075651E-3</v>
      </c>
      <c r="DU150" s="89">
        <f t="shared" ca="1" si="163"/>
        <v>8.9838684579075651E-3</v>
      </c>
      <c r="DV150" s="72">
        <f t="shared" ca="1" si="164"/>
        <v>0.19645750377798729</v>
      </c>
      <c r="DW150" s="37"/>
      <c r="DX150" s="35">
        <f t="shared" si="174"/>
        <v>0.15270478054075454</v>
      </c>
      <c r="DY150" s="56"/>
      <c r="DZ150" s="56"/>
      <c r="EB150" s="2" t="e" vm="150">
        <v>#VALUE!</v>
      </c>
      <c r="ED150" s="10" t="e" cm="1" vm="151">
        <f t="array" ref="ED150">_FV(EB150,"Ações em circulação",TRUE)</f>
        <v>#VALUE!</v>
      </c>
      <c r="EE150" s="18" t="e">
        <f>VLOOKUP(BO150,Fundamentus!A:U,5,FALSE)</f>
        <v>#N/A</v>
      </c>
      <c r="EF150" s="2" t="e" vm="152">
        <f t="shared" ca="1" si="165"/>
        <v>#VALUE!</v>
      </c>
      <c r="EG150" s="17" t="e" vm="152">
        <v>#VALUE!</v>
      </c>
      <c r="EH150" s="17" t="e" vm="152">
        <f t="shared" ca="1" si="166"/>
        <v>#VALUE!</v>
      </c>
      <c r="EJ150" s="16" t="e" vm="152">
        <f t="shared" ca="1" si="153"/>
        <v>#VALUE!</v>
      </c>
      <c r="EK150" s="32" t="e">
        <f>IF(VLOOKUP(BO150,Fundamentus!A:U,3,FALSE)&lt;15,"Bom",IF(VLOOKUP(BO150,Fundamentus!A:U,3,FALSE)&gt;15,"Ruim","n/a"))</f>
        <v>#N/A</v>
      </c>
      <c r="EL150" s="28" t="e">
        <f>IF(VLOOKUP(BO150,Fundamentus!A:U,4,FALSE)&lt;1,"Baixo",IF(VLOOKUP(BO150,Fundamentus!A:U,4,FALSE)&lt;1.5,"Moderado",IF(VLOOKUP(BO150,Fundamentus!A:U,4,FALSE)&gt;1.5,"Alto","n/a")))</f>
        <v>#N/A</v>
      </c>
      <c r="EM150" s="17" t="e">
        <f>IF(VLOOKUP(BO150,Fundamentus!A:U,8,FALSE)&lt;0,"Risco elevado",IF(VLOOKUP(BO150,Fundamentus!A:U,8,FALSE)&lt;1,"Saudável",IF(VLOOKUP(BO150,Fundamentus!A:U,8,FALSE)&lt;3,"Estável",IF(VLOOKUP(BO150,Fundamentus!A:U,8,FALSE)&gt;3,"Alerta","n/a"))))</f>
        <v>#N/A</v>
      </c>
      <c r="EN150" s="28" t="e">
        <f t="shared" si="167"/>
        <v>#N/A</v>
      </c>
      <c r="EO150" s="17" t="e">
        <f>IF(VLOOKUP(BO150,Fundamentus!A:U,12,FALSE)&lt;2,"Subvalorizada",IF(VLOOKUP(BO150,Fundamentus!A:U,12,FALSE)&lt;6,"Muita barata",IF(VLOOKUP(BO150,Fundamentus!A:U,12,FALSE)&lt;6,"Barata",IF(VLOOKUP(BO150,Fundamentus!A:U,12,FALSE)&lt;8,"Atrativa",IF(VLOOKUP(BO150,Fundamentus!A:U,12,FALSE)&gt;8,"Supervalorizada","n/a")))))</f>
        <v>#N/A</v>
      </c>
      <c r="EQ150" s="17" t="e">
        <f>IF(VLOOKUP(BO150,Fundamentus!A:U,17,FALSE)&lt;0.1,"Fraco retorno",IF(VLOOKUP(BO150,Fundamentus!A:U,17,FALSE)&gt;0.1,"Bom retorno","n/a"))</f>
        <v>#N/A</v>
      </c>
      <c r="ER150" s="17" t="e">
        <f>IF(VLOOKUP(BO150,Fundamentus!A:U,16,FALSE)&lt;0.1,"Ineficiente",IF(VLOOKUP(BO150,Fundamentus!A:U,16,FALSE)&gt;0.1,"Eficiente","n/a"))</f>
        <v>#N/A</v>
      </c>
      <c r="ES150" s="33" t="e">
        <f>IF(VLOOKUP(BO150,Fundamentus!A:U,16,FALSE)&lt;0.1,"Oper. Ineficiente",IF(VLOOKUP(BO150,Fundamentus!A:U,16,FALSE)&gt;0.1,"Oper.Eficiente","n/a"))</f>
        <v>#N/A</v>
      </c>
      <c r="ET150" s="34" t="e">
        <f>VLOOKUP(BO150,Fundamentus!A:U,14,FALSE)</f>
        <v>#N/A</v>
      </c>
      <c r="EU150" s="17" t="e">
        <f>IF(VLOOKUP(BO150,Fundamentus!A:U,21,FALSE)&lt;0,"Negativo",IF(VLOOKUP(BO150,Fundamentus!A:U,21,FALSE)&lt;0.05,"Fraco",IF(VLOOKUP(BO150,Fundamentus!A:U,21,FALSE)&lt;0.1,"Bom",IF(VLOOKUP(BO150,Fundamentus!A:U,21,FALSE)&gt;0.1,"Muito bom","n/a"))))</f>
        <v>#N/A</v>
      </c>
      <c r="EW150" s="29" t="e">
        <f>IF(VLOOKUP(BO150,Fundamentus!A:U,15,FALSE)&gt;1,"Bom",IF(VLOOKUP(BO150,Fundamentus!A:U,15,FALSE)&lt;1,"Ruim","n/a"))</f>
        <v>#N/A</v>
      </c>
      <c r="EX150" s="17" t="e">
        <f>IF(VLOOKUP(BO150,Fundamentus!A:U,20,FALSE)&lt;0.5,"Baixa",IF(VLOOKUP(BO150,Fundamentus!A:U,20,FALSE)&lt;1,"Moderada",IF(VLOOKUP(BO150,Fundamentus!A:U,20,FALSE)&lt;2,"Alerta",IF(VLOOKUP(BO150,Fundamentus!A:U,20,FALSE)&gt;2,"Alta","n/a"))))</f>
        <v>#N/A</v>
      </c>
      <c r="EY150" s="10"/>
    </row>
    <row r="151" spans="1:155" s="2" customFormat="1" ht="11.25"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5">
        <v>3.94</v>
      </c>
      <c r="BC151" s="52">
        <v>3.91</v>
      </c>
      <c r="BD151" s="52">
        <v>3.83</v>
      </c>
      <c r="BE151" s="52">
        <v>3.67</v>
      </c>
      <c r="BF151" s="52">
        <v>3.64</v>
      </c>
      <c r="BG151" s="67">
        <v>3.64</v>
      </c>
      <c r="BH151" s="52">
        <v>3.5</v>
      </c>
      <c r="BI151" s="52">
        <v>3.58</v>
      </c>
      <c r="BJ151" s="52">
        <v>3.89</v>
      </c>
      <c r="BK151" s="52">
        <v>3.7</v>
      </c>
      <c r="BL151" s="52">
        <v>3.73</v>
      </c>
      <c r="BM151" s="52">
        <v>3.74</v>
      </c>
      <c r="BN151" s="52" cm="1">
        <f t="array" aca="1" ref="BN151" ca="1">_FV(EB151,"Preço")</f>
        <v>3.74</v>
      </c>
      <c r="BO151" s="69" t="s">
        <v>147</v>
      </c>
      <c r="BP151" s="36" cm="1">
        <f t="array" aca="1" ref="BP151" ca="1">_FV(EB151,"Média de volume",TRUE)</f>
        <v>1366220</v>
      </c>
      <c r="BQ151" s="36">
        <v>1147900</v>
      </c>
      <c r="BR151" s="36" cm="1">
        <f t="array" aca="1" ref="BR151" ca="1">_FV(EB151,"Volume")</f>
        <v>1147900</v>
      </c>
      <c r="BS151" s="24" cm="1">
        <f t="array" aca="1" ref="BS151" ca="1">_FV(EB151,"Beta")</f>
        <v>0.35289999999999999</v>
      </c>
      <c r="BT151" s="71" cm="1">
        <f t="array" aca="1" ref="BT151" ca="1">_FV(EB151,"Variação (%)",TRUE)</f>
        <v>1.0810999999999999E-2</v>
      </c>
      <c r="BV151" s="17" cm="1">
        <f t="array" aca="1" ref="BV151" ca="1">_FV(EB151,"Baixo")</f>
        <v>3.69</v>
      </c>
      <c r="BW151" s="17" cm="1">
        <f t="array" aca="1" ref="BW151" ca="1">_FV(EB151,"Alto")</f>
        <v>3.75</v>
      </c>
      <c r="BX151" s="24"/>
      <c r="BY151" s="63">
        <f ca="1">SQRT(22.5*(BN151/VLOOKUP(BO151,Fundamentus!A:U,3,FALSE))*(BN151/VLOOKUP(BO151,Fundamentus!A:U,4,FALSE)))</f>
        <v>3.06283126343854</v>
      </c>
      <c r="CA151" s="62">
        <f t="shared" ca="1" si="168"/>
        <v>0</v>
      </c>
      <c r="CB151" s="8"/>
      <c r="CC151" s="61">
        <f t="shared" si="169"/>
        <v>3.5</v>
      </c>
      <c r="CD151" s="61">
        <f t="shared" si="170"/>
        <v>4.72</v>
      </c>
      <c r="CE151" s="61">
        <f t="shared" si="171"/>
        <v>4.0998461538461548</v>
      </c>
      <c r="CF151" s="14"/>
      <c r="CG151" s="35">
        <f t="shared" si="154"/>
        <v>3.5126908013734059</v>
      </c>
      <c r="CH151" s="15">
        <f t="shared" si="172"/>
        <v>3.6599999999999682</v>
      </c>
      <c r="CI151" s="35">
        <f t="shared" si="155"/>
        <v>3.8073091986265304</v>
      </c>
      <c r="CK151" s="14"/>
      <c r="CL151" s="17">
        <f t="shared" si="156"/>
        <v>2.0266666666666664</v>
      </c>
      <c r="CM151" s="17">
        <f t="shared" si="157"/>
        <v>2.7633333333333332</v>
      </c>
      <c r="CN151" s="17">
        <f t="shared" si="158"/>
        <v>3.2466666666666661</v>
      </c>
      <c r="CO151" s="38">
        <f t="shared" si="173"/>
        <v>3.9833333333333329</v>
      </c>
      <c r="CP151" s="17">
        <f t="shared" si="159"/>
        <v>4.4666666666666659</v>
      </c>
      <c r="CQ151" s="17">
        <f t="shared" si="160"/>
        <v>5.2033333333333331</v>
      </c>
      <c r="CR151" s="17">
        <f t="shared" si="161"/>
        <v>5.6866666666666656</v>
      </c>
      <c r="CS151" s="2" cm="1">
        <f t="array" aca="1" ref="CS151" ca="1">MAX(_xlfn._xlws.FILTER(CL151:CR151,CL151:CR151&lt;BN151))</f>
        <v>3.2466666666666661</v>
      </c>
      <c r="CT151" s="2" cm="1">
        <f t="array" aca="1" ref="CT151" ca="1">MIN(_xlfn._xlws.FILTER($CL151:$CR151,$CL151:$CR151&gt;BN151))</f>
        <v>3.9833333333333329</v>
      </c>
      <c r="CU151" s="16">
        <f t="shared" ca="1" si="175"/>
        <v>0.2268993839835729</v>
      </c>
      <c r="CV151" s="20">
        <f t="shared" ca="1" si="176"/>
        <v>-0.11344969199178645</v>
      </c>
      <c r="CW151" s="20">
        <f t="shared" ca="1" si="177"/>
        <v>-7.5633127994524305E-2</v>
      </c>
      <c r="CX151" s="20">
        <f t="shared" ca="1" si="178"/>
        <v>-4.5379876796714583E-2</v>
      </c>
      <c r="CY151" s="20">
        <f t="shared" ca="1" si="179"/>
        <v>-2.5211042664841435E-2</v>
      </c>
      <c r="CZ151" s="20">
        <f t="shared" ca="1" si="180"/>
        <v>-1.3347022587268994E-2</v>
      </c>
      <c r="DA151" s="20">
        <f t="shared" ca="1" si="181"/>
        <v>-6.8757389085931184E-3</v>
      </c>
      <c r="DB151" s="20">
        <f t="shared" ca="1" si="182"/>
        <v>-3.4907597535934294E-3</v>
      </c>
      <c r="DC151" s="21">
        <f t="shared" ca="1" si="183"/>
        <v>3.4907597535934294E-3</v>
      </c>
      <c r="DD151" s="21">
        <f t="shared" ca="1" si="184"/>
        <v>6.8757389085931184E-3</v>
      </c>
      <c r="DE151" s="21">
        <f t="shared" ca="1" si="185"/>
        <v>1.3347022587268994E-2</v>
      </c>
      <c r="DF151" s="21">
        <f t="shared" ca="1" si="186"/>
        <v>2.5211042664841435E-2</v>
      </c>
      <c r="DG151" s="21">
        <f t="shared" ca="1" si="187"/>
        <v>4.5379876796714583E-2</v>
      </c>
      <c r="DH151" s="21">
        <f t="shared" ca="1" si="188"/>
        <v>7.5633127994524305E-2</v>
      </c>
      <c r="DI151" s="21">
        <f t="shared" ca="1" si="189"/>
        <v>0.11344969199178645</v>
      </c>
      <c r="DK151" s="16" cm="1">
        <f t="array" aca="1" ref="DK151" ca="1">MAX(_xlfn._xlws.FILTER(CV151:DI151,CV151:DI151&lt;BT151))</f>
        <v>6.8757389085931184E-3</v>
      </c>
      <c r="DL151" s="16" cm="1">
        <f t="array" aca="1" ref="DL151" ca="1">MIN(_xlfn._xlws.FILTER(CV151:DI151,CV151:DI151&gt;BT151))</f>
        <v>1.3347022587268994E-2</v>
      </c>
      <c r="DM151" s="2" cm="1">
        <f t="array" aca="1" ref="DM151" ca="1">_FV(EB151,"Fechamento anterior",TRUE)</f>
        <v>3.7</v>
      </c>
      <c r="DN151" s="28">
        <f t="shared" ca="1" si="162"/>
        <v>0.60808212058212174</v>
      </c>
      <c r="DO151" s="15">
        <f t="shared" ca="1" si="190"/>
        <v>3.7254402339617947</v>
      </c>
      <c r="DP151" s="15">
        <f t="shared" ca="1" si="191"/>
        <v>3.7493839835728955</v>
      </c>
      <c r="DQ151" s="9"/>
      <c r="DR151" s="9"/>
      <c r="DS151" s="9"/>
      <c r="DT151" s="89">
        <v>6.4712836786758755E-3</v>
      </c>
      <c r="DU151" s="89">
        <f t="shared" ca="1" si="163"/>
        <v>6.4712836786758755E-3</v>
      </c>
      <c r="DV151" s="72">
        <f t="shared" ca="1" si="164"/>
        <v>0.54307538664192256</v>
      </c>
      <c r="DW151" s="37"/>
      <c r="DX151" s="35">
        <f t="shared" si="174"/>
        <v>7.365459931328118E-2</v>
      </c>
      <c r="DY151" s="56"/>
      <c r="DZ151" s="56"/>
      <c r="EB151" s="2" t="e" vm="153">
        <v>#VALUE!</v>
      </c>
      <c r="ED151" s="10" cm="1">
        <f t="array" aca="1" ref="ED151" ca="1">_FV(EB151,"Ações em circulação",TRUE)</f>
        <v>1235936000</v>
      </c>
      <c r="EE151" s="18">
        <f>VLOOKUP(BO151,Fundamentus!A:U,5,FALSE)</f>
        <v>1.139</v>
      </c>
      <c r="EF151" s="2">
        <f t="shared" ca="1" si="165"/>
        <v>4058297313.4328356</v>
      </c>
      <c r="EG151" s="17">
        <v>411105517.85074627</v>
      </c>
      <c r="EH151" s="17">
        <f t="shared" ca="1" si="166"/>
        <v>411105517.85074627</v>
      </c>
      <c r="EJ151" s="16">
        <f t="shared" ca="1" si="153"/>
        <v>0</v>
      </c>
      <c r="EK151" s="32" t="str">
        <f>IF(VLOOKUP(BO151,Fundamentus!A:U,3,FALSE)&lt;15,"Bom",IF(VLOOKUP(BO151,Fundamentus!A:U,3,FALSE)&gt;15,"Ruim","n/a"))</f>
        <v>Bom</v>
      </c>
      <c r="EL151" s="28" t="str">
        <f>IF(VLOOKUP(BO151,Fundamentus!A:U,4,FALSE)&lt;1,"Baixo",IF(VLOOKUP(BO151,Fundamentus!A:U,4,FALSE)&lt;1.5,"Moderado",IF(VLOOKUP(BO151,Fundamentus!A:U,4,FALSE)&gt;1.5,"Alto","n/a")))</f>
        <v>Alto</v>
      </c>
      <c r="EM151" s="17" t="str">
        <f>IF(VLOOKUP(BO151,Fundamentus!A:U,8,FALSE)&lt;0,"Risco elevado",IF(VLOOKUP(BO151,Fundamentus!A:U,8,FALSE)&lt;1,"Saudável",IF(VLOOKUP(BO151,Fundamentus!A:U,8,FALSE)&lt;3,"Estável",IF(VLOOKUP(BO151,Fundamentus!A:U,8,FALSE)&gt;3,"Alerta","n/a"))))</f>
        <v>Alerta</v>
      </c>
      <c r="EN151" s="28" t="str">
        <f t="shared" si="167"/>
        <v>Bom</v>
      </c>
      <c r="EO151" s="17" t="str">
        <f>IF(VLOOKUP(BO151,Fundamentus!A:U,12,FALSE)&lt;2,"Subvalorizada",IF(VLOOKUP(BO151,Fundamentus!A:U,12,FALSE)&lt;6,"Muita barata",IF(VLOOKUP(BO151,Fundamentus!A:U,12,FALSE)&lt;6,"Barata",IF(VLOOKUP(BO151,Fundamentus!A:U,12,FALSE)&lt;8,"Atrativa",IF(VLOOKUP(BO151,Fundamentus!A:U,12,FALSE)&gt;8,"Supervalorizada","n/a")))))</f>
        <v>Muita barata</v>
      </c>
      <c r="EQ151" s="17" t="str">
        <f>IF(VLOOKUP(BO151,Fundamentus!A:U,17,FALSE)&lt;0.1,"Fraco retorno",IF(VLOOKUP(BO151,Fundamentus!A:U,17,FALSE)&gt;0.1,"Bom retorno","n/a"))</f>
        <v>Bom retorno</v>
      </c>
      <c r="ER151" s="17" t="str">
        <f>IF(VLOOKUP(BO151,Fundamentus!A:U,16,FALSE)&lt;0.1,"Ineficiente",IF(VLOOKUP(BO151,Fundamentus!A:U,16,FALSE)&gt;0.1,"Eficiente","n/a"))</f>
        <v>Ineficiente</v>
      </c>
      <c r="ES151" s="33" t="str">
        <f>IF(VLOOKUP(BO151,Fundamentus!A:U,16,FALSE)&lt;0.1,"Oper. Ineficiente",IF(VLOOKUP(BO151,Fundamentus!A:U,16,FALSE)&gt;0.1,"Oper.Eficiente","n/a"))</f>
        <v>Oper. Ineficiente</v>
      </c>
      <c r="ET151" s="34">
        <f>VLOOKUP(BO151,Fundamentus!A:U,14,FALSE)</f>
        <v>0.1013</v>
      </c>
      <c r="EU151" s="17" t="str">
        <f>IF(VLOOKUP(BO151,Fundamentus!A:U,21,FALSE)&lt;0,"Negativo",IF(VLOOKUP(BO151,Fundamentus!A:U,21,FALSE)&lt;0.05,"Fraco",IF(VLOOKUP(BO151,Fundamentus!A:U,21,FALSE)&lt;0.1,"Bom",IF(VLOOKUP(BO151,Fundamentus!A:U,21,FALSE)&gt;0.1,"Muito bom","n/a"))))</f>
        <v>Bom</v>
      </c>
      <c r="EW151" s="29" t="str">
        <f>IF(VLOOKUP(BO151,Fundamentus!A:U,15,FALSE)&gt;1,"Bom",IF(VLOOKUP(BO151,Fundamentus!A:U,15,FALSE)&lt;1,"Ruim","n/a"))</f>
        <v>Bom</v>
      </c>
      <c r="EX151" s="17" t="str">
        <f>IF(VLOOKUP(BO151,Fundamentus!A:U,20,FALSE)&lt;0.5,"Baixa",IF(VLOOKUP(BO151,Fundamentus!A:U,20,FALSE)&lt;1,"Moderada",IF(VLOOKUP(BO151,Fundamentus!A:U,20,FALSE)&lt;2,"Alerta",IF(VLOOKUP(BO151,Fundamentus!A:U,20,FALSE)&gt;2,"Alta","n/a"))))</f>
        <v>Alta</v>
      </c>
      <c r="EY151" s="10"/>
    </row>
    <row r="152" spans="1:155" s="2" customFormat="1" ht="11.25"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5">
        <v>8.99</v>
      </c>
      <c r="BC152" s="52">
        <v>8.77</v>
      </c>
      <c r="BD152" s="52">
        <v>8.8000000000000007</v>
      </c>
      <c r="BE152" s="52">
        <v>8.44</v>
      </c>
      <c r="BF152" s="52">
        <v>8.64</v>
      </c>
      <c r="BG152" s="67">
        <v>8.8000000000000007</v>
      </c>
      <c r="BH152" s="52">
        <v>9</v>
      </c>
      <c r="BI152" s="52">
        <v>9.39</v>
      </c>
      <c r="BJ152" s="52">
        <v>9.41</v>
      </c>
      <c r="BK152" s="52">
        <v>8.99</v>
      </c>
      <c r="BL152" s="52">
        <v>8.8699999999999992</v>
      </c>
      <c r="BM152" s="52">
        <v>8.66</v>
      </c>
      <c r="BN152" s="52" cm="1">
        <f t="array" aca="1" ref="BN152" ca="1">_FV(EB152,"Preço")</f>
        <v>8.66</v>
      </c>
      <c r="BO152" s="69" t="s">
        <v>148</v>
      </c>
      <c r="BP152" s="36" cm="1">
        <f t="array" aca="1" ref="BP152" ca="1">_FV(EB152,"Média de volume",TRUE)</f>
        <v>7893080</v>
      </c>
      <c r="BQ152" s="36">
        <v>800</v>
      </c>
      <c r="BR152" s="36" cm="1">
        <f t="array" aca="1" ref="BR152" ca="1">_FV(EB152,"Volume")</f>
        <v>800</v>
      </c>
      <c r="BS152" s="24" cm="1">
        <f t="array" aca="1" ref="BS152" ca="1">_FV(EB152,"Beta")</f>
        <v>1.3812</v>
      </c>
      <c r="BT152" s="71" cm="1">
        <f t="array" aca="1" ref="BT152" ca="1">_FV(EB152,"Variação (%)",TRUE)</f>
        <v>-1.5909E-2</v>
      </c>
      <c r="BV152" s="17" cm="1">
        <f t="array" aca="1" ref="BV152" ca="1">_FV(EB152,"Baixo")</f>
        <v>8.66</v>
      </c>
      <c r="BW152" s="17" cm="1">
        <f t="array" aca="1" ref="BW152" ca="1">_FV(EB152,"Alto")</f>
        <v>8.74</v>
      </c>
      <c r="BX152" s="24"/>
      <c r="BY152" s="63">
        <f ca="1">SQRT(22.5*(BN152/VLOOKUP(BO152,Fundamentus!A:U,3,FALSE))*(BN152/VLOOKUP(BO152,Fundamentus!A:U,4,FALSE)))</f>
        <v>10.787756630670202</v>
      </c>
      <c r="CA152" s="62">
        <f t="shared" ca="1" si="168"/>
        <v>0</v>
      </c>
      <c r="CB152" s="8"/>
      <c r="CC152" s="61">
        <f t="shared" si="169"/>
        <v>6.95</v>
      </c>
      <c r="CD152" s="61">
        <f t="shared" si="170"/>
        <v>9.73</v>
      </c>
      <c r="CE152" s="61">
        <f t="shared" si="171"/>
        <v>8.345538461538462</v>
      </c>
      <c r="CF152" s="14"/>
      <c r="CG152" s="35">
        <f t="shared" si="154"/>
        <v>7.8427569095914587</v>
      </c>
      <c r="CH152" s="15">
        <f t="shared" si="172"/>
        <v>8.3900000000001</v>
      </c>
      <c r="CI152" s="35">
        <f t="shared" si="155"/>
        <v>8.9372430904087405</v>
      </c>
      <c r="CK152" s="14"/>
      <c r="CL152" s="17">
        <f t="shared" si="156"/>
        <v>4.5233333333333308</v>
      </c>
      <c r="CM152" s="17">
        <f t="shared" si="157"/>
        <v>5.7366666666666655</v>
      </c>
      <c r="CN152" s="17">
        <f t="shared" si="158"/>
        <v>7.303333333333331</v>
      </c>
      <c r="CO152" s="38">
        <f t="shared" si="173"/>
        <v>8.5166666666666657</v>
      </c>
      <c r="CP152" s="17">
        <f t="shared" si="159"/>
        <v>10.083333333333332</v>
      </c>
      <c r="CQ152" s="17">
        <f t="shared" si="160"/>
        <v>11.296666666666667</v>
      </c>
      <c r="CR152" s="17">
        <f t="shared" si="161"/>
        <v>12.863333333333332</v>
      </c>
      <c r="CS152" s="2" cm="1">
        <f t="array" aca="1" ref="CS152" ca="1">MAX(_xlfn._xlws.FILTER(CL152:CR152,CL152:CR152&lt;BN152))</f>
        <v>8.5166666666666657</v>
      </c>
      <c r="CT152" s="2" cm="1">
        <f t="array" aca="1" ref="CT152" ca="1">MIN(_xlfn._xlws.FILTER($CL152:$CR152,$CL152:$CR152&gt;BN152))</f>
        <v>10.083333333333332</v>
      </c>
      <c r="CU152" s="16">
        <f t="shared" ca="1" si="175"/>
        <v>0.18395303326810186</v>
      </c>
      <c r="CV152" s="20">
        <f t="shared" ca="1" si="176"/>
        <v>-9.1976516634050931E-2</v>
      </c>
      <c r="CW152" s="20">
        <f t="shared" ca="1" si="177"/>
        <v>-6.1317677756033952E-2</v>
      </c>
      <c r="CX152" s="20">
        <f t="shared" ca="1" si="178"/>
        <v>-3.679060665362037E-2</v>
      </c>
      <c r="CY152" s="20">
        <f t="shared" ca="1" si="179"/>
        <v>-2.0439225918677986E-2</v>
      </c>
      <c r="CZ152" s="20">
        <f t="shared" ca="1" si="180"/>
        <v>-1.0820766662829521E-2</v>
      </c>
      <c r="DA152" s="20">
        <f t="shared" ca="1" si="181"/>
        <v>-5.5743343414576324E-3</v>
      </c>
      <c r="DB152" s="20">
        <f t="shared" ca="1" si="182"/>
        <v>-2.8300466656631055E-3</v>
      </c>
      <c r="DC152" s="21">
        <f t="shared" ca="1" si="183"/>
        <v>2.8300466656631055E-3</v>
      </c>
      <c r="DD152" s="21">
        <f t="shared" ca="1" si="184"/>
        <v>5.5743343414576324E-3</v>
      </c>
      <c r="DE152" s="21">
        <f t="shared" ca="1" si="185"/>
        <v>1.0820766662829521E-2</v>
      </c>
      <c r="DF152" s="21">
        <f t="shared" ca="1" si="186"/>
        <v>2.0439225918677986E-2</v>
      </c>
      <c r="DG152" s="21">
        <f t="shared" ca="1" si="187"/>
        <v>3.679060665362037E-2</v>
      </c>
      <c r="DH152" s="21">
        <f t="shared" ca="1" si="188"/>
        <v>6.1317677756033952E-2</v>
      </c>
      <c r="DI152" s="21">
        <f t="shared" ca="1" si="189"/>
        <v>9.1976516634050931E-2</v>
      </c>
      <c r="DK152" s="16" cm="1">
        <f t="array" aca="1" ref="DK152" ca="1">MAX(_xlfn._xlws.FILTER(CV152:DI152,CV152:DI152&lt;BT152))</f>
        <v>-2.0439225918677986E-2</v>
      </c>
      <c r="DL152" s="16" cm="1">
        <f t="array" aca="1" ref="DL152" ca="1">MIN(_xlfn._xlws.FILTER(CV152:DI152,CV152:DI152&gt;BT152))</f>
        <v>-1.0820766662829521E-2</v>
      </c>
      <c r="DM152" s="2" cm="1">
        <f t="array" aca="1" ref="DM152" ca="1">_FV(EB152,"Fechamento anterior",TRUE)</f>
        <v>8.8000000000000007</v>
      </c>
      <c r="DN152" s="28">
        <f t="shared" ca="1" si="162"/>
        <v>0.4709834381044451</v>
      </c>
      <c r="DO152" s="15">
        <f t="shared" ca="1" si="190"/>
        <v>8.6201348119156336</v>
      </c>
      <c r="DP152" s="15">
        <f t="shared" ca="1" si="191"/>
        <v>8.7047772533671015</v>
      </c>
      <c r="DQ152" s="9"/>
      <c r="DR152" s="9"/>
      <c r="DS152" s="9"/>
      <c r="DT152" s="89">
        <v>9.618459255848465E-3</v>
      </c>
      <c r="DU152" s="89">
        <f t="shared" ca="1" si="163"/>
        <v>9.618459255848465E-3</v>
      </c>
      <c r="DV152" s="72">
        <f t="shared" ca="1" si="164"/>
        <v>0.49338220021797574</v>
      </c>
      <c r="DW152" s="37"/>
      <c r="DX152" s="35">
        <f t="shared" si="174"/>
        <v>0.27362154520432058</v>
      </c>
      <c r="DY152" s="56"/>
      <c r="DZ152" s="56"/>
      <c r="EB152" s="2" t="e" vm="154">
        <v>#VALUE!</v>
      </c>
      <c r="ED152" s="10" cm="1">
        <f t="array" aca="1" ref="ED152" ca="1">_FV(EB152,"Ações em circulação",TRUE)</f>
        <v>10108690000</v>
      </c>
      <c r="EE152" s="18">
        <f>VLOOKUP(BO152,Fundamentus!A:U,5,FALSE)</f>
        <v>0</v>
      </c>
      <c r="EF152" s="2" t="e">
        <f t="shared" ca="1" si="165"/>
        <v>#DIV/0!</v>
      </c>
      <c r="EG152" s="17" t="e">
        <v>#DIV/0!</v>
      </c>
      <c r="EH152" s="17" t="e">
        <f t="shared" ca="1" si="166"/>
        <v>#DIV/0!</v>
      </c>
      <c r="EJ152" s="16" t="e">
        <f t="shared" ca="1" si="153"/>
        <v>#DIV/0!</v>
      </c>
      <c r="EK152" s="32" t="str">
        <f>IF(VLOOKUP(BO152,Fundamentus!A:U,3,FALSE)&lt;15,"Bom",IF(VLOOKUP(BO152,Fundamentus!A:U,3,FALSE)&gt;15,"Ruim","n/a"))</f>
        <v>Bom</v>
      </c>
      <c r="EL152" s="28" t="str">
        <f>IF(VLOOKUP(BO152,Fundamentus!A:U,4,FALSE)&lt;1,"Baixo",IF(VLOOKUP(BO152,Fundamentus!A:U,4,FALSE)&lt;1.5,"Moderado",IF(VLOOKUP(BO152,Fundamentus!A:U,4,FALSE)&gt;1.5,"Alto","n/a")))</f>
        <v>Alto</v>
      </c>
      <c r="EM152" s="17" t="str">
        <f>IF(VLOOKUP(BO152,Fundamentus!A:U,8,FALSE)&lt;0,"Risco elevado",IF(VLOOKUP(BO152,Fundamentus!A:U,8,FALSE)&lt;1,"Saudável",IF(VLOOKUP(BO152,Fundamentus!A:U,8,FALSE)&lt;3,"Estável",IF(VLOOKUP(BO152,Fundamentus!A:U,8,FALSE)&gt;3,"Alerta","n/a"))))</f>
        <v>Saudável</v>
      </c>
      <c r="EN152" s="28" t="str">
        <f t="shared" si="167"/>
        <v>Ruim</v>
      </c>
      <c r="EO152" s="17" t="str">
        <f>IF(VLOOKUP(BO152,Fundamentus!A:U,12,FALSE)&lt;2,"Subvalorizada",IF(VLOOKUP(BO152,Fundamentus!A:U,12,FALSE)&lt;6,"Muita barata",IF(VLOOKUP(BO152,Fundamentus!A:U,12,FALSE)&lt;6,"Barata",IF(VLOOKUP(BO152,Fundamentus!A:U,12,FALSE)&lt;8,"Atrativa",IF(VLOOKUP(BO152,Fundamentus!A:U,12,FALSE)&gt;8,"Supervalorizada","n/a")))))</f>
        <v>Subvalorizada</v>
      </c>
      <c r="EQ152" s="17" t="str">
        <f>IF(VLOOKUP(BO152,Fundamentus!A:U,17,FALSE)&lt;0.1,"Fraco retorno",IF(VLOOKUP(BO152,Fundamentus!A:U,17,FALSE)&gt;0.1,"Bom retorno","n/a"))</f>
        <v>Bom retorno</v>
      </c>
      <c r="ER152" s="17" t="str">
        <f>IF(VLOOKUP(BO152,Fundamentus!A:U,16,FALSE)&lt;0.1,"Ineficiente",IF(VLOOKUP(BO152,Fundamentus!A:U,16,FALSE)&gt;0.1,"Eficiente","n/a"))</f>
        <v>Ineficiente</v>
      </c>
      <c r="ES152" s="33" t="str">
        <f>IF(VLOOKUP(BO152,Fundamentus!A:U,16,FALSE)&lt;0.1,"Oper. Ineficiente",IF(VLOOKUP(BO152,Fundamentus!A:U,16,FALSE)&gt;0.1,"Oper.Eficiente","n/a"))</f>
        <v>Oper. Ineficiente</v>
      </c>
      <c r="ET152" s="34">
        <f>VLOOKUP(BO152,Fundamentus!A:U,14,FALSE)</f>
        <v>0</v>
      </c>
      <c r="EU152" s="17" t="str">
        <f>IF(VLOOKUP(BO152,Fundamentus!A:U,21,FALSE)&lt;0,"Negativo",IF(VLOOKUP(BO152,Fundamentus!A:U,21,FALSE)&lt;0.05,"Fraco",IF(VLOOKUP(BO152,Fundamentus!A:U,21,FALSE)&lt;0.1,"Bom",IF(VLOOKUP(BO152,Fundamentus!A:U,21,FALSE)&gt;0.1,"Muito bom","n/a"))))</f>
        <v>Muito bom</v>
      </c>
      <c r="EW152" s="29" t="str">
        <f>IF(VLOOKUP(BO152,Fundamentus!A:U,15,FALSE)&gt;1,"Bom",IF(VLOOKUP(BO152,Fundamentus!A:U,15,FALSE)&lt;1,"Ruim","n/a"))</f>
        <v>Ruim</v>
      </c>
      <c r="EX152" s="17" t="str">
        <f>IF(VLOOKUP(BO152,Fundamentus!A:U,20,FALSE)&lt;0.5,"Baixa",IF(VLOOKUP(BO152,Fundamentus!A:U,20,FALSE)&lt;1,"Moderada",IF(VLOOKUP(BO152,Fundamentus!A:U,20,FALSE)&lt;2,"Alerta",IF(VLOOKUP(BO152,Fundamentus!A:U,20,FALSE)&gt;2,"Alta","n/a"))))</f>
        <v>Baixa</v>
      </c>
      <c r="EY152" s="10"/>
    </row>
    <row r="153" spans="1:155" s="2" customFormat="1" ht="11.25"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5">
        <v>37.97</v>
      </c>
      <c r="BC153" s="52">
        <v>38.15</v>
      </c>
      <c r="BD153" s="52">
        <v>39.479999999999997</v>
      </c>
      <c r="BE153" s="52">
        <v>40.659999999999997</v>
      </c>
      <c r="BF153" s="52">
        <v>40.71</v>
      </c>
      <c r="BG153" s="67">
        <v>39.46</v>
      </c>
      <c r="BH153" s="52">
        <v>42.15</v>
      </c>
      <c r="BI153" s="52">
        <v>42.44</v>
      </c>
      <c r="BJ153" s="52">
        <v>41.09</v>
      </c>
      <c r="BK153" s="52">
        <v>39.590000000000003</v>
      </c>
      <c r="BL153" s="52">
        <v>40.26</v>
      </c>
      <c r="BM153" s="52">
        <v>38.299999999999997</v>
      </c>
      <c r="BN153" s="52" cm="1">
        <f t="array" aca="1" ref="BN153" ca="1">_FV(EB153,"Preço")</f>
        <v>38.299999999999997</v>
      </c>
      <c r="BO153" s="69" t="s">
        <v>120</v>
      </c>
      <c r="BP153" s="36" cm="1">
        <f t="array" aca="1" ref="BP153" ca="1">_FV(EB153,"Média de volume",TRUE)</f>
        <v>1391310</v>
      </c>
      <c r="BQ153" s="36">
        <v>739400</v>
      </c>
      <c r="BR153" s="36" cm="1">
        <f t="array" aca="1" ref="BR153" ca="1">_FV(EB153,"Volume")</f>
        <v>739400</v>
      </c>
      <c r="BS153" s="24" cm="1">
        <f t="array" aca="1" ref="BS153" ca="1">_FV(EB153,"Beta")</f>
        <v>1.0516000000000001</v>
      </c>
      <c r="BT153" s="71" cm="1">
        <f t="array" aca="1" ref="BT153" ca="1">_FV(EB153,"Variação (%)",TRUE)</f>
        <v>2.8799999999999997E-3</v>
      </c>
      <c r="BV153" s="17" cm="1">
        <f t="array" aca="1" ref="BV153" ca="1">_FV(EB153,"Baixo")</f>
        <v>38.19</v>
      </c>
      <c r="BW153" s="17" cm="1">
        <f t="array" aca="1" ref="BW153" ca="1">_FV(EB153,"Alto")</f>
        <v>38.659999999999997</v>
      </c>
      <c r="BX153" s="24"/>
      <c r="BY153" s="63">
        <f ca="1">SQRT(22.5*(BN153/VLOOKUP(BO153,Fundamentus!A:U,3,FALSE))*(BN153/VLOOKUP(BO153,Fundamentus!A:U,4,FALSE)))</f>
        <v>31.589307585660951</v>
      </c>
      <c r="CA153" s="62">
        <f t="shared" ca="1" si="168"/>
        <v>0</v>
      </c>
      <c r="CB153" s="8"/>
      <c r="CC153" s="61">
        <f t="shared" si="169"/>
        <v>24.15</v>
      </c>
      <c r="CD153" s="61">
        <f t="shared" si="170"/>
        <v>42.44</v>
      </c>
      <c r="CE153" s="61">
        <f t="shared" si="171"/>
        <v>31.119384615384611</v>
      </c>
      <c r="CF153" s="14"/>
      <c r="CG153" s="35">
        <f t="shared" si="154"/>
        <v>35.843089130251002</v>
      </c>
      <c r="CH153" s="15">
        <f t="shared" si="172"/>
        <v>37.885000000000218</v>
      </c>
      <c r="CI153" s="35">
        <f t="shared" si="155"/>
        <v>39.926910869749435</v>
      </c>
      <c r="CK153" s="14"/>
      <c r="CL153" s="17">
        <f t="shared" si="156"/>
        <v>10.503333333333337</v>
      </c>
      <c r="CM153" s="17">
        <f t="shared" si="157"/>
        <v>17.326666666666668</v>
      </c>
      <c r="CN153" s="17">
        <f t="shared" si="158"/>
        <v>28.793333333333337</v>
      </c>
      <c r="CO153" s="38">
        <f t="shared" si="173"/>
        <v>35.616666666666667</v>
      </c>
      <c r="CP153" s="17">
        <f t="shared" si="159"/>
        <v>47.083333333333336</v>
      </c>
      <c r="CQ153" s="17">
        <f t="shared" si="160"/>
        <v>53.906666666666666</v>
      </c>
      <c r="CR153" s="17">
        <f t="shared" si="161"/>
        <v>65.373333333333335</v>
      </c>
      <c r="CS153" s="2" cm="1">
        <f t="array" aca="1" ref="CS153" ca="1">MAX(_xlfn._xlws.FILTER(CL153:CR153,CL153:CR153&lt;BN153))</f>
        <v>35.616666666666667</v>
      </c>
      <c r="CT153" s="2" cm="1">
        <f t="array" aca="1" ref="CT153" ca="1">MIN(_xlfn._xlws.FILTER($CL153:$CR153,$CL153:$CR153&gt;BN153))</f>
        <v>47.083333333333336</v>
      </c>
      <c r="CU153" s="16">
        <f t="shared" ca="1" si="175"/>
        <v>0.32194665418811419</v>
      </c>
      <c r="CV153" s="20">
        <f t="shared" ca="1" si="176"/>
        <v>-0.16097332709405709</v>
      </c>
      <c r="CW153" s="20">
        <f t="shared" ca="1" si="177"/>
        <v>-0.10731555139603806</v>
      </c>
      <c r="CX153" s="20">
        <f t="shared" ca="1" si="178"/>
        <v>-6.4389330837622841E-2</v>
      </c>
      <c r="CY153" s="20">
        <f t="shared" ca="1" si="179"/>
        <v>-3.577185046534602E-2</v>
      </c>
      <c r="CZ153" s="20">
        <f t="shared" ca="1" si="180"/>
        <v>-1.8938038481653777E-2</v>
      </c>
      <c r="DA153" s="20">
        <f t="shared" ca="1" si="181"/>
        <v>-9.7559592178216425E-3</v>
      </c>
      <c r="DB153" s="20">
        <f t="shared" ca="1" si="182"/>
        <v>-4.9530254490479106E-3</v>
      </c>
      <c r="DC153" s="21">
        <f t="shared" ca="1" si="183"/>
        <v>4.9530254490479106E-3</v>
      </c>
      <c r="DD153" s="21">
        <f t="shared" ca="1" si="184"/>
        <v>9.7559592178216425E-3</v>
      </c>
      <c r="DE153" s="21">
        <f t="shared" ca="1" si="185"/>
        <v>1.8938038481653777E-2</v>
      </c>
      <c r="DF153" s="21">
        <f t="shared" ca="1" si="186"/>
        <v>3.577185046534602E-2</v>
      </c>
      <c r="DG153" s="21">
        <f t="shared" ca="1" si="187"/>
        <v>6.4389330837622841E-2</v>
      </c>
      <c r="DH153" s="21">
        <f t="shared" ca="1" si="188"/>
        <v>0.10731555139603806</v>
      </c>
      <c r="DI153" s="21">
        <f t="shared" ca="1" si="189"/>
        <v>0.16097332709405709</v>
      </c>
      <c r="DK153" s="16" cm="1">
        <f t="array" aca="1" ref="DK153" ca="1">MAX(_xlfn._xlws.FILTER(CV153:DI153,CV153:DI153&lt;BT153))</f>
        <v>-4.9530254490479106E-3</v>
      </c>
      <c r="DL153" s="16" cm="1">
        <f t="array" aca="1" ref="DL153" ca="1">MIN(_xlfn._xlws.FILTER(CV153:DI153,CV153:DI153&gt;BT153))</f>
        <v>4.9530254490479106E-3</v>
      </c>
      <c r="DM153" s="2" cm="1">
        <f t="array" aca="1" ref="DM153" ca="1">_FV(EB153,"Fechamento anterior",TRUE)</f>
        <v>38.19</v>
      </c>
      <c r="DN153" s="28">
        <f t="shared" ca="1" si="162"/>
        <v>0.7907652298483101</v>
      </c>
      <c r="DO153" s="15">
        <f t="shared" ca="1" si="190"/>
        <v>38.000843958100859</v>
      </c>
      <c r="DP153" s="15">
        <f t="shared" ca="1" si="191"/>
        <v>38.379156041899137</v>
      </c>
      <c r="DQ153" s="9"/>
      <c r="DR153" s="9"/>
      <c r="DS153" s="9"/>
      <c r="DT153" s="89">
        <v>9.9060508980958212E-3</v>
      </c>
      <c r="DU153" s="89">
        <f t="shared" ca="1" si="163"/>
        <v>9.9060508980958212E-3</v>
      </c>
      <c r="DV153" s="72">
        <f t="shared" ca="1" si="164"/>
        <v>0.20324099653318775</v>
      </c>
      <c r="DW153" s="37"/>
      <c r="DX153" s="35">
        <f t="shared" si="174"/>
        <v>1.0209554348746097</v>
      </c>
      <c r="DY153" s="56"/>
      <c r="DZ153" s="56"/>
      <c r="EB153" s="2" t="e" vm="155">
        <v>#VALUE!</v>
      </c>
      <c r="ED153" s="10" cm="1">
        <f t="array" aca="1" ref="ED153" ca="1">_FV(EB153,"Ações em circulação",TRUE)</f>
        <v>173500000</v>
      </c>
      <c r="EE153" s="18">
        <f>VLOOKUP(BO153,Fundamentus!A:U,5,FALSE)</f>
        <v>1.9179999999999999</v>
      </c>
      <c r="EF153" s="2">
        <f t="shared" ca="1" si="165"/>
        <v>3464572471.324296</v>
      </c>
      <c r="EG153" s="17">
        <v>727213761.73096979</v>
      </c>
      <c r="EH153" s="17">
        <f t="shared" ca="1" si="166"/>
        <v>727213761.73096979</v>
      </c>
      <c r="EJ153" s="16">
        <f t="shared" ca="1" si="153"/>
        <v>0</v>
      </c>
      <c r="EK153" s="32" t="str">
        <f>IF(VLOOKUP(BO153,Fundamentus!A:U,3,FALSE)&lt;15,"Bom",IF(VLOOKUP(BO153,Fundamentus!A:U,3,FALSE)&gt;15,"Ruim","n/a"))</f>
        <v>Bom</v>
      </c>
      <c r="EL153" s="28" t="str">
        <f>IF(VLOOKUP(BO153,Fundamentus!A:U,4,FALSE)&lt;1,"Baixo",IF(VLOOKUP(BO153,Fundamentus!A:U,4,FALSE)&lt;1.5,"Moderado",IF(VLOOKUP(BO153,Fundamentus!A:U,4,FALSE)&gt;1.5,"Alto","n/a")))</f>
        <v>Alto</v>
      </c>
      <c r="EM153" s="17" t="str">
        <f>IF(VLOOKUP(BO153,Fundamentus!A:U,8,FALSE)&lt;0,"Risco elevado",IF(VLOOKUP(BO153,Fundamentus!A:U,8,FALSE)&lt;1,"Saudável",IF(VLOOKUP(BO153,Fundamentus!A:U,8,FALSE)&lt;3,"Estável",IF(VLOOKUP(BO153,Fundamentus!A:U,8,FALSE)&gt;3,"Alerta","n/a"))))</f>
        <v>Estável</v>
      </c>
      <c r="EN153" s="28" t="str">
        <f t="shared" si="167"/>
        <v>Bom</v>
      </c>
      <c r="EO153" s="17" t="str">
        <f>IF(VLOOKUP(BO153,Fundamentus!A:U,12,FALSE)&lt;2,"Subvalorizada",IF(VLOOKUP(BO153,Fundamentus!A:U,12,FALSE)&lt;6,"Muita barata",IF(VLOOKUP(BO153,Fundamentus!A:U,12,FALSE)&lt;6,"Barata",IF(VLOOKUP(BO153,Fundamentus!A:U,12,FALSE)&lt;8,"Atrativa",IF(VLOOKUP(BO153,Fundamentus!A:U,12,FALSE)&gt;8,"Supervalorizada","n/a")))))</f>
        <v>Supervalorizada</v>
      </c>
      <c r="EQ153" s="17" t="str">
        <f>IF(VLOOKUP(BO153,Fundamentus!A:U,17,FALSE)&lt;0.1,"Fraco retorno",IF(VLOOKUP(BO153,Fundamentus!A:U,17,FALSE)&gt;0.1,"Bom retorno","n/a"))</f>
        <v>Bom retorno</v>
      </c>
      <c r="ER153" s="17" t="str">
        <f>IF(VLOOKUP(BO153,Fundamentus!A:U,16,FALSE)&lt;0.1,"Ineficiente",IF(VLOOKUP(BO153,Fundamentus!A:U,16,FALSE)&gt;0.1,"Eficiente","n/a"))</f>
        <v>Ineficiente</v>
      </c>
      <c r="ES153" s="33" t="str">
        <f>IF(VLOOKUP(BO153,Fundamentus!A:U,16,FALSE)&lt;0.1,"Oper. Ineficiente",IF(VLOOKUP(BO153,Fundamentus!A:U,16,FALSE)&gt;0.1,"Oper.Eficiente","n/a"))</f>
        <v>Oper. Ineficiente</v>
      </c>
      <c r="ET153" s="34">
        <f>VLOOKUP(BO153,Fundamentus!A:U,14,FALSE)</f>
        <v>0.2099</v>
      </c>
      <c r="EU153" s="17" t="str">
        <f>IF(VLOOKUP(BO153,Fundamentus!A:U,21,FALSE)&lt;0,"Negativo",IF(VLOOKUP(BO153,Fundamentus!A:U,21,FALSE)&lt;0.05,"Fraco",IF(VLOOKUP(BO153,Fundamentus!A:U,21,FALSE)&lt;0.1,"Bom",IF(VLOOKUP(BO153,Fundamentus!A:U,21,FALSE)&gt;0.1,"Muito bom","n/a"))))</f>
        <v>Muito bom</v>
      </c>
      <c r="EW153" s="29" t="str">
        <f>IF(VLOOKUP(BO153,Fundamentus!A:U,15,FALSE)&gt;1,"Bom",IF(VLOOKUP(BO153,Fundamentus!A:U,15,FALSE)&lt;1,"Ruim","n/a"))</f>
        <v>Bom</v>
      </c>
      <c r="EX153" s="17" t="str">
        <f>IF(VLOOKUP(BO153,Fundamentus!A:U,20,FALSE)&lt;0.5,"Baixa",IF(VLOOKUP(BO153,Fundamentus!A:U,20,FALSE)&lt;1,"Moderada",IF(VLOOKUP(BO153,Fundamentus!A:U,20,FALSE)&lt;2,"Alerta",IF(VLOOKUP(BO153,Fundamentus!A:U,20,FALSE)&gt;2,"Alta","n/a"))))</f>
        <v>Moderada</v>
      </c>
      <c r="EY153" s="10">
        <v>2</v>
      </c>
    </row>
    <row r="154" spans="1:155" s="2" customFormat="1" ht="11.25"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5">
        <v>12.06</v>
      </c>
      <c r="BC154" s="52">
        <v>12.36</v>
      </c>
      <c r="BD154" s="52">
        <v>12.04</v>
      </c>
      <c r="BE154" s="52">
        <v>12.15</v>
      </c>
      <c r="BF154" s="52">
        <v>12.59</v>
      </c>
      <c r="BG154" s="67">
        <v>13.1</v>
      </c>
      <c r="BH154" s="52">
        <v>12.9</v>
      </c>
      <c r="BI154" s="52">
        <v>13.36</v>
      </c>
      <c r="BJ154" s="52">
        <v>13.41</v>
      </c>
      <c r="BK154" s="52">
        <v>13.5</v>
      </c>
      <c r="BL154" s="52">
        <v>13.75</v>
      </c>
      <c r="BM154" s="52">
        <v>14.2</v>
      </c>
      <c r="BN154" s="52" cm="1">
        <f t="array" aca="1" ref="BN154" ca="1">_FV(EB154,"Preço")</f>
        <v>14.2</v>
      </c>
      <c r="BO154" s="69" t="s">
        <v>150</v>
      </c>
      <c r="BP154" s="36" cm="1">
        <f t="array" aca="1" ref="BP154" ca="1">_FV(EB154,"Média de volume",TRUE)</f>
        <v>792150</v>
      </c>
      <c r="BQ154" s="36">
        <v>1646100</v>
      </c>
      <c r="BR154" s="36" cm="1">
        <f t="array" aca="1" ref="BR154" ca="1">_FV(EB154,"Volume")</f>
        <v>1646100</v>
      </c>
      <c r="BS154" s="24" cm="1">
        <f t="array" aca="1" ref="BS154" ca="1">_FV(EB154,"Beta")</f>
        <v>0.41930000000000001</v>
      </c>
      <c r="BT154" s="71" cm="1">
        <f t="array" aca="1" ref="BT154" ca="1">_FV(EB154,"Variação (%)",TRUE)</f>
        <v>3.5740000000000001E-2</v>
      </c>
      <c r="BV154" s="17" cm="1">
        <f t="array" aca="1" ref="BV154" ca="1">_FV(EB154,"Baixo")</f>
        <v>13.65</v>
      </c>
      <c r="BW154" s="17" cm="1">
        <f t="array" aca="1" ref="BW154" ca="1">_FV(EB154,"Alto")</f>
        <v>14.23</v>
      </c>
      <c r="BX154" s="24"/>
      <c r="BY154" s="63">
        <f ca="1">SQRT(22.5*(BN154/VLOOKUP(BO154,Fundamentus!A:U,3,FALSE))*(BN154/VLOOKUP(BO154,Fundamentus!A:U,4,FALSE)))</f>
        <v>30.905288254686493</v>
      </c>
      <c r="CA154" s="62">
        <f t="shared" ca="1" si="168"/>
        <v>0</v>
      </c>
      <c r="CB154" s="8"/>
      <c r="CC154" s="61">
        <f t="shared" si="169"/>
        <v>9.93</v>
      </c>
      <c r="CD154" s="61">
        <f t="shared" si="170"/>
        <v>14.2</v>
      </c>
      <c r="CE154" s="61">
        <f t="shared" si="171"/>
        <v>12.04876923076923</v>
      </c>
      <c r="CF154" s="14"/>
      <c r="CG154" s="35">
        <f t="shared" si="154"/>
        <v>13.757056283171014</v>
      </c>
      <c r="CH154" s="15">
        <f t="shared" si="172"/>
        <v>14.369999999999891</v>
      </c>
      <c r="CI154" s="35">
        <f t="shared" si="155"/>
        <v>14.982943716828768</v>
      </c>
      <c r="CK154" s="14"/>
      <c r="CL154" s="17">
        <f t="shared" si="156"/>
        <v>6.7833333333333314</v>
      </c>
      <c r="CM154" s="17">
        <f t="shared" si="157"/>
        <v>8.3566666666666656</v>
      </c>
      <c r="CN154" s="17">
        <f t="shared" si="158"/>
        <v>11.053333333333331</v>
      </c>
      <c r="CO154" s="38">
        <f t="shared" si="173"/>
        <v>12.626666666666665</v>
      </c>
      <c r="CP154" s="17">
        <f t="shared" si="159"/>
        <v>15.323333333333331</v>
      </c>
      <c r="CQ154" s="17">
        <f t="shared" si="160"/>
        <v>16.896666666666665</v>
      </c>
      <c r="CR154" s="17">
        <f t="shared" si="161"/>
        <v>19.59333333333333</v>
      </c>
      <c r="CS154" s="2" cm="1">
        <f t="array" aca="1" ref="CS154" ca="1">MAX(_xlfn._xlws.FILTER(CL154:CR154,CL154:CR154&lt;BN154))</f>
        <v>12.626666666666665</v>
      </c>
      <c r="CT154" s="2" cm="1">
        <f t="array" aca="1" ref="CT154" ca="1">MIN(_xlfn._xlws.FILTER($CL154:$CR154,$CL154:$CR154&gt;BN154))</f>
        <v>15.323333333333331</v>
      </c>
      <c r="CU154" s="16">
        <f t="shared" ca="1" si="175"/>
        <v>0.21356916578669471</v>
      </c>
      <c r="CV154" s="20">
        <f t="shared" ca="1" si="176"/>
        <v>-0.10678458289334736</v>
      </c>
      <c r="CW154" s="20">
        <f t="shared" ca="1" si="177"/>
        <v>-7.1189721928898234E-2</v>
      </c>
      <c r="CX154" s="20">
        <f t="shared" ca="1" si="178"/>
        <v>-4.271383315733894E-2</v>
      </c>
      <c r="CY154" s="20">
        <f t="shared" ca="1" si="179"/>
        <v>-2.3729907309632745E-2</v>
      </c>
      <c r="CZ154" s="20">
        <f t="shared" ca="1" si="180"/>
        <v>-1.2562892105099688E-2</v>
      </c>
      <c r="DA154" s="20">
        <f t="shared" ca="1" si="181"/>
        <v>-6.4717929026271125E-3</v>
      </c>
      <c r="DB154" s="20">
        <f t="shared" ca="1" si="182"/>
        <v>-3.2856794736414573E-3</v>
      </c>
      <c r="DC154" s="21">
        <f t="shared" ca="1" si="183"/>
        <v>3.2856794736414573E-3</v>
      </c>
      <c r="DD154" s="21">
        <f t="shared" ca="1" si="184"/>
        <v>6.4717929026271125E-3</v>
      </c>
      <c r="DE154" s="21">
        <f t="shared" ca="1" si="185"/>
        <v>1.2562892105099688E-2</v>
      </c>
      <c r="DF154" s="21">
        <f t="shared" ca="1" si="186"/>
        <v>2.3729907309632745E-2</v>
      </c>
      <c r="DG154" s="21">
        <f t="shared" ca="1" si="187"/>
        <v>4.271383315733894E-2</v>
      </c>
      <c r="DH154" s="21">
        <f t="shared" ca="1" si="188"/>
        <v>7.1189721928898234E-2</v>
      </c>
      <c r="DI154" s="21">
        <f t="shared" ca="1" si="189"/>
        <v>0.10678458289334736</v>
      </c>
      <c r="DK154" s="16" cm="1">
        <f t="array" aca="1" ref="DK154" ca="1">MAX(_xlfn._xlws.FILTER(CV154:DI154,CV154:DI154&lt;BT154))</f>
        <v>2.3729907309632745E-2</v>
      </c>
      <c r="DL154" s="16" cm="1">
        <f t="array" aca="1" ref="DL154" ca="1">MIN(_xlfn._xlws.FILTER(CV154:DI154,CV154:DI154&gt;BT154))</f>
        <v>4.271383315733894E-2</v>
      </c>
      <c r="DM154" s="2" cm="1">
        <f t="array" aca="1" ref="DM154" ca="1">_FV(EB154,"Fechamento anterior",TRUE)</f>
        <v>13.71</v>
      </c>
      <c r="DN154" s="28">
        <f t="shared" ca="1" si="162"/>
        <v>0.6326630386272537</v>
      </c>
      <c r="DO154" s="15">
        <f t="shared" ca="1" si="190"/>
        <v>14.035337029215066</v>
      </c>
      <c r="DP154" s="15">
        <f t="shared" ca="1" si="191"/>
        <v>14.295606652587118</v>
      </c>
      <c r="DQ154" s="9"/>
      <c r="DR154" s="9"/>
      <c r="DS154" s="9"/>
      <c r="DT154" s="89">
        <v>1.8983925847706196E-2</v>
      </c>
      <c r="DU154" s="89">
        <f t="shared" ca="1" si="163"/>
        <v>1.8983925847706196E-2</v>
      </c>
      <c r="DV154" s="72">
        <f t="shared" ca="1" si="164"/>
        <v>-0.27735009811243833</v>
      </c>
      <c r="DW154" s="37"/>
      <c r="DX154" s="35">
        <f t="shared" si="174"/>
        <v>0.3064718584144388</v>
      </c>
      <c r="DY154" s="56"/>
      <c r="DZ154" s="56"/>
      <c r="EB154" s="2" t="e" vm="156">
        <v>#VALUE!</v>
      </c>
      <c r="ED154" s="10" cm="1">
        <f t="array" aca="1" ref="ED154" ca="1">_FV(EB154,"Ações em circulação",TRUE)</f>
        <v>153719600</v>
      </c>
      <c r="EE154" s="18">
        <f>VLOOKUP(BO154,Fundamentus!A:U,5,FALSE)</f>
        <v>0.13700000000000001</v>
      </c>
      <c r="EF154" s="2">
        <f t="shared" ca="1" si="165"/>
        <v>15932980437.956203</v>
      </c>
      <c r="EG154" s="17">
        <v>339372483.32846713</v>
      </c>
      <c r="EH154" s="17">
        <f t="shared" ca="1" si="166"/>
        <v>339372483.32846713</v>
      </c>
      <c r="EJ154" s="16">
        <f t="shared" ca="1" si="153"/>
        <v>0</v>
      </c>
      <c r="EK154" s="32" t="str">
        <f>IF(VLOOKUP(BO154,Fundamentus!A:U,3,FALSE)&lt;15,"Bom",IF(VLOOKUP(BO154,Fundamentus!A:U,3,FALSE)&gt;15,"Ruim","n/a"))</f>
        <v>Bom</v>
      </c>
      <c r="EL154" s="28" t="str">
        <f>IF(VLOOKUP(BO154,Fundamentus!A:U,4,FALSE)&lt;1,"Baixo",IF(VLOOKUP(BO154,Fundamentus!A:U,4,FALSE)&lt;1.5,"Moderado",IF(VLOOKUP(BO154,Fundamentus!A:U,4,FALSE)&gt;1.5,"Alto","n/a")))</f>
        <v>Baixo</v>
      </c>
      <c r="EM154" s="17" t="str">
        <f>IF(VLOOKUP(BO154,Fundamentus!A:U,8,FALSE)&lt;0,"Risco elevado",IF(VLOOKUP(BO154,Fundamentus!A:U,8,FALSE)&lt;1,"Saudável",IF(VLOOKUP(BO154,Fundamentus!A:U,8,FALSE)&lt;3,"Estável",IF(VLOOKUP(BO154,Fundamentus!A:U,8,FALSE)&gt;3,"Alerta","n/a"))))</f>
        <v>Saudável</v>
      </c>
      <c r="EN154" s="28" t="str">
        <f t="shared" si="167"/>
        <v>Ruim</v>
      </c>
      <c r="EO154" s="17" t="str">
        <f>IF(VLOOKUP(BO154,Fundamentus!A:U,12,FALSE)&lt;2,"Subvalorizada",IF(VLOOKUP(BO154,Fundamentus!A:U,12,FALSE)&lt;6,"Muita barata",IF(VLOOKUP(BO154,Fundamentus!A:U,12,FALSE)&lt;6,"Barata",IF(VLOOKUP(BO154,Fundamentus!A:U,12,FALSE)&lt;8,"Atrativa",IF(VLOOKUP(BO154,Fundamentus!A:U,12,FALSE)&gt;8,"Supervalorizada","n/a")))))</f>
        <v>Muita barata</v>
      </c>
      <c r="EQ154" s="17" t="str">
        <f>IF(VLOOKUP(BO154,Fundamentus!A:U,17,FALSE)&lt;0.1,"Fraco retorno",IF(VLOOKUP(BO154,Fundamentus!A:U,17,FALSE)&gt;0.1,"Bom retorno","n/a"))</f>
        <v>Fraco retorno</v>
      </c>
      <c r="ER154" s="17" t="str">
        <f>IF(VLOOKUP(BO154,Fundamentus!A:U,16,FALSE)&lt;0.1,"Ineficiente",IF(VLOOKUP(BO154,Fundamentus!A:U,16,FALSE)&gt;0.1,"Eficiente","n/a"))</f>
        <v>Ineficiente</v>
      </c>
      <c r="ES154" s="33" t="str">
        <f>IF(VLOOKUP(BO154,Fundamentus!A:U,16,FALSE)&lt;0.1,"Oper. Ineficiente",IF(VLOOKUP(BO154,Fundamentus!A:U,16,FALSE)&gt;0.1,"Oper.Eficiente","n/a"))</f>
        <v>Oper. Ineficiente</v>
      </c>
      <c r="ET154" s="34">
        <f>VLOOKUP(BO154,Fundamentus!A:U,14,FALSE)</f>
        <v>2.1299999999999999E-2</v>
      </c>
      <c r="EU154" s="17" t="str">
        <f>IF(VLOOKUP(BO154,Fundamentus!A:U,21,FALSE)&lt;0,"Negativo",IF(VLOOKUP(BO154,Fundamentus!A:U,21,FALSE)&lt;0.05,"Fraco",IF(VLOOKUP(BO154,Fundamentus!A:U,21,FALSE)&lt;0.1,"Bom",IF(VLOOKUP(BO154,Fundamentus!A:U,21,FALSE)&gt;0.1,"Muito bom","n/a"))))</f>
        <v>Bom</v>
      </c>
      <c r="EW154" s="29" t="str">
        <f>IF(VLOOKUP(BO154,Fundamentus!A:U,15,FALSE)&gt;1,"Bom",IF(VLOOKUP(BO154,Fundamentus!A:U,15,FALSE)&lt;1,"Ruim","n/a"))</f>
        <v>Bom</v>
      </c>
      <c r="EX154" s="17" t="str">
        <f>IF(VLOOKUP(BO154,Fundamentus!A:U,20,FALSE)&lt;0.5,"Baixa",IF(VLOOKUP(BO154,Fundamentus!A:U,20,FALSE)&lt;1,"Moderada",IF(VLOOKUP(BO154,Fundamentus!A:U,20,FALSE)&lt;2,"Alerta",IF(VLOOKUP(BO154,Fundamentus!A:U,20,FALSE)&gt;2,"Alta","n/a"))))</f>
        <v>Alerta</v>
      </c>
      <c r="EY154" s="10"/>
    </row>
    <row r="155" spans="1:155" s="2" customFormat="1" ht="11.25"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5">
        <v>33.700000000000003</v>
      </c>
      <c r="BC155" s="52">
        <v>35.229999999999997</v>
      </c>
      <c r="BD155" s="52">
        <v>36.9</v>
      </c>
      <c r="BE155" s="52">
        <v>37.78</v>
      </c>
      <c r="BF155" s="52">
        <v>35.840000000000003</v>
      </c>
      <c r="BG155" s="67">
        <v>35.1</v>
      </c>
      <c r="BH155" s="52">
        <v>34.799999999999997</v>
      </c>
      <c r="BI155" s="52">
        <v>34.9</v>
      </c>
      <c r="BJ155" s="52">
        <v>34.93</v>
      </c>
      <c r="BK155" s="52">
        <v>33.299999999999997</v>
      </c>
      <c r="BL155" s="52">
        <v>32.89</v>
      </c>
      <c r="BM155" s="52">
        <v>32.520000000000003</v>
      </c>
      <c r="BN155" s="52" cm="1">
        <f t="array" aca="1" ref="BN155" ca="1">_FV(EB155,"Preço")</f>
        <v>32.520000000000003</v>
      </c>
      <c r="BO155" s="69" t="s">
        <v>176</v>
      </c>
      <c r="BP155" s="36" cm="1">
        <f t="array" aca="1" ref="BP155" ca="1">_FV(EB155,"Média de volume",TRUE)</f>
        <v>3035430</v>
      </c>
      <c r="BQ155" s="36">
        <v>1389500</v>
      </c>
      <c r="BR155" s="36" cm="1">
        <f t="array" aca="1" ref="BR155" ca="1">_FV(EB155,"Volume")</f>
        <v>1389500</v>
      </c>
      <c r="BS155" s="24" cm="1">
        <f t="array" aca="1" ref="BS155" ca="1">_FV(EB155,"Beta")</f>
        <v>1.5222</v>
      </c>
      <c r="BT155" s="71" cm="1">
        <f t="array" aca="1" ref="BT155" ca="1">_FV(EB155,"Variação (%)",TRUE)</f>
        <v>-2.454E-3</v>
      </c>
      <c r="BV155" s="17" cm="1">
        <f t="array" aca="1" ref="BV155" ca="1">_FV(EB155,"Baixo")</f>
        <v>32.33</v>
      </c>
      <c r="BW155" s="17" cm="1">
        <f t="array" aca="1" ref="BW155" ca="1">_FV(EB155,"Alto")</f>
        <v>32.82</v>
      </c>
      <c r="BX155" s="24"/>
      <c r="BY155" s="63">
        <f ca="1">SQRT(22.5*(BN155/VLOOKUP(BO155,Fundamentus!A:U,3,FALSE))*(BN155/VLOOKUP(BO155,Fundamentus!A:U,4,FALSE)))</f>
        <v>20.569867574474323</v>
      </c>
      <c r="CA155" s="62">
        <f t="shared" ca="1" si="168"/>
        <v>0</v>
      </c>
      <c r="CB155" s="8"/>
      <c r="CC155" s="61">
        <f t="shared" si="169"/>
        <v>25.15</v>
      </c>
      <c r="CD155" s="61">
        <f t="shared" si="170"/>
        <v>37.78</v>
      </c>
      <c r="CE155" s="61">
        <f t="shared" si="171"/>
        <v>30.008230769230771</v>
      </c>
      <c r="CF155" s="14"/>
      <c r="CG155" s="35">
        <f t="shared" si="154"/>
        <v>29.660163050701684</v>
      </c>
      <c r="CH155" s="15">
        <f t="shared" si="172"/>
        <v>31.499999999999091</v>
      </c>
      <c r="CI155" s="35">
        <f t="shared" si="155"/>
        <v>33.339836949296497</v>
      </c>
      <c r="CK155" s="14"/>
      <c r="CL155" s="17">
        <f t="shared" si="156"/>
        <v>13.469999999999992</v>
      </c>
      <c r="CM155" s="17">
        <f t="shared" si="157"/>
        <v>19.309999999999995</v>
      </c>
      <c r="CN155" s="17">
        <f t="shared" si="158"/>
        <v>26.099999999999994</v>
      </c>
      <c r="CO155" s="38">
        <f t="shared" si="173"/>
        <v>31.939999999999998</v>
      </c>
      <c r="CP155" s="17">
        <f t="shared" si="159"/>
        <v>38.729999999999997</v>
      </c>
      <c r="CQ155" s="17">
        <f t="shared" si="160"/>
        <v>44.57</v>
      </c>
      <c r="CR155" s="17">
        <f t="shared" si="161"/>
        <v>51.36</v>
      </c>
      <c r="CS155" s="2" cm="1">
        <f t="array" aca="1" ref="CS155" ca="1">MAX(_xlfn._xlws.FILTER(CL155:CR155,CL155:CR155&lt;BN155))</f>
        <v>31.939999999999998</v>
      </c>
      <c r="CT155" s="2" cm="1">
        <f t="array" aca="1" ref="CT155" ca="1">MIN(_xlfn._xlws.FILTER($CL155:$CR155,$CL155:$CR155&gt;BN155))</f>
        <v>38.729999999999997</v>
      </c>
      <c r="CU155" s="16">
        <f t="shared" ca="1" si="175"/>
        <v>0.21258609893550395</v>
      </c>
      <c r="CV155" s="20">
        <f t="shared" ca="1" si="176"/>
        <v>-0.10629304946775198</v>
      </c>
      <c r="CW155" s="20">
        <f t="shared" ca="1" si="177"/>
        <v>-7.0862032978501313E-2</v>
      </c>
      <c r="CX155" s="20">
        <f t="shared" ca="1" si="178"/>
        <v>-4.2517219787100789E-2</v>
      </c>
      <c r="CY155" s="20">
        <f t="shared" ca="1" si="179"/>
        <v>-2.362067765950044E-2</v>
      </c>
      <c r="CZ155" s="20">
        <f t="shared" ca="1" si="180"/>
        <v>-1.2505064643264938E-2</v>
      </c>
      <c r="DA155" s="20">
        <f t="shared" ca="1" si="181"/>
        <v>-6.4420029980455746E-3</v>
      </c>
      <c r="DB155" s="20">
        <f t="shared" ca="1" si="182"/>
        <v>-3.2705553682385222E-3</v>
      </c>
      <c r="DC155" s="21">
        <f t="shared" ca="1" si="183"/>
        <v>3.2705553682385222E-3</v>
      </c>
      <c r="DD155" s="21">
        <f t="shared" ca="1" si="184"/>
        <v>6.4420029980455746E-3</v>
      </c>
      <c r="DE155" s="21">
        <f t="shared" ca="1" si="185"/>
        <v>1.2505064643264938E-2</v>
      </c>
      <c r="DF155" s="21">
        <f t="shared" ca="1" si="186"/>
        <v>2.362067765950044E-2</v>
      </c>
      <c r="DG155" s="21">
        <f t="shared" ca="1" si="187"/>
        <v>4.2517219787100789E-2</v>
      </c>
      <c r="DH155" s="21">
        <f t="shared" ca="1" si="188"/>
        <v>7.0862032978501313E-2</v>
      </c>
      <c r="DI155" s="21">
        <f t="shared" ca="1" si="189"/>
        <v>0.10629304946775198</v>
      </c>
      <c r="DK155" s="16" cm="1">
        <f t="array" aca="1" ref="DK155" ca="1">MAX(_xlfn._xlws.FILTER(CV155:DI155,CV155:DI155&lt;BT155))</f>
        <v>-3.2705553682385222E-3</v>
      </c>
      <c r="DL155" s="16" cm="1">
        <f t="array" aca="1" ref="DL155" ca="1">MIN(_xlfn._xlws.FILTER(CV155:DI155,CV155:DI155&gt;BT155))</f>
        <v>3.2705553682385222E-3</v>
      </c>
      <c r="DM155" s="2" cm="1">
        <f t="array" aca="1" ref="DM155" ca="1">_FV(EB155,"Fechamento anterior",TRUE)</f>
        <v>32.6</v>
      </c>
      <c r="DN155" s="28">
        <f t="shared" ca="1" si="162"/>
        <v>0.12483623517081167</v>
      </c>
      <c r="DO155" s="15">
        <f t="shared" ca="1" si="190"/>
        <v>32.493379894995428</v>
      </c>
      <c r="DP155" s="15">
        <f t="shared" ca="1" si="191"/>
        <v>32.706620105004575</v>
      </c>
      <c r="DQ155" s="9"/>
      <c r="DR155" s="9"/>
      <c r="DS155" s="9"/>
      <c r="DT155" s="89">
        <v>6.5411107364770444E-3</v>
      </c>
      <c r="DU155" s="89">
        <f t="shared" ca="1" si="163"/>
        <v>6.5411107364770444E-3</v>
      </c>
      <c r="DV155" s="72">
        <f t="shared" ca="1" si="164"/>
        <v>0.55439695370311382</v>
      </c>
      <c r="DW155" s="37"/>
      <c r="DX155" s="35">
        <f t="shared" si="174"/>
        <v>0.91991847464870402</v>
      </c>
      <c r="DY155" s="56"/>
      <c r="DZ155" s="56"/>
      <c r="EB155" s="2" t="e" vm="157">
        <v>#VALUE!</v>
      </c>
      <c r="ED155" s="10" cm="1">
        <f t="array" aca="1" ref="ED155" ca="1">_FV(EB155,"Ações em circulação",TRUE)</f>
        <v>2289292000</v>
      </c>
      <c r="EE155" s="18">
        <f>VLOOKUP(BO155,Fundamentus!A:U,5,FALSE)</f>
        <v>1.476</v>
      </c>
      <c r="EF155" s="2">
        <f t="shared" ca="1" si="165"/>
        <v>50438872520.325203</v>
      </c>
      <c r="EG155" s="17">
        <v>4090592561.3983741</v>
      </c>
      <c r="EH155" s="17">
        <f t="shared" ca="1" si="166"/>
        <v>4090592561.3983741</v>
      </c>
      <c r="EJ155" s="16">
        <f t="shared" ca="1" si="153"/>
        <v>0</v>
      </c>
      <c r="EK155" s="32" t="str">
        <f>IF(VLOOKUP(BO155,Fundamentus!A:U,3,FALSE)&lt;15,"Bom",IF(VLOOKUP(BO155,Fundamentus!A:U,3,FALSE)&gt;15,"Ruim","n/a"))</f>
        <v>Ruim</v>
      </c>
      <c r="EL155" s="28" t="str">
        <f>IF(VLOOKUP(BO155,Fundamentus!A:U,4,FALSE)&lt;1,"Baixo",IF(VLOOKUP(BO155,Fundamentus!A:U,4,FALSE)&lt;1.5,"Moderado",IF(VLOOKUP(BO155,Fundamentus!A:U,4,FALSE)&gt;1.5,"Alto","n/a")))</f>
        <v>Alto</v>
      </c>
      <c r="EM155" s="17" t="str">
        <f>IF(VLOOKUP(BO155,Fundamentus!A:U,8,FALSE)&lt;0,"Risco elevado",IF(VLOOKUP(BO155,Fundamentus!A:U,8,FALSE)&lt;1,"Saudável",IF(VLOOKUP(BO155,Fundamentus!A:U,8,FALSE)&lt;3,"Estável",IF(VLOOKUP(BO155,Fundamentus!A:U,8,FALSE)&gt;3,"Alerta","n/a"))))</f>
        <v>Estável</v>
      </c>
      <c r="EN155" s="28" t="str">
        <f t="shared" si="167"/>
        <v>Bom</v>
      </c>
      <c r="EO155" s="17" t="str">
        <f>IF(VLOOKUP(BO155,Fundamentus!A:U,12,FALSE)&lt;2,"Subvalorizada",IF(VLOOKUP(BO155,Fundamentus!A:U,12,FALSE)&lt;6,"Muita barata",IF(VLOOKUP(BO155,Fundamentus!A:U,12,FALSE)&lt;6,"Barata",IF(VLOOKUP(BO155,Fundamentus!A:U,12,FALSE)&lt;8,"Atrativa",IF(VLOOKUP(BO155,Fundamentus!A:U,12,FALSE)&gt;8,"Supervalorizada","n/a")))))</f>
        <v>Atrativa</v>
      </c>
      <c r="EQ155" s="17" t="str">
        <f>IF(VLOOKUP(BO155,Fundamentus!A:U,17,FALSE)&lt;0.1,"Fraco retorno",IF(VLOOKUP(BO155,Fundamentus!A:U,17,FALSE)&gt;0.1,"Bom retorno","n/a"))</f>
        <v>Bom retorno</v>
      </c>
      <c r="ER155" s="17" t="str">
        <f>IF(VLOOKUP(BO155,Fundamentus!A:U,16,FALSE)&lt;0.1,"Ineficiente",IF(VLOOKUP(BO155,Fundamentus!A:U,16,FALSE)&gt;0.1,"Eficiente","n/a"))</f>
        <v>Eficiente</v>
      </c>
      <c r="ES155" s="33" t="str">
        <f>IF(VLOOKUP(BO155,Fundamentus!A:U,16,FALSE)&lt;0.1,"Oper. Ineficiente",IF(VLOOKUP(BO155,Fundamentus!A:U,16,FALSE)&gt;0.1,"Oper.Eficiente","n/a"))</f>
        <v>Oper.Eficiente</v>
      </c>
      <c r="ET155" s="34">
        <f>VLOOKUP(BO155,Fundamentus!A:U,14,FALSE)</f>
        <v>8.1100000000000005E-2</v>
      </c>
      <c r="EU155" s="17" t="str">
        <f>IF(VLOOKUP(BO155,Fundamentus!A:U,21,FALSE)&lt;0,"Negativo",IF(VLOOKUP(BO155,Fundamentus!A:U,21,FALSE)&lt;0.05,"Fraco",IF(VLOOKUP(BO155,Fundamentus!A:U,21,FALSE)&lt;0.1,"Bom",IF(VLOOKUP(BO155,Fundamentus!A:U,21,FALSE)&gt;0.1,"Muito bom","n/a"))))</f>
        <v>Muito bom</v>
      </c>
      <c r="EW155" s="29" t="str">
        <f>IF(VLOOKUP(BO155,Fundamentus!A:U,15,FALSE)&gt;1,"Bom",IF(VLOOKUP(BO155,Fundamentus!A:U,15,FALSE)&lt;1,"Ruim","n/a"))</f>
        <v>Bom</v>
      </c>
      <c r="EX155" s="17" t="str">
        <f>IF(VLOOKUP(BO155,Fundamentus!A:U,20,FALSE)&lt;0.5,"Baixa",IF(VLOOKUP(BO155,Fundamentus!A:U,20,FALSE)&lt;1,"Moderada",IF(VLOOKUP(BO155,Fundamentus!A:U,20,FALSE)&lt;2,"Alerta",IF(VLOOKUP(BO155,Fundamentus!A:U,20,FALSE)&gt;2,"Alta","n/a"))))</f>
        <v>Alerta</v>
      </c>
      <c r="EY155" s="10">
        <v>1</v>
      </c>
    </row>
    <row r="156" spans="1:155" s="2" customFormat="1" ht="11.25"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5">
        <v>27.91</v>
      </c>
      <c r="BC156" s="52">
        <v>28.15</v>
      </c>
      <c r="BD156" s="52">
        <v>27.66</v>
      </c>
      <c r="BE156" s="52">
        <v>28.66</v>
      </c>
      <c r="BF156" s="52">
        <v>28.78</v>
      </c>
      <c r="BG156" s="67">
        <v>29.79</v>
      </c>
      <c r="BH156" s="52">
        <v>30.28</v>
      </c>
      <c r="BI156" s="52">
        <v>30.4</v>
      </c>
      <c r="BJ156" s="52">
        <v>32.4</v>
      </c>
      <c r="BK156" s="52">
        <v>32.1</v>
      </c>
      <c r="BL156" s="52">
        <v>30.95</v>
      </c>
      <c r="BM156" s="52">
        <v>30.7</v>
      </c>
      <c r="BN156" s="52" cm="1">
        <f t="array" aca="1" ref="BN156" ca="1">_FV(EB156,"Preço")</f>
        <v>30.7</v>
      </c>
      <c r="BO156" s="69" t="s">
        <v>152</v>
      </c>
      <c r="BP156" s="36" cm="1">
        <f t="array" aca="1" ref="BP156" ca="1">_FV(EB156,"Média de volume",TRUE)</f>
        <v>5234140</v>
      </c>
      <c r="BQ156" s="36">
        <v>3654400</v>
      </c>
      <c r="BR156" s="36" cm="1">
        <f t="array" aca="1" ref="BR156" ca="1">_FV(EB156,"Volume")</f>
        <v>3654400</v>
      </c>
      <c r="BS156" s="24" cm="1">
        <f t="array" aca="1" ref="BS156" ca="1">_FV(EB156,"Beta")</f>
        <v>0.56640000000000001</v>
      </c>
      <c r="BT156" s="71" cm="1">
        <f t="array" aca="1" ref="BT156" ca="1">_FV(EB156,"Variação (%)",TRUE)</f>
        <v>-1.6259999999999998E-3</v>
      </c>
      <c r="BV156" s="17" cm="1">
        <f t="array" aca="1" ref="BV156" ca="1">_FV(EB156,"Baixo")</f>
        <v>30.66</v>
      </c>
      <c r="BW156" s="17" cm="1">
        <f t="array" aca="1" ref="BW156" ca="1">_FV(EB156,"Alto")</f>
        <v>30.98</v>
      </c>
      <c r="BX156" s="24"/>
      <c r="BY156" s="63">
        <f ca="1">SQRT(22.5*(BN156/VLOOKUP(BO156,Fundamentus!A:U,3,FALSE))*(BN156/VLOOKUP(BO156,Fundamentus!A:U,4,FALSE)))</f>
        <v>28.686661520109901</v>
      </c>
      <c r="CA156" s="62">
        <f t="shared" ca="1" si="168"/>
        <v>0</v>
      </c>
      <c r="CB156" s="8"/>
      <c r="CC156" s="61">
        <f t="shared" si="169"/>
        <v>26.41</v>
      </c>
      <c r="CD156" s="61">
        <f t="shared" si="170"/>
        <v>55.6</v>
      </c>
      <c r="CE156" s="61">
        <f t="shared" si="171"/>
        <v>45.270923076923062</v>
      </c>
      <c r="CF156" s="14"/>
      <c r="CG156" s="35">
        <f t="shared" si="154"/>
        <v>28.523492163300432</v>
      </c>
      <c r="CH156" s="15">
        <f t="shared" si="172"/>
        <v>29.974999999999909</v>
      </c>
      <c r="CI156" s="35">
        <f t="shared" si="155"/>
        <v>31.426507836699386</v>
      </c>
      <c r="CK156" s="14"/>
      <c r="CL156" s="17">
        <f t="shared" si="156"/>
        <v>-9.4833333333333307</v>
      </c>
      <c r="CM156" s="17">
        <f t="shared" si="157"/>
        <v>8.4633333333333347</v>
      </c>
      <c r="CN156" s="17">
        <f t="shared" si="158"/>
        <v>19.706666666666671</v>
      </c>
      <c r="CO156" s="38">
        <f t="shared" si="173"/>
        <v>37.653333333333336</v>
      </c>
      <c r="CP156" s="17">
        <f t="shared" si="159"/>
        <v>48.896666666666675</v>
      </c>
      <c r="CQ156" s="17">
        <f t="shared" si="160"/>
        <v>66.843333333333334</v>
      </c>
      <c r="CR156" s="17">
        <f t="shared" si="161"/>
        <v>78.086666666666673</v>
      </c>
      <c r="CS156" s="2" cm="1">
        <f t="array" aca="1" ref="CS156" ca="1">MAX(_xlfn._xlws.FILTER(CL156:CR156,CL156:CR156&lt;BN156))</f>
        <v>19.706666666666671</v>
      </c>
      <c r="CT156" s="2" cm="1">
        <f t="array" aca="1" ref="CT156" ca="1">MIN(_xlfn._xlws.FILTER($CL156:$CR156,$CL156:$CR156&gt;BN156))</f>
        <v>37.653333333333336</v>
      </c>
      <c r="CU156" s="16">
        <f t="shared" ca="1" si="175"/>
        <v>0.91069012178619735</v>
      </c>
      <c r="CV156" s="20">
        <f t="shared" ca="1" si="176"/>
        <v>-0.45534506089309867</v>
      </c>
      <c r="CW156" s="20">
        <f t="shared" ca="1" si="177"/>
        <v>-0.30356337392873245</v>
      </c>
      <c r="CX156" s="20">
        <f t="shared" ca="1" si="178"/>
        <v>-0.18213802435723947</v>
      </c>
      <c r="CY156" s="20">
        <f t="shared" ca="1" si="179"/>
        <v>-0.10118779130957749</v>
      </c>
      <c r="CZ156" s="20">
        <f t="shared" ca="1" si="180"/>
        <v>-5.3570007163893964E-2</v>
      </c>
      <c r="DA156" s="20">
        <f t="shared" ca="1" si="181"/>
        <v>-2.7596670357157495E-2</v>
      </c>
      <c r="DB156" s="20">
        <f t="shared" ca="1" si="182"/>
        <v>-1.4010617258249191E-2</v>
      </c>
      <c r="DC156" s="21">
        <f t="shared" ca="1" si="183"/>
        <v>1.4010617258249191E-2</v>
      </c>
      <c r="DD156" s="21">
        <f t="shared" ca="1" si="184"/>
        <v>2.7596670357157495E-2</v>
      </c>
      <c r="DE156" s="21">
        <f t="shared" ca="1" si="185"/>
        <v>5.3570007163893964E-2</v>
      </c>
      <c r="DF156" s="21">
        <f t="shared" ca="1" si="186"/>
        <v>0.10118779130957749</v>
      </c>
      <c r="DG156" s="21">
        <f t="shared" ca="1" si="187"/>
        <v>0.18213802435723947</v>
      </c>
      <c r="DH156" s="21">
        <f t="shared" ca="1" si="188"/>
        <v>0.30356337392873245</v>
      </c>
      <c r="DI156" s="21">
        <f t="shared" ca="1" si="189"/>
        <v>0.45534506089309867</v>
      </c>
      <c r="DK156" s="16" cm="1">
        <f t="array" aca="1" ref="DK156" ca="1">MAX(_xlfn._xlws.FILTER(CV156:DI156,CV156:DI156&lt;BT156))</f>
        <v>-1.4010617258249191E-2</v>
      </c>
      <c r="DL156" s="16" cm="1">
        <f t="array" aca="1" ref="DL156" ca="1">MIN(_xlfn._xlws.FILTER(CV156:DI156,CV156:DI156&gt;BT156))</f>
        <v>1.4010617258249191E-2</v>
      </c>
      <c r="DM156" s="2" cm="1">
        <f t="array" aca="1" ref="DM156" ca="1">_FV(EB156,"Fechamento anterior",TRUE)</f>
        <v>30.75</v>
      </c>
      <c r="DN156" s="28">
        <f t="shared" ca="1" si="162"/>
        <v>0.44197199772889184</v>
      </c>
      <c r="DO156" s="15">
        <f t="shared" ca="1" si="190"/>
        <v>30.319173519308837</v>
      </c>
      <c r="DP156" s="15">
        <f t="shared" ca="1" si="191"/>
        <v>31.180826480691163</v>
      </c>
      <c r="DQ156" s="9"/>
      <c r="DR156" s="9"/>
      <c r="DS156" s="9"/>
      <c r="DT156" s="89">
        <v>2.8021234516498381E-2</v>
      </c>
      <c r="DU156" s="89">
        <f t="shared" ca="1" si="163"/>
        <v>2.8021234516498381E-2</v>
      </c>
      <c r="DV156" s="72">
        <f t="shared" ca="1" si="164"/>
        <v>0.49948059643180248</v>
      </c>
      <c r="DW156" s="37"/>
      <c r="DX156" s="35">
        <f t="shared" si="174"/>
        <v>0.72575391834973946</v>
      </c>
      <c r="DY156" s="56"/>
      <c r="DZ156" s="56"/>
      <c r="EB156" s="2" t="e" vm="158">
        <v>#VALUE!</v>
      </c>
      <c r="ED156" s="10" cm="1">
        <f t="array" aca="1" ref="ED156" ca="1">_FV(EB156,"Ações em circulação",TRUE)</f>
        <v>3226547000</v>
      </c>
      <c r="EE156" s="18">
        <f>VLOOKUP(BO156,Fundamentus!A:U,5,FALSE)</f>
        <v>1.766</v>
      </c>
      <c r="EF156" s="2">
        <f t="shared" ca="1" si="165"/>
        <v>56090029954.699883</v>
      </c>
      <c r="EG156" s="17">
        <v>5659484022.4292183</v>
      </c>
      <c r="EH156" s="17">
        <f t="shared" ca="1" si="166"/>
        <v>5659484022.4292183</v>
      </c>
      <c r="EJ156" s="16">
        <f t="shared" ca="1" si="153"/>
        <v>0</v>
      </c>
      <c r="EK156" s="32" t="str">
        <f>IF(VLOOKUP(BO156,Fundamentus!A:U,3,FALSE)&lt;15,"Bom",IF(VLOOKUP(BO156,Fundamentus!A:U,3,FALSE)&gt;15,"Ruim","n/a"))</f>
        <v>Ruim</v>
      </c>
      <c r="EL156" s="28" t="str">
        <f>IF(VLOOKUP(BO156,Fundamentus!A:U,4,FALSE)&lt;1,"Baixo",IF(VLOOKUP(BO156,Fundamentus!A:U,4,FALSE)&lt;1.5,"Moderado",IF(VLOOKUP(BO156,Fundamentus!A:U,4,FALSE)&gt;1.5,"Alto","n/a")))</f>
        <v>Moderado</v>
      </c>
      <c r="EM156" s="17" t="str">
        <f>IF(VLOOKUP(BO156,Fundamentus!A:U,8,FALSE)&lt;0,"Risco elevado",IF(VLOOKUP(BO156,Fundamentus!A:U,8,FALSE)&lt;1,"Saudável",IF(VLOOKUP(BO156,Fundamentus!A:U,8,FALSE)&lt;3,"Estável",IF(VLOOKUP(BO156,Fundamentus!A:U,8,FALSE)&gt;3,"Alerta","n/a"))))</f>
        <v>Risco elevado</v>
      </c>
      <c r="EN156" s="28" t="str">
        <f t="shared" si="167"/>
        <v>Bom</v>
      </c>
      <c r="EO156" s="17" t="str">
        <f>IF(VLOOKUP(BO156,Fundamentus!A:U,12,FALSE)&lt;2,"Subvalorizada",IF(VLOOKUP(BO156,Fundamentus!A:U,12,FALSE)&lt;6,"Muita barata",IF(VLOOKUP(BO156,Fundamentus!A:U,12,FALSE)&lt;6,"Barata",IF(VLOOKUP(BO156,Fundamentus!A:U,12,FALSE)&lt;8,"Atrativa",IF(VLOOKUP(BO156,Fundamentus!A:U,12,FALSE)&gt;8,"Supervalorizada","n/a")))))</f>
        <v>Muita barata</v>
      </c>
      <c r="EQ156" s="17" t="str">
        <f>IF(VLOOKUP(BO156,Fundamentus!A:U,17,FALSE)&lt;0.1,"Fraco retorno",IF(VLOOKUP(BO156,Fundamentus!A:U,17,FALSE)&gt;0.1,"Bom retorno","n/a"))</f>
        <v>Fraco retorno</v>
      </c>
      <c r="ER156" s="17" t="str">
        <f>IF(VLOOKUP(BO156,Fundamentus!A:U,16,FALSE)&lt;0.1,"Ineficiente",IF(VLOOKUP(BO156,Fundamentus!A:U,16,FALSE)&gt;0.1,"Eficiente","n/a"))</f>
        <v>Ineficiente</v>
      </c>
      <c r="ES156" s="33" t="str">
        <f>IF(VLOOKUP(BO156,Fundamentus!A:U,16,FALSE)&lt;0.1,"Oper. Ineficiente",IF(VLOOKUP(BO156,Fundamentus!A:U,16,FALSE)&gt;0.1,"Oper.Eficiente","n/a"))</f>
        <v>Oper. Ineficiente</v>
      </c>
      <c r="ET156" s="34">
        <f>VLOOKUP(BO156,Fundamentus!A:U,14,FALSE)</f>
        <v>0.1009</v>
      </c>
      <c r="EU156" s="17" t="str">
        <f>IF(VLOOKUP(BO156,Fundamentus!A:U,21,FALSE)&lt;0,"Negativo",IF(VLOOKUP(BO156,Fundamentus!A:U,21,FALSE)&lt;0.05,"Fraco",IF(VLOOKUP(BO156,Fundamentus!A:U,21,FALSE)&lt;0.1,"Bom",IF(VLOOKUP(BO156,Fundamentus!A:U,21,FALSE)&gt;0.1,"Muito bom","n/a"))))</f>
        <v>Bom</v>
      </c>
      <c r="EW156" s="29" t="str">
        <f>IF(VLOOKUP(BO156,Fundamentus!A:U,15,FALSE)&gt;1,"Bom",IF(VLOOKUP(BO156,Fundamentus!A:U,15,FALSE)&lt;1,"Ruim","n/a"))</f>
        <v>Ruim</v>
      </c>
      <c r="EX156" s="17" t="str">
        <f>IF(VLOOKUP(BO156,Fundamentus!A:U,20,FALSE)&lt;0.5,"Baixa",IF(VLOOKUP(BO156,Fundamentus!A:U,20,FALSE)&lt;1,"Moderada",IF(VLOOKUP(BO156,Fundamentus!A:U,20,FALSE)&lt;2,"Alerta",IF(VLOOKUP(BO156,Fundamentus!A:U,20,FALSE)&gt;2,"Alta","n/a"))))</f>
        <v>Baixa</v>
      </c>
      <c r="EY156" s="10"/>
    </row>
    <row r="157" spans="1:155" s="2" customFormat="1" ht="11.25"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5">
        <v>3.47</v>
      </c>
      <c r="BC157" s="52">
        <v>3.33</v>
      </c>
      <c r="BD157" s="52">
        <v>3.32</v>
      </c>
      <c r="BE157" s="52">
        <v>3.48</v>
      </c>
      <c r="BF157" s="52">
        <v>3.43</v>
      </c>
      <c r="BG157" s="67">
        <v>3.34</v>
      </c>
      <c r="BH157" s="52">
        <v>3.43</v>
      </c>
      <c r="BI157" s="52">
        <v>3.43</v>
      </c>
      <c r="BJ157" s="52">
        <v>3.39</v>
      </c>
      <c r="BK157" s="52">
        <v>3.34</v>
      </c>
      <c r="BL157" s="52">
        <v>3.41</v>
      </c>
      <c r="BM157" s="52">
        <v>3.48</v>
      </c>
      <c r="BN157" s="52" cm="1">
        <f t="array" aca="1" ref="BN157" ca="1">_FV(EB157,"Preço")</f>
        <v>3.48</v>
      </c>
      <c r="BO157" s="69" t="s">
        <v>153</v>
      </c>
      <c r="BP157" s="36" cm="1">
        <f t="array" aca="1" ref="BP157" ca="1">_FV(EB157,"Média de volume",TRUE)</f>
        <v>768740</v>
      </c>
      <c r="BQ157" s="36">
        <v>276200</v>
      </c>
      <c r="BR157" s="36" cm="1">
        <f t="array" aca="1" ref="BR157" ca="1">_FV(EB157,"Volume")</f>
        <v>276200</v>
      </c>
      <c r="BS157" s="24" cm="1">
        <f t="array" aca="1" ref="BS157" ca="1">_FV(EB157,"Beta")</f>
        <v>1.3038000000000001</v>
      </c>
      <c r="BT157" s="71" cm="1">
        <f t="array" aca="1" ref="BT157" ca="1">_FV(EB157,"Variação (%)",TRUE)</f>
        <v>5.7799999999999995E-3</v>
      </c>
      <c r="BV157" s="17" cm="1">
        <f t="array" aca="1" ref="BV157" ca="1">_FV(EB157,"Baixo")</f>
        <v>3.45</v>
      </c>
      <c r="BW157" s="17" cm="1">
        <f t="array" aca="1" ref="BW157" ca="1">_FV(EB157,"Alto")</f>
        <v>3.54</v>
      </c>
      <c r="BX157" s="24"/>
      <c r="BY157" s="63">
        <f ca="1">SQRT(22.5*(BN157/VLOOKUP(BO157,Fundamentus!A:U,3,FALSE))*(BN157/VLOOKUP(BO157,Fundamentus!A:U,4,FALSE)))</f>
        <v>4.6967027150377127</v>
      </c>
      <c r="CA157" s="62">
        <f t="shared" ca="1" si="168"/>
        <v>0</v>
      </c>
      <c r="CB157" s="8"/>
      <c r="CC157" s="61">
        <f t="shared" si="169"/>
        <v>2.2400000000000002</v>
      </c>
      <c r="CD157" s="61">
        <f t="shared" si="170"/>
        <v>3.48</v>
      </c>
      <c r="CE157" s="61">
        <f t="shared" si="171"/>
        <v>3.0258461538461541</v>
      </c>
      <c r="CF157" s="14"/>
      <c r="CG157" s="35">
        <f t="shared" si="154"/>
        <v>3.3895012437887999</v>
      </c>
      <c r="CH157" s="15">
        <f t="shared" si="172"/>
        <v>3.4900000000000091</v>
      </c>
      <c r="CI157" s="35">
        <f t="shared" si="155"/>
        <v>3.5904987562112183</v>
      </c>
      <c r="CK157" s="14"/>
      <c r="CL157" s="17">
        <f t="shared" si="156"/>
        <v>1.3666666666666671</v>
      </c>
      <c r="CM157" s="17">
        <f t="shared" si="157"/>
        <v>1.8033333333333337</v>
      </c>
      <c r="CN157" s="17">
        <f t="shared" si="158"/>
        <v>2.6066666666666669</v>
      </c>
      <c r="CO157" s="38">
        <f t="shared" si="173"/>
        <v>3.0433333333333334</v>
      </c>
      <c r="CP157" s="17">
        <f t="shared" si="159"/>
        <v>3.8466666666666667</v>
      </c>
      <c r="CQ157" s="17">
        <f t="shared" si="160"/>
        <v>4.2833333333333332</v>
      </c>
      <c r="CR157" s="17">
        <f t="shared" si="161"/>
        <v>5.086666666666666</v>
      </c>
      <c r="CS157" s="2" cm="1">
        <f t="array" aca="1" ref="CS157" ca="1">MAX(_xlfn._xlws.FILTER(CL157:CR157,CL157:CR157&lt;BN157))</f>
        <v>3.0433333333333334</v>
      </c>
      <c r="CT157" s="2" cm="1">
        <f t="array" aca="1" ref="CT157" ca="1">MIN(_xlfn._xlws.FILTER($CL157:$CR157,$CL157:$CR157&gt;BN157))</f>
        <v>3.8466666666666667</v>
      </c>
      <c r="CU157" s="16">
        <f t="shared" ca="1" si="175"/>
        <v>0.2639649507119386</v>
      </c>
      <c r="CV157" s="20">
        <f t="shared" ca="1" si="176"/>
        <v>-0.1319824753559693</v>
      </c>
      <c r="CW157" s="20">
        <f t="shared" ca="1" si="177"/>
        <v>-8.7988316903979527E-2</v>
      </c>
      <c r="CX157" s="20">
        <f t="shared" ca="1" si="178"/>
        <v>-5.2792990142387718E-2</v>
      </c>
      <c r="CY157" s="20">
        <f t="shared" ca="1" si="179"/>
        <v>-2.9329438967993178E-2</v>
      </c>
      <c r="CZ157" s="20">
        <f t="shared" ca="1" si="180"/>
        <v>-1.5527350041878741E-2</v>
      </c>
      <c r="DA157" s="20">
        <f t="shared" ca="1" si="181"/>
        <v>-7.9989379003617758E-3</v>
      </c>
      <c r="DB157" s="20">
        <f t="shared" ca="1" si="182"/>
        <v>-4.0609992417221319E-3</v>
      </c>
      <c r="DC157" s="21">
        <f t="shared" ca="1" si="183"/>
        <v>4.0609992417221319E-3</v>
      </c>
      <c r="DD157" s="21">
        <f t="shared" ca="1" si="184"/>
        <v>7.9989379003617758E-3</v>
      </c>
      <c r="DE157" s="21">
        <f t="shared" ca="1" si="185"/>
        <v>1.5527350041878741E-2</v>
      </c>
      <c r="DF157" s="21">
        <f t="shared" ca="1" si="186"/>
        <v>2.9329438967993178E-2</v>
      </c>
      <c r="DG157" s="21">
        <f t="shared" ca="1" si="187"/>
        <v>5.2792990142387718E-2</v>
      </c>
      <c r="DH157" s="21">
        <f t="shared" ca="1" si="188"/>
        <v>8.7988316903979527E-2</v>
      </c>
      <c r="DI157" s="21">
        <f t="shared" ca="1" si="189"/>
        <v>0.1319824753559693</v>
      </c>
      <c r="DK157" s="16" cm="1">
        <f t="array" aca="1" ref="DK157" ca="1">MAX(_xlfn._xlws.FILTER(CV157:DI157,CV157:DI157&lt;BT157))</f>
        <v>4.0609992417221319E-3</v>
      </c>
      <c r="DL157" s="16" cm="1">
        <f t="array" aca="1" ref="DL157" ca="1">MIN(_xlfn._xlws.FILTER(CV157:DI157,CV157:DI157&gt;BT157))</f>
        <v>7.9989379003617758E-3</v>
      </c>
      <c r="DM157" s="2" cm="1">
        <f t="array" aca="1" ref="DM157" ca="1">_FV(EB157,"Fechamento anterior",TRUE)</f>
        <v>3.46</v>
      </c>
      <c r="DN157" s="28">
        <f t="shared" ca="1" si="162"/>
        <v>0.43661106180894116</v>
      </c>
      <c r="DO157" s="15">
        <f t="shared" ca="1" si="190"/>
        <v>3.4740510573763586</v>
      </c>
      <c r="DP157" s="15">
        <f t="shared" ca="1" si="191"/>
        <v>3.4876763251352516</v>
      </c>
      <c r="DQ157" s="9"/>
      <c r="DR157" s="9"/>
      <c r="DS157" s="9"/>
      <c r="DT157" s="89">
        <v>3.9379386586396439E-3</v>
      </c>
      <c r="DU157" s="89">
        <f t="shared" ca="1" si="163"/>
        <v>3.9379386586396439E-3</v>
      </c>
      <c r="DV157" s="72">
        <f t="shared" ca="1" si="164"/>
        <v>-9.9503719021089315E-2</v>
      </c>
      <c r="DW157" s="37"/>
      <c r="DX157" s="35">
        <f t="shared" si="174"/>
        <v>5.0249378105604488E-2</v>
      </c>
      <c r="DY157" s="56"/>
      <c r="DZ157" s="56"/>
      <c r="EB157" s="2" t="e" vm="159">
        <v>#VALUE!</v>
      </c>
      <c r="ED157" s="10" cm="1">
        <f t="array" aca="1" ref="ED157" ca="1">_FV(EB157,"Ações em circulação",TRUE)</f>
        <v>622672700</v>
      </c>
      <c r="EE157" s="18">
        <f>VLOOKUP(BO157,Fundamentus!A:U,5,FALSE)</f>
        <v>0.16800000000000001</v>
      </c>
      <c r="EF157" s="2">
        <f t="shared" ca="1" si="165"/>
        <v>12898220214.285713</v>
      </c>
      <c r="EG157" s="17">
        <v>143170244.37857142</v>
      </c>
      <c r="EH157" s="17">
        <f t="shared" ca="1" si="166"/>
        <v>143170244.37857142</v>
      </c>
      <c r="EJ157" s="16">
        <f t="shared" ca="1" si="153"/>
        <v>0</v>
      </c>
      <c r="EK157" s="32" t="str">
        <f>IF(VLOOKUP(BO157,Fundamentus!A:U,3,FALSE)&lt;15,"Bom",IF(VLOOKUP(BO157,Fundamentus!A:U,3,FALSE)&gt;15,"Ruim","n/a"))</f>
        <v>Ruim</v>
      </c>
      <c r="EL157" s="28" t="str">
        <f>IF(VLOOKUP(BO157,Fundamentus!A:U,4,FALSE)&lt;1,"Baixo",IF(VLOOKUP(BO157,Fundamentus!A:U,4,FALSE)&lt;1.5,"Moderado",IF(VLOOKUP(BO157,Fundamentus!A:U,4,FALSE)&gt;1.5,"Alto","n/a")))</f>
        <v>Baixo</v>
      </c>
      <c r="EM157" s="17" t="str">
        <f>IF(VLOOKUP(BO157,Fundamentus!A:U,8,FALSE)&lt;0,"Risco elevado",IF(VLOOKUP(BO157,Fundamentus!A:U,8,FALSE)&lt;1,"Saudável",IF(VLOOKUP(BO157,Fundamentus!A:U,8,FALSE)&lt;3,"Estável",IF(VLOOKUP(BO157,Fundamentus!A:U,8,FALSE)&gt;3,"Alerta","n/a"))))</f>
        <v>Estável</v>
      </c>
      <c r="EN157" s="28" t="str">
        <f t="shared" si="167"/>
        <v>Ruim</v>
      </c>
      <c r="EO157" s="17" t="str">
        <f>IF(VLOOKUP(BO157,Fundamentus!A:U,12,FALSE)&lt;2,"Subvalorizada",IF(VLOOKUP(BO157,Fundamentus!A:U,12,FALSE)&lt;6,"Muita barata",IF(VLOOKUP(BO157,Fundamentus!A:U,12,FALSE)&lt;6,"Barata",IF(VLOOKUP(BO157,Fundamentus!A:U,12,FALSE)&lt;8,"Atrativa",IF(VLOOKUP(BO157,Fundamentus!A:U,12,FALSE)&gt;8,"Supervalorizada","n/a")))))</f>
        <v>Muita barata</v>
      </c>
      <c r="EQ157" s="17" t="str">
        <f>IF(VLOOKUP(BO157,Fundamentus!A:U,17,FALSE)&lt;0.1,"Fraco retorno",IF(VLOOKUP(BO157,Fundamentus!A:U,17,FALSE)&gt;0.1,"Bom retorno","n/a"))</f>
        <v>Fraco retorno</v>
      </c>
      <c r="ER157" s="17" t="str">
        <f>IF(VLOOKUP(BO157,Fundamentus!A:U,16,FALSE)&lt;0.1,"Ineficiente",IF(VLOOKUP(BO157,Fundamentus!A:U,16,FALSE)&gt;0.1,"Eficiente","n/a"))</f>
        <v>Ineficiente</v>
      </c>
      <c r="ES157" s="33" t="str">
        <f>IF(VLOOKUP(BO157,Fundamentus!A:U,16,FALSE)&lt;0.1,"Oper. Ineficiente",IF(VLOOKUP(BO157,Fundamentus!A:U,16,FALSE)&gt;0.1,"Oper.Eficiente","n/a"))</f>
        <v>Oper. Ineficiente</v>
      </c>
      <c r="ET157" s="34">
        <f>VLOOKUP(BO157,Fundamentus!A:U,14,FALSE)</f>
        <v>1.11E-2</v>
      </c>
      <c r="EU157" s="17" t="str">
        <f>IF(VLOOKUP(BO157,Fundamentus!A:U,21,FALSE)&lt;0,"Negativo",IF(VLOOKUP(BO157,Fundamentus!A:U,21,FALSE)&lt;0.05,"Fraco",IF(VLOOKUP(BO157,Fundamentus!A:U,21,FALSE)&lt;0.1,"Bom",IF(VLOOKUP(BO157,Fundamentus!A:U,21,FALSE)&gt;0.1,"Muito bom","n/a"))))</f>
        <v>Muito bom</v>
      </c>
      <c r="EW157" s="29" t="str">
        <f>IF(VLOOKUP(BO157,Fundamentus!A:U,15,FALSE)&gt;1,"Bom",IF(VLOOKUP(BO157,Fundamentus!A:U,15,FALSE)&lt;1,"Ruim","n/a"))</f>
        <v>Bom</v>
      </c>
      <c r="EX157" s="17" t="str">
        <f>IF(VLOOKUP(BO157,Fundamentus!A:U,20,FALSE)&lt;0.5,"Baixa",IF(VLOOKUP(BO157,Fundamentus!A:U,20,FALSE)&lt;1,"Moderada",IF(VLOOKUP(BO157,Fundamentus!A:U,20,FALSE)&lt;2,"Alerta",IF(VLOOKUP(BO157,Fundamentus!A:U,20,FALSE)&gt;2,"Alta","n/a"))))</f>
        <v>Moderada</v>
      </c>
      <c r="EY157" s="10"/>
    </row>
    <row r="158" spans="1:155" s="2" customFormat="1" ht="11.25"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5">
        <v>11.55</v>
      </c>
      <c r="BC158" s="52">
        <v>13.15</v>
      </c>
      <c r="BD158" s="52">
        <v>13.92</v>
      </c>
      <c r="BE158" s="52">
        <v>14.49</v>
      </c>
      <c r="BF158" s="52">
        <v>14.64</v>
      </c>
      <c r="BG158" s="67">
        <v>14.98</v>
      </c>
      <c r="BH158" s="52">
        <v>14.36</v>
      </c>
      <c r="BI158" s="52">
        <v>14.55</v>
      </c>
      <c r="BJ158" s="52">
        <v>15.08</v>
      </c>
      <c r="BK158" s="52">
        <v>14.42</v>
      </c>
      <c r="BL158" s="52">
        <v>14.33</v>
      </c>
      <c r="BM158" s="52">
        <v>14.29</v>
      </c>
      <c r="BN158" s="52" cm="1">
        <f t="array" aca="1" ref="BN158" ca="1">_FV(EB158,"Preço")</f>
        <v>14.29</v>
      </c>
      <c r="BO158" s="70" t="s">
        <v>154</v>
      </c>
      <c r="BP158" s="36" cm="1">
        <f t="array" aca="1" ref="BP158" ca="1">_FV(EB158,"Média de volume",TRUE)</f>
        <v>619300</v>
      </c>
      <c r="BQ158" s="36">
        <v>270500</v>
      </c>
      <c r="BR158" s="36" cm="1">
        <f t="array" aca="1" ref="BR158" ca="1">_FV(EB158,"Volume")</f>
        <v>270500</v>
      </c>
      <c r="BS158" s="24" cm="1">
        <f t="array" aca="1" ref="BS158" ca="1">_FV(EB158,"Beta")</f>
        <v>1.091</v>
      </c>
      <c r="BT158" s="71" cm="1">
        <f t="array" aca="1" ref="BT158" ca="1">_FV(EB158,"Variação (%)",TRUE)</f>
        <v>2.104E-3</v>
      </c>
      <c r="BV158" s="17" cm="1">
        <f t="array" aca="1" ref="BV158" ca="1">_FV(EB158,"Baixo")</f>
        <v>14.14</v>
      </c>
      <c r="BW158" s="17" cm="1">
        <f t="array" aca="1" ref="BW158" ca="1">_FV(EB158,"Alto")</f>
        <v>14.51</v>
      </c>
      <c r="BX158" s="24"/>
      <c r="BY158" s="63">
        <f ca="1">SQRT(22.5*(BN158/VLOOKUP(BO158,Fundamentus!A:U,3,FALSE))*(BN158/VLOOKUP(BO158,Fundamentus!A:U,4,FALSE)))</f>
        <v>7.6934773804111849</v>
      </c>
      <c r="CA158" s="62">
        <f t="shared" ca="1" si="168"/>
        <v>0</v>
      </c>
      <c r="CB158" s="8"/>
      <c r="CC158" s="61">
        <f t="shared" si="169"/>
        <v>8.59</v>
      </c>
      <c r="CD158" s="61">
        <f t="shared" si="170"/>
        <v>15.08</v>
      </c>
      <c r="CE158" s="61">
        <f t="shared" si="171"/>
        <v>11.203076923076921</v>
      </c>
      <c r="CF158" s="14"/>
      <c r="CG158" s="35">
        <f t="shared" si="154"/>
        <v>13.272971963228983</v>
      </c>
      <c r="CH158" s="15">
        <f t="shared" si="172"/>
        <v>13.914999999999964</v>
      </c>
      <c r="CI158" s="35">
        <f t="shared" si="155"/>
        <v>14.557028036770944</v>
      </c>
      <c r="CK158" s="14"/>
      <c r="CL158" s="17">
        <f t="shared" si="156"/>
        <v>3.7633333333333319</v>
      </c>
      <c r="CM158" s="17">
        <f t="shared" si="157"/>
        <v>6.1766666666666659</v>
      </c>
      <c r="CN158" s="17">
        <f t="shared" si="158"/>
        <v>10.253333333333332</v>
      </c>
      <c r="CO158" s="38">
        <f t="shared" si="173"/>
        <v>12.666666666666666</v>
      </c>
      <c r="CP158" s="17">
        <f t="shared" si="159"/>
        <v>16.743333333333332</v>
      </c>
      <c r="CQ158" s="17">
        <f t="shared" si="160"/>
        <v>19.156666666666666</v>
      </c>
      <c r="CR158" s="17">
        <f t="shared" si="161"/>
        <v>23.233333333333334</v>
      </c>
      <c r="CS158" s="2" cm="1">
        <f t="array" aca="1" ref="CS158" ca="1">MAX(_xlfn._xlws.FILTER(CL158:CR158,CL158:CR158&lt;BN158))</f>
        <v>12.666666666666666</v>
      </c>
      <c r="CT158" s="2" cm="1">
        <f t="array" aca="1" ref="CT158" ca="1">MIN(_xlfn._xlws.FILTER($CL158:$CR158,$CL158:$CR158&gt;BN158))</f>
        <v>16.743333333333332</v>
      </c>
      <c r="CU158" s="16">
        <f t="shared" ca="1" si="175"/>
        <v>0.32184210526315793</v>
      </c>
      <c r="CV158" s="20">
        <f t="shared" ca="1" si="176"/>
        <v>-0.16092105263157896</v>
      </c>
      <c r="CW158" s="20">
        <f t="shared" ca="1" si="177"/>
        <v>-0.10728070175438598</v>
      </c>
      <c r="CX158" s="20">
        <f t="shared" ca="1" si="178"/>
        <v>-6.4368421052631589E-2</v>
      </c>
      <c r="CY158" s="20">
        <f t="shared" ca="1" si="179"/>
        <v>-3.5760233918128659E-2</v>
      </c>
      <c r="CZ158" s="20">
        <f t="shared" ca="1" si="180"/>
        <v>-1.8931888544891643E-2</v>
      </c>
      <c r="DA158" s="20">
        <f t="shared" ca="1" si="181"/>
        <v>-9.7527910685805425E-3</v>
      </c>
      <c r="DB158" s="20">
        <f t="shared" ca="1" si="182"/>
        <v>-4.9514170040485831E-3</v>
      </c>
      <c r="DC158" s="21">
        <f t="shared" ca="1" si="183"/>
        <v>4.9514170040485831E-3</v>
      </c>
      <c r="DD158" s="21">
        <f t="shared" ca="1" si="184"/>
        <v>9.7527910685805425E-3</v>
      </c>
      <c r="DE158" s="21">
        <f t="shared" ca="1" si="185"/>
        <v>1.8931888544891643E-2</v>
      </c>
      <c r="DF158" s="21">
        <f t="shared" ca="1" si="186"/>
        <v>3.5760233918128659E-2</v>
      </c>
      <c r="DG158" s="21">
        <f t="shared" ca="1" si="187"/>
        <v>6.4368421052631589E-2</v>
      </c>
      <c r="DH158" s="21">
        <f t="shared" ca="1" si="188"/>
        <v>0.10728070175438598</v>
      </c>
      <c r="DI158" s="21">
        <f t="shared" ca="1" si="189"/>
        <v>0.16092105263157896</v>
      </c>
      <c r="DK158" s="16" cm="1">
        <f t="array" aca="1" ref="DK158" ca="1">MAX(_xlfn._xlws.FILTER(CV158:DI158,CV158:DI158&lt;BT158))</f>
        <v>-4.9514170040485831E-3</v>
      </c>
      <c r="DL158" s="16" cm="1">
        <f t="array" aca="1" ref="DL158" ca="1">MIN(_xlfn._xlws.FILTER(CV158:DI158,CV158:DI158&gt;BT158))</f>
        <v>4.9514170040485831E-3</v>
      </c>
      <c r="DM158" s="2" cm="1">
        <f t="array" aca="1" ref="DM158" ca="1">_FV(EB158,"Fechamento anterior",TRUE)</f>
        <v>14.26</v>
      </c>
      <c r="DN158" s="28">
        <f t="shared" ca="1" si="162"/>
        <v>0.71244290417763589</v>
      </c>
      <c r="DO158" s="15">
        <f t="shared" ca="1" si="190"/>
        <v>14.189392793522266</v>
      </c>
      <c r="DP158" s="15">
        <f t="shared" ca="1" si="191"/>
        <v>14.330607206477733</v>
      </c>
      <c r="DQ158" s="9"/>
      <c r="DR158" s="9"/>
      <c r="DS158" s="9"/>
      <c r="DT158" s="89">
        <v>9.9028340080971663E-3</v>
      </c>
      <c r="DU158" s="89">
        <f t="shared" ca="1" si="163"/>
        <v>9.9028340080971663E-3</v>
      </c>
      <c r="DV158" s="72">
        <f t="shared" ca="1" si="164"/>
        <v>0.58408664189505266</v>
      </c>
      <c r="DW158" s="37"/>
      <c r="DX158" s="35">
        <f t="shared" si="174"/>
        <v>0.32101401838549065</v>
      </c>
      <c r="DY158" s="56"/>
      <c r="DZ158" s="56"/>
      <c r="EB158" s="2" t="e" vm="160">
        <v>#VALUE!</v>
      </c>
      <c r="ED158" s="10" cm="1">
        <f t="array" aca="1" ref="ED158" ca="1">_FV(EB158,"Ações em circulação",TRUE)</f>
        <v>65492860</v>
      </c>
      <c r="EE158" s="18">
        <f>VLOOKUP(BO158,Fundamentus!A:U,5,FALSE)</f>
        <v>2.4660000000000002</v>
      </c>
      <c r="EF158" s="2">
        <f t="shared" ca="1" si="165"/>
        <v>379518641.28142738</v>
      </c>
      <c r="EG158" s="17">
        <v>54271165.703244112</v>
      </c>
      <c r="EH158" s="17">
        <f t="shared" ca="1" si="166"/>
        <v>54271165.703244112</v>
      </c>
      <c r="EJ158" s="16">
        <f t="shared" ca="1" si="153"/>
        <v>0</v>
      </c>
      <c r="EK158" s="32" t="str">
        <f>IF(VLOOKUP(BO158,Fundamentus!A:U,3,FALSE)&lt;15,"Bom",IF(VLOOKUP(BO158,Fundamentus!A:U,3,FALSE)&gt;15,"Ruim","n/a"))</f>
        <v>Ruim</v>
      </c>
      <c r="EL158" s="28" t="str">
        <f>IF(VLOOKUP(BO158,Fundamentus!A:U,4,FALSE)&lt;1,"Baixo",IF(VLOOKUP(BO158,Fundamentus!A:U,4,FALSE)&lt;1.5,"Moderado",IF(VLOOKUP(BO158,Fundamentus!A:U,4,FALSE)&gt;1.5,"Alto","n/a")))</f>
        <v>Alto</v>
      </c>
      <c r="EM158" s="17" t="str">
        <f>IF(VLOOKUP(BO158,Fundamentus!A:U,8,FALSE)&lt;0,"Risco elevado",IF(VLOOKUP(BO158,Fundamentus!A:U,8,FALSE)&lt;1,"Saudável",IF(VLOOKUP(BO158,Fundamentus!A:U,8,FALSE)&lt;3,"Estável",IF(VLOOKUP(BO158,Fundamentus!A:U,8,FALSE)&gt;3,"Alerta","n/a"))))</f>
        <v>Alerta</v>
      </c>
      <c r="EN158" s="28" t="str">
        <f t="shared" si="167"/>
        <v>Bom</v>
      </c>
      <c r="EO158" s="17" t="str">
        <f>IF(VLOOKUP(BO158,Fundamentus!A:U,12,FALSE)&lt;2,"Subvalorizada",IF(VLOOKUP(BO158,Fundamentus!A:U,12,FALSE)&lt;6,"Muita barata",IF(VLOOKUP(BO158,Fundamentus!A:U,12,FALSE)&lt;6,"Barata",IF(VLOOKUP(BO158,Fundamentus!A:U,12,FALSE)&lt;8,"Atrativa",IF(VLOOKUP(BO158,Fundamentus!A:U,12,FALSE)&gt;8,"Supervalorizada","n/a")))))</f>
        <v>Supervalorizada</v>
      </c>
      <c r="EQ158" s="17" t="str">
        <f>IF(VLOOKUP(BO158,Fundamentus!A:U,17,FALSE)&lt;0.1,"Fraco retorno",IF(VLOOKUP(BO158,Fundamentus!A:U,17,FALSE)&gt;0.1,"Bom retorno","n/a"))</f>
        <v>Bom retorno</v>
      </c>
      <c r="ER158" s="17" t="str">
        <f>IF(VLOOKUP(BO158,Fundamentus!A:U,16,FALSE)&lt;0.1,"Ineficiente",IF(VLOOKUP(BO158,Fundamentus!A:U,16,FALSE)&gt;0.1,"Eficiente","n/a"))</f>
        <v>Eficiente</v>
      </c>
      <c r="ES158" s="33" t="str">
        <f>IF(VLOOKUP(BO158,Fundamentus!A:U,16,FALSE)&lt;0.1,"Oper. Ineficiente",IF(VLOOKUP(BO158,Fundamentus!A:U,16,FALSE)&gt;0.1,"Oper.Eficiente","n/a"))</f>
        <v>Oper.Eficiente</v>
      </c>
      <c r="ET158" s="34">
        <f>VLOOKUP(BO158,Fundamentus!A:U,14,FALSE)</f>
        <v>0.14299999999999999</v>
      </c>
      <c r="EU158" s="17" t="str">
        <f>IF(VLOOKUP(BO158,Fundamentus!A:U,21,FALSE)&lt;0,"Negativo",IF(VLOOKUP(BO158,Fundamentus!A:U,21,FALSE)&lt;0.05,"Fraco",IF(VLOOKUP(BO158,Fundamentus!A:U,21,FALSE)&lt;0.1,"Bom",IF(VLOOKUP(BO158,Fundamentus!A:U,21,FALSE)&gt;0.1,"Muito bom","n/a"))))</f>
        <v>Muito bom</v>
      </c>
      <c r="EW158" s="29" t="str">
        <f>IF(VLOOKUP(BO158,Fundamentus!A:U,15,FALSE)&gt;1,"Bom",IF(VLOOKUP(BO158,Fundamentus!A:U,15,FALSE)&lt;1,"Ruim","n/a"))</f>
        <v>Bom</v>
      </c>
      <c r="EX158" s="17" t="str">
        <f>IF(VLOOKUP(BO158,Fundamentus!A:U,20,FALSE)&lt;0.5,"Baixa",IF(VLOOKUP(BO158,Fundamentus!A:U,20,FALSE)&lt;1,"Moderada",IF(VLOOKUP(BO158,Fundamentus!A:U,20,FALSE)&lt;2,"Alerta",IF(VLOOKUP(BO158,Fundamentus!A:U,20,FALSE)&gt;2,"Alta","n/a"))))</f>
        <v>Baixa</v>
      </c>
      <c r="EY158" s="10"/>
    </row>
    <row r="159" spans="1:155" s="2" customFormat="1" ht="11.25"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5">
        <v>14.08</v>
      </c>
      <c r="BC159" s="52">
        <v>14.5</v>
      </c>
      <c r="BD159" s="52">
        <v>14.17</v>
      </c>
      <c r="BE159" s="52">
        <v>13.97</v>
      </c>
      <c r="BF159" s="52">
        <v>13.85</v>
      </c>
      <c r="BG159" s="67">
        <v>13.57</v>
      </c>
      <c r="BH159" s="52">
        <v>13.75</v>
      </c>
      <c r="BI159" s="52">
        <v>13.51</v>
      </c>
      <c r="BJ159" s="52">
        <v>13.9</v>
      </c>
      <c r="BK159" s="52">
        <v>13.28</v>
      </c>
      <c r="BL159" s="52">
        <v>13.69</v>
      </c>
      <c r="BM159" s="52">
        <v>13.67</v>
      </c>
      <c r="BN159" s="52" cm="1">
        <f t="array" aca="1" ref="BN159" ca="1">_FV(EB159,"Preço")</f>
        <v>13.67</v>
      </c>
      <c r="BO159" s="69" t="s">
        <v>155</v>
      </c>
      <c r="BP159" s="36" cm="1">
        <f t="array" aca="1" ref="BP159" ca="1">_FV(EB159,"Média de volume",TRUE)</f>
        <v>5527440</v>
      </c>
      <c r="BQ159" s="36">
        <v>2729100</v>
      </c>
      <c r="BR159" s="36" cm="1">
        <f t="array" aca="1" ref="BR159" ca="1">_FV(EB159,"Volume")</f>
        <v>2729100</v>
      </c>
      <c r="BS159" s="24" cm="1">
        <f t="array" aca="1" ref="BS159" ca="1">_FV(EB159,"Beta")</f>
        <v>0.85560000000000003</v>
      </c>
      <c r="BT159" s="71" cm="1">
        <f t="array" aca="1" ref="BT159" ca="1">_FV(EB159,"Variação (%)",TRUE)</f>
        <v>-1.3709000000000001E-2</v>
      </c>
      <c r="BV159" s="17" cm="1">
        <f t="array" aca="1" ref="BV159" ca="1">_FV(EB159,"Baixo")</f>
        <v>13.67</v>
      </c>
      <c r="BW159" s="17" cm="1">
        <f t="array" aca="1" ref="BW159" ca="1">_FV(EB159,"Alto")</f>
        <v>13.96</v>
      </c>
      <c r="BX159" s="24"/>
      <c r="BY159" s="63">
        <f ca="1">SQRT(22.5*(BN159/VLOOKUP(BO159,Fundamentus!A:U,3,FALSE))*(BN159/VLOOKUP(BO159,Fundamentus!A:U,4,FALSE)))</f>
        <v>7.2969127586931313</v>
      </c>
      <c r="CA159" s="62">
        <f t="shared" ca="1" si="168"/>
        <v>0</v>
      </c>
      <c r="CB159" s="8"/>
      <c r="CC159" s="61">
        <f t="shared" si="169"/>
        <v>10.07</v>
      </c>
      <c r="CD159" s="61">
        <f t="shared" si="170"/>
        <v>14.5</v>
      </c>
      <c r="CE159" s="61">
        <f t="shared" si="171"/>
        <v>12.740615384615387</v>
      </c>
      <c r="CF159" s="14"/>
      <c r="CG159" s="35">
        <f t="shared" si="154"/>
        <v>13.117227736455234</v>
      </c>
      <c r="CH159" s="15">
        <f t="shared" si="172"/>
        <v>13.564999999999998</v>
      </c>
      <c r="CI159" s="35">
        <f t="shared" si="155"/>
        <v>14.012772263544761</v>
      </c>
      <c r="CK159" s="14"/>
      <c r="CL159" s="17">
        <f t="shared" si="156"/>
        <v>6.5766666666666644</v>
      </c>
      <c r="CM159" s="17">
        <f t="shared" si="157"/>
        <v>8.3233333333333324</v>
      </c>
      <c r="CN159" s="17">
        <f t="shared" si="158"/>
        <v>11.006666666666664</v>
      </c>
      <c r="CO159" s="38">
        <f t="shared" si="173"/>
        <v>12.753333333333332</v>
      </c>
      <c r="CP159" s="17">
        <f t="shared" si="159"/>
        <v>15.436666666666664</v>
      </c>
      <c r="CQ159" s="17">
        <f t="shared" si="160"/>
        <v>17.18333333333333</v>
      </c>
      <c r="CR159" s="17">
        <f t="shared" si="161"/>
        <v>19.866666666666664</v>
      </c>
      <c r="CS159" s="2" cm="1">
        <f t="array" aca="1" ref="CS159" ca="1">MAX(_xlfn._xlws.FILTER(CL159:CR159,CL159:CR159&lt;BN159))</f>
        <v>12.753333333333332</v>
      </c>
      <c r="CT159" s="2" cm="1">
        <f t="array" aca="1" ref="CT159" ca="1">MIN(_xlfn._xlws.FILTER($CL159:$CR159,$CL159:$CR159&gt;BN159))</f>
        <v>15.436666666666664</v>
      </c>
      <c r="CU159" s="16">
        <f t="shared" ca="1" si="175"/>
        <v>0.21040250914793512</v>
      </c>
      <c r="CV159" s="20">
        <f t="shared" ca="1" si="176"/>
        <v>-0.10520125457396756</v>
      </c>
      <c r="CW159" s="20">
        <f t="shared" ca="1" si="177"/>
        <v>-7.013416971597837E-2</v>
      </c>
      <c r="CX159" s="20">
        <f t="shared" ca="1" si="178"/>
        <v>-4.2080501829587023E-2</v>
      </c>
      <c r="CY159" s="20">
        <f t="shared" ca="1" si="179"/>
        <v>-2.3378056571992791E-2</v>
      </c>
      <c r="CZ159" s="20">
        <f t="shared" ca="1" si="180"/>
        <v>-1.2376618185172654E-2</v>
      </c>
      <c r="DA159" s="20">
        <f t="shared" ca="1" si="181"/>
        <v>-6.3758336105434882E-3</v>
      </c>
      <c r="DB159" s="20">
        <f t="shared" ca="1" si="182"/>
        <v>-3.2369616791990017E-3</v>
      </c>
      <c r="DC159" s="21">
        <f t="shared" ca="1" si="183"/>
        <v>3.2369616791990017E-3</v>
      </c>
      <c r="DD159" s="21">
        <f t="shared" ca="1" si="184"/>
        <v>6.3758336105434882E-3</v>
      </c>
      <c r="DE159" s="21">
        <f t="shared" ca="1" si="185"/>
        <v>1.2376618185172654E-2</v>
      </c>
      <c r="DF159" s="21">
        <f t="shared" ca="1" si="186"/>
        <v>2.3378056571992791E-2</v>
      </c>
      <c r="DG159" s="21">
        <f t="shared" ca="1" si="187"/>
        <v>4.2080501829587023E-2</v>
      </c>
      <c r="DH159" s="21">
        <f t="shared" ca="1" si="188"/>
        <v>7.013416971597837E-2</v>
      </c>
      <c r="DI159" s="21">
        <f t="shared" ca="1" si="189"/>
        <v>0.10520125457396756</v>
      </c>
      <c r="DK159" s="16" cm="1">
        <f t="array" aca="1" ref="DK159" ca="1">MAX(_xlfn._xlws.FILTER(CV159:DI159,CV159:DI159&lt;BT159))</f>
        <v>-2.3378056571992791E-2</v>
      </c>
      <c r="DL159" s="16" cm="1">
        <f t="array" aca="1" ref="DL159" ca="1">MIN(_xlfn._xlws.FILTER(CV159:DI159,CV159:DI159&gt;BT159))</f>
        <v>-1.2376618185172654E-2</v>
      </c>
      <c r="DM159" s="2" cm="1">
        <f t="array" aca="1" ref="DM159" ca="1">_FV(EB159,"Fechamento anterior",TRUE)</f>
        <v>13.86</v>
      </c>
      <c r="DN159" s="28">
        <f t="shared" ca="1" si="162"/>
        <v>0.87893441961764762</v>
      </c>
      <c r="DO159" s="15">
        <f t="shared" ca="1" si="190"/>
        <v>13.53598013591218</v>
      </c>
      <c r="DP159" s="15">
        <f t="shared" ca="1" si="191"/>
        <v>13.688460071953507</v>
      </c>
      <c r="DQ159" s="9"/>
      <c r="DR159" s="9"/>
      <c r="DS159" s="9"/>
      <c r="DT159" s="89">
        <v>1.1001438386820137E-2</v>
      </c>
      <c r="DU159" s="89">
        <f t="shared" ca="1" si="163"/>
        <v>1.1001438386820137E-2</v>
      </c>
      <c r="DV159" s="72">
        <f t="shared" ca="1" si="164"/>
        <v>0.23449420285386982</v>
      </c>
      <c r="DW159" s="37"/>
      <c r="DX159" s="35">
        <f t="shared" si="174"/>
        <v>0.22388613177238142</v>
      </c>
      <c r="DY159" s="56"/>
      <c r="DZ159" s="56"/>
      <c r="EB159" s="2" t="e" vm="161">
        <v>#VALUE!</v>
      </c>
      <c r="ED159" s="10" cm="1">
        <f t="array" aca="1" ref="ED159" ca="1">_FV(EB159,"Ações em circulação",TRUE)</f>
        <v>1932592000</v>
      </c>
      <c r="EE159" s="18">
        <f>VLOOKUP(BO159,Fundamentus!A:U,5,FALSE)</f>
        <v>1.9630000000000001</v>
      </c>
      <c r="EF159" s="2">
        <f t="shared" ca="1" si="165"/>
        <v>13458243830.871115</v>
      </c>
      <c r="EG159" s="17">
        <v>927272999.94701982</v>
      </c>
      <c r="EH159" s="17">
        <f t="shared" ca="1" si="166"/>
        <v>927272999.94701982</v>
      </c>
      <c r="EJ159" s="16">
        <f t="shared" ca="1" si="153"/>
        <v>0</v>
      </c>
      <c r="EK159" s="32" t="str">
        <f>IF(VLOOKUP(BO159,Fundamentus!A:U,3,FALSE)&lt;15,"Bom",IF(VLOOKUP(BO159,Fundamentus!A:U,3,FALSE)&gt;15,"Ruim","n/a"))</f>
        <v>Ruim</v>
      </c>
      <c r="EL159" s="28" t="str">
        <f>IF(VLOOKUP(BO159,Fundamentus!A:U,4,FALSE)&lt;1,"Baixo",IF(VLOOKUP(BO159,Fundamentus!A:U,4,FALSE)&lt;1.5,"Moderado",IF(VLOOKUP(BO159,Fundamentus!A:U,4,FALSE)&gt;1.5,"Alto","n/a")))</f>
        <v>Moderado</v>
      </c>
      <c r="EM159" s="17" t="str">
        <f>IF(VLOOKUP(BO159,Fundamentus!A:U,8,FALSE)&lt;0,"Risco elevado",IF(VLOOKUP(BO159,Fundamentus!A:U,8,FALSE)&lt;1,"Saudável",IF(VLOOKUP(BO159,Fundamentus!A:U,8,FALSE)&lt;3,"Estável",IF(VLOOKUP(BO159,Fundamentus!A:U,8,FALSE)&gt;3,"Alerta","n/a"))))</f>
        <v>Alerta</v>
      </c>
      <c r="EN159" s="28" t="str">
        <f t="shared" si="167"/>
        <v>Bom</v>
      </c>
      <c r="EO159" s="17" t="str">
        <f>IF(VLOOKUP(BO159,Fundamentus!A:U,12,FALSE)&lt;2,"Subvalorizada",IF(VLOOKUP(BO159,Fundamentus!A:U,12,FALSE)&lt;6,"Muita barata",IF(VLOOKUP(BO159,Fundamentus!A:U,12,FALSE)&lt;6,"Barata",IF(VLOOKUP(BO159,Fundamentus!A:U,12,FALSE)&lt;8,"Atrativa",IF(VLOOKUP(BO159,Fundamentus!A:U,12,FALSE)&gt;8,"Supervalorizada","n/a")))))</f>
        <v>Supervalorizada</v>
      </c>
      <c r="EQ159" s="17" t="str">
        <f>IF(VLOOKUP(BO159,Fundamentus!A:U,17,FALSE)&lt;0.1,"Fraco retorno",IF(VLOOKUP(BO159,Fundamentus!A:U,17,FALSE)&gt;0.1,"Bom retorno","n/a"))</f>
        <v>Fraco retorno</v>
      </c>
      <c r="ER159" s="17" t="str">
        <f>IF(VLOOKUP(BO159,Fundamentus!A:U,16,FALSE)&lt;0.1,"Ineficiente",IF(VLOOKUP(BO159,Fundamentus!A:U,16,FALSE)&gt;0.1,"Eficiente","n/a"))</f>
        <v>Ineficiente</v>
      </c>
      <c r="ES159" s="33" t="str">
        <f>IF(VLOOKUP(BO159,Fundamentus!A:U,16,FALSE)&lt;0.1,"Oper. Ineficiente",IF(VLOOKUP(BO159,Fundamentus!A:U,16,FALSE)&gt;0.1,"Oper.Eficiente","n/a"))</f>
        <v>Oper. Ineficiente</v>
      </c>
      <c r="ET159" s="34">
        <f>VLOOKUP(BO159,Fundamentus!A:U,14,FALSE)</f>
        <v>6.8900000000000003E-2</v>
      </c>
      <c r="EU159" s="17" t="str">
        <f>IF(VLOOKUP(BO159,Fundamentus!A:U,21,FALSE)&lt;0,"Negativo",IF(VLOOKUP(BO159,Fundamentus!A:U,21,FALSE)&lt;0.05,"Fraco",IF(VLOOKUP(BO159,Fundamentus!A:U,21,FALSE)&lt;0.1,"Bom",IF(VLOOKUP(BO159,Fundamentus!A:U,21,FALSE)&gt;0.1,"Muito bom","n/a"))))</f>
        <v>Muito bom</v>
      </c>
      <c r="EW159" s="29" t="str">
        <f>IF(VLOOKUP(BO159,Fundamentus!A:U,15,FALSE)&gt;1,"Bom",IF(VLOOKUP(BO159,Fundamentus!A:U,15,FALSE)&lt;1,"Ruim","n/a"))</f>
        <v>Bom</v>
      </c>
      <c r="EX159" s="17" t="str">
        <f>IF(VLOOKUP(BO159,Fundamentus!A:U,20,FALSE)&lt;0.5,"Baixa",IF(VLOOKUP(BO159,Fundamentus!A:U,20,FALSE)&lt;1,"Moderada",IF(VLOOKUP(BO159,Fundamentus!A:U,20,FALSE)&lt;2,"Alerta",IF(VLOOKUP(BO159,Fundamentus!A:U,20,FALSE)&gt;2,"Alta","n/a"))))</f>
        <v>Alerta</v>
      </c>
      <c r="EY159" s="10"/>
    </row>
    <row r="160" spans="1:155" s="2" customFormat="1" ht="11.25"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5">
        <v>5</v>
      </c>
      <c r="BC160" s="52">
        <v>5.55</v>
      </c>
      <c r="BD160" s="52">
        <v>6.26</v>
      </c>
      <c r="BE160" s="52">
        <v>6.2</v>
      </c>
      <c r="BF160" s="52">
        <v>6.78</v>
      </c>
      <c r="BG160" s="67">
        <v>7.02</v>
      </c>
      <c r="BH160" s="52">
        <v>7.19</v>
      </c>
      <c r="BI160" s="52">
        <v>6.83</v>
      </c>
      <c r="BJ160" s="52">
        <v>6.58</v>
      </c>
      <c r="BK160" s="52">
        <v>5.63</v>
      </c>
      <c r="BL160" s="52">
        <v>5.87</v>
      </c>
      <c r="BM160" s="52">
        <v>6.05</v>
      </c>
      <c r="BN160" s="52" cm="1">
        <f t="array" aca="1" ref="BN160" ca="1">_FV(EB160,"Preço")</f>
        <v>6.05</v>
      </c>
      <c r="BO160" s="69" t="s">
        <v>156</v>
      </c>
      <c r="BP160" s="36" cm="1">
        <f t="array" aca="1" ref="BP160" ca="1">_FV(EB160,"Média de volume",TRUE)</f>
        <v>813290</v>
      </c>
      <c r="BQ160" s="36">
        <v>294300</v>
      </c>
      <c r="BR160" s="36" cm="1">
        <f t="array" aca="1" ref="BR160" ca="1">_FV(EB160,"Volume")</f>
        <v>294300</v>
      </c>
      <c r="BS160" s="24" cm="1">
        <f t="array" aca="1" ref="BS160" ca="1">_FV(EB160,"Beta")</f>
        <v>2.2069000000000001</v>
      </c>
      <c r="BT160" s="71" cm="1">
        <f t="array" aca="1" ref="BT160" ca="1">_FV(EB160,"Variação (%)",TRUE)</f>
        <v>-6.5680000000000009E-3</v>
      </c>
      <c r="BV160" s="17" cm="1">
        <f t="array" aca="1" ref="BV160" ca="1">_FV(EB160,"Baixo")</f>
        <v>6</v>
      </c>
      <c r="BW160" s="17" cm="1">
        <f t="array" aca="1" ref="BW160" ca="1">_FV(EB160,"Alto")</f>
        <v>6.13</v>
      </c>
      <c r="BX160" s="24"/>
      <c r="BY160" s="63">
        <f ca="1">SQRT(22.5*(BN160/VLOOKUP(BO160,Fundamentus!A:U,3,FALSE))*(BN160/VLOOKUP(BO160,Fundamentus!A:U,4,FALSE)))</f>
        <v>45.982534218386199</v>
      </c>
      <c r="CA160" s="62">
        <f t="shared" ca="1" si="168"/>
        <v>0</v>
      </c>
      <c r="CB160" s="8"/>
      <c r="CC160" s="61">
        <f t="shared" si="169"/>
        <v>3.79</v>
      </c>
      <c r="CD160" s="61">
        <f t="shared" si="170"/>
        <v>8.0500000000000007</v>
      </c>
      <c r="CE160" s="61">
        <f t="shared" si="171"/>
        <v>5.2203076923076912</v>
      </c>
      <c r="CF160" s="14"/>
      <c r="CG160" s="35">
        <f t="shared" si="154"/>
        <v>4.9960901345666313</v>
      </c>
      <c r="CH160" s="15">
        <f t="shared" si="172"/>
        <v>5.6949999999999363</v>
      </c>
      <c r="CI160" s="35">
        <f t="shared" si="155"/>
        <v>6.3939098654332414</v>
      </c>
      <c r="CK160" s="14"/>
      <c r="CL160" s="17">
        <f t="shared" si="156"/>
        <v>-0.50333333333333474</v>
      </c>
      <c r="CM160" s="17">
        <f t="shared" si="157"/>
        <v>1.6433333333333326</v>
      </c>
      <c r="CN160" s="17">
        <f t="shared" si="158"/>
        <v>3.7566666666666659</v>
      </c>
      <c r="CO160" s="38">
        <f t="shared" si="173"/>
        <v>5.9033333333333333</v>
      </c>
      <c r="CP160" s="17">
        <f t="shared" si="159"/>
        <v>8.0166666666666657</v>
      </c>
      <c r="CQ160" s="17">
        <f t="shared" si="160"/>
        <v>10.163333333333334</v>
      </c>
      <c r="CR160" s="17">
        <f t="shared" si="161"/>
        <v>12.276666666666667</v>
      </c>
      <c r="CS160" s="2" cm="1">
        <f t="array" aca="1" ref="CS160" ca="1">MAX(_xlfn._xlws.FILTER(CL160:CR160,CL160:CR160&lt;BN160))</f>
        <v>5.9033333333333333</v>
      </c>
      <c r="CT160" s="2" cm="1">
        <f t="array" aca="1" ref="CT160" ca="1">MIN(_xlfn._xlws.FILTER($CL160:$CR160,$CL160:$CR160&gt;BN160))</f>
        <v>8.0166666666666657</v>
      </c>
      <c r="CU160" s="16">
        <f t="shared" ca="1" si="175"/>
        <v>0.35798983625070568</v>
      </c>
      <c r="CV160" s="20">
        <f t="shared" ca="1" si="176"/>
        <v>-0.17899491812535284</v>
      </c>
      <c r="CW160" s="20">
        <f t="shared" ca="1" si="177"/>
        <v>-0.11932994541690189</v>
      </c>
      <c r="CX160" s="20">
        <f t="shared" ca="1" si="178"/>
        <v>-7.1597967250141142E-2</v>
      </c>
      <c r="CY160" s="20">
        <f t="shared" ca="1" si="179"/>
        <v>-3.9776648472300634E-2</v>
      </c>
      <c r="CZ160" s="20">
        <f t="shared" ca="1" si="180"/>
        <v>-2.1058225661806217E-2</v>
      </c>
      <c r="DA160" s="20">
        <f t="shared" ca="1" si="181"/>
        <v>-1.0848176856081991E-2</v>
      </c>
      <c r="DB160" s="20">
        <f t="shared" ca="1" si="182"/>
        <v>-5.5075359423185487E-3</v>
      </c>
      <c r="DC160" s="21">
        <f t="shared" ca="1" si="183"/>
        <v>5.5075359423185487E-3</v>
      </c>
      <c r="DD160" s="21">
        <f t="shared" ca="1" si="184"/>
        <v>1.0848176856081991E-2</v>
      </c>
      <c r="DE160" s="21">
        <f t="shared" ca="1" si="185"/>
        <v>2.1058225661806217E-2</v>
      </c>
      <c r="DF160" s="21">
        <f t="shared" ca="1" si="186"/>
        <v>3.9776648472300634E-2</v>
      </c>
      <c r="DG160" s="21">
        <f t="shared" ca="1" si="187"/>
        <v>7.1597967250141142E-2</v>
      </c>
      <c r="DH160" s="21">
        <f t="shared" ca="1" si="188"/>
        <v>0.11932994541690189</v>
      </c>
      <c r="DI160" s="21">
        <f t="shared" ca="1" si="189"/>
        <v>0.17899491812535284</v>
      </c>
      <c r="DK160" s="16" cm="1">
        <f t="array" aca="1" ref="DK160" ca="1">MAX(_xlfn._xlws.FILTER(CV160:DI160,CV160:DI160&lt;BT160))</f>
        <v>-1.0848176856081991E-2</v>
      </c>
      <c r="DL160" s="16" cm="1">
        <f t="array" aca="1" ref="DL160" ca="1">MIN(_xlfn._xlws.FILTER(CV160:DI160,CV160:DI160&gt;BT160))</f>
        <v>-5.5075359423185487E-3</v>
      </c>
      <c r="DM160" s="2" cm="1">
        <f t="array" aca="1" ref="DM160" ca="1">_FV(EB160,"Fechamento anterior",TRUE)</f>
        <v>6.09</v>
      </c>
      <c r="DN160" s="28">
        <f t="shared" ca="1" si="162"/>
        <v>0.80140800065266649</v>
      </c>
      <c r="DO160" s="15">
        <f t="shared" ca="1" si="190"/>
        <v>6.0239346029464604</v>
      </c>
      <c r="DP160" s="15">
        <f t="shared" ca="1" si="191"/>
        <v>6.05645910611128</v>
      </c>
      <c r="DQ160" s="9"/>
      <c r="DR160" s="9"/>
      <c r="DS160" s="9"/>
      <c r="DT160" s="89">
        <v>5.3406409137634423E-3</v>
      </c>
      <c r="DU160" s="89">
        <f t="shared" ca="1" si="163"/>
        <v>5.3406409137634423E-3</v>
      </c>
      <c r="DV160" s="72">
        <f t="shared" ca="1" si="164"/>
        <v>0.50793388040097731</v>
      </c>
      <c r="DW160" s="37"/>
      <c r="DX160" s="35">
        <f t="shared" si="174"/>
        <v>0.34945493271665234</v>
      </c>
      <c r="DY160" s="56"/>
      <c r="DZ160" s="56"/>
      <c r="EB160" s="2" t="e" vm="162">
        <v>#VALUE!</v>
      </c>
      <c r="ED160" s="10" cm="1">
        <f t="array" aca="1" ref="ED160" ca="1">_FV(EB160,"Ações em circulação",TRUE)</f>
        <v>372555300</v>
      </c>
      <c r="EE160" s="18">
        <f>VLOOKUP(BO160,Fundamentus!A:U,5,FALSE)</f>
        <v>0.151</v>
      </c>
      <c r="EF160" s="2">
        <f t="shared" ca="1" si="165"/>
        <v>14926884536.423841</v>
      </c>
      <c r="EG160" s="17">
        <v>2361433133.6622519</v>
      </c>
      <c r="EH160" s="17">
        <f t="shared" ca="1" si="166"/>
        <v>2361433133.6622519</v>
      </c>
      <c r="EJ160" s="16">
        <f t="shared" ca="1" si="153"/>
        <v>0</v>
      </c>
      <c r="EK160" s="32" t="str">
        <f>IF(VLOOKUP(BO160,Fundamentus!A:U,3,FALSE)&lt;15,"Bom",IF(VLOOKUP(BO160,Fundamentus!A:U,3,FALSE)&gt;15,"Ruim","n/a"))</f>
        <v>Bom</v>
      </c>
      <c r="EL160" s="28" t="str">
        <f>IF(VLOOKUP(BO160,Fundamentus!A:U,4,FALSE)&lt;1,"Baixo",IF(VLOOKUP(BO160,Fundamentus!A:U,4,FALSE)&lt;1.5,"Moderado",IF(VLOOKUP(BO160,Fundamentus!A:U,4,FALSE)&gt;1.5,"Alto","n/a")))</f>
        <v>Baixo</v>
      </c>
      <c r="EM160" s="17" t="str">
        <f>IF(VLOOKUP(BO160,Fundamentus!A:U,8,FALSE)&lt;0,"Risco elevado",IF(VLOOKUP(BO160,Fundamentus!A:U,8,FALSE)&lt;1,"Saudável",IF(VLOOKUP(BO160,Fundamentus!A:U,8,FALSE)&lt;3,"Estável",IF(VLOOKUP(BO160,Fundamentus!A:U,8,FALSE)&gt;3,"Alerta","n/a"))))</f>
        <v>Saudável</v>
      </c>
      <c r="EN160" s="28" t="str">
        <f t="shared" si="167"/>
        <v>Ruim</v>
      </c>
      <c r="EO160" s="17" t="str">
        <f>IF(VLOOKUP(BO160,Fundamentus!A:U,12,FALSE)&lt;2,"Subvalorizada",IF(VLOOKUP(BO160,Fundamentus!A:U,12,FALSE)&lt;6,"Muita barata",IF(VLOOKUP(BO160,Fundamentus!A:U,12,FALSE)&lt;6,"Barata",IF(VLOOKUP(BO160,Fundamentus!A:U,12,FALSE)&lt;8,"Atrativa",IF(VLOOKUP(BO160,Fundamentus!A:U,12,FALSE)&gt;8,"Supervalorizada","n/a")))))</f>
        <v>Muita barata</v>
      </c>
      <c r="EQ160" s="17" t="str">
        <f>IF(VLOOKUP(BO160,Fundamentus!A:U,17,FALSE)&lt;0.1,"Fraco retorno",IF(VLOOKUP(BO160,Fundamentus!A:U,17,FALSE)&gt;0.1,"Bom retorno","n/a"))</f>
        <v>Bom retorno</v>
      </c>
      <c r="ER160" s="17" t="str">
        <f>IF(VLOOKUP(BO160,Fundamentus!A:U,16,FALSE)&lt;0.1,"Ineficiente",IF(VLOOKUP(BO160,Fundamentus!A:U,16,FALSE)&gt;0.1,"Eficiente","n/a"))</f>
        <v>Ineficiente</v>
      </c>
      <c r="ES160" s="33" t="str">
        <f>IF(VLOOKUP(BO160,Fundamentus!A:U,16,FALSE)&lt;0.1,"Oper. Ineficiente",IF(VLOOKUP(BO160,Fundamentus!A:U,16,FALSE)&gt;0.1,"Oper.Eficiente","n/a"))</f>
        <v>Oper. Ineficiente</v>
      </c>
      <c r="ET160" s="34">
        <f>VLOOKUP(BO160,Fundamentus!A:U,14,FALSE)</f>
        <v>0.15820000000000001</v>
      </c>
      <c r="EU160" s="17" t="str">
        <f>IF(VLOOKUP(BO160,Fundamentus!A:U,21,FALSE)&lt;0,"Negativo",IF(VLOOKUP(BO160,Fundamentus!A:U,21,FALSE)&lt;0.05,"Fraco",IF(VLOOKUP(BO160,Fundamentus!A:U,21,FALSE)&lt;0.1,"Bom",IF(VLOOKUP(BO160,Fundamentus!A:U,21,FALSE)&gt;0.1,"Muito bom","n/a"))))</f>
        <v>Fraco</v>
      </c>
      <c r="EW160" s="29" t="str">
        <f>IF(VLOOKUP(BO160,Fundamentus!A:U,15,FALSE)&gt;1,"Bom",IF(VLOOKUP(BO160,Fundamentus!A:U,15,FALSE)&lt;1,"Ruim","n/a"))</f>
        <v>Bom</v>
      </c>
      <c r="EX160" s="17" t="str">
        <f>IF(VLOOKUP(BO160,Fundamentus!A:U,20,FALSE)&lt;0.5,"Baixa",IF(VLOOKUP(BO160,Fundamentus!A:U,20,FALSE)&lt;1,"Moderada",IF(VLOOKUP(BO160,Fundamentus!A:U,20,FALSE)&lt;2,"Alerta",IF(VLOOKUP(BO160,Fundamentus!A:U,20,FALSE)&gt;2,"Alta","n/a"))))</f>
        <v>Alerta</v>
      </c>
      <c r="EY160" s="10"/>
    </row>
    <row r="161" spans="1:155" s="2" customFormat="1" ht="11.25"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5">
        <v>4.08</v>
      </c>
      <c r="BC161" s="52">
        <v>4.3099999999999996</v>
      </c>
      <c r="BD161" s="52">
        <v>5.12</v>
      </c>
      <c r="BE161" s="52">
        <v>5.28</v>
      </c>
      <c r="BF161" s="52">
        <v>4.97</v>
      </c>
      <c r="BG161" s="67">
        <v>5.2</v>
      </c>
      <c r="BH161" s="52">
        <v>5.17</v>
      </c>
      <c r="BI161" s="52">
        <v>5.0999999999999996</v>
      </c>
      <c r="BJ161" s="52">
        <v>5.0999999999999996</v>
      </c>
      <c r="BK161" s="52">
        <v>4.8</v>
      </c>
      <c r="BL161" s="52">
        <v>4.8499999999999996</v>
      </c>
      <c r="BM161" s="52">
        <v>4.88</v>
      </c>
      <c r="BN161" s="52" cm="1">
        <f t="array" aca="1" ref="BN161" ca="1">_FV(EB161,"Preço")</f>
        <v>4.88</v>
      </c>
      <c r="BO161" s="69" t="s">
        <v>157</v>
      </c>
      <c r="BP161" s="36" cm="1">
        <f t="array" aca="1" ref="BP161" ca="1">_FV(EB161,"Média de volume",TRUE)</f>
        <v>275290</v>
      </c>
      <c r="BQ161" s="36">
        <v>110300</v>
      </c>
      <c r="BR161" s="36" cm="1">
        <f t="array" aca="1" ref="BR161" ca="1">_FV(EB161,"Volume")</f>
        <v>110300</v>
      </c>
      <c r="BS161" s="24" cm="1">
        <f t="array" aca="1" ref="BS161" ca="1">_FV(EB161,"Beta")</f>
        <v>2.3328000000000002</v>
      </c>
      <c r="BT161" s="71" cm="1">
        <f t="array" aca="1" ref="BT161" ca="1">_FV(EB161,"Variação (%)",TRUE)</f>
        <v>-4.0819999999999997E-3</v>
      </c>
      <c r="BV161" s="17" cm="1">
        <f t="array" aca="1" ref="BV161" ca="1">_FV(EB161,"Baixo")</f>
        <v>4.8499999999999996</v>
      </c>
      <c r="BW161" s="17" cm="1">
        <f t="array" aca="1" ref="BW161" ca="1">_FV(EB161,"Alto")</f>
        <v>4.95</v>
      </c>
      <c r="BX161" s="24"/>
      <c r="BY161" s="63">
        <f ca="1">SQRT(22.5*(BN161/VLOOKUP(BO161,Fundamentus!A:U,3,FALSE))*(BN161/VLOOKUP(BO161,Fundamentus!A:U,4,FALSE)))</f>
        <v>7.0629921370172335</v>
      </c>
      <c r="CA161" s="62">
        <f t="shared" ca="1" si="168"/>
        <v>0</v>
      </c>
      <c r="CB161" s="8"/>
      <c r="CC161" s="61">
        <f t="shared" si="169"/>
        <v>2.99</v>
      </c>
      <c r="CD161" s="61">
        <f t="shared" si="170"/>
        <v>5.28</v>
      </c>
      <c r="CE161" s="61">
        <f t="shared" si="171"/>
        <v>3.8781538461538463</v>
      </c>
      <c r="CF161" s="14"/>
      <c r="CG161" s="35">
        <f t="shared" si="154"/>
        <v>4.5254896516494822</v>
      </c>
      <c r="CH161" s="15">
        <f t="shared" si="172"/>
        <v>4.7550000000000523</v>
      </c>
      <c r="CI161" s="35">
        <f t="shared" si="155"/>
        <v>4.9845103483506223</v>
      </c>
      <c r="CK161" s="14"/>
      <c r="CL161" s="17">
        <f t="shared" si="156"/>
        <v>1.1766666666666659</v>
      </c>
      <c r="CM161" s="17">
        <f t="shared" si="157"/>
        <v>2.083333333333333</v>
      </c>
      <c r="CN161" s="17">
        <f t="shared" si="158"/>
        <v>3.4666666666666659</v>
      </c>
      <c r="CO161" s="38">
        <f t="shared" si="173"/>
        <v>4.3733333333333331</v>
      </c>
      <c r="CP161" s="17">
        <f t="shared" si="159"/>
        <v>5.7566666666666659</v>
      </c>
      <c r="CQ161" s="17">
        <f t="shared" si="160"/>
        <v>6.6633333333333331</v>
      </c>
      <c r="CR161" s="17">
        <f t="shared" si="161"/>
        <v>8.0466666666666669</v>
      </c>
      <c r="CS161" s="2" cm="1">
        <f t="array" aca="1" ref="CS161" ca="1">MAX(_xlfn._xlws.FILTER(CL161:CR161,CL161:CR161&lt;BN161))</f>
        <v>4.3733333333333331</v>
      </c>
      <c r="CT161" s="2" cm="1">
        <f t="array" aca="1" ref="CT161" ca="1">MIN(_xlfn._xlws.FILTER($CL161:$CR161,$CL161:$CR161&gt;BN161))</f>
        <v>5.7566666666666659</v>
      </c>
      <c r="CU161" s="16">
        <f t="shared" ca="1" si="175"/>
        <v>0.31631097560975596</v>
      </c>
      <c r="CV161" s="20">
        <f t="shared" ca="1" si="176"/>
        <v>-0.15815548780487798</v>
      </c>
      <c r="CW161" s="20">
        <f t="shared" ca="1" si="177"/>
        <v>-0.10543699186991866</v>
      </c>
      <c r="CX161" s="20">
        <f t="shared" ca="1" si="178"/>
        <v>-6.3262195121951192E-2</v>
      </c>
      <c r="CY161" s="20">
        <f t="shared" ca="1" si="179"/>
        <v>-3.5145663956639553E-2</v>
      </c>
      <c r="CZ161" s="20">
        <f t="shared" ca="1" si="180"/>
        <v>-1.8606527977044467E-2</v>
      </c>
      <c r="DA161" s="20">
        <f t="shared" ca="1" si="181"/>
        <v>-9.585181079083514E-3</v>
      </c>
      <c r="DB161" s="20">
        <f t="shared" ca="1" si="182"/>
        <v>-4.8663227016885529E-3</v>
      </c>
      <c r="DC161" s="21">
        <f t="shared" ca="1" si="183"/>
        <v>4.8663227016885529E-3</v>
      </c>
      <c r="DD161" s="21">
        <f t="shared" ca="1" si="184"/>
        <v>9.585181079083514E-3</v>
      </c>
      <c r="DE161" s="21">
        <f t="shared" ca="1" si="185"/>
        <v>1.8606527977044467E-2</v>
      </c>
      <c r="DF161" s="21">
        <f t="shared" ca="1" si="186"/>
        <v>3.5145663956639553E-2</v>
      </c>
      <c r="DG161" s="21">
        <f t="shared" ca="1" si="187"/>
        <v>6.3262195121951192E-2</v>
      </c>
      <c r="DH161" s="21">
        <f t="shared" ca="1" si="188"/>
        <v>0.10543699186991866</v>
      </c>
      <c r="DI161" s="21">
        <f t="shared" ca="1" si="189"/>
        <v>0.15815548780487798</v>
      </c>
      <c r="DK161" s="16" cm="1">
        <f t="array" aca="1" ref="DK161" ca="1">MAX(_xlfn._xlws.FILTER(CV161:DI161,CV161:DI161&lt;BT161))</f>
        <v>-4.8663227016885529E-3</v>
      </c>
      <c r="DL161" s="16" cm="1">
        <f t="array" aca="1" ref="DL161" ca="1">MIN(_xlfn._xlws.FILTER(CV161:DI161,CV161:DI161&gt;BT161))</f>
        <v>4.8663227016885529E-3</v>
      </c>
      <c r="DM161" s="2" cm="1">
        <f t="array" aca="1" ref="DM161" ca="1">_FV(EB161,"Fechamento anterior",TRUE)</f>
        <v>4.9000000000000004</v>
      </c>
      <c r="DN161" s="28">
        <f t="shared" ca="1" si="162"/>
        <v>8.0624538972210003E-2</v>
      </c>
      <c r="DO161" s="15">
        <f t="shared" ca="1" si="190"/>
        <v>4.8761550187617262</v>
      </c>
      <c r="DP161" s="15">
        <f t="shared" ca="1" si="191"/>
        <v>4.9238449812382745</v>
      </c>
      <c r="DQ161" s="9"/>
      <c r="DR161" s="9"/>
      <c r="DS161" s="9"/>
      <c r="DT161" s="89">
        <v>9.7326454033771059E-3</v>
      </c>
      <c r="DU161" s="89">
        <f t="shared" ca="1" si="163"/>
        <v>9.7326454033771059E-3</v>
      </c>
      <c r="DV161" s="72">
        <f t="shared" ca="1" si="164"/>
        <v>0.54463775118764546</v>
      </c>
      <c r="DW161" s="37"/>
      <c r="DX161" s="35">
        <f t="shared" si="174"/>
        <v>0.11475517417528495</v>
      </c>
      <c r="DY161" s="56"/>
      <c r="DZ161" s="56"/>
      <c r="EB161" s="2" t="e" vm="163">
        <v>#VALUE!</v>
      </c>
      <c r="ED161" s="10" cm="1">
        <f t="array" aca="1" ref="ED161" ca="1">_FV(EB161,"Ações em circulação",TRUE)</f>
        <v>364542500</v>
      </c>
      <c r="EE161" s="18">
        <f>VLOOKUP(BO161,Fundamentus!A:U,5,FALSE)</f>
        <v>0.68200000000000005</v>
      </c>
      <c r="EF161" s="2">
        <f t="shared" ca="1" si="165"/>
        <v>2608456598.240469</v>
      </c>
      <c r="EG161" s="17">
        <v>190417331.67155424</v>
      </c>
      <c r="EH161" s="17">
        <f t="shared" ca="1" si="166"/>
        <v>190417331.67155424</v>
      </c>
      <c r="EJ161" s="16">
        <f t="shared" ca="1" si="153"/>
        <v>0</v>
      </c>
      <c r="EK161" s="32" t="str">
        <f>IF(VLOOKUP(BO161,Fundamentus!A:U,3,FALSE)&lt;15,"Bom",IF(VLOOKUP(BO161,Fundamentus!A:U,3,FALSE)&gt;15,"Ruim","n/a"))</f>
        <v>Bom</v>
      </c>
      <c r="EL161" s="28" t="str">
        <f>IF(VLOOKUP(BO161,Fundamentus!A:U,4,FALSE)&lt;1,"Baixo",IF(VLOOKUP(BO161,Fundamentus!A:U,4,FALSE)&lt;1.5,"Moderado",IF(VLOOKUP(BO161,Fundamentus!A:U,4,FALSE)&gt;1.5,"Alto","n/a")))</f>
        <v>Moderado</v>
      </c>
      <c r="EM161" s="17" t="str">
        <f>IF(VLOOKUP(BO161,Fundamentus!A:U,8,FALSE)&lt;0,"Risco elevado",IF(VLOOKUP(BO161,Fundamentus!A:U,8,FALSE)&lt;1,"Saudável",IF(VLOOKUP(BO161,Fundamentus!A:U,8,FALSE)&lt;3,"Estável",IF(VLOOKUP(BO161,Fundamentus!A:U,8,FALSE)&gt;3,"Alerta","n/a"))))</f>
        <v>Alerta</v>
      </c>
      <c r="EN161" s="28" t="str">
        <f t="shared" si="167"/>
        <v>Ruim</v>
      </c>
      <c r="EO161" s="17" t="str">
        <f>IF(VLOOKUP(BO161,Fundamentus!A:U,12,FALSE)&lt;2,"Subvalorizada",IF(VLOOKUP(BO161,Fundamentus!A:U,12,FALSE)&lt;6,"Muita barata",IF(VLOOKUP(BO161,Fundamentus!A:U,12,FALSE)&lt;6,"Barata",IF(VLOOKUP(BO161,Fundamentus!A:U,12,FALSE)&lt;8,"Atrativa",IF(VLOOKUP(BO161,Fundamentus!A:U,12,FALSE)&gt;8,"Supervalorizada","n/a")))))</f>
        <v>Muita barata</v>
      </c>
      <c r="EQ161" s="17" t="str">
        <f>IF(VLOOKUP(BO161,Fundamentus!A:U,17,FALSE)&lt;0.1,"Fraco retorno",IF(VLOOKUP(BO161,Fundamentus!A:U,17,FALSE)&gt;0.1,"Bom retorno","n/a"))</f>
        <v>Bom retorno</v>
      </c>
      <c r="ER161" s="17" t="str">
        <f>IF(VLOOKUP(BO161,Fundamentus!A:U,16,FALSE)&lt;0.1,"Ineficiente",IF(VLOOKUP(BO161,Fundamentus!A:U,16,FALSE)&gt;0.1,"Eficiente","n/a"))</f>
        <v>Eficiente</v>
      </c>
      <c r="ES161" s="33" t="str">
        <f>IF(VLOOKUP(BO161,Fundamentus!A:U,16,FALSE)&lt;0.1,"Oper. Ineficiente",IF(VLOOKUP(BO161,Fundamentus!A:U,16,FALSE)&gt;0.1,"Oper.Eficiente","n/a"))</f>
        <v>Oper.Eficiente</v>
      </c>
      <c r="ET161" s="34">
        <f>VLOOKUP(BO161,Fundamentus!A:U,14,FALSE)</f>
        <v>7.2999999999999995E-2</v>
      </c>
      <c r="EU161" s="17" t="str">
        <f>IF(VLOOKUP(BO161,Fundamentus!A:U,21,FALSE)&lt;0,"Negativo",IF(VLOOKUP(BO161,Fundamentus!A:U,21,FALSE)&lt;0.05,"Fraco",IF(VLOOKUP(BO161,Fundamentus!A:U,21,FALSE)&lt;0.1,"Bom",IF(VLOOKUP(BO161,Fundamentus!A:U,21,FALSE)&gt;0.1,"Muito bom","n/a"))))</f>
        <v>Muito bom</v>
      </c>
      <c r="EW161" s="29" t="str">
        <f>IF(VLOOKUP(BO161,Fundamentus!A:U,15,FALSE)&gt;1,"Bom",IF(VLOOKUP(BO161,Fundamentus!A:U,15,FALSE)&lt;1,"Ruim","n/a"))</f>
        <v>Bom</v>
      </c>
      <c r="EX161" s="17" t="str">
        <f>IF(VLOOKUP(BO161,Fundamentus!A:U,20,FALSE)&lt;0.5,"Baixa",IF(VLOOKUP(BO161,Fundamentus!A:U,20,FALSE)&lt;1,"Moderada",IF(VLOOKUP(BO161,Fundamentus!A:U,20,FALSE)&lt;2,"Alerta",IF(VLOOKUP(BO161,Fundamentus!A:U,20,FALSE)&gt;2,"Alta","n/a"))))</f>
        <v>Moderada</v>
      </c>
      <c r="EY161" s="10"/>
    </row>
    <row r="162" spans="1:155" s="2" customFormat="1" ht="11.25"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5">
        <v>26.02</v>
      </c>
      <c r="BC162" s="52">
        <v>25.84</v>
      </c>
      <c r="BD162" s="52">
        <v>25.9</v>
      </c>
      <c r="BE162" s="52">
        <v>26.88</v>
      </c>
      <c r="BF162" s="52">
        <v>26.26</v>
      </c>
      <c r="BG162" s="67">
        <v>25.7</v>
      </c>
      <c r="BH162" s="52">
        <v>25.85</v>
      </c>
      <c r="BI162" s="52">
        <v>27.04</v>
      </c>
      <c r="BJ162" s="52">
        <v>27.17</v>
      </c>
      <c r="BK162" s="52">
        <v>25.9</v>
      </c>
      <c r="BL162" s="52">
        <v>25.24</v>
      </c>
      <c r="BM162" s="52">
        <v>25.25</v>
      </c>
      <c r="BN162" s="52" cm="1">
        <f t="array" aca="1" ref="BN162" ca="1">_FV(EB162,"Preço")</f>
        <v>25.25</v>
      </c>
      <c r="BO162" s="69" t="s">
        <v>158</v>
      </c>
      <c r="BP162" s="36" cm="1">
        <f t="array" aca="1" ref="BP162" ca="1">_FV(EB162,"Média de volume",TRUE)</f>
        <v>3901430</v>
      </c>
      <c r="BQ162" s="36">
        <v>4538000</v>
      </c>
      <c r="BR162" s="36" cm="1">
        <f t="array" aca="1" ref="BR162" ca="1">_FV(EB162,"Volume")</f>
        <v>4538000</v>
      </c>
      <c r="BS162" s="24" cm="1">
        <f t="array" aca="1" ref="BS162" ca="1">_FV(EB162,"Beta")</f>
        <v>1.0368999999999999</v>
      </c>
      <c r="BT162" s="71" cm="1">
        <f t="array" aca="1" ref="BT162" ca="1">_FV(EB162,"Variação (%)",TRUE)</f>
        <v>-3.9450000000000006E-3</v>
      </c>
      <c r="BV162" s="17" cm="1">
        <f t="array" aca="1" ref="BV162" ca="1">_FV(EB162,"Baixo")</f>
        <v>25.07</v>
      </c>
      <c r="BW162" s="17" cm="1">
        <f t="array" aca="1" ref="BW162" ca="1">_FV(EB162,"Alto")</f>
        <v>25.63</v>
      </c>
      <c r="BX162" s="24"/>
      <c r="BY162" s="63">
        <f ca="1">SQRT(22.5*(BN162/VLOOKUP(BO162,Fundamentus!A:U,3,FALSE))*(BN162/VLOOKUP(BO162,Fundamentus!A:U,4,FALSE)))</f>
        <v>24.850094042338018</v>
      </c>
      <c r="CA162" s="62">
        <f t="shared" ca="1" si="168"/>
        <v>0</v>
      </c>
      <c r="CB162" s="8"/>
      <c r="CC162" s="61">
        <f t="shared" si="169"/>
        <v>20.239999999999998</v>
      </c>
      <c r="CD162" s="61">
        <f t="shared" si="170"/>
        <v>27.52</v>
      </c>
      <c r="CE162" s="61">
        <f t="shared" si="171"/>
        <v>24.209384615384621</v>
      </c>
      <c r="CF162" s="14"/>
      <c r="CG162" s="35">
        <f t="shared" si="154"/>
        <v>22.713185761611612</v>
      </c>
      <c r="CH162" s="15">
        <f t="shared" si="172"/>
        <v>24.284999999999854</v>
      </c>
      <c r="CI162" s="35">
        <f t="shared" si="155"/>
        <v>25.856814238388097</v>
      </c>
      <c r="CK162" s="14"/>
      <c r="CL162" s="17">
        <f t="shared" si="156"/>
        <v>13.866666666666664</v>
      </c>
      <c r="CM162" s="17">
        <f t="shared" si="157"/>
        <v>17.053333333333331</v>
      </c>
      <c r="CN162" s="17">
        <f t="shared" si="158"/>
        <v>21.146666666666665</v>
      </c>
      <c r="CO162" s="38">
        <f t="shared" si="173"/>
        <v>24.333333333333332</v>
      </c>
      <c r="CP162" s="17">
        <f t="shared" si="159"/>
        <v>28.426666666666666</v>
      </c>
      <c r="CQ162" s="17">
        <f t="shared" si="160"/>
        <v>31.613333333333333</v>
      </c>
      <c r="CR162" s="17">
        <f t="shared" si="161"/>
        <v>35.706666666666663</v>
      </c>
      <c r="CS162" s="2" cm="1">
        <f t="array" aca="1" ref="CS162" ca="1">MAX(_xlfn._xlws.FILTER(CL162:CR162,CL162:CR162&lt;BN162))</f>
        <v>24.333333333333332</v>
      </c>
      <c r="CT162" s="2" cm="1">
        <f t="array" aca="1" ref="CT162" ca="1">MIN(_xlfn._xlws.FILTER($CL162:$CR162,$CL162:$CR162&gt;BN162))</f>
        <v>28.426666666666666</v>
      </c>
      <c r="CU162" s="16">
        <f t="shared" ca="1" si="175"/>
        <v>0.16821917808219178</v>
      </c>
      <c r="CV162" s="20">
        <f t="shared" ca="1" si="176"/>
        <v>-8.4109589041095889E-2</v>
      </c>
      <c r="CW162" s="20">
        <f t="shared" ca="1" si="177"/>
        <v>-5.6073059360730593E-2</v>
      </c>
      <c r="CX162" s="20">
        <f t="shared" ca="1" si="178"/>
        <v>-3.3643835616438356E-2</v>
      </c>
      <c r="CY162" s="20">
        <f t="shared" ca="1" si="179"/>
        <v>-1.8691019786910196E-2</v>
      </c>
      <c r="CZ162" s="20">
        <f t="shared" ca="1" si="180"/>
        <v>-9.895245769540692E-3</v>
      </c>
      <c r="DA162" s="20">
        <f t="shared" ca="1" si="181"/>
        <v>-5.0975508509755081E-3</v>
      </c>
      <c r="DB162" s="20">
        <f t="shared" ca="1" si="182"/>
        <v>-2.5879873551106426E-3</v>
      </c>
      <c r="DC162" s="21">
        <f t="shared" ca="1" si="183"/>
        <v>2.5879873551106426E-3</v>
      </c>
      <c r="DD162" s="21">
        <f t="shared" ca="1" si="184"/>
        <v>5.0975508509755081E-3</v>
      </c>
      <c r="DE162" s="21">
        <f t="shared" ca="1" si="185"/>
        <v>9.895245769540692E-3</v>
      </c>
      <c r="DF162" s="21">
        <f t="shared" ca="1" si="186"/>
        <v>1.8691019786910196E-2</v>
      </c>
      <c r="DG162" s="21">
        <f t="shared" ca="1" si="187"/>
        <v>3.3643835616438356E-2</v>
      </c>
      <c r="DH162" s="21">
        <f t="shared" ca="1" si="188"/>
        <v>5.6073059360730593E-2</v>
      </c>
      <c r="DI162" s="21">
        <f t="shared" ca="1" si="189"/>
        <v>8.4109589041095889E-2</v>
      </c>
      <c r="DK162" s="16" cm="1">
        <f t="array" aca="1" ref="DK162" ca="1">MAX(_xlfn._xlws.FILTER(CV162:DI162,CV162:DI162&lt;BT162))</f>
        <v>-5.0975508509755081E-3</v>
      </c>
      <c r="DL162" s="16" cm="1">
        <f t="array" aca="1" ref="DL162" ca="1">MIN(_xlfn._xlws.FILTER(CV162:DI162,CV162:DI162&gt;BT162))</f>
        <v>-2.5879873551106426E-3</v>
      </c>
      <c r="DM162" s="2" cm="1">
        <f t="array" aca="1" ref="DM162" ca="1">_FV(EB162,"Fechamento anterior",TRUE)</f>
        <v>25.35</v>
      </c>
      <c r="DN162" s="28">
        <f t="shared" ca="1" si="162"/>
        <v>0.45935385868202999</v>
      </c>
      <c r="DO162" s="15">
        <f t="shared" ca="1" si="190"/>
        <v>25.220777085927772</v>
      </c>
      <c r="DP162" s="15">
        <f t="shared" ca="1" si="191"/>
        <v>25.284394520547945</v>
      </c>
      <c r="DQ162" s="9"/>
      <c r="DR162" s="9"/>
      <c r="DS162" s="9"/>
      <c r="DT162" s="89">
        <v>2.5095634958648655E-3</v>
      </c>
      <c r="DU162" s="89">
        <f t="shared" ca="1" si="163"/>
        <v>2.5095634958648655E-3</v>
      </c>
      <c r="DV162" s="72">
        <f t="shared" ca="1" si="164"/>
        <v>0.61394023315991109</v>
      </c>
      <c r="DW162" s="37"/>
      <c r="DX162" s="35">
        <f t="shared" si="174"/>
        <v>0.78590711919412048</v>
      </c>
      <c r="DY162" s="56"/>
      <c r="DZ162" s="56"/>
      <c r="EB162" s="2" t="e" vm="164">
        <v>#VALUE!</v>
      </c>
      <c r="ED162" s="10" cm="1">
        <f t="array" aca="1" ref="ED162" ca="1">_FV(EB162,"Ações em circulação",TRUE)</f>
        <v>513163700</v>
      </c>
      <c r="EE162" s="18">
        <f>VLOOKUP(BO162,Fundamentus!A:U,5,FALSE)</f>
        <v>5.1879999999999997</v>
      </c>
      <c r="EF162" s="2">
        <f t="shared" ca="1" si="165"/>
        <v>2497568123.5543566</v>
      </c>
      <c r="EG162" s="17">
        <v>1282750988.2575173</v>
      </c>
      <c r="EH162" s="17">
        <f t="shared" ca="1" si="166"/>
        <v>1282750988.2575173</v>
      </c>
      <c r="EJ162" s="16">
        <f t="shared" ca="1" si="153"/>
        <v>0</v>
      </c>
      <c r="EK162" s="32" t="str">
        <f>IF(VLOOKUP(BO162,Fundamentus!A:U,3,FALSE)&lt;15,"Bom",IF(VLOOKUP(BO162,Fundamentus!A:U,3,FALSE)&gt;15,"Ruim","n/a"))</f>
        <v>Bom</v>
      </c>
      <c r="EL162" s="28" t="str">
        <f>IF(VLOOKUP(BO162,Fundamentus!A:U,4,FALSE)&lt;1,"Baixo",IF(VLOOKUP(BO162,Fundamentus!A:U,4,FALSE)&lt;1.5,"Moderado",IF(VLOOKUP(BO162,Fundamentus!A:U,4,FALSE)&gt;1.5,"Alto","n/a")))</f>
        <v>Alto</v>
      </c>
      <c r="EM162" s="17" t="str">
        <f>IF(VLOOKUP(BO162,Fundamentus!A:U,8,FALSE)&lt;0,"Risco elevado",IF(VLOOKUP(BO162,Fundamentus!A:U,8,FALSE)&lt;1,"Saudável",IF(VLOOKUP(BO162,Fundamentus!A:U,8,FALSE)&lt;3,"Estável",IF(VLOOKUP(BO162,Fundamentus!A:U,8,FALSE)&gt;3,"Alerta","n/a"))))</f>
        <v>Alerta</v>
      </c>
      <c r="EN162" s="28" t="str">
        <f t="shared" si="167"/>
        <v>Bom</v>
      </c>
      <c r="EO162" s="17" t="str">
        <f>IF(VLOOKUP(BO162,Fundamentus!A:U,12,FALSE)&lt;2,"Subvalorizada",IF(VLOOKUP(BO162,Fundamentus!A:U,12,FALSE)&lt;6,"Muita barata",IF(VLOOKUP(BO162,Fundamentus!A:U,12,FALSE)&lt;6,"Barata",IF(VLOOKUP(BO162,Fundamentus!A:U,12,FALSE)&lt;8,"Atrativa",IF(VLOOKUP(BO162,Fundamentus!A:U,12,FALSE)&gt;8,"Supervalorizada","n/a")))))</f>
        <v>Supervalorizada</v>
      </c>
      <c r="EQ162" s="17" t="str">
        <f>IF(VLOOKUP(BO162,Fundamentus!A:U,17,FALSE)&lt;0.1,"Fraco retorno",IF(VLOOKUP(BO162,Fundamentus!A:U,17,FALSE)&gt;0.1,"Bom retorno","n/a"))</f>
        <v>Bom retorno</v>
      </c>
      <c r="ER162" s="17" t="str">
        <f>IF(VLOOKUP(BO162,Fundamentus!A:U,16,FALSE)&lt;0.1,"Ineficiente",IF(VLOOKUP(BO162,Fundamentus!A:U,16,FALSE)&gt;0.1,"Eficiente","n/a"))</f>
        <v>Eficiente</v>
      </c>
      <c r="ES162" s="33" t="str">
        <f>IF(VLOOKUP(BO162,Fundamentus!A:U,16,FALSE)&lt;0.1,"Oper. Ineficiente",IF(VLOOKUP(BO162,Fundamentus!A:U,16,FALSE)&gt;0.1,"Oper.Eficiente","n/a"))</f>
        <v>Oper.Eficiente</v>
      </c>
      <c r="ET162" s="34">
        <f>VLOOKUP(BO162,Fundamentus!A:U,14,FALSE)</f>
        <v>0.51359999999999995</v>
      </c>
      <c r="EU162" s="17" t="str">
        <f>IF(VLOOKUP(BO162,Fundamentus!A:U,21,FALSE)&lt;0,"Negativo",IF(VLOOKUP(BO162,Fundamentus!A:U,21,FALSE)&lt;0.05,"Fraco",IF(VLOOKUP(BO162,Fundamentus!A:U,21,FALSE)&lt;0.1,"Bom",IF(VLOOKUP(BO162,Fundamentus!A:U,21,FALSE)&gt;0.1,"Muito bom","n/a"))))</f>
        <v>Muito bom</v>
      </c>
      <c r="EW162" s="29" t="str">
        <f>IF(VLOOKUP(BO162,Fundamentus!A:U,15,FALSE)&gt;1,"Bom",IF(VLOOKUP(BO162,Fundamentus!A:U,15,FALSE)&lt;1,"Ruim","n/a"))</f>
        <v>Bom</v>
      </c>
      <c r="EX162" s="17" t="str">
        <f>IF(VLOOKUP(BO162,Fundamentus!A:U,20,FALSE)&lt;0.5,"Baixa",IF(VLOOKUP(BO162,Fundamentus!A:U,20,FALSE)&lt;1,"Moderada",IF(VLOOKUP(BO162,Fundamentus!A:U,20,FALSE)&lt;2,"Alerta",IF(VLOOKUP(BO162,Fundamentus!A:U,20,FALSE)&gt;2,"Alta","n/a"))))</f>
        <v>Moderada</v>
      </c>
      <c r="EY162" s="10"/>
    </row>
    <row r="163" spans="1:155" s="2" customFormat="1" ht="11.25"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5">
        <v>9.31</v>
      </c>
      <c r="BC163" s="52">
        <v>9.4499999999999993</v>
      </c>
      <c r="BD163" s="52">
        <v>9.48</v>
      </c>
      <c r="BE163" s="52">
        <v>9.8800000000000008</v>
      </c>
      <c r="BF163" s="52">
        <v>9.9</v>
      </c>
      <c r="BG163" s="67">
        <v>10.02</v>
      </c>
      <c r="BH163" s="52">
        <v>9.8000000000000007</v>
      </c>
      <c r="BI163" s="52">
        <v>9.98</v>
      </c>
      <c r="BJ163" s="52">
        <v>9.8000000000000007</v>
      </c>
      <c r="BK163" s="52">
        <v>9.11</v>
      </c>
      <c r="BL163" s="52">
        <v>8.94</v>
      </c>
      <c r="BM163" s="52">
        <v>9.6</v>
      </c>
      <c r="BN163" s="52" cm="1">
        <f t="array" aca="1" ref="BN163" ca="1">_FV(EB163,"Preço")</f>
        <v>9.6</v>
      </c>
      <c r="BO163" s="69" t="s">
        <v>87</v>
      </c>
      <c r="BP163" s="36" cm="1">
        <f t="array" aca="1" ref="BP163" ca="1">_FV(EB163,"Média de volume",TRUE)</f>
        <v>4059930</v>
      </c>
      <c r="BQ163" s="36">
        <v>2532800</v>
      </c>
      <c r="BR163" s="36" cm="1">
        <f t="array" aca="1" ref="BR163" ca="1">_FV(EB163,"Volume")</f>
        <v>2532800</v>
      </c>
      <c r="BS163" s="24" cm="1">
        <f t="array" aca="1" ref="BS163" ca="1">_FV(EB163,"Beta")</f>
        <v>0.57479999999999998</v>
      </c>
      <c r="BT163" s="71" cm="1">
        <f t="array" aca="1" ref="BT163" ca="1">_FV(EB163,"Variação (%)",TRUE)</f>
        <v>-1.6393000000000001E-2</v>
      </c>
      <c r="BV163" s="17" cm="1">
        <f t="array" aca="1" ref="BV163" ca="1">_FV(EB163,"Baixo")</f>
        <v>9.56</v>
      </c>
      <c r="BW163" s="17" cm="1">
        <f t="array" aca="1" ref="BW163" ca="1">_FV(EB163,"Alto")</f>
        <v>9.8000000000000007</v>
      </c>
      <c r="BX163" s="24"/>
      <c r="BY163" s="63">
        <f ca="1">SQRT(22.5*(BN163/VLOOKUP(BO163,Fundamentus!A:U,3,FALSE))*(BN163/VLOOKUP(BO163,Fundamentus!A:U,4,FALSE)))</f>
        <v>1.2385766761181303</v>
      </c>
      <c r="CA163" s="62">
        <f t="shared" ca="1" si="168"/>
        <v>0</v>
      </c>
      <c r="CB163" s="8"/>
      <c r="CC163" s="61">
        <f t="shared" si="169"/>
        <v>7.59</v>
      </c>
      <c r="CD163" s="61">
        <f t="shared" si="170"/>
        <v>12.48</v>
      </c>
      <c r="CE163" s="61">
        <f t="shared" si="171"/>
        <v>9.9489999999999998</v>
      </c>
      <c r="CF163" s="14"/>
      <c r="CG163" s="35">
        <f t="shared" si="154"/>
        <v>8.4699464306212136</v>
      </c>
      <c r="CH163" s="15">
        <f t="shared" si="172"/>
        <v>9.1700000000000159</v>
      </c>
      <c r="CI163" s="35">
        <f t="shared" si="155"/>
        <v>9.8700535693788183</v>
      </c>
      <c r="CK163" s="14"/>
      <c r="CL163" s="17">
        <f t="shared" si="156"/>
        <v>1.9699999999999989</v>
      </c>
      <c r="CM163" s="17">
        <f t="shared" si="157"/>
        <v>4.7799999999999994</v>
      </c>
      <c r="CN163" s="17">
        <f t="shared" si="158"/>
        <v>6.8599999999999994</v>
      </c>
      <c r="CO163" s="38">
        <f t="shared" si="173"/>
        <v>9.67</v>
      </c>
      <c r="CP163" s="17">
        <f t="shared" si="159"/>
        <v>11.75</v>
      </c>
      <c r="CQ163" s="17">
        <f t="shared" si="160"/>
        <v>14.56</v>
      </c>
      <c r="CR163" s="17">
        <f t="shared" si="161"/>
        <v>16.64</v>
      </c>
      <c r="CS163" s="2" cm="1">
        <f t="array" aca="1" ref="CS163" ca="1">MAX(_xlfn._xlws.FILTER(CL163:CR163,CL163:CR163&lt;BN163))</f>
        <v>6.8599999999999994</v>
      </c>
      <c r="CT163" s="2" cm="1">
        <f t="array" aca="1" ref="CT163" ca="1">MIN(_xlfn._xlws.FILTER($CL163:$CR163,$CL163:$CR163&gt;BN163))</f>
        <v>9.67</v>
      </c>
      <c r="CU163" s="16">
        <f t="shared" ca="1" si="175"/>
        <v>0.40962099125364437</v>
      </c>
      <c r="CV163" s="20">
        <f t="shared" ca="1" si="176"/>
        <v>-0.20481049562682219</v>
      </c>
      <c r="CW163" s="20">
        <f t="shared" ca="1" si="177"/>
        <v>-0.13654033041788147</v>
      </c>
      <c r="CX163" s="20">
        <f t="shared" ca="1" si="178"/>
        <v>-8.1924198250728872E-2</v>
      </c>
      <c r="CY163" s="20">
        <f t="shared" ca="1" si="179"/>
        <v>-4.5513443472627153E-2</v>
      </c>
      <c r="CZ163" s="20">
        <f t="shared" ca="1" si="180"/>
        <v>-2.4095352426684962E-2</v>
      </c>
      <c r="DA163" s="20">
        <f t="shared" ca="1" si="181"/>
        <v>-1.2412757310716496E-2</v>
      </c>
      <c r="DB163" s="20">
        <f t="shared" ca="1" si="182"/>
        <v>-6.3018614039022213E-3</v>
      </c>
      <c r="DC163" s="21">
        <f t="shared" ca="1" si="183"/>
        <v>6.3018614039022213E-3</v>
      </c>
      <c r="DD163" s="21">
        <f t="shared" ca="1" si="184"/>
        <v>1.2412757310716496E-2</v>
      </c>
      <c r="DE163" s="21">
        <f t="shared" ca="1" si="185"/>
        <v>2.4095352426684962E-2</v>
      </c>
      <c r="DF163" s="21">
        <f t="shared" ca="1" si="186"/>
        <v>4.5513443472627153E-2</v>
      </c>
      <c r="DG163" s="21">
        <f t="shared" ca="1" si="187"/>
        <v>8.1924198250728872E-2</v>
      </c>
      <c r="DH163" s="21">
        <f t="shared" ca="1" si="188"/>
        <v>0.13654033041788147</v>
      </c>
      <c r="DI163" s="21">
        <f t="shared" ca="1" si="189"/>
        <v>0.20481049562682219</v>
      </c>
      <c r="DK163" s="16" cm="1">
        <f t="array" aca="1" ref="DK163" ca="1">MAX(_xlfn._xlws.FILTER(CV163:DI163,CV163:DI163&lt;BT163))</f>
        <v>-2.4095352426684962E-2</v>
      </c>
      <c r="DL163" s="16" cm="1">
        <f t="array" aca="1" ref="DL163" ca="1">MIN(_xlfn._xlws.FILTER(CV163:DI163,CV163:DI163&gt;BT163))</f>
        <v>-1.2412757310716496E-2</v>
      </c>
      <c r="DM163" s="2" cm="1">
        <f t="array" aca="1" ref="DM163" ca="1">_FV(EB163,"Fechamento anterior",TRUE)</f>
        <v>9.76</v>
      </c>
      <c r="DN163" s="28">
        <f t="shared" ca="1" si="162"/>
        <v>0.65926360772417614</v>
      </c>
      <c r="DO163" s="15">
        <f t="shared" ca="1" si="190"/>
        <v>9.5248293603155538</v>
      </c>
      <c r="DP163" s="15">
        <f t="shared" ca="1" si="191"/>
        <v>9.6388514886474059</v>
      </c>
      <c r="DQ163" s="9"/>
      <c r="DR163" s="9"/>
      <c r="DS163" s="9"/>
      <c r="DT163" s="89">
        <v>1.1682595115968466E-2</v>
      </c>
      <c r="DU163" s="89">
        <f t="shared" ca="1" si="163"/>
        <v>1.1682595115968466E-2</v>
      </c>
      <c r="DV163" s="72">
        <f t="shared" ca="1" si="164"/>
        <v>0.61423870801994107</v>
      </c>
      <c r="DW163" s="37"/>
      <c r="DX163" s="35">
        <f t="shared" si="174"/>
        <v>0.35002678468940102</v>
      </c>
      <c r="DY163" s="56"/>
      <c r="DZ163" s="56"/>
      <c r="EB163" s="2" t="e" vm="165">
        <v>#VALUE!</v>
      </c>
      <c r="ED163" s="10" cm="1">
        <f t="array" aca="1" ref="ED163" ca="1">_FV(EB163,"Ações em circulação",TRUE)</f>
        <v>1050378000</v>
      </c>
      <c r="EE163" s="18">
        <f>VLOOKUP(BO163,Fundamentus!A:U,5,FALSE)</f>
        <v>1.0620000000000001</v>
      </c>
      <c r="EF163" s="2">
        <f t="shared" ca="1" si="165"/>
        <v>9494942372.8813553</v>
      </c>
      <c r="EG163" s="17">
        <v>71212067.796610162</v>
      </c>
      <c r="EH163" s="17">
        <f t="shared" ca="1" si="166"/>
        <v>71212067.796610162</v>
      </c>
      <c r="EJ163" s="16">
        <f t="shared" ca="1" si="153"/>
        <v>0</v>
      </c>
      <c r="EK163" s="32" t="str">
        <f>IF(VLOOKUP(BO163,Fundamentus!A:U,3,FALSE)&lt;15,"Bom",IF(VLOOKUP(BO163,Fundamentus!A:U,3,FALSE)&gt;15,"Ruim","n/a"))</f>
        <v>Ruim</v>
      </c>
      <c r="EL163" s="28" t="str">
        <f>IF(VLOOKUP(BO163,Fundamentus!A:U,4,FALSE)&lt;1,"Baixo",IF(VLOOKUP(BO163,Fundamentus!A:U,4,FALSE)&lt;1.5,"Moderado",IF(VLOOKUP(BO163,Fundamentus!A:U,4,FALSE)&gt;1.5,"Alto","n/a")))</f>
        <v>Baixo</v>
      </c>
      <c r="EM163" s="17" t="str">
        <f>IF(VLOOKUP(BO163,Fundamentus!A:U,8,FALSE)&lt;0,"Risco elevado",IF(VLOOKUP(BO163,Fundamentus!A:U,8,FALSE)&lt;1,"Saudável",IF(VLOOKUP(BO163,Fundamentus!A:U,8,FALSE)&lt;3,"Estável",IF(VLOOKUP(BO163,Fundamentus!A:U,8,FALSE)&gt;3,"Alerta","n/a"))))</f>
        <v>Estável</v>
      </c>
      <c r="EN163" s="28" t="str">
        <f t="shared" si="167"/>
        <v>Bom</v>
      </c>
      <c r="EO163" s="17" t="str">
        <f>IF(VLOOKUP(BO163,Fundamentus!A:U,12,FALSE)&lt;2,"Subvalorizada",IF(VLOOKUP(BO163,Fundamentus!A:U,12,FALSE)&lt;6,"Muita barata",IF(VLOOKUP(BO163,Fundamentus!A:U,12,FALSE)&lt;6,"Barata",IF(VLOOKUP(BO163,Fundamentus!A:U,12,FALSE)&lt;8,"Atrativa",IF(VLOOKUP(BO163,Fundamentus!A:U,12,FALSE)&gt;8,"Supervalorizada","n/a")))))</f>
        <v>Supervalorizada</v>
      </c>
      <c r="EQ163" s="17" t="str">
        <f>IF(VLOOKUP(BO163,Fundamentus!A:U,17,FALSE)&lt;0.1,"Fraco retorno",IF(VLOOKUP(BO163,Fundamentus!A:U,17,FALSE)&gt;0.1,"Bom retorno","n/a"))</f>
        <v>Fraco retorno</v>
      </c>
      <c r="ER163" s="17" t="str">
        <f>IF(VLOOKUP(BO163,Fundamentus!A:U,16,FALSE)&lt;0.1,"Ineficiente",IF(VLOOKUP(BO163,Fundamentus!A:U,16,FALSE)&gt;0.1,"Eficiente","n/a"))</f>
        <v>Ineficiente</v>
      </c>
      <c r="ES163" s="33" t="str">
        <f>IF(VLOOKUP(BO163,Fundamentus!A:U,16,FALSE)&lt;0.1,"Oper. Ineficiente",IF(VLOOKUP(BO163,Fundamentus!A:U,16,FALSE)&gt;0.1,"Oper.Eficiente","n/a"))</f>
        <v>Oper. Ineficiente</v>
      </c>
      <c r="ET163" s="34">
        <f>VLOOKUP(BO163,Fundamentus!A:U,14,FALSE)</f>
        <v>7.4999999999999997E-3</v>
      </c>
      <c r="EU163" s="17" t="str">
        <f>IF(VLOOKUP(BO163,Fundamentus!A:U,21,FALSE)&lt;0,"Negativo",IF(VLOOKUP(BO163,Fundamentus!A:U,21,FALSE)&lt;0.05,"Fraco",IF(VLOOKUP(BO163,Fundamentus!A:U,21,FALSE)&lt;0.1,"Bom",IF(VLOOKUP(BO163,Fundamentus!A:U,21,FALSE)&gt;0.1,"Muito bom","n/a"))))</f>
        <v>Muito bom</v>
      </c>
      <c r="EW163" s="29" t="str">
        <f>IF(VLOOKUP(BO163,Fundamentus!A:U,15,FALSE)&gt;1,"Bom",IF(VLOOKUP(BO163,Fundamentus!A:U,15,FALSE)&lt;1,"Ruim","n/a"))</f>
        <v>Bom</v>
      </c>
      <c r="EX163" s="17" t="str">
        <f>IF(VLOOKUP(BO163,Fundamentus!A:U,20,FALSE)&lt;0.5,"Baixa",IF(VLOOKUP(BO163,Fundamentus!A:U,20,FALSE)&lt;1,"Moderada",IF(VLOOKUP(BO163,Fundamentus!A:U,20,FALSE)&lt;2,"Alerta",IF(VLOOKUP(BO163,Fundamentus!A:U,20,FALSE)&gt;2,"Alta","n/a"))))</f>
        <v>Alerta</v>
      </c>
      <c r="EY163" s="10"/>
    </row>
    <row r="164" spans="1:155" s="2" customFormat="1" ht="11.25"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5">
        <v>19.82</v>
      </c>
      <c r="BC164" s="52">
        <v>18.7</v>
      </c>
      <c r="BD164" s="52">
        <v>18.93</v>
      </c>
      <c r="BE164" s="52">
        <v>19.25</v>
      </c>
      <c r="BF164" s="52">
        <v>18.48</v>
      </c>
      <c r="BG164" s="67">
        <v>19.079999999999998</v>
      </c>
      <c r="BH164" s="52">
        <v>18.190000000000001</v>
      </c>
      <c r="BI164" s="52">
        <v>18.2</v>
      </c>
      <c r="BJ164" s="52">
        <v>18.07</v>
      </c>
      <c r="BK164" s="52">
        <v>17.7</v>
      </c>
      <c r="BL164" s="52">
        <v>16.98</v>
      </c>
      <c r="BM164" s="52">
        <v>16.760000000000002</v>
      </c>
      <c r="BN164" s="52" cm="1">
        <f t="array" aca="1" ref="BN164" ca="1">_FV(EB164,"Preço")</f>
        <v>16.760000000000002</v>
      </c>
      <c r="BO164" s="69" t="s">
        <v>160</v>
      </c>
      <c r="BP164" s="36" cm="1">
        <f t="array" aca="1" ref="BP164" ca="1">_FV(EB164,"Média de volume",TRUE)</f>
        <v>454620</v>
      </c>
      <c r="BQ164" s="36">
        <v>573800</v>
      </c>
      <c r="BR164" s="36" cm="1">
        <f t="array" aca="1" ref="BR164" ca="1">_FV(EB164,"Volume")</f>
        <v>573800</v>
      </c>
      <c r="BS164" s="24" cm="1">
        <f t="array" aca="1" ref="BS164" ca="1">_FV(EB164,"Beta")</f>
        <v>0.56189999999999996</v>
      </c>
      <c r="BT164" s="71" cm="1">
        <f t="array" aca="1" ref="BT164" ca="1">_FV(EB164,"Variação (%)",TRUE)</f>
        <v>-9.4559999999999991E-3</v>
      </c>
      <c r="BV164" s="17" cm="1">
        <f t="array" aca="1" ref="BV164" ca="1">_FV(EB164,"Baixo")</f>
        <v>16.510000000000002</v>
      </c>
      <c r="BW164" s="17" cm="1">
        <f t="array" aca="1" ref="BW164" ca="1">_FV(EB164,"Alto")</f>
        <v>16.89</v>
      </c>
      <c r="BX164" s="24"/>
      <c r="BY164" s="63" t="e">
        <f ca="1">SQRT(22.5*(BN164/VLOOKUP(BO164,Fundamentus!A:U,3,FALSE))*(BN164/VLOOKUP(BO164,Fundamentus!A:U,4,FALSE)))</f>
        <v>#NUM!</v>
      </c>
      <c r="CA164" s="62">
        <f t="shared" ca="1" si="168"/>
        <v>0</v>
      </c>
      <c r="CB164" s="8"/>
      <c r="CC164" s="61">
        <f t="shared" si="169"/>
        <v>16.760000000000002</v>
      </c>
      <c r="CD164" s="61">
        <f t="shared" si="170"/>
        <v>27.58</v>
      </c>
      <c r="CE164" s="61">
        <f t="shared" si="171"/>
        <v>22.244692307692311</v>
      </c>
      <c r="CF164" s="14"/>
      <c r="CG164" s="35">
        <f t="shared" si="154"/>
        <v>15.155342036315638</v>
      </c>
      <c r="CH164" s="15">
        <f t="shared" si="172"/>
        <v>16.215000000000146</v>
      </c>
      <c r="CI164" s="35">
        <f t="shared" si="155"/>
        <v>17.274657963684653</v>
      </c>
      <c r="CK164" s="14"/>
      <c r="CL164" s="17">
        <f t="shared" si="156"/>
        <v>2.4800000000000075</v>
      </c>
      <c r="CM164" s="17">
        <f t="shared" si="157"/>
        <v>9.6200000000000045</v>
      </c>
      <c r="CN164" s="17">
        <f t="shared" si="158"/>
        <v>13.300000000000004</v>
      </c>
      <c r="CO164" s="38">
        <f t="shared" si="173"/>
        <v>20.440000000000001</v>
      </c>
      <c r="CP164" s="17">
        <f t="shared" si="159"/>
        <v>24.12</v>
      </c>
      <c r="CQ164" s="17">
        <f t="shared" si="160"/>
        <v>31.259999999999998</v>
      </c>
      <c r="CR164" s="17">
        <f t="shared" si="161"/>
        <v>34.94</v>
      </c>
      <c r="CS164" s="2" cm="1">
        <f t="array" aca="1" ref="CS164" ca="1">MAX(_xlfn._xlws.FILTER(CL164:CR164,CL164:CR164&lt;BN164))</f>
        <v>13.300000000000004</v>
      </c>
      <c r="CT164" s="2" cm="1">
        <f t="array" aca="1" ref="CT164" ca="1">MIN(_xlfn._xlws.FILTER($CL164:$CR164,$CL164:$CR164&gt;BN164))</f>
        <v>20.440000000000001</v>
      </c>
      <c r="CU164" s="16">
        <f t="shared" ca="1" si="175"/>
        <v>0.53684210526315757</v>
      </c>
      <c r="CV164" s="20">
        <f t="shared" ca="1" si="176"/>
        <v>-0.26842105263157878</v>
      </c>
      <c r="CW164" s="20">
        <f t="shared" ca="1" si="177"/>
        <v>-0.17894736842105252</v>
      </c>
      <c r="CX164" s="20">
        <f t="shared" ca="1" si="178"/>
        <v>-0.10736842105263152</v>
      </c>
      <c r="CY164" s="20">
        <f t="shared" ca="1" si="179"/>
        <v>-5.9649122807017507E-2</v>
      </c>
      <c r="CZ164" s="20">
        <f t="shared" ca="1" si="180"/>
        <v>-3.1578947368421033E-2</v>
      </c>
      <c r="DA164" s="20">
        <f t="shared" ca="1" si="181"/>
        <v>-1.6267942583732046E-2</v>
      </c>
      <c r="DB164" s="20">
        <f t="shared" ca="1" si="182"/>
        <v>-8.2591093117408854E-3</v>
      </c>
      <c r="DC164" s="21">
        <f t="shared" ca="1" si="183"/>
        <v>8.2591093117408854E-3</v>
      </c>
      <c r="DD164" s="21">
        <f t="shared" ca="1" si="184"/>
        <v>1.6267942583732046E-2</v>
      </c>
      <c r="DE164" s="21">
        <f t="shared" ca="1" si="185"/>
        <v>3.1578947368421033E-2</v>
      </c>
      <c r="DF164" s="21">
        <f t="shared" ca="1" si="186"/>
        <v>5.9649122807017507E-2</v>
      </c>
      <c r="DG164" s="21">
        <f t="shared" ca="1" si="187"/>
        <v>0.10736842105263152</v>
      </c>
      <c r="DH164" s="21">
        <f t="shared" ca="1" si="188"/>
        <v>0.17894736842105252</v>
      </c>
      <c r="DI164" s="21">
        <f t="shared" ca="1" si="189"/>
        <v>0.26842105263157878</v>
      </c>
      <c r="DK164" s="16" cm="1">
        <f t="array" aca="1" ref="DK164" ca="1">MAX(_xlfn._xlws.FILTER(CV164:DI164,CV164:DI164&lt;BT164))</f>
        <v>-1.6267942583732046E-2</v>
      </c>
      <c r="DL164" s="16" cm="1">
        <f t="array" aca="1" ref="DL164" ca="1">MIN(_xlfn._xlws.FILTER(CV164:DI164,CV164:DI164&gt;BT164))</f>
        <v>-8.2591093117408854E-3</v>
      </c>
      <c r="DM164" s="2" cm="1">
        <f t="array" aca="1" ref="DM164" ca="1">_FV(EB164,"Fechamento anterior",TRUE)</f>
        <v>16.920000000000002</v>
      </c>
      <c r="DN164" s="28">
        <f t="shared" ca="1" si="162"/>
        <v>0.85052061604784546</v>
      </c>
      <c r="DO164" s="15">
        <f t="shared" ca="1" si="190"/>
        <v>16.644746411483254</v>
      </c>
      <c r="DP164" s="15">
        <f t="shared" ca="1" si="191"/>
        <v>16.780255870445345</v>
      </c>
      <c r="DQ164" s="9"/>
      <c r="DR164" s="9"/>
      <c r="DS164" s="9"/>
      <c r="DT164" s="89">
        <v>8.0088332719911604E-3</v>
      </c>
      <c r="DU164" s="89">
        <f t="shared" ca="1" si="163"/>
        <v>8.0088332719911604E-3</v>
      </c>
      <c r="DV164" s="72">
        <f t="shared" ca="1" si="164"/>
        <v>0.5143169009978007</v>
      </c>
      <c r="DW164" s="37"/>
      <c r="DX164" s="35">
        <f t="shared" si="174"/>
        <v>0.52982898184225391</v>
      </c>
      <c r="DY164" s="56"/>
      <c r="DZ164" s="56"/>
      <c r="EB164" s="2" t="e" vm="166">
        <v>#VALUE!</v>
      </c>
      <c r="ED164" s="10" cm="1">
        <f t="array" aca="1" ref="ED164" ca="1">_FV(EB164,"Ações em circulação",TRUE)</f>
        <v>144177500</v>
      </c>
      <c r="EE164" s="18">
        <f>VLOOKUP(BO164,Fundamentus!A:U,5,FALSE)</f>
        <v>0.216</v>
      </c>
      <c r="EF164" s="2">
        <f t="shared" ca="1" si="165"/>
        <v>11187106018.518518</v>
      </c>
      <c r="EG164" s="17">
        <v>-46985845.277777776</v>
      </c>
      <c r="EH164" s="17">
        <f t="shared" ca="1" si="166"/>
        <v>-46985845.277777776</v>
      </c>
      <c r="EJ164" s="16">
        <f t="shared" ca="1" si="153"/>
        <v>0</v>
      </c>
      <c r="EK164" s="32" t="str">
        <f>IF(VLOOKUP(BO164,Fundamentus!A:U,3,FALSE)&lt;15,"Bom",IF(VLOOKUP(BO164,Fundamentus!A:U,3,FALSE)&gt;15,"Ruim","n/a"))</f>
        <v>Bom</v>
      </c>
      <c r="EL164" s="28" t="str">
        <f>IF(VLOOKUP(BO164,Fundamentus!A:U,4,FALSE)&lt;1,"Baixo",IF(VLOOKUP(BO164,Fundamentus!A:U,4,FALSE)&lt;1.5,"Moderado",IF(VLOOKUP(BO164,Fundamentus!A:U,4,FALSE)&gt;1.5,"Alto","n/a")))</f>
        <v>Baixo</v>
      </c>
      <c r="EM164" s="17" t="str">
        <f>IF(VLOOKUP(BO164,Fundamentus!A:U,8,FALSE)&lt;0,"Risco elevado",IF(VLOOKUP(BO164,Fundamentus!A:U,8,FALSE)&lt;1,"Saudável",IF(VLOOKUP(BO164,Fundamentus!A:U,8,FALSE)&lt;3,"Estável",IF(VLOOKUP(BO164,Fundamentus!A:U,8,FALSE)&gt;3,"Alerta","n/a"))))</f>
        <v>Saudável</v>
      </c>
      <c r="EN164" s="28" t="str">
        <f t="shared" si="167"/>
        <v>Ruim</v>
      </c>
      <c r="EO164" s="17" t="str">
        <f>IF(VLOOKUP(BO164,Fundamentus!A:U,12,FALSE)&lt;2,"Subvalorizada",IF(VLOOKUP(BO164,Fundamentus!A:U,12,FALSE)&lt;6,"Muita barata",IF(VLOOKUP(BO164,Fundamentus!A:U,12,FALSE)&lt;6,"Barata",IF(VLOOKUP(BO164,Fundamentus!A:U,12,FALSE)&lt;8,"Atrativa",IF(VLOOKUP(BO164,Fundamentus!A:U,12,FALSE)&gt;8,"Supervalorizada","n/a")))))</f>
        <v>Muita barata</v>
      </c>
      <c r="EQ164" s="17" t="str">
        <f>IF(VLOOKUP(BO164,Fundamentus!A:U,17,FALSE)&lt;0.1,"Fraco retorno",IF(VLOOKUP(BO164,Fundamentus!A:U,17,FALSE)&gt;0.1,"Bom retorno","n/a"))</f>
        <v>Fraco retorno</v>
      </c>
      <c r="ER164" s="17" t="str">
        <f>IF(VLOOKUP(BO164,Fundamentus!A:U,16,FALSE)&lt;0.1,"Ineficiente",IF(VLOOKUP(BO164,Fundamentus!A:U,16,FALSE)&gt;0.1,"Eficiente","n/a"))</f>
        <v>Eficiente</v>
      </c>
      <c r="ES164" s="33" t="str">
        <f>IF(VLOOKUP(BO164,Fundamentus!A:U,16,FALSE)&lt;0.1,"Oper. Ineficiente",IF(VLOOKUP(BO164,Fundamentus!A:U,16,FALSE)&gt;0.1,"Oper.Eficiente","n/a"))</f>
        <v>Oper.Eficiente</v>
      </c>
      <c r="ET164" s="34">
        <f>VLOOKUP(BO164,Fundamentus!A:U,14,FALSE)</f>
        <v>-4.1999999999999997E-3</v>
      </c>
      <c r="EU164" s="17" t="str">
        <f>IF(VLOOKUP(BO164,Fundamentus!A:U,21,FALSE)&lt;0,"Negativo",IF(VLOOKUP(BO164,Fundamentus!A:U,21,FALSE)&lt;0.05,"Fraco",IF(VLOOKUP(BO164,Fundamentus!A:U,21,FALSE)&lt;0.1,"Bom",IF(VLOOKUP(BO164,Fundamentus!A:U,21,FALSE)&gt;0.1,"Muito bom","n/a"))))</f>
        <v>Muito bom</v>
      </c>
      <c r="EW164" s="29" t="str">
        <f>IF(VLOOKUP(BO164,Fundamentus!A:U,15,FALSE)&gt;1,"Bom",IF(VLOOKUP(BO164,Fundamentus!A:U,15,FALSE)&lt;1,"Ruim","n/a"))</f>
        <v>Bom</v>
      </c>
      <c r="EX164" s="17" t="str">
        <f>IF(VLOOKUP(BO164,Fundamentus!A:U,20,FALSE)&lt;0.5,"Baixa",IF(VLOOKUP(BO164,Fundamentus!A:U,20,FALSE)&lt;1,"Moderada",IF(VLOOKUP(BO164,Fundamentus!A:U,20,FALSE)&lt;2,"Alerta",IF(VLOOKUP(BO164,Fundamentus!A:U,20,FALSE)&gt;2,"Alta","n/a"))))</f>
        <v>Alerta</v>
      </c>
      <c r="EY164" s="10"/>
    </row>
    <row r="165" spans="1:155" s="2" customFormat="1" ht="11.25"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5">
        <v>17.899999999999999</v>
      </c>
      <c r="BC165" s="52">
        <v>17.600000000000001</v>
      </c>
      <c r="BD165" s="52">
        <v>17.2</v>
      </c>
      <c r="BE165" s="52">
        <v>17</v>
      </c>
      <c r="BF165" s="52">
        <v>16.739999999999998</v>
      </c>
      <c r="BG165" s="67">
        <v>16.989999999999998</v>
      </c>
      <c r="BH165" s="52">
        <v>16.93</v>
      </c>
      <c r="BI165" s="52">
        <v>17.04</v>
      </c>
      <c r="BJ165" s="52">
        <v>17.14</v>
      </c>
      <c r="BK165" s="52">
        <v>16.61</v>
      </c>
      <c r="BL165" s="52">
        <v>16.809999999999999</v>
      </c>
      <c r="BM165" s="52">
        <v>16.68</v>
      </c>
      <c r="BN165" s="52" cm="1">
        <f t="array" aca="1" ref="BN165" ca="1">_FV(EB165,"Preço")</f>
        <v>16.68</v>
      </c>
      <c r="BO165" s="69" t="s">
        <v>161</v>
      </c>
      <c r="BP165" s="36" cm="1">
        <f t="array" aca="1" ref="BP165" ca="1">_FV(EB165,"Média de volume",TRUE)</f>
        <v>22650</v>
      </c>
      <c r="BQ165" s="36">
        <v>600</v>
      </c>
      <c r="BR165" s="36" cm="1">
        <f t="array" aca="1" ref="BR165" ca="1">_FV(EB165,"Volume")</f>
        <v>600</v>
      </c>
      <c r="BS165" s="24" cm="1">
        <f t="array" aca="1" ref="BS165" ca="1">_FV(EB165,"Beta")</f>
        <v>0.96689999999999998</v>
      </c>
      <c r="BT165" s="71" cm="1">
        <f t="array" aca="1" ref="BT165" ca="1">_FV(EB165,"Variação (%)",TRUE)</f>
        <v>1.5216E-2</v>
      </c>
      <c r="BV165" s="17" cm="1">
        <f t="array" aca="1" ref="BV165" ca="1">_FV(EB165,"Baixo")</f>
        <v>16.48</v>
      </c>
      <c r="BW165" s="17" cm="1">
        <f t="array" aca="1" ref="BW165" ca="1">_FV(EB165,"Alto")</f>
        <v>16.68</v>
      </c>
      <c r="BX165" s="24"/>
      <c r="BY165" s="63" t="e">
        <f ca="1">SQRT(22.5*(BN165/VLOOKUP(BO165,Fundamentus!A:U,3,FALSE))*(BN165/VLOOKUP(BO165,Fundamentus!A:U,4,FALSE)))</f>
        <v>#NUM!</v>
      </c>
      <c r="CA165" s="62">
        <f t="shared" ca="1" si="168"/>
        <v>0</v>
      </c>
      <c r="CB165" s="8"/>
      <c r="CC165" s="61">
        <f t="shared" si="169"/>
        <v>15.83</v>
      </c>
      <c r="CD165" s="61">
        <f t="shared" si="170"/>
        <v>25.9</v>
      </c>
      <c r="CE165" s="61">
        <f t="shared" si="171"/>
        <v>20.118923076923085</v>
      </c>
      <c r="CF165" s="14"/>
      <c r="CG165" s="35">
        <f t="shared" si="154"/>
        <v>16.107814538569826</v>
      </c>
      <c r="CH165" s="15">
        <f t="shared" si="172"/>
        <v>16.514999999999873</v>
      </c>
      <c r="CI165" s="35">
        <f t="shared" si="155"/>
        <v>16.922185461429919</v>
      </c>
      <c r="CK165" s="14"/>
      <c r="CL165" s="17">
        <f t="shared" si="156"/>
        <v>3.0566666666666666</v>
      </c>
      <c r="CM165" s="17">
        <f t="shared" si="157"/>
        <v>9.4433333333333334</v>
      </c>
      <c r="CN165" s="17">
        <f t="shared" si="158"/>
        <v>13.126666666666665</v>
      </c>
      <c r="CO165" s="38">
        <f t="shared" si="173"/>
        <v>19.513333333333332</v>
      </c>
      <c r="CP165" s="17">
        <f t="shared" si="159"/>
        <v>23.196666666666665</v>
      </c>
      <c r="CQ165" s="17">
        <f t="shared" si="160"/>
        <v>29.583333333333329</v>
      </c>
      <c r="CR165" s="17">
        <f t="shared" si="161"/>
        <v>33.266666666666666</v>
      </c>
      <c r="CS165" s="2" cm="1">
        <f t="array" aca="1" ref="CS165" ca="1">MAX(_xlfn._xlws.FILTER(CL165:CR165,CL165:CR165&lt;BN165))</f>
        <v>13.126666666666665</v>
      </c>
      <c r="CT165" s="2" cm="1">
        <f t="array" aca="1" ref="CT165" ca="1">MIN(_xlfn._xlws.FILTER($CL165:$CR165,$CL165:$CR165&gt;BN165))</f>
        <v>19.513333333333332</v>
      </c>
      <c r="CU165" s="16">
        <f t="shared" ca="1" si="175"/>
        <v>0.48654139156932463</v>
      </c>
      <c r="CV165" s="20">
        <f t="shared" ca="1" si="176"/>
        <v>-0.24327069578466232</v>
      </c>
      <c r="CW165" s="20">
        <f t="shared" ca="1" si="177"/>
        <v>-0.16218046385644155</v>
      </c>
      <c r="CX165" s="20">
        <f t="shared" ca="1" si="178"/>
        <v>-9.7308278313864932E-2</v>
      </c>
      <c r="CY165" s="20">
        <f t="shared" ca="1" si="179"/>
        <v>-5.4060154618813847E-2</v>
      </c>
      <c r="CZ165" s="20">
        <f t="shared" ca="1" si="180"/>
        <v>-2.8620081857019097E-2</v>
      </c>
      <c r="DA165" s="20">
        <f t="shared" ca="1" si="181"/>
        <v>-1.4743678532403777E-2</v>
      </c>
      <c r="DB165" s="20">
        <f t="shared" ca="1" si="182"/>
        <v>-7.4852521779896096E-3</v>
      </c>
      <c r="DC165" s="21">
        <f t="shared" ca="1" si="183"/>
        <v>7.4852521779896096E-3</v>
      </c>
      <c r="DD165" s="21">
        <f t="shared" ca="1" si="184"/>
        <v>1.4743678532403777E-2</v>
      </c>
      <c r="DE165" s="21">
        <f t="shared" ca="1" si="185"/>
        <v>2.8620081857019097E-2</v>
      </c>
      <c r="DF165" s="21">
        <f t="shared" ca="1" si="186"/>
        <v>5.4060154618813847E-2</v>
      </c>
      <c r="DG165" s="21">
        <f t="shared" ca="1" si="187"/>
        <v>9.7308278313864932E-2</v>
      </c>
      <c r="DH165" s="21">
        <f t="shared" ca="1" si="188"/>
        <v>0.16218046385644155</v>
      </c>
      <c r="DI165" s="21">
        <f t="shared" ca="1" si="189"/>
        <v>0.24327069578466232</v>
      </c>
      <c r="DK165" s="16" cm="1">
        <f t="array" aca="1" ref="DK165" ca="1">MAX(_xlfn._xlws.FILTER(CV165:DI165,CV165:DI165&lt;BT165))</f>
        <v>1.4743678532403777E-2</v>
      </c>
      <c r="DL165" s="16" cm="1">
        <f t="array" aca="1" ref="DL165" ca="1">MIN(_xlfn._xlws.FILTER(CV165:DI165,CV165:DI165&gt;BT165))</f>
        <v>2.8620081857019097E-2</v>
      </c>
      <c r="DM165" s="2" cm="1">
        <f t="array" aca="1" ref="DM165" ca="1">_FV(EB165,"Fechamento anterior",TRUE)</f>
        <v>16.43</v>
      </c>
      <c r="DN165" s="28">
        <f t="shared" ca="1" si="162"/>
        <v>3.4042656769978585E-2</v>
      </c>
      <c r="DO165" s="15">
        <f t="shared" ca="1" si="190"/>
        <v>16.672238638287393</v>
      </c>
      <c r="DP165" s="15">
        <f t="shared" ca="1" si="191"/>
        <v>16.900227944910824</v>
      </c>
      <c r="DQ165" s="9"/>
      <c r="DR165" s="9"/>
      <c r="DS165" s="9"/>
      <c r="DT165" s="89">
        <v>1.387640332461532E-2</v>
      </c>
      <c r="DU165" s="89">
        <f t="shared" ca="1" si="163"/>
        <v>1.387640332461532E-2</v>
      </c>
      <c r="DV165" s="72">
        <f t="shared" ca="1" si="164"/>
        <v>0.40522075474070857</v>
      </c>
      <c r="DW165" s="37"/>
      <c r="DX165" s="35">
        <f t="shared" si="174"/>
        <v>0.20359273071502373</v>
      </c>
      <c r="DY165" s="56"/>
      <c r="DZ165" s="56"/>
      <c r="EB165" s="2" t="e" vm="167">
        <v>#VALUE!</v>
      </c>
      <c r="ED165" s="10" cm="1">
        <f t="array" aca="1" ref="ED165" ca="1">_FV(EB165,"Ações em circulação",TRUE)</f>
        <v>57737320</v>
      </c>
      <c r="EE165" s="18">
        <f>VLOOKUP(BO165,Fundamentus!A:U,5,FALSE)</f>
        <v>2.121</v>
      </c>
      <c r="EF165" s="2">
        <f t="shared" ca="1" si="165"/>
        <v>454058697.59547383</v>
      </c>
      <c r="EG165" s="17">
        <v>-28015421.641640734</v>
      </c>
      <c r="EH165" s="17">
        <f t="shared" ca="1" si="166"/>
        <v>-28015421.641640734</v>
      </c>
      <c r="EJ165" s="16">
        <f t="shared" ca="1" si="153"/>
        <v>0</v>
      </c>
      <c r="EK165" s="32" t="str">
        <f>IF(VLOOKUP(BO165,Fundamentus!A:U,3,FALSE)&lt;15,"Bom",IF(VLOOKUP(BO165,Fundamentus!A:U,3,FALSE)&gt;15,"Ruim","n/a"))</f>
        <v>Bom</v>
      </c>
      <c r="EL165" s="28" t="str">
        <f>IF(VLOOKUP(BO165,Fundamentus!A:U,4,FALSE)&lt;1,"Baixo",IF(VLOOKUP(BO165,Fundamentus!A:U,4,FALSE)&lt;1.5,"Moderado",IF(VLOOKUP(BO165,Fundamentus!A:U,4,FALSE)&gt;1.5,"Alto","n/a")))</f>
        <v>Baixo</v>
      </c>
      <c r="EM165" s="17" t="str">
        <f>IF(VLOOKUP(BO165,Fundamentus!A:U,8,FALSE)&lt;0,"Risco elevado",IF(VLOOKUP(BO165,Fundamentus!A:U,8,FALSE)&lt;1,"Saudável",IF(VLOOKUP(BO165,Fundamentus!A:U,8,FALSE)&lt;3,"Estável",IF(VLOOKUP(BO165,Fundamentus!A:U,8,FALSE)&gt;3,"Alerta","n/a"))))</f>
        <v>Estável</v>
      </c>
      <c r="EN165" s="28" t="str">
        <f t="shared" si="167"/>
        <v>Bom</v>
      </c>
      <c r="EO165" s="17" t="str">
        <f>IF(VLOOKUP(BO165,Fundamentus!A:U,12,FALSE)&lt;2,"Subvalorizada",IF(VLOOKUP(BO165,Fundamentus!A:U,12,FALSE)&lt;6,"Muita barata",IF(VLOOKUP(BO165,Fundamentus!A:U,12,FALSE)&lt;6,"Barata",IF(VLOOKUP(BO165,Fundamentus!A:U,12,FALSE)&lt;8,"Atrativa",IF(VLOOKUP(BO165,Fundamentus!A:U,12,FALSE)&gt;8,"Supervalorizada","n/a")))))</f>
        <v>Supervalorizada</v>
      </c>
      <c r="EQ165" s="17" t="str">
        <f>IF(VLOOKUP(BO165,Fundamentus!A:U,17,FALSE)&lt;0.1,"Fraco retorno",IF(VLOOKUP(BO165,Fundamentus!A:U,17,FALSE)&gt;0.1,"Bom retorno","n/a"))</f>
        <v>Fraco retorno</v>
      </c>
      <c r="ER165" s="17" t="str">
        <f>IF(VLOOKUP(BO165,Fundamentus!A:U,16,FALSE)&lt;0.1,"Ineficiente",IF(VLOOKUP(BO165,Fundamentus!A:U,16,FALSE)&gt;0.1,"Eficiente","n/a"))</f>
        <v>Ineficiente</v>
      </c>
      <c r="ES165" s="33" t="str">
        <f>IF(VLOOKUP(BO165,Fundamentus!A:U,16,FALSE)&lt;0.1,"Oper. Ineficiente",IF(VLOOKUP(BO165,Fundamentus!A:U,16,FALSE)&gt;0.1,"Oper.Eficiente","n/a"))</f>
        <v>Oper. Ineficiente</v>
      </c>
      <c r="ET165" s="34">
        <f>VLOOKUP(BO165,Fundamentus!A:U,14,FALSE)</f>
        <v>-6.1699999999999998E-2</v>
      </c>
      <c r="EU165" s="17" t="str">
        <f>IF(VLOOKUP(BO165,Fundamentus!A:U,21,FALSE)&lt;0,"Negativo",IF(VLOOKUP(BO165,Fundamentus!A:U,21,FALSE)&lt;0.05,"Fraco",IF(VLOOKUP(BO165,Fundamentus!A:U,21,FALSE)&lt;0.1,"Bom",IF(VLOOKUP(BO165,Fundamentus!A:U,21,FALSE)&gt;0.1,"Muito bom","n/a"))))</f>
        <v>Muito bom</v>
      </c>
      <c r="EW165" s="29" t="str">
        <f>IF(VLOOKUP(BO165,Fundamentus!A:U,15,FALSE)&gt;1,"Bom",IF(VLOOKUP(BO165,Fundamentus!A:U,15,FALSE)&lt;1,"Ruim","n/a"))</f>
        <v>Bom</v>
      </c>
      <c r="EX165" s="17" t="str">
        <f>IF(VLOOKUP(BO165,Fundamentus!A:U,20,FALSE)&lt;0.5,"Baixa",IF(VLOOKUP(BO165,Fundamentus!A:U,20,FALSE)&lt;1,"Moderada",IF(VLOOKUP(BO165,Fundamentus!A:U,20,FALSE)&lt;2,"Alerta",IF(VLOOKUP(BO165,Fundamentus!A:U,20,FALSE)&gt;2,"Alta","n/a"))))</f>
        <v>Moderada</v>
      </c>
      <c r="EY165" s="10"/>
    </row>
    <row r="166" spans="1:155" s="2" customFormat="1" ht="11.25"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5">
        <v>3.57</v>
      </c>
      <c r="BC166" s="52">
        <v>3.66</v>
      </c>
      <c r="BD166" s="52">
        <v>3.82</v>
      </c>
      <c r="BE166" s="52">
        <v>3.76</v>
      </c>
      <c r="BF166" s="52">
        <v>3.93</v>
      </c>
      <c r="BG166" s="67">
        <v>4.08</v>
      </c>
      <c r="BH166" s="52">
        <v>4.13</v>
      </c>
      <c r="BI166" s="52">
        <v>4.0599999999999996</v>
      </c>
      <c r="BJ166" s="52">
        <v>3.67</v>
      </c>
      <c r="BK166" s="52">
        <v>3.75</v>
      </c>
      <c r="BL166" s="52">
        <v>3.9</v>
      </c>
      <c r="BM166" s="52">
        <v>3.77</v>
      </c>
      <c r="BN166" s="52" cm="1">
        <f t="array" aca="1" ref="BN166" ca="1">_FV(EB166,"Preço")</f>
        <v>3.77</v>
      </c>
      <c r="BO166" s="69" t="s">
        <v>162</v>
      </c>
      <c r="BP166" s="36" cm="1">
        <f t="array" aca="1" ref="BP166" ca="1">_FV(EB166,"Média de volume",TRUE)</f>
        <v>5148990</v>
      </c>
      <c r="BQ166" s="36">
        <v>3122800</v>
      </c>
      <c r="BR166" s="36" cm="1">
        <f t="array" aca="1" ref="BR166" ca="1">_FV(EB166,"Volume")</f>
        <v>3122800</v>
      </c>
      <c r="BS166" s="24" cm="1">
        <f t="array" aca="1" ref="BS166" ca="1">_FV(EB166,"Beta")</f>
        <v>1.1574</v>
      </c>
      <c r="BT166" s="71" cm="1">
        <f t="array" aca="1" ref="BT166" ca="1">_FV(EB166,"Variação (%)",TRUE)</f>
        <v>-1.3089E-2</v>
      </c>
      <c r="BV166" s="17" cm="1">
        <f t="array" aca="1" ref="BV166" ca="1">_FV(EB166,"Baixo")</f>
        <v>3.76</v>
      </c>
      <c r="BW166" s="17" cm="1">
        <f t="array" aca="1" ref="BW166" ca="1">_FV(EB166,"Alto")</f>
        <v>3.87</v>
      </c>
      <c r="BX166" s="24"/>
      <c r="BY166" s="63">
        <f ca="1">SQRT(22.5*(BN166/VLOOKUP(BO166,Fundamentus!A:U,3,FALSE))*(BN166/VLOOKUP(BO166,Fundamentus!A:U,4,FALSE)))</f>
        <v>2.4122103348891804</v>
      </c>
      <c r="CA166" s="62">
        <f t="shared" ca="1" si="168"/>
        <v>0</v>
      </c>
      <c r="CB166" s="8"/>
      <c r="CC166" s="61">
        <f t="shared" si="169"/>
        <v>2.58</v>
      </c>
      <c r="CD166" s="61">
        <f t="shared" si="170"/>
        <v>5.13</v>
      </c>
      <c r="CE166" s="61">
        <f t="shared" si="171"/>
        <v>3.8593076923076928</v>
      </c>
      <c r="CF166" s="14"/>
      <c r="CG166" s="35">
        <f t="shared" si="154"/>
        <v>3.7198485543508535</v>
      </c>
      <c r="CH166" s="15">
        <f t="shared" si="172"/>
        <v>3.8849999999999909</v>
      </c>
      <c r="CI166" s="35">
        <f t="shared" si="155"/>
        <v>4.0501514456491279</v>
      </c>
      <c r="CK166" s="14"/>
      <c r="CL166" s="17">
        <f t="shared" si="156"/>
        <v>5.9999999999999609E-2</v>
      </c>
      <c r="CM166" s="17">
        <f t="shared" si="157"/>
        <v>1.3199999999999998</v>
      </c>
      <c r="CN166" s="17">
        <f t="shared" si="158"/>
        <v>2.6099999999999994</v>
      </c>
      <c r="CO166" s="38">
        <f t="shared" si="173"/>
        <v>3.8699999999999997</v>
      </c>
      <c r="CP166" s="17">
        <f t="shared" si="159"/>
        <v>5.1599999999999993</v>
      </c>
      <c r="CQ166" s="17">
        <f t="shared" si="160"/>
        <v>6.42</v>
      </c>
      <c r="CR166" s="17">
        <f t="shared" si="161"/>
        <v>7.7099999999999991</v>
      </c>
      <c r="CS166" s="2" cm="1">
        <f t="array" aca="1" ref="CS166" ca="1">MAX(_xlfn._xlws.FILTER(CL166:CR166,CL166:CR166&lt;BN166))</f>
        <v>2.6099999999999994</v>
      </c>
      <c r="CT166" s="2" cm="1">
        <f t="array" aca="1" ref="CT166" ca="1">MIN(_xlfn._xlws.FILTER($CL166:$CR166,$CL166:$CR166&gt;BN166))</f>
        <v>3.8699999999999997</v>
      </c>
      <c r="CU166" s="16">
        <f t="shared" ca="1" si="175"/>
        <v>0.48275862068965547</v>
      </c>
      <c r="CV166" s="20">
        <f t="shared" ca="1" si="176"/>
        <v>-0.24137931034482774</v>
      </c>
      <c r="CW166" s="20">
        <f t="shared" ca="1" si="177"/>
        <v>-0.16091954022988517</v>
      </c>
      <c r="CX166" s="20">
        <f t="shared" ca="1" si="178"/>
        <v>-9.6551724137931089E-2</v>
      </c>
      <c r="CY166" s="20">
        <f t="shared" ca="1" si="179"/>
        <v>-5.3639846743295055E-2</v>
      </c>
      <c r="CZ166" s="20">
        <f t="shared" ca="1" si="180"/>
        <v>-2.8397565922920909E-2</v>
      </c>
      <c r="DA166" s="20">
        <f t="shared" ca="1" si="181"/>
        <v>-1.4629049111807742E-2</v>
      </c>
      <c r="DB166" s="20">
        <f t="shared" ca="1" si="182"/>
        <v>-7.4270557029177762E-3</v>
      </c>
      <c r="DC166" s="21">
        <f t="shared" ca="1" si="183"/>
        <v>7.4270557029177762E-3</v>
      </c>
      <c r="DD166" s="21">
        <f t="shared" ca="1" si="184"/>
        <v>1.4629049111807742E-2</v>
      </c>
      <c r="DE166" s="21">
        <f t="shared" ca="1" si="185"/>
        <v>2.8397565922920909E-2</v>
      </c>
      <c r="DF166" s="21">
        <f t="shared" ca="1" si="186"/>
        <v>5.3639846743295055E-2</v>
      </c>
      <c r="DG166" s="21">
        <f t="shared" ca="1" si="187"/>
        <v>9.6551724137931089E-2</v>
      </c>
      <c r="DH166" s="21">
        <f t="shared" ca="1" si="188"/>
        <v>0.16091954022988517</v>
      </c>
      <c r="DI166" s="21">
        <f t="shared" ca="1" si="189"/>
        <v>0.24137931034482774</v>
      </c>
      <c r="DK166" s="16" cm="1">
        <f t="array" aca="1" ref="DK166" ca="1">MAX(_xlfn._xlws.FILTER(CV166:DI166,CV166:DI166&lt;BT166))</f>
        <v>-1.4629049111807742E-2</v>
      </c>
      <c r="DL166" s="16" cm="1">
        <f t="array" aca="1" ref="DL166" ca="1">MIN(_xlfn._xlws.FILTER(CV166:DI166,CV166:DI166&gt;BT166))</f>
        <v>-7.4270557029177762E-3</v>
      </c>
      <c r="DM166" s="2" cm="1">
        <f t="array" aca="1" ref="DM166" ca="1">_FV(EB166,"Fechamento anterior",TRUE)</f>
        <v>3.82</v>
      </c>
      <c r="DN166" s="28">
        <f t="shared" ca="1" si="162"/>
        <v>0.21383577973074708</v>
      </c>
      <c r="DO166" s="15">
        <f t="shared" ca="1" si="190"/>
        <v>3.7641170323928943</v>
      </c>
      <c r="DP166" s="15">
        <f t="shared" ca="1" si="191"/>
        <v>3.7916286472148539</v>
      </c>
      <c r="DQ166" s="9"/>
      <c r="DR166" s="9"/>
      <c r="DS166" s="9"/>
      <c r="DT166" s="89">
        <v>7.2019934088899656E-3</v>
      </c>
      <c r="DU166" s="89">
        <f t="shared" ca="1" si="163"/>
        <v>7.2019934088899656E-3</v>
      </c>
      <c r="DV166" s="72">
        <f t="shared" ca="1" si="164"/>
        <v>-0.69633056827311846</v>
      </c>
      <c r="DW166" s="37"/>
      <c r="DX166" s="35">
        <f t="shared" si="174"/>
        <v>8.2575722824568709E-2</v>
      </c>
      <c r="DY166" s="56"/>
      <c r="DZ166" s="56"/>
      <c r="EB166" s="2" t="e" vm="168">
        <v>#VALUE!</v>
      </c>
      <c r="ED166" s="10" cm="1">
        <f t="array" aca="1" ref="ED166" ca="1">_FV(EB166,"Ações em circulação",TRUE)</f>
        <v>565999200</v>
      </c>
      <c r="EE166" s="18">
        <f>VLOOKUP(BO166,Fundamentus!A:U,5,FALSE)</f>
        <v>1.579</v>
      </c>
      <c r="EF166" s="2">
        <f t="shared" ca="1" si="165"/>
        <v>1351372377.4540849</v>
      </c>
      <c r="EG166" s="17">
        <v>31486976.39468018</v>
      </c>
      <c r="EH166" s="17">
        <f t="shared" ca="1" si="166"/>
        <v>31486976.39468018</v>
      </c>
      <c r="EJ166" s="16">
        <f t="shared" ca="1" si="153"/>
        <v>0</v>
      </c>
      <c r="EK166" s="32" t="str">
        <f>IF(VLOOKUP(BO166,Fundamentus!A:U,3,FALSE)&lt;15,"Bom",IF(VLOOKUP(BO166,Fundamentus!A:U,3,FALSE)&gt;15,"Ruim","n/a"))</f>
        <v>Ruim</v>
      </c>
      <c r="EL166" s="28" t="str">
        <f>IF(VLOOKUP(BO166,Fundamentus!A:U,4,FALSE)&lt;1,"Baixo",IF(VLOOKUP(BO166,Fundamentus!A:U,4,FALSE)&lt;1.5,"Moderado",IF(VLOOKUP(BO166,Fundamentus!A:U,4,FALSE)&gt;1.5,"Alto","n/a")))</f>
        <v>Baixo</v>
      </c>
      <c r="EM166" s="17" t="str">
        <f>IF(VLOOKUP(BO166,Fundamentus!A:U,8,FALSE)&lt;0,"Risco elevado",IF(VLOOKUP(BO166,Fundamentus!A:U,8,FALSE)&lt;1,"Saudável",IF(VLOOKUP(BO166,Fundamentus!A:U,8,FALSE)&lt;3,"Estável",IF(VLOOKUP(BO166,Fundamentus!A:U,8,FALSE)&gt;3,"Alerta","n/a"))))</f>
        <v>Alerta</v>
      </c>
      <c r="EN166" s="28" t="str">
        <f t="shared" si="167"/>
        <v>Bom</v>
      </c>
      <c r="EO166" s="17" t="str">
        <f>IF(VLOOKUP(BO166,Fundamentus!A:U,12,FALSE)&lt;2,"Subvalorizada",IF(VLOOKUP(BO166,Fundamentus!A:U,12,FALSE)&lt;6,"Muita barata",IF(VLOOKUP(BO166,Fundamentus!A:U,12,FALSE)&lt;6,"Barata",IF(VLOOKUP(BO166,Fundamentus!A:U,12,FALSE)&lt;8,"Atrativa",IF(VLOOKUP(BO166,Fundamentus!A:U,12,FALSE)&gt;8,"Supervalorizada","n/a")))))</f>
        <v>Atrativa</v>
      </c>
      <c r="EQ166" s="17" t="str">
        <f>IF(VLOOKUP(BO166,Fundamentus!A:U,17,FALSE)&lt;0.1,"Fraco retorno",IF(VLOOKUP(BO166,Fundamentus!A:U,17,FALSE)&gt;0.1,"Bom retorno","n/a"))</f>
        <v>Fraco retorno</v>
      </c>
      <c r="ER166" s="17" t="str">
        <f>IF(VLOOKUP(BO166,Fundamentus!A:U,16,FALSE)&lt;0.1,"Ineficiente",IF(VLOOKUP(BO166,Fundamentus!A:U,16,FALSE)&gt;0.1,"Eficiente","n/a"))</f>
        <v>Ineficiente</v>
      </c>
      <c r="ES166" s="33" t="str">
        <f>IF(VLOOKUP(BO166,Fundamentus!A:U,16,FALSE)&lt;0.1,"Oper. Ineficiente",IF(VLOOKUP(BO166,Fundamentus!A:U,16,FALSE)&gt;0.1,"Oper.Eficiente","n/a"))</f>
        <v>Oper. Ineficiente</v>
      </c>
      <c r="ET166" s="34">
        <f>VLOOKUP(BO166,Fundamentus!A:U,14,FALSE)</f>
        <v>2.3300000000000001E-2</v>
      </c>
      <c r="EU166" s="17" t="str">
        <f>IF(VLOOKUP(BO166,Fundamentus!A:U,21,FALSE)&lt;0,"Negativo",IF(VLOOKUP(BO166,Fundamentus!A:U,21,FALSE)&lt;0.05,"Fraco",IF(VLOOKUP(BO166,Fundamentus!A:U,21,FALSE)&lt;0.1,"Bom",IF(VLOOKUP(BO166,Fundamentus!A:U,21,FALSE)&gt;0.1,"Muito bom","n/a"))))</f>
        <v>Muito bom</v>
      </c>
      <c r="EW166" s="29" t="str">
        <f>IF(VLOOKUP(BO166,Fundamentus!A:U,15,FALSE)&gt;1,"Bom",IF(VLOOKUP(BO166,Fundamentus!A:U,15,FALSE)&lt;1,"Ruim","n/a"))</f>
        <v>Bom</v>
      </c>
      <c r="EX166" s="17" t="str">
        <f>IF(VLOOKUP(BO166,Fundamentus!A:U,20,FALSE)&lt;0.5,"Baixa",IF(VLOOKUP(BO166,Fundamentus!A:U,20,FALSE)&lt;1,"Moderada",IF(VLOOKUP(BO166,Fundamentus!A:U,20,FALSE)&lt;2,"Alerta",IF(VLOOKUP(BO166,Fundamentus!A:U,20,FALSE)&gt;2,"Alta","n/a"))))</f>
        <v>Baixa</v>
      </c>
      <c r="EY166" s="10"/>
    </row>
    <row r="167" spans="1:155" s="2" customFormat="1" ht="11.25"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5">
        <v>1.39</v>
      </c>
      <c r="BC167" s="52">
        <v>1.5</v>
      </c>
      <c r="BD167" s="52">
        <v>1.6</v>
      </c>
      <c r="BE167" s="52">
        <v>1.75</v>
      </c>
      <c r="BF167" s="52">
        <v>1.66</v>
      </c>
      <c r="BG167" s="67">
        <v>1.65</v>
      </c>
      <c r="BH167" s="52">
        <v>1.64</v>
      </c>
      <c r="BI167" s="52">
        <v>1.67</v>
      </c>
      <c r="BJ167" s="52">
        <v>1.58</v>
      </c>
      <c r="BK167" s="52">
        <v>1.38</v>
      </c>
      <c r="BL167" s="52">
        <v>1.45</v>
      </c>
      <c r="BM167" s="52">
        <v>1.49</v>
      </c>
      <c r="BN167" s="52" cm="1">
        <f t="array" aca="1" ref="BN167" ca="1">_FV(EB167,"Preço")</f>
        <v>1.49</v>
      </c>
      <c r="BO167" s="69" t="s">
        <v>163</v>
      </c>
      <c r="BP167" s="36" cm="1">
        <f t="array" aca="1" ref="BP167" ca="1">_FV(EB167,"Média de volume",TRUE)</f>
        <v>78710</v>
      </c>
      <c r="BQ167" s="36">
        <v>86800</v>
      </c>
      <c r="BR167" s="36" cm="1">
        <f t="array" aca="1" ref="BR167" ca="1">_FV(EB167,"Volume")</f>
        <v>86800</v>
      </c>
      <c r="BS167" s="24" cm="1">
        <f t="array" aca="1" ref="BS167" ca="1">_FV(EB167,"Beta")</f>
        <v>1.3759999999999999</v>
      </c>
      <c r="BT167" s="71" cm="1">
        <f t="array" aca="1" ref="BT167" ca="1">_FV(EB167,"Variação (%)",TRUE)</f>
        <v>1.3605000000000001E-2</v>
      </c>
      <c r="BV167" s="17" cm="1">
        <f t="array" aca="1" ref="BV167" ca="1">_FV(EB167,"Baixo")</f>
        <v>1.41</v>
      </c>
      <c r="BW167" s="17" cm="1">
        <f t="array" aca="1" ref="BW167" ca="1">_FV(EB167,"Alto")</f>
        <v>1.49</v>
      </c>
      <c r="BX167" s="24"/>
      <c r="BY167" s="63">
        <f ca="1">SQRT(22.5*(BN167/VLOOKUP(BO167,Fundamentus!A:U,3,FALSE))*(BN167/VLOOKUP(BO167,Fundamentus!A:U,4,FALSE)))</f>
        <v>2.2714892636652602</v>
      </c>
      <c r="CA167" s="62">
        <f t="shared" ca="1" si="168"/>
        <v>0</v>
      </c>
      <c r="CB167" s="8"/>
      <c r="CC167" s="61">
        <f t="shared" si="169"/>
        <v>1.17</v>
      </c>
      <c r="CD167" s="61">
        <f t="shared" si="170"/>
        <v>2.31</v>
      </c>
      <c r="CE167" s="61">
        <f t="shared" si="171"/>
        <v>1.6270769230769231</v>
      </c>
      <c r="CF167" s="14"/>
      <c r="CG167" s="35">
        <f t="shared" si="154"/>
        <v>1.2804316770520017</v>
      </c>
      <c r="CH167" s="15">
        <f t="shared" si="172"/>
        <v>1.4250000000000114</v>
      </c>
      <c r="CI167" s="35">
        <f t="shared" si="155"/>
        <v>1.5695683229480211</v>
      </c>
      <c r="CK167" s="14"/>
      <c r="CL167" s="17">
        <f t="shared" si="156"/>
        <v>-0.16333333333333355</v>
      </c>
      <c r="CM167" s="17">
        <f t="shared" si="157"/>
        <v>0.50333333333333319</v>
      </c>
      <c r="CN167" s="17">
        <f t="shared" si="158"/>
        <v>0.97666666666666657</v>
      </c>
      <c r="CO167" s="38">
        <f t="shared" si="173"/>
        <v>1.6433333333333333</v>
      </c>
      <c r="CP167" s="17">
        <f t="shared" si="159"/>
        <v>2.1166666666666667</v>
      </c>
      <c r="CQ167" s="17">
        <f t="shared" si="160"/>
        <v>2.7833333333333332</v>
      </c>
      <c r="CR167" s="17">
        <f t="shared" si="161"/>
        <v>3.2566666666666668</v>
      </c>
      <c r="CS167" s="2" cm="1">
        <f t="array" aca="1" ref="CS167" ca="1">MAX(_xlfn._xlws.FILTER(CL167:CR167,CL167:CR167&lt;BN167))</f>
        <v>0.97666666666666657</v>
      </c>
      <c r="CT167" s="2" cm="1">
        <f t="array" aca="1" ref="CT167" ca="1">MIN(_xlfn._xlws.FILTER($CL167:$CR167,$CL167:$CR167&gt;BN167))</f>
        <v>1.6433333333333333</v>
      </c>
      <c r="CU167" s="16">
        <f t="shared" ca="1" si="175"/>
        <v>0.68259385665529027</v>
      </c>
      <c r="CV167" s="20">
        <f t="shared" ca="1" si="176"/>
        <v>-0.34129692832764513</v>
      </c>
      <c r="CW167" s="20">
        <f t="shared" ca="1" si="177"/>
        <v>-0.22753128555176341</v>
      </c>
      <c r="CX167" s="20">
        <f t="shared" ca="1" si="178"/>
        <v>-0.13651877133105805</v>
      </c>
      <c r="CY167" s="20">
        <f t="shared" ca="1" si="179"/>
        <v>-7.5843761850587804E-2</v>
      </c>
      <c r="CZ167" s="20">
        <f t="shared" ca="1" si="180"/>
        <v>-4.0152579803252368E-2</v>
      </c>
      <c r="DA167" s="20">
        <f t="shared" ca="1" si="181"/>
        <v>-2.0684662322887584E-2</v>
      </c>
      <c r="DB167" s="20">
        <f t="shared" ca="1" si="182"/>
        <v>-1.0501443948542927E-2</v>
      </c>
      <c r="DC167" s="21">
        <f t="shared" ca="1" si="183"/>
        <v>1.0501443948542927E-2</v>
      </c>
      <c r="DD167" s="21">
        <f t="shared" ca="1" si="184"/>
        <v>2.0684662322887584E-2</v>
      </c>
      <c r="DE167" s="21">
        <f t="shared" ca="1" si="185"/>
        <v>4.0152579803252368E-2</v>
      </c>
      <c r="DF167" s="21">
        <f t="shared" ca="1" si="186"/>
        <v>7.5843761850587804E-2</v>
      </c>
      <c r="DG167" s="21">
        <f t="shared" ca="1" si="187"/>
        <v>0.13651877133105805</v>
      </c>
      <c r="DH167" s="21">
        <f t="shared" ca="1" si="188"/>
        <v>0.22753128555176341</v>
      </c>
      <c r="DI167" s="21">
        <f t="shared" ca="1" si="189"/>
        <v>0.34129692832764513</v>
      </c>
      <c r="DK167" s="16" cm="1">
        <f t="array" aca="1" ref="DK167" ca="1">MAX(_xlfn._xlws.FILTER(CV167:DI167,CV167:DI167&lt;BT167))</f>
        <v>1.0501443948542927E-2</v>
      </c>
      <c r="DL167" s="16" cm="1">
        <f t="array" aca="1" ref="DL167" ca="1">MIN(_xlfn._xlws.FILTER(CV167:DI167,CV167:DI167&gt;BT167))</f>
        <v>2.0684662322887584E-2</v>
      </c>
      <c r="DM167" s="2" cm="1">
        <f t="array" aca="1" ref="DM167" ca="1">_FV(EB167,"Fechamento anterior",TRUE)</f>
        <v>1.47</v>
      </c>
      <c r="DN167" s="28">
        <f t="shared" ca="1" si="162"/>
        <v>0.30481505102040873</v>
      </c>
      <c r="DO167" s="15">
        <f t="shared" ca="1" si="190"/>
        <v>1.4854371226043581</v>
      </c>
      <c r="DP167" s="15">
        <f t="shared" ca="1" si="191"/>
        <v>1.5004064536146446</v>
      </c>
      <c r="DQ167" s="9"/>
      <c r="DR167" s="9"/>
      <c r="DS167" s="9"/>
      <c r="DT167" s="89">
        <v>1.0183218374344657E-2</v>
      </c>
      <c r="DU167" s="89">
        <f t="shared" ca="1" si="163"/>
        <v>1.0183218374344657E-2</v>
      </c>
      <c r="DV167" s="72">
        <f t="shared" ca="1" si="164"/>
        <v>0.44961440151286952</v>
      </c>
      <c r="DW167" s="37"/>
      <c r="DX167" s="35">
        <f t="shared" si="174"/>
        <v>7.2284161474004863E-2</v>
      </c>
      <c r="DY167" s="56"/>
      <c r="DZ167" s="56"/>
      <c r="EB167" s="2" t="e" vm="169">
        <v>#VALUE!</v>
      </c>
      <c r="ED167" s="10" cm="1">
        <f t="array" aca="1" ref="ED167" ca="1">_FV(EB167,"Ações em circulação",TRUE)</f>
        <v>147554600</v>
      </c>
      <c r="EE167" s="18">
        <f>VLOOKUP(BO167,Fundamentus!A:U,5,FALSE)</f>
        <v>1.0629999999999999</v>
      </c>
      <c r="EF167" s="2">
        <f t="shared" ca="1" si="165"/>
        <v>206826297.27187207</v>
      </c>
      <c r="EG167" s="17">
        <v>33919512.75258702</v>
      </c>
      <c r="EH167" s="17">
        <f t="shared" ca="1" si="166"/>
        <v>33919512.75258702</v>
      </c>
      <c r="EJ167" s="16">
        <f t="shared" ca="1" si="153"/>
        <v>0</v>
      </c>
      <c r="EK167" s="32" t="str">
        <f>IF(VLOOKUP(BO167,Fundamentus!A:U,3,FALSE)&lt;15,"Bom",IF(VLOOKUP(BO167,Fundamentus!A:U,3,FALSE)&gt;15,"Ruim","n/a"))</f>
        <v>Bom</v>
      </c>
      <c r="EL167" s="28" t="str">
        <f>IF(VLOOKUP(BO167,Fundamentus!A:U,4,FALSE)&lt;1,"Baixo",IF(VLOOKUP(BO167,Fundamentus!A:U,4,FALSE)&lt;1.5,"Moderado",IF(VLOOKUP(BO167,Fundamentus!A:U,4,FALSE)&gt;1.5,"Alto","n/a")))</f>
        <v>Baixo</v>
      </c>
      <c r="EM167" s="17" t="str">
        <f>IF(VLOOKUP(BO167,Fundamentus!A:U,8,FALSE)&lt;0,"Risco elevado",IF(VLOOKUP(BO167,Fundamentus!A:U,8,FALSE)&lt;1,"Saudável",IF(VLOOKUP(BO167,Fundamentus!A:U,8,FALSE)&lt;3,"Estável",IF(VLOOKUP(BO167,Fundamentus!A:U,8,FALSE)&gt;3,"Alerta","n/a"))))</f>
        <v>Alerta</v>
      </c>
      <c r="EN167" s="28" t="str">
        <f t="shared" si="167"/>
        <v>Bom</v>
      </c>
      <c r="EO167" s="17" t="str">
        <f>IF(VLOOKUP(BO167,Fundamentus!A:U,12,FALSE)&lt;2,"Subvalorizada",IF(VLOOKUP(BO167,Fundamentus!A:U,12,FALSE)&lt;6,"Muita barata",IF(VLOOKUP(BO167,Fundamentus!A:U,12,FALSE)&lt;6,"Barata",IF(VLOOKUP(BO167,Fundamentus!A:U,12,FALSE)&lt;8,"Atrativa",IF(VLOOKUP(BO167,Fundamentus!A:U,12,FALSE)&gt;8,"Supervalorizada","n/a")))))</f>
        <v>Muita barata</v>
      </c>
      <c r="EQ167" s="17" t="str">
        <f>IF(VLOOKUP(BO167,Fundamentus!A:U,17,FALSE)&lt;0.1,"Fraco retorno",IF(VLOOKUP(BO167,Fundamentus!A:U,17,FALSE)&gt;0.1,"Bom retorno","n/a"))</f>
        <v>Fraco retorno</v>
      </c>
      <c r="ER167" s="17" t="str">
        <f>IF(VLOOKUP(BO167,Fundamentus!A:U,16,FALSE)&lt;0.1,"Ineficiente",IF(VLOOKUP(BO167,Fundamentus!A:U,16,FALSE)&gt;0.1,"Eficiente","n/a"))</f>
        <v>Eficiente</v>
      </c>
      <c r="ES167" s="33" t="str">
        <f>IF(VLOOKUP(BO167,Fundamentus!A:U,16,FALSE)&lt;0.1,"Oper. Ineficiente",IF(VLOOKUP(BO167,Fundamentus!A:U,16,FALSE)&gt;0.1,"Oper.Eficiente","n/a"))</f>
        <v>Oper.Eficiente</v>
      </c>
      <c r="ET167" s="34">
        <f>VLOOKUP(BO167,Fundamentus!A:U,14,FALSE)</f>
        <v>0.16400000000000001</v>
      </c>
      <c r="EU167" s="17" t="str">
        <f>IF(VLOOKUP(BO167,Fundamentus!A:U,21,FALSE)&lt;0,"Negativo",IF(VLOOKUP(BO167,Fundamentus!A:U,21,FALSE)&lt;0.05,"Fraco",IF(VLOOKUP(BO167,Fundamentus!A:U,21,FALSE)&lt;0.1,"Bom",IF(VLOOKUP(BO167,Fundamentus!A:U,21,FALSE)&gt;0.1,"Muito bom","n/a"))))</f>
        <v>Negativo</v>
      </c>
      <c r="EW167" s="29" t="str">
        <f>IF(VLOOKUP(BO167,Fundamentus!A:U,15,FALSE)&gt;1,"Bom",IF(VLOOKUP(BO167,Fundamentus!A:U,15,FALSE)&lt;1,"Ruim","n/a"))</f>
        <v>Bom</v>
      </c>
      <c r="EX167" s="17" t="str">
        <f>IF(VLOOKUP(BO167,Fundamentus!A:U,20,FALSE)&lt;0.5,"Baixa",IF(VLOOKUP(BO167,Fundamentus!A:U,20,FALSE)&lt;1,"Moderada",IF(VLOOKUP(BO167,Fundamentus!A:U,20,FALSE)&lt;2,"Alerta",IF(VLOOKUP(BO167,Fundamentus!A:U,20,FALSE)&gt;2,"Alta","n/a"))))</f>
        <v>Baixa</v>
      </c>
      <c r="EY167" s="10"/>
    </row>
    <row r="168" spans="1:155" s="2" customFormat="1" ht="11.25"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5">
        <v>3.82</v>
      </c>
      <c r="BC168" s="52">
        <v>4.28</v>
      </c>
      <c r="BD168" s="52">
        <v>4.01</v>
      </c>
      <c r="BE168" s="52">
        <v>4.03</v>
      </c>
      <c r="BF168" s="52">
        <v>3.88</v>
      </c>
      <c r="BG168" s="67">
        <v>3.99</v>
      </c>
      <c r="BH168" s="52">
        <v>4</v>
      </c>
      <c r="BI168" s="52">
        <v>3.87</v>
      </c>
      <c r="BJ168" s="52">
        <v>4.12</v>
      </c>
      <c r="BK168" s="52">
        <v>4.01</v>
      </c>
      <c r="BL168" s="52">
        <v>3.75</v>
      </c>
      <c r="BM168" s="52">
        <v>3.76</v>
      </c>
      <c r="BN168" s="52" cm="1">
        <f t="array" aca="1" ref="BN168" ca="1">_FV(EB168,"Preço")</f>
        <v>3.76</v>
      </c>
      <c r="BO168" s="69" t="s">
        <v>164</v>
      </c>
      <c r="BP168" s="36" cm="1">
        <f t="array" aca="1" ref="BP168" ca="1">_FV(EB168,"Média de volume",TRUE)</f>
        <v>534750</v>
      </c>
      <c r="BQ168" s="36">
        <v>400800</v>
      </c>
      <c r="BR168" s="36" cm="1">
        <f t="array" aca="1" ref="BR168" ca="1">_FV(EB168,"Volume")</f>
        <v>400800</v>
      </c>
      <c r="BS168" s="24" cm="1">
        <f t="array" aca="1" ref="BS168" ca="1">_FV(EB168,"Beta")</f>
        <v>2.0785</v>
      </c>
      <c r="BT168" s="71" cm="1">
        <f t="array" aca="1" ref="BT168" ca="1">_FV(EB168,"Variação (%)",TRUE)</f>
        <v>8.0429999999999998E-3</v>
      </c>
      <c r="BV168" s="17" cm="1">
        <f t="array" aca="1" ref="BV168" ca="1">_FV(EB168,"Baixo")</f>
        <v>3.68</v>
      </c>
      <c r="BW168" s="17" cm="1">
        <f t="array" aca="1" ref="BW168" ca="1">_FV(EB168,"Alto")</f>
        <v>3.76</v>
      </c>
      <c r="BX168" s="24"/>
      <c r="BY168" s="63">
        <f ca="1">SQRT(22.5*(BN168/VLOOKUP(BO168,Fundamentus!A:U,3,FALSE))*(BN168/VLOOKUP(BO168,Fundamentus!A:U,4,FALSE)))</f>
        <v>10.935490954045685</v>
      </c>
      <c r="CA168" s="62">
        <f t="shared" ca="1" si="168"/>
        <v>0</v>
      </c>
      <c r="CB168" s="8"/>
      <c r="CC168" s="61">
        <f t="shared" si="169"/>
        <v>2.85</v>
      </c>
      <c r="CD168" s="61">
        <f t="shared" si="170"/>
        <v>4.38</v>
      </c>
      <c r="CE168" s="61">
        <f t="shared" si="171"/>
        <v>3.6458461538461542</v>
      </c>
      <c r="CF168" s="14"/>
      <c r="CG168" s="35">
        <f t="shared" si="154"/>
        <v>3.255312652737016</v>
      </c>
      <c r="CH168" s="15">
        <f t="shared" si="172"/>
        <v>3.5749999999999318</v>
      </c>
      <c r="CI168" s="35">
        <f t="shared" si="155"/>
        <v>3.8946873472628476</v>
      </c>
      <c r="CK168" s="14"/>
      <c r="CL168" s="17">
        <f t="shared" si="156"/>
        <v>1.4100000000000006</v>
      </c>
      <c r="CM168" s="17">
        <f t="shared" si="157"/>
        <v>2.1300000000000003</v>
      </c>
      <c r="CN168" s="17">
        <f t="shared" si="158"/>
        <v>2.9400000000000004</v>
      </c>
      <c r="CO168" s="38">
        <f t="shared" si="173"/>
        <v>3.66</v>
      </c>
      <c r="CP168" s="17">
        <f t="shared" si="159"/>
        <v>4.4700000000000006</v>
      </c>
      <c r="CQ168" s="17">
        <f t="shared" si="160"/>
        <v>5.1899999999999995</v>
      </c>
      <c r="CR168" s="17">
        <f t="shared" si="161"/>
        <v>6</v>
      </c>
      <c r="CS168" s="2" cm="1">
        <f t="array" aca="1" ref="CS168" ca="1">MAX(_xlfn._xlws.FILTER(CL168:CR168,CL168:CR168&lt;BN168))</f>
        <v>3.66</v>
      </c>
      <c r="CT168" s="2" cm="1">
        <f t="array" aca="1" ref="CT168" ca="1">MIN(_xlfn._xlws.FILTER($CL168:$CR168,$CL168:$CR168&gt;BN168))</f>
        <v>4.4700000000000006</v>
      </c>
      <c r="CU168" s="16">
        <f t="shared" ca="1" si="175"/>
        <v>0.2213114754098362</v>
      </c>
      <c r="CV168" s="20">
        <f t="shared" ca="1" si="176"/>
        <v>-0.1106557377049181</v>
      </c>
      <c r="CW168" s="20">
        <f t="shared" ca="1" si="177"/>
        <v>-7.3770491803278729E-2</v>
      </c>
      <c r="CX168" s="20">
        <f t="shared" ca="1" si="178"/>
        <v>-4.4262295081967239E-2</v>
      </c>
      <c r="CY168" s="20">
        <f t="shared" ca="1" si="179"/>
        <v>-2.4590163934426243E-2</v>
      </c>
      <c r="CZ168" s="20">
        <f t="shared" ca="1" si="180"/>
        <v>-1.3018322082931541E-2</v>
      </c>
      <c r="DA168" s="20">
        <f t="shared" ca="1" si="181"/>
        <v>-6.7064083457526119E-3</v>
      </c>
      <c r="DB168" s="20">
        <f t="shared" ca="1" si="182"/>
        <v>-3.4047919293820955E-3</v>
      </c>
      <c r="DC168" s="21">
        <f t="shared" ca="1" si="183"/>
        <v>3.4047919293820955E-3</v>
      </c>
      <c r="DD168" s="21">
        <f t="shared" ca="1" si="184"/>
        <v>6.7064083457526119E-3</v>
      </c>
      <c r="DE168" s="21">
        <f t="shared" ca="1" si="185"/>
        <v>1.3018322082931541E-2</v>
      </c>
      <c r="DF168" s="21">
        <f t="shared" ca="1" si="186"/>
        <v>2.4590163934426243E-2</v>
      </c>
      <c r="DG168" s="21">
        <f t="shared" ca="1" si="187"/>
        <v>4.4262295081967239E-2</v>
      </c>
      <c r="DH168" s="21">
        <f t="shared" ca="1" si="188"/>
        <v>7.3770491803278729E-2</v>
      </c>
      <c r="DI168" s="21">
        <f t="shared" ca="1" si="189"/>
        <v>0.1106557377049181</v>
      </c>
      <c r="DK168" s="16" cm="1">
        <f t="array" aca="1" ref="DK168" ca="1">MAX(_xlfn._xlws.FILTER(CV168:DI168,CV168:DI168&lt;BT168))</f>
        <v>6.7064083457526119E-3</v>
      </c>
      <c r="DL168" s="16" cm="1">
        <f t="array" aca="1" ref="DL168" ca="1">MIN(_xlfn._xlws.FILTER(CV168:DI168,CV168:DI168&gt;BT168))</f>
        <v>1.3018322082931541E-2</v>
      </c>
      <c r="DM168" s="2" cm="1">
        <f t="array" aca="1" ref="DM168" ca="1">_FV(EB168,"Fechamento anterior",TRUE)</f>
        <v>3.73</v>
      </c>
      <c r="DN168" s="28">
        <f t="shared" ca="1" si="162"/>
        <v>0.21174039320820992</v>
      </c>
      <c r="DO168" s="15">
        <f t="shared" ca="1" si="190"/>
        <v>3.7550149031296574</v>
      </c>
      <c r="DP168" s="15">
        <f t="shared" ca="1" si="191"/>
        <v>3.7785583413693344</v>
      </c>
      <c r="DQ168" s="9"/>
      <c r="DR168" s="9"/>
      <c r="DS168" s="9"/>
      <c r="DT168" s="89">
        <v>6.3119137371789287E-3</v>
      </c>
      <c r="DU168" s="89">
        <f t="shared" ca="1" si="163"/>
        <v>6.3119137371789287E-3</v>
      </c>
      <c r="DV168" s="72">
        <f t="shared" ca="1" si="164"/>
        <v>0.57869040355832768</v>
      </c>
      <c r="DW168" s="37"/>
      <c r="DX168" s="35">
        <f t="shared" si="174"/>
        <v>0.15984367363145785</v>
      </c>
      <c r="DY168" s="56"/>
      <c r="DZ168" s="56"/>
      <c r="EB168" s="2" t="e" vm="170">
        <v>#VALUE!</v>
      </c>
      <c r="ED168" s="10" cm="1">
        <f t="array" aca="1" ref="ED168" ca="1">_FV(EB168,"Ações em circulação",TRUE)</f>
        <v>105774800</v>
      </c>
      <c r="EE168" s="18">
        <f>VLOOKUP(BO168,Fundamentus!A:U,5,FALSE)</f>
        <v>0.33600000000000002</v>
      </c>
      <c r="EF168" s="2">
        <f t="shared" ca="1" si="165"/>
        <v>1183670380.9523809</v>
      </c>
      <c r="EG168" s="17">
        <v>84040597.04761903</v>
      </c>
      <c r="EH168" s="17">
        <f t="shared" ca="1" si="166"/>
        <v>84040597.04761903</v>
      </c>
      <c r="EJ168" s="16">
        <f t="shared" ca="1" si="153"/>
        <v>0</v>
      </c>
      <c r="EK168" s="32" t="str">
        <f>IF(VLOOKUP(BO168,Fundamentus!A:U,3,FALSE)&lt;15,"Bom",IF(VLOOKUP(BO168,Fundamentus!A:U,3,FALSE)&gt;15,"Ruim","n/a"))</f>
        <v>Bom</v>
      </c>
      <c r="EL168" s="28" t="str">
        <f>IF(VLOOKUP(BO168,Fundamentus!A:U,4,FALSE)&lt;1,"Baixo",IF(VLOOKUP(BO168,Fundamentus!A:U,4,FALSE)&lt;1.5,"Moderado",IF(VLOOKUP(BO168,Fundamentus!A:U,4,FALSE)&gt;1.5,"Alto","n/a")))</f>
        <v>Baixo</v>
      </c>
      <c r="EM168" s="17" t="str">
        <f>IF(VLOOKUP(BO168,Fundamentus!A:U,8,FALSE)&lt;0,"Risco elevado",IF(VLOOKUP(BO168,Fundamentus!A:U,8,FALSE)&lt;1,"Saudável",IF(VLOOKUP(BO168,Fundamentus!A:U,8,FALSE)&lt;3,"Estável",IF(VLOOKUP(BO168,Fundamentus!A:U,8,FALSE)&gt;3,"Alerta","n/a"))))</f>
        <v>Saudável</v>
      </c>
      <c r="EN168" s="28" t="str">
        <f t="shared" si="167"/>
        <v>Ruim</v>
      </c>
      <c r="EO168" s="17" t="str">
        <f>IF(VLOOKUP(BO168,Fundamentus!A:U,12,FALSE)&lt;2,"Subvalorizada",IF(VLOOKUP(BO168,Fundamentus!A:U,12,FALSE)&lt;6,"Muita barata",IF(VLOOKUP(BO168,Fundamentus!A:U,12,FALSE)&lt;6,"Barata",IF(VLOOKUP(BO168,Fundamentus!A:U,12,FALSE)&lt;8,"Atrativa",IF(VLOOKUP(BO168,Fundamentus!A:U,12,FALSE)&gt;8,"Supervalorizada","n/a")))))</f>
        <v>Atrativa</v>
      </c>
      <c r="EQ168" s="17" t="str">
        <f>IF(VLOOKUP(BO168,Fundamentus!A:U,17,FALSE)&lt;0.1,"Fraco retorno",IF(VLOOKUP(BO168,Fundamentus!A:U,17,FALSE)&gt;0.1,"Bom retorno","n/a"))</f>
        <v>Fraco retorno</v>
      </c>
      <c r="ER168" s="17" t="str">
        <f>IF(VLOOKUP(BO168,Fundamentus!A:U,16,FALSE)&lt;0.1,"Ineficiente",IF(VLOOKUP(BO168,Fundamentus!A:U,16,FALSE)&gt;0.1,"Eficiente","n/a"))</f>
        <v>Ineficiente</v>
      </c>
      <c r="ES168" s="33" t="str">
        <f>IF(VLOOKUP(BO168,Fundamentus!A:U,16,FALSE)&lt;0.1,"Oper. Ineficiente",IF(VLOOKUP(BO168,Fundamentus!A:U,16,FALSE)&gt;0.1,"Oper.Eficiente","n/a"))</f>
        <v>Oper. Ineficiente</v>
      </c>
      <c r="ET168" s="34">
        <f>VLOOKUP(BO168,Fundamentus!A:U,14,FALSE)</f>
        <v>7.0999999999999994E-2</v>
      </c>
      <c r="EU168" s="17" t="str">
        <f>IF(VLOOKUP(BO168,Fundamentus!A:U,21,FALSE)&lt;0,"Negativo",IF(VLOOKUP(BO168,Fundamentus!A:U,21,FALSE)&lt;0.05,"Fraco",IF(VLOOKUP(BO168,Fundamentus!A:U,21,FALSE)&lt;0.1,"Bom",IF(VLOOKUP(BO168,Fundamentus!A:U,21,FALSE)&gt;0.1,"Muito bom","n/a"))))</f>
        <v>Muito bom</v>
      </c>
      <c r="EW168" s="29" t="str">
        <f>IF(VLOOKUP(BO168,Fundamentus!A:U,15,FALSE)&gt;1,"Bom",IF(VLOOKUP(BO168,Fundamentus!A:U,15,FALSE)&lt;1,"Ruim","n/a"))</f>
        <v>Bom</v>
      </c>
      <c r="EX168" s="17" t="str">
        <f>IF(VLOOKUP(BO168,Fundamentus!A:U,20,FALSE)&lt;0.5,"Baixa",IF(VLOOKUP(BO168,Fundamentus!A:U,20,FALSE)&lt;1,"Moderada",IF(VLOOKUP(BO168,Fundamentus!A:U,20,FALSE)&lt;2,"Alerta",IF(VLOOKUP(BO168,Fundamentus!A:U,20,FALSE)&gt;2,"Alta","n/a"))))</f>
        <v>Moderada</v>
      </c>
      <c r="EY168" s="10"/>
    </row>
    <row r="169" spans="1:155" s="2" customFormat="1" ht="11.25"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5">
        <v>69.459999999999994</v>
      </c>
      <c r="BC169" s="52">
        <v>69.849999999999994</v>
      </c>
      <c r="BD169" s="52">
        <v>67.13</v>
      </c>
      <c r="BE169" s="52">
        <v>65.489999999999995</v>
      </c>
      <c r="BF169" s="52">
        <v>64.510000000000005</v>
      </c>
      <c r="BG169" s="67">
        <v>66.44</v>
      </c>
      <c r="BH169" s="52">
        <v>72.53</v>
      </c>
      <c r="BI169" s="52">
        <v>74.64</v>
      </c>
      <c r="BJ169" s="52">
        <v>83.49</v>
      </c>
      <c r="BK169" s="52">
        <v>74.319999999999993</v>
      </c>
      <c r="BL169" s="52">
        <v>68.3</v>
      </c>
      <c r="BM169" s="52">
        <v>66.209999999999994</v>
      </c>
      <c r="BN169" s="52" cm="1">
        <f t="array" aca="1" ref="BN169" ca="1">_FV(EB169,"Preço")</f>
        <v>66.209999999999994</v>
      </c>
      <c r="BO169" s="69" t="s">
        <v>165</v>
      </c>
      <c r="BP169" s="36" cm="1">
        <f t="array" aca="1" ref="BP169" ca="1">_FV(EB169,"Média de volume",TRUE)</f>
        <v>7018910</v>
      </c>
      <c r="BQ169" s="36">
        <v>5503200</v>
      </c>
      <c r="BR169" s="36" cm="1">
        <f t="array" aca="1" ref="BR169" ca="1">_FV(EB169,"Volume")</f>
        <v>5503200</v>
      </c>
      <c r="BS169" s="24" cm="1">
        <f t="array" aca="1" ref="BS169" ca="1">_FV(EB169,"Beta")</f>
        <v>0.58860000000000001</v>
      </c>
      <c r="BT169" s="71" cm="1">
        <f t="array" aca="1" ref="BT169" ca="1">_FV(EB169,"Variação (%)",TRUE)</f>
        <v>6.2309999999999996E-3</v>
      </c>
      <c r="BV169" s="17" cm="1">
        <f t="array" aca="1" ref="BV169" ca="1">_FV(EB169,"Baixo")</f>
        <v>65.56</v>
      </c>
      <c r="BW169" s="17" cm="1">
        <f t="array" aca="1" ref="BW169" ca="1">_FV(EB169,"Alto")</f>
        <v>67.06</v>
      </c>
      <c r="BX169" s="24"/>
      <c r="BY169" s="63">
        <f ca="1">SQRT(22.5*(BN169/VLOOKUP(BO169,Fundamentus!A:U,3,FALSE))*(BN169/VLOOKUP(BO169,Fundamentus!A:U,4,FALSE)))</f>
        <v>39.398370106453548</v>
      </c>
      <c r="CA169" s="62">
        <f t="shared" ca="1" si="168"/>
        <v>0</v>
      </c>
      <c r="CB169" s="8"/>
      <c r="CC169" s="61">
        <f t="shared" si="169"/>
        <v>33.99</v>
      </c>
      <c r="CD169" s="61">
        <f t="shared" si="170"/>
        <v>83.49</v>
      </c>
      <c r="CE169" s="61">
        <f t="shared" si="171"/>
        <v>55.14784615384616</v>
      </c>
      <c r="CF169" s="14"/>
      <c r="CG169" s="35">
        <f t="shared" si="154"/>
        <v>45.200418381482805</v>
      </c>
      <c r="CH169" s="15">
        <f t="shared" si="172"/>
        <v>58.615000000005239</v>
      </c>
      <c r="CI169" s="35">
        <f t="shared" si="155"/>
        <v>72.029581618527672</v>
      </c>
      <c r="CK169" s="14"/>
      <c r="CL169" s="17">
        <f t="shared" si="156"/>
        <v>-9.1366666666666774</v>
      </c>
      <c r="CM169" s="17">
        <f t="shared" si="157"/>
        <v>12.426666666666662</v>
      </c>
      <c r="CN169" s="17">
        <f t="shared" si="158"/>
        <v>40.363333333333316</v>
      </c>
      <c r="CO169" s="38">
        <f t="shared" si="173"/>
        <v>61.926666666666655</v>
      </c>
      <c r="CP169" s="17">
        <f t="shared" si="159"/>
        <v>89.863333333333316</v>
      </c>
      <c r="CQ169" s="17">
        <f t="shared" si="160"/>
        <v>111.42666666666665</v>
      </c>
      <c r="CR169" s="17">
        <f t="shared" si="161"/>
        <v>139.36333333333329</v>
      </c>
      <c r="CS169" s="2" cm="1">
        <f t="array" aca="1" ref="CS169" ca="1">MAX(_xlfn._xlws.FILTER(CL169:CR169,CL169:CR169&lt;BN169))</f>
        <v>61.926666666666655</v>
      </c>
      <c r="CT169" s="2" cm="1">
        <f t="array" aca="1" ref="CT169" ca="1">MIN(_xlfn._xlws.FILTER($CL169:$CR169,$CL169:$CR169&gt;BN169))</f>
        <v>89.863333333333316</v>
      </c>
      <c r="CU169" s="16">
        <f t="shared" ca="1" si="175"/>
        <v>0.45112498654322319</v>
      </c>
      <c r="CV169" s="20">
        <f t="shared" ca="1" si="176"/>
        <v>-0.2255624932716116</v>
      </c>
      <c r="CW169" s="20">
        <f t="shared" ca="1" si="177"/>
        <v>-0.15037499551440772</v>
      </c>
      <c r="CX169" s="20">
        <f t="shared" ca="1" si="178"/>
        <v>-9.0224997308644639E-2</v>
      </c>
      <c r="CY169" s="20">
        <f t="shared" ca="1" si="179"/>
        <v>-5.0124998504802579E-2</v>
      </c>
      <c r="CZ169" s="20">
        <f t="shared" ca="1" si="180"/>
        <v>-2.6536763914307246E-2</v>
      </c>
      <c r="DA169" s="20">
        <f t="shared" ca="1" si="181"/>
        <v>-1.367045413767343E-2</v>
      </c>
      <c r="DB169" s="20">
        <f t="shared" ca="1" si="182"/>
        <v>-6.9403844083572802E-3</v>
      </c>
      <c r="DC169" s="21">
        <f t="shared" ca="1" si="183"/>
        <v>6.9403844083572802E-3</v>
      </c>
      <c r="DD169" s="21">
        <f t="shared" ca="1" si="184"/>
        <v>1.367045413767343E-2</v>
      </c>
      <c r="DE169" s="21">
        <f t="shared" ca="1" si="185"/>
        <v>2.6536763914307246E-2</v>
      </c>
      <c r="DF169" s="21">
        <f t="shared" ca="1" si="186"/>
        <v>5.0124998504802579E-2</v>
      </c>
      <c r="DG169" s="21">
        <f t="shared" ca="1" si="187"/>
        <v>9.0224997308644639E-2</v>
      </c>
      <c r="DH169" s="21">
        <f t="shared" ca="1" si="188"/>
        <v>0.15037499551440772</v>
      </c>
      <c r="DI169" s="21">
        <f t="shared" ca="1" si="189"/>
        <v>0.2255624932716116</v>
      </c>
      <c r="DK169" s="16" cm="1">
        <f t="array" aca="1" ref="DK169" ca="1">MAX(_xlfn._xlws.FILTER(CV169:DI169,CV169:DI169&lt;BT169))</f>
        <v>-6.9403844083572802E-3</v>
      </c>
      <c r="DL169" s="16" cm="1">
        <f t="array" aca="1" ref="DL169" ca="1">MIN(_xlfn._xlws.FILTER(CV169:DI169,CV169:DI169&gt;BT169))</f>
        <v>6.9403844083572802E-3</v>
      </c>
      <c r="DM169" s="2" cm="1">
        <f t="array" aca="1" ref="DM169" ca="1">_FV(EB169,"Fechamento anterior",TRUE)</f>
        <v>65.8</v>
      </c>
      <c r="DN169" s="28">
        <f t="shared" ca="1" si="162"/>
        <v>0.94889466295343816</v>
      </c>
      <c r="DO169" s="15">
        <f t="shared" ca="1" si="190"/>
        <v>65.343322705930092</v>
      </c>
      <c r="DP169" s="15">
        <f t="shared" ca="1" si="191"/>
        <v>66.256677294069902</v>
      </c>
      <c r="DQ169" s="9"/>
      <c r="DR169" s="9"/>
      <c r="DS169" s="9"/>
      <c r="DT169" s="89">
        <v>1.388076881671456E-2</v>
      </c>
      <c r="DU169" s="89">
        <f t="shared" ca="1" si="163"/>
        <v>1.388076881671456E-2</v>
      </c>
      <c r="DV169" s="72">
        <f t="shared" ca="1" si="164"/>
        <v>0.56617494424930981</v>
      </c>
      <c r="DW169" s="37"/>
      <c r="DX169" s="35">
        <f t="shared" si="174"/>
        <v>6.7072908092612176</v>
      </c>
      <c r="DY169" s="56"/>
      <c r="DZ169" s="56"/>
      <c r="EB169" s="2" t="e" vm="171">
        <v>#VALUE!</v>
      </c>
      <c r="ED169" s="10" cm="1">
        <f t="array" aca="1" ref="ED169" ca="1">_FV(EB169,"Ações em circulação",TRUE)</f>
        <v>740465000</v>
      </c>
      <c r="EE169" s="18">
        <f>VLOOKUP(BO169,Fundamentus!A:U,5,FALSE)</f>
        <v>1.3560000000000001</v>
      </c>
      <c r="EF169" s="2">
        <f t="shared" ca="1" si="165"/>
        <v>36155005641.592911</v>
      </c>
      <c r="EG169" s="17">
        <v>2158453836.8030968</v>
      </c>
      <c r="EH169" s="17">
        <f t="shared" ca="1" si="166"/>
        <v>2158453836.8030968</v>
      </c>
      <c r="EJ169" s="16">
        <f t="shared" ca="1" si="153"/>
        <v>0</v>
      </c>
      <c r="EK169" s="32" t="str">
        <f>IF(VLOOKUP(BO169,Fundamentus!A:U,3,FALSE)&lt;15,"Bom",IF(VLOOKUP(BO169,Fundamentus!A:U,3,FALSE)&gt;15,"Ruim","n/a"))</f>
        <v>Ruim</v>
      </c>
      <c r="EL169" s="28" t="str">
        <f>IF(VLOOKUP(BO169,Fundamentus!A:U,4,FALSE)&lt;1,"Baixo",IF(VLOOKUP(BO169,Fundamentus!A:U,4,FALSE)&lt;1.5,"Moderado",IF(VLOOKUP(BO169,Fundamentus!A:U,4,FALSE)&gt;1.5,"Alto","n/a")))</f>
        <v>Alto</v>
      </c>
      <c r="EM169" s="17" t="str">
        <f>IF(VLOOKUP(BO169,Fundamentus!A:U,8,FALSE)&lt;0,"Risco elevado",IF(VLOOKUP(BO169,Fundamentus!A:U,8,FALSE)&lt;1,"Saudável",IF(VLOOKUP(BO169,Fundamentus!A:U,8,FALSE)&lt;3,"Estável",IF(VLOOKUP(BO169,Fundamentus!A:U,8,FALSE)&gt;3,"Alerta","n/a"))))</f>
        <v>Alerta</v>
      </c>
      <c r="EN169" s="28" t="str">
        <f t="shared" si="167"/>
        <v>Bom</v>
      </c>
      <c r="EO169" s="17" t="str">
        <f>IF(VLOOKUP(BO169,Fundamentus!A:U,12,FALSE)&lt;2,"Subvalorizada",IF(VLOOKUP(BO169,Fundamentus!A:U,12,FALSE)&lt;6,"Muita barata",IF(VLOOKUP(BO169,Fundamentus!A:U,12,FALSE)&lt;6,"Barata",IF(VLOOKUP(BO169,Fundamentus!A:U,12,FALSE)&lt;8,"Atrativa",IF(VLOOKUP(BO169,Fundamentus!A:U,12,FALSE)&gt;8,"Supervalorizada","n/a")))))</f>
        <v>Supervalorizada</v>
      </c>
      <c r="EQ169" s="17" t="str">
        <f>IF(VLOOKUP(BO169,Fundamentus!A:U,17,FALSE)&lt;0.1,"Fraco retorno",IF(VLOOKUP(BO169,Fundamentus!A:U,17,FALSE)&gt;0.1,"Bom retorno","n/a"))</f>
        <v>Bom retorno</v>
      </c>
      <c r="ER169" s="17" t="str">
        <f>IF(VLOOKUP(BO169,Fundamentus!A:U,16,FALSE)&lt;0.1,"Ineficiente",IF(VLOOKUP(BO169,Fundamentus!A:U,16,FALSE)&gt;0.1,"Eficiente","n/a"))</f>
        <v>Ineficiente</v>
      </c>
      <c r="ES169" s="33" t="str">
        <f>IF(VLOOKUP(BO169,Fundamentus!A:U,16,FALSE)&lt;0.1,"Oper. Ineficiente",IF(VLOOKUP(BO169,Fundamentus!A:U,16,FALSE)&gt;0.1,"Oper.Eficiente","n/a"))</f>
        <v>Oper. Ineficiente</v>
      </c>
      <c r="ET169" s="34">
        <f>VLOOKUP(BO169,Fundamentus!A:U,14,FALSE)</f>
        <v>5.9700000000000003E-2</v>
      </c>
      <c r="EU169" s="17" t="str">
        <f>IF(VLOOKUP(BO169,Fundamentus!A:U,21,FALSE)&lt;0,"Negativo",IF(VLOOKUP(BO169,Fundamentus!A:U,21,FALSE)&lt;0.05,"Fraco",IF(VLOOKUP(BO169,Fundamentus!A:U,21,FALSE)&lt;0.1,"Bom",IF(VLOOKUP(BO169,Fundamentus!A:U,21,FALSE)&gt;0.1,"Muito bom","n/a"))))</f>
        <v>Muito bom</v>
      </c>
      <c r="EW169" s="29" t="str">
        <f>IF(VLOOKUP(BO169,Fundamentus!A:U,15,FALSE)&gt;1,"Bom",IF(VLOOKUP(BO169,Fundamentus!A:U,15,FALSE)&lt;1,"Ruim","n/a"))</f>
        <v>Bom</v>
      </c>
      <c r="EX169" s="17" t="str">
        <f>IF(VLOOKUP(BO169,Fundamentus!A:U,20,FALSE)&lt;0.5,"Baixa",IF(VLOOKUP(BO169,Fundamentus!A:U,20,FALSE)&lt;1,"Moderada",IF(VLOOKUP(BO169,Fundamentus!A:U,20,FALSE)&lt;2,"Alerta",IF(VLOOKUP(BO169,Fundamentus!A:U,20,FALSE)&gt;2,"Alta","n/a"))))</f>
        <v>Moderada</v>
      </c>
      <c r="EY169" s="10"/>
    </row>
    <row r="170" spans="1:155" s="2" customFormat="1" ht="11.25"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5">
        <v>8.5399999999999991</v>
      </c>
      <c r="BC170" s="52">
        <v>8.41</v>
      </c>
      <c r="BD170" s="52">
        <v>8.69</v>
      </c>
      <c r="BE170" s="52">
        <v>8.89</v>
      </c>
      <c r="BF170" s="52">
        <v>8.64</v>
      </c>
      <c r="BG170" s="67">
        <v>8.52</v>
      </c>
      <c r="BH170" s="52">
        <v>8.69</v>
      </c>
      <c r="BI170" s="52">
        <v>8.86</v>
      </c>
      <c r="BJ170" s="52">
        <v>9.19</v>
      </c>
      <c r="BK170" s="52">
        <v>8.7200000000000006</v>
      </c>
      <c r="BL170" s="52">
        <v>8.6</v>
      </c>
      <c r="BM170" s="52">
        <v>8.58</v>
      </c>
      <c r="BN170" s="52" cm="1">
        <f t="array" aca="1" ref="BN170" ca="1">_FV(EB170,"Preço")</f>
        <v>8.58</v>
      </c>
      <c r="BO170" s="69" t="s">
        <v>166</v>
      </c>
      <c r="BP170" s="36" cm="1">
        <f t="array" aca="1" ref="BP170" ca="1">_FV(EB170,"Média de volume",TRUE)</f>
        <v>3650</v>
      </c>
      <c r="BQ170" s="36">
        <v>1800</v>
      </c>
      <c r="BR170" s="36" cm="1">
        <f t="array" aca="1" ref="BR170" ca="1">_FV(EB170,"Volume")</f>
        <v>1800</v>
      </c>
      <c r="BS170" s="24" cm="1">
        <f t="array" aca="1" ref="BS170" ca="1">_FV(EB170,"Beta")</f>
        <v>0.99029999999999996</v>
      </c>
      <c r="BT170" s="71" cm="1">
        <f t="array" aca="1" ref="BT170" ca="1">_FV(EB170,"Variação (%)",TRUE)</f>
        <v>-5.7940000000000005E-3</v>
      </c>
      <c r="BV170" s="17" cm="1">
        <f t="array" aca="1" ref="BV170" ca="1">_FV(EB170,"Baixo")</f>
        <v>8.57</v>
      </c>
      <c r="BW170" s="17" cm="1">
        <f t="array" aca="1" ref="BW170" ca="1">_FV(EB170,"Alto")</f>
        <v>8.6300000000000008</v>
      </c>
      <c r="BX170" s="24"/>
      <c r="BY170" s="63">
        <f ca="1">SQRT(22.5*(BN170/VLOOKUP(BO170,Fundamentus!A:U,3,FALSE))*(BN170/VLOOKUP(BO170,Fundamentus!A:U,4,FALSE)))</f>
        <v>16.667964279129354</v>
      </c>
      <c r="CA170" s="62">
        <f t="shared" ca="1" si="168"/>
        <v>0</v>
      </c>
      <c r="CB170" s="8"/>
      <c r="CC170" s="61">
        <f t="shared" si="169"/>
        <v>6.34</v>
      </c>
      <c r="CD170" s="61">
        <f t="shared" si="170"/>
        <v>9.19</v>
      </c>
      <c r="CE170" s="61">
        <f t="shared" si="171"/>
        <v>7.7764615384615405</v>
      </c>
      <c r="CF170" s="14"/>
      <c r="CG170" s="35">
        <f t="shared" si="154"/>
        <v>7.7911629823515467</v>
      </c>
      <c r="CH170" s="15">
        <f t="shared" si="172"/>
        <v>8.2850000000000819</v>
      </c>
      <c r="CI170" s="35">
        <f t="shared" si="155"/>
        <v>8.7788370176486161</v>
      </c>
      <c r="CK170" s="14"/>
      <c r="CL170" s="17">
        <f t="shared" si="156"/>
        <v>4.0466666666666669</v>
      </c>
      <c r="CM170" s="17">
        <f t="shared" si="157"/>
        <v>5.1933333333333334</v>
      </c>
      <c r="CN170" s="17">
        <f t="shared" si="158"/>
        <v>6.8966666666666665</v>
      </c>
      <c r="CO170" s="38">
        <f t="shared" si="173"/>
        <v>8.043333333333333</v>
      </c>
      <c r="CP170" s="17">
        <f t="shared" si="159"/>
        <v>9.7466666666666661</v>
      </c>
      <c r="CQ170" s="17">
        <f t="shared" si="160"/>
        <v>10.893333333333333</v>
      </c>
      <c r="CR170" s="17">
        <f t="shared" si="161"/>
        <v>12.596666666666666</v>
      </c>
      <c r="CS170" s="2" cm="1">
        <f t="array" aca="1" ref="CS170" ca="1">MAX(_xlfn._xlws.FILTER(CL170:CR170,CL170:CR170&lt;BN170))</f>
        <v>8.043333333333333</v>
      </c>
      <c r="CT170" s="2" cm="1">
        <f t="array" aca="1" ref="CT170" ca="1">MIN(_xlfn._xlws.FILTER($CL170:$CR170,$CL170:$CR170&gt;BN170))</f>
        <v>9.7466666666666661</v>
      </c>
      <c r="CU170" s="16">
        <f t="shared" ca="1" si="175"/>
        <v>0.21176958143389979</v>
      </c>
      <c r="CV170" s="20">
        <f t="shared" ca="1" si="176"/>
        <v>-0.10588479071694989</v>
      </c>
      <c r="CW170" s="20">
        <f t="shared" ca="1" si="177"/>
        <v>-7.0589860477966601E-2</v>
      </c>
      <c r="CX170" s="20">
        <f t="shared" ca="1" si="178"/>
        <v>-4.2353916286779959E-2</v>
      </c>
      <c r="CY170" s="20">
        <f t="shared" ca="1" si="179"/>
        <v>-2.3529953492655534E-2</v>
      </c>
      <c r="CZ170" s="20">
        <f t="shared" ca="1" si="180"/>
        <v>-1.2457034201994106E-2</v>
      </c>
      <c r="DA170" s="20">
        <f t="shared" ca="1" si="181"/>
        <v>-6.417260043451509E-3</v>
      </c>
      <c r="DB170" s="20">
        <f t="shared" ca="1" si="182"/>
        <v>-3.2579935605215353E-3</v>
      </c>
      <c r="DC170" s="21">
        <f t="shared" ca="1" si="183"/>
        <v>3.2579935605215353E-3</v>
      </c>
      <c r="DD170" s="21">
        <f t="shared" ca="1" si="184"/>
        <v>6.417260043451509E-3</v>
      </c>
      <c r="DE170" s="21">
        <f t="shared" ca="1" si="185"/>
        <v>1.2457034201994106E-2</v>
      </c>
      <c r="DF170" s="21">
        <f t="shared" ca="1" si="186"/>
        <v>2.3529953492655534E-2</v>
      </c>
      <c r="DG170" s="21">
        <f t="shared" ca="1" si="187"/>
        <v>4.2353916286779959E-2</v>
      </c>
      <c r="DH170" s="21">
        <f t="shared" ca="1" si="188"/>
        <v>7.0589860477966601E-2</v>
      </c>
      <c r="DI170" s="21">
        <f t="shared" ca="1" si="189"/>
        <v>0.10588479071694989</v>
      </c>
      <c r="DK170" s="16" cm="1">
        <f t="array" aca="1" ref="DK170" ca="1">MAX(_xlfn._xlws.FILTER(CV170:DI170,CV170:DI170&lt;BT170))</f>
        <v>-6.417260043451509E-3</v>
      </c>
      <c r="DL170" s="16" cm="1">
        <f t="array" aca="1" ref="DL170" ca="1">MIN(_xlfn._xlws.FILTER(CV170:DI170,CV170:DI170&gt;BT170))</f>
        <v>-3.2579935605215353E-3</v>
      </c>
      <c r="DM170" s="2" cm="1">
        <f t="array" aca="1" ref="DM170" ca="1">_FV(EB170,"Fechamento anterior",TRUE)</f>
        <v>8.6300000000000008</v>
      </c>
      <c r="DN170" s="28">
        <f t="shared" ca="1" si="162"/>
        <v>0.19736140936472349</v>
      </c>
      <c r="DO170" s="15">
        <f t="shared" ca="1" si="190"/>
        <v>8.5746190458250151</v>
      </c>
      <c r="DP170" s="15">
        <f t="shared" ca="1" si="191"/>
        <v>8.6018835155727</v>
      </c>
      <c r="DQ170" s="9"/>
      <c r="DR170" s="9"/>
      <c r="DS170" s="9"/>
      <c r="DT170" s="89">
        <v>3.1592664829299738E-3</v>
      </c>
      <c r="DU170" s="89">
        <f t="shared" ca="1" si="163"/>
        <v>3.1592664829299738E-3</v>
      </c>
      <c r="DV170" s="72">
        <f t="shared" ca="1" si="164"/>
        <v>0.59736307619181017</v>
      </c>
      <c r="DW170" s="37"/>
      <c r="DX170" s="35">
        <f t="shared" si="174"/>
        <v>0.24691850882426758</v>
      </c>
      <c r="DY170" s="56"/>
      <c r="DZ170" s="56"/>
      <c r="EB170" s="2" t="e" vm="172">
        <v>#VALUE!</v>
      </c>
      <c r="ED170" s="10" cm="1">
        <f t="array" aca="1" ref="ED170" ca="1">_FV(EB170,"Ações em circulação",TRUE)</f>
        <v>2289425000</v>
      </c>
      <c r="EE170" s="18">
        <f>VLOOKUP(BO170,Fundamentus!A:U,5,FALSE)</f>
        <v>0.58199999999999996</v>
      </c>
      <c r="EF170" s="2">
        <f t="shared" ca="1" si="165"/>
        <v>33751317010.30928</v>
      </c>
      <c r="EG170" s="17">
        <v>4475424635.5670109</v>
      </c>
      <c r="EH170" s="17">
        <f t="shared" ca="1" si="166"/>
        <v>4475424635.5670109</v>
      </c>
      <c r="EJ170" s="16">
        <f t="shared" ca="1" si="153"/>
        <v>0</v>
      </c>
      <c r="EK170" s="32" t="str">
        <f>IF(VLOOKUP(BO170,Fundamentus!A:U,3,FALSE)&lt;15,"Bom",IF(VLOOKUP(BO170,Fundamentus!A:U,3,FALSE)&gt;15,"Ruim","n/a"))</f>
        <v>Bom</v>
      </c>
      <c r="EL170" s="28" t="str">
        <f>IF(VLOOKUP(BO170,Fundamentus!A:U,4,FALSE)&lt;1,"Baixo",IF(VLOOKUP(BO170,Fundamentus!A:U,4,FALSE)&lt;1.5,"Moderado",IF(VLOOKUP(BO170,Fundamentus!A:U,4,FALSE)&gt;1.5,"Alto","n/a")))</f>
        <v>Moderado</v>
      </c>
      <c r="EM170" s="17" t="str">
        <f>IF(VLOOKUP(BO170,Fundamentus!A:U,8,FALSE)&lt;0,"Risco elevado",IF(VLOOKUP(BO170,Fundamentus!A:U,8,FALSE)&lt;1,"Saudável",IF(VLOOKUP(BO170,Fundamentus!A:U,8,FALSE)&lt;3,"Estável",IF(VLOOKUP(BO170,Fundamentus!A:U,8,FALSE)&gt;3,"Alerta","n/a"))))</f>
        <v>Alerta</v>
      </c>
      <c r="EN170" s="28" t="str">
        <f t="shared" si="167"/>
        <v>Ruim</v>
      </c>
      <c r="EO170" s="17" t="str">
        <f>IF(VLOOKUP(BO170,Fundamentus!A:U,12,FALSE)&lt;2,"Subvalorizada",IF(VLOOKUP(BO170,Fundamentus!A:U,12,FALSE)&lt;6,"Muita barata",IF(VLOOKUP(BO170,Fundamentus!A:U,12,FALSE)&lt;6,"Barata",IF(VLOOKUP(BO170,Fundamentus!A:U,12,FALSE)&lt;8,"Atrativa",IF(VLOOKUP(BO170,Fundamentus!A:U,12,FALSE)&gt;8,"Supervalorizada","n/a")))))</f>
        <v>Muita barata</v>
      </c>
      <c r="EQ170" s="17" t="str">
        <f>IF(VLOOKUP(BO170,Fundamentus!A:U,17,FALSE)&lt;0.1,"Fraco retorno",IF(VLOOKUP(BO170,Fundamentus!A:U,17,FALSE)&gt;0.1,"Bom retorno","n/a"))</f>
        <v>Bom retorno</v>
      </c>
      <c r="ER170" s="17" t="str">
        <f>IF(VLOOKUP(BO170,Fundamentus!A:U,16,FALSE)&lt;0.1,"Ineficiente",IF(VLOOKUP(BO170,Fundamentus!A:U,16,FALSE)&gt;0.1,"Eficiente","n/a"))</f>
        <v>Ineficiente</v>
      </c>
      <c r="ES170" s="33" t="str">
        <f>IF(VLOOKUP(BO170,Fundamentus!A:U,16,FALSE)&lt;0.1,"Oper. Ineficiente",IF(VLOOKUP(BO170,Fundamentus!A:U,16,FALSE)&gt;0.1,"Oper.Eficiente","n/a"))</f>
        <v>Oper. Ineficiente</v>
      </c>
      <c r="ET170" s="34">
        <f>VLOOKUP(BO170,Fundamentus!A:U,14,FALSE)</f>
        <v>0.1326</v>
      </c>
      <c r="EU170" s="17" t="str">
        <f>IF(VLOOKUP(BO170,Fundamentus!A:U,21,FALSE)&lt;0,"Negativo",IF(VLOOKUP(BO170,Fundamentus!A:U,21,FALSE)&lt;0.05,"Fraco",IF(VLOOKUP(BO170,Fundamentus!A:U,21,FALSE)&lt;0.1,"Bom",IF(VLOOKUP(BO170,Fundamentus!A:U,21,FALSE)&gt;0.1,"Muito bom","n/a"))))</f>
        <v>Muito bom</v>
      </c>
      <c r="EW170" s="29" t="str">
        <f>IF(VLOOKUP(BO170,Fundamentus!A:U,15,FALSE)&gt;1,"Bom",IF(VLOOKUP(BO170,Fundamentus!A:U,15,FALSE)&lt;1,"Ruim","n/a"))</f>
        <v>Bom</v>
      </c>
      <c r="EX170" s="17" t="str">
        <f>IF(VLOOKUP(BO170,Fundamentus!A:U,20,FALSE)&lt;0.5,"Baixa",IF(VLOOKUP(BO170,Fundamentus!A:U,20,FALSE)&lt;1,"Moderada",IF(VLOOKUP(BO170,Fundamentus!A:U,20,FALSE)&lt;2,"Alerta",IF(VLOOKUP(BO170,Fundamentus!A:U,20,FALSE)&gt;2,"Alta","n/a"))))</f>
        <v>Alta</v>
      </c>
      <c r="EY170" s="10"/>
    </row>
    <row r="171" spans="1:155" s="2" customFormat="1" ht="11.25"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5">
        <v>3.52</v>
      </c>
      <c r="BC171" s="52">
        <v>4.29</v>
      </c>
      <c r="BD171" s="52">
        <v>3.95</v>
      </c>
      <c r="BE171" s="52">
        <v>4.25</v>
      </c>
      <c r="BF171" s="52">
        <v>3.95</v>
      </c>
      <c r="BG171" s="67">
        <v>4.03</v>
      </c>
      <c r="BH171" s="52">
        <v>4.0599999999999996</v>
      </c>
      <c r="BI171" s="52">
        <v>4.1500000000000004</v>
      </c>
      <c r="BJ171" s="52">
        <v>4.4000000000000004</v>
      </c>
      <c r="BK171" s="52">
        <v>3.8</v>
      </c>
      <c r="BL171" s="52">
        <v>3.66</v>
      </c>
      <c r="BM171" s="52">
        <v>3.63</v>
      </c>
      <c r="BN171" s="52" cm="1">
        <f t="array" aca="1" ref="BN171" ca="1">_FV(EB171,"Preço")</f>
        <v>3.63</v>
      </c>
      <c r="BO171" s="69" t="s">
        <v>167</v>
      </c>
      <c r="BP171" s="36" cm="1">
        <f t="array" aca="1" ref="BP171" ca="1">_FV(EB171,"Média de volume",TRUE)</f>
        <v>6258160</v>
      </c>
      <c r="BQ171" s="36">
        <v>2475100</v>
      </c>
      <c r="BR171" s="36" cm="1">
        <f t="array" aca="1" ref="BR171" ca="1">_FV(EB171,"Volume")</f>
        <v>2475100</v>
      </c>
      <c r="BS171" s="24" cm="1">
        <f t="array" aca="1" ref="BS171" ca="1">_FV(EB171,"Beta")</f>
        <v>2.8546999999999998</v>
      </c>
      <c r="BT171" s="71" cm="1">
        <f t="array" aca="1" ref="BT171" ca="1">_FV(EB171,"Variação (%)",TRUE)</f>
        <v>1.1142000000000001E-2</v>
      </c>
      <c r="BV171" s="17" cm="1">
        <f t="array" aca="1" ref="BV171" ca="1">_FV(EB171,"Baixo")</f>
        <v>3.57</v>
      </c>
      <c r="BW171" s="17" cm="1">
        <f t="array" aca="1" ref="BW171" ca="1">_FV(EB171,"Alto")</f>
        <v>3.67</v>
      </c>
      <c r="BX171" s="24"/>
      <c r="BY171" s="63">
        <f ca="1">SQRT(22.5*(BN171/VLOOKUP(BO171,Fundamentus!A:U,3,FALSE))*(BN171/VLOOKUP(BO171,Fundamentus!A:U,4,FALSE)))</f>
        <v>6.1434698592116561</v>
      </c>
      <c r="CA171" s="62">
        <f t="shared" ca="1" si="168"/>
        <v>0</v>
      </c>
      <c r="CB171" s="8"/>
      <c r="CC171" s="61">
        <f t="shared" si="169"/>
        <v>1.53</v>
      </c>
      <c r="CD171" s="61">
        <f t="shared" si="170"/>
        <v>4.4000000000000004</v>
      </c>
      <c r="CE171" s="61">
        <f t="shared" si="171"/>
        <v>2.9328461538461532</v>
      </c>
      <c r="CF171" s="14"/>
      <c r="CG171" s="35">
        <f t="shared" si="154"/>
        <v>2.6375251009076659</v>
      </c>
      <c r="CH171" s="15">
        <f t="shared" si="172"/>
        <v>3.2599999999999909</v>
      </c>
      <c r="CI171" s="35">
        <f t="shared" si="155"/>
        <v>3.8824748990923159</v>
      </c>
      <c r="CK171" s="14"/>
      <c r="CL171" s="17">
        <f t="shared" si="156"/>
        <v>-0.87666666666666715</v>
      </c>
      <c r="CM171" s="17">
        <f t="shared" si="157"/>
        <v>0.32666666666666666</v>
      </c>
      <c r="CN171" s="17">
        <f t="shared" si="158"/>
        <v>1.9933333333333332</v>
      </c>
      <c r="CO171" s="38">
        <f t="shared" si="173"/>
        <v>3.1966666666666668</v>
      </c>
      <c r="CP171" s="17">
        <f t="shared" si="159"/>
        <v>4.8633333333333333</v>
      </c>
      <c r="CQ171" s="17">
        <f t="shared" si="160"/>
        <v>6.0666666666666664</v>
      </c>
      <c r="CR171" s="17">
        <f t="shared" si="161"/>
        <v>7.7333333333333343</v>
      </c>
      <c r="CS171" s="2" cm="1">
        <f t="array" aca="1" ref="CS171" ca="1">MAX(_xlfn._xlws.FILTER(CL171:CR171,CL171:CR171&lt;BN171))</f>
        <v>3.1966666666666668</v>
      </c>
      <c r="CT171" s="2" cm="1">
        <f t="array" aca="1" ref="CT171" ca="1">MIN(_xlfn._xlws.FILTER($CL171:$CR171,$CL171:$CR171&gt;BN171))</f>
        <v>4.8633333333333333</v>
      </c>
      <c r="CU171" s="16">
        <f t="shared" ca="1" si="175"/>
        <v>0.52137643378519294</v>
      </c>
      <c r="CV171" s="20">
        <f t="shared" ca="1" si="176"/>
        <v>-0.26068821689259647</v>
      </c>
      <c r="CW171" s="20">
        <f t="shared" ca="1" si="177"/>
        <v>-0.17379214459506431</v>
      </c>
      <c r="CX171" s="20">
        <f t="shared" ca="1" si="178"/>
        <v>-0.10427528675703859</v>
      </c>
      <c r="CY171" s="20">
        <f t="shared" ca="1" si="179"/>
        <v>-5.7930714865021438E-2</v>
      </c>
      <c r="CZ171" s="20">
        <f t="shared" ca="1" si="180"/>
        <v>-3.0669201987364291E-2</v>
      </c>
      <c r="DA171" s="20">
        <f t="shared" ca="1" si="181"/>
        <v>-1.5799285872278575E-2</v>
      </c>
      <c r="DB171" s="20">
        <f t="shared" ca="1" si="182"/>
        <v>-8.0211759043875841E-3</v>
      </c>
      <c r="DC171" s="21">
        <f t="shared" ca="1" si="183"/>
        <v>8.0211759043875841E-3</v>
      </c>
      <c r="DD171" s="21">
        <f t="shared" ca="1" si="184"/>
        <v>1.5799285872278575E-2</v>
      </c>
      <c r="DE171" s="21">
        <f t="shared" ca="1" si="185"/>
        <v>3.0669201987364291E-2</v>
      </c>
      <c r="DF171" s="21">
        <f t="shared" ca="1" si="186"/>
        <v>5.7930714865021438E-2</v>
      </c>
      <c r="DG171" s="21">
        <f t="shared" ca="1" si="187"/>
        <v>0.10427528675703859</v>
      </c>
      <c r="DH171" s="21">
        <f t="shared" ca="1" si="188"/>
        <v>0.17379214459506431</v>
      </c>
      <c r="DI171" s="21">
        <f t="shared" ca="1" si="189"/>
        <v>0.26068821689259647</v>
      </c>
      <c r="DK171" s="16" cm="1">
        <f t="array" aca="1" ref="DK171" ca="1">MAX(_xlfn._xlws.FILTER(CV171:DI171,CV171:DI171&lt;BT171))</f>
        <v>8.0211759043875841E-3</v>
      </c>
      <c r="DL171" s="16" cm="1">
        <f t="array" aca="1" ref="DL171" ca="1">MIN(_xlfn._xlws.FILTER(CV171:DI171,CV171:DI171&gt;BT171))</f>
        <v>1.5799285872278575E-2</v>
      </c>
      <c r="DM171" s="2" cm="1">
        <f t="array" aca="1" ref="DM171" ca="1">_FV(EB171,"Fechamento anterior",TRUE)</f>
        <v>3.59</v>
      </c>
      <c r="DN171" s="28">
        <f t="shared" ca="1" si="162"/>
        <v>0.40123955431755326</v>
      </c>
      <c r="DO171" s="15">
        <f t="shared" ca="1" si="190"/>
        <v>3.6187960214967512</v>
      </c>
      <c r="DP171" s="15">
        <f t="shared" ca="1" si="191"/>
        <v>3.6467194362814799</v>
      </c>
      <c r="DQ171" s="9"/>
      <c r="DR171" s="9"/>
      <c r="DS171" s="9"/>
      <c r="DT171" s="89">
        <v>7.7781099678909914E-3</v>
      </c>
      <c r="DU171" s="89">
        <f t="shared" ca="1" si="163"/>
        <v>7.7781099678909914E-3</v>
      </c>
      <c r="DV171" s="72">
        <f t="shared" ca="1" si="164"/>
        <v>0.59440147793835918</v>
      </c>
      <c r="DW171" s="37"/>
      <c r="DX171" s="35">
        <f t="shared" si="174"/>
        <v>0.31123744954616256</v>
      </c>
      <c r="DY171" s="56"/>
      <c r="DZ171" s="56"/>
      <c r="EB171" s="2" t="e" vm="173">
        <v>#VALUE!</v>
      </c>
      <c r="ED171" s="10" cm="1">
        <f t="array" aca="1" ref="ED171" ca="1">_FV(EB171,"Ações em circulação",TRUE)</f>
        <v>403868800</v>
      </c>
      <c r="EE171" s="18">
        <f>VLOOKUP(BO171,Fundamentus!A:U,5,FALSE)</f>
        <v>0.38300000000000001</v>
      </c>
      <c r="EF171" s="2">
        <f t="shared" ca="1" si="165"/>
        <v>3827790454.308094</v>
      </c>
      <c r="EG171" s="17">
        <v>245744147.1665796</v>
      </c>
      <c r="EH171" s="17">
        <f t="shared" ca="1" si="166"/>
        <v>245744147.1665796</v>
      </c>
      <c r="EJ171" s="16">
        <f t="shared" ca="1" si="153"/>
        <v>0</v>
      </c>
      <c r="EK171" s="32" t="str">
        <f>IF(VLOOKUP(BO171,Fundamentus!A:U,3,FALSE)&lt;15,"Bom",IF(VLOOKUP(BO171,Fundamentus!A:U,3,FALSE)&gt;15,"Ruim","n/a"))</f>
        <v>Bom</v>
      </c>
      <c r="EL171" s="28" t="str">
        <f>IF(VLOOKUP(BO171,Fundamentus!A:U,4,FALSE)&lt;1,"Baixo",IF(VLOOKUP(BO171,Fundamentus!A:U,4,FALSE)&lt;1.5,"Moderado",IF(VLOOKUP(BO171,Fundamentus!A:U,4,FALSE)&gt;1.5,"Alto","n/a")))</f>
        <v>Baixo</v>
      </c>
      <c r="EM171" s="17" t="str">
        <f>IF(VLOOKUP(BO171,Fundamentus!A:U,8,FALSE)&lt;0,"Risco elevado",IF(VLOOKUP(BO171,Fundamentus!A:U,8,FALSE)&lt;1,"Saudável",IF(VLOOKUP(BO171,Fundamentus!A:U,8,FALSE)&lt;3,"Estável",IF(VLOOKUP(BO171,Fundamentus!A:U,8,FALSE)&gt;3,"Alerta","n/a"))))</f>
        <v>Estável</v>
      </c>
      <c r="EN171" s="28" t="str">
        <f t="shared" si="167"/>
        <v>Ruim</v>
      </c>
      <c r="EO171" s="17" t="str">
        <f>IF(VLOOKUP(BO171,Fundamentus!A:U,12,FALSE)&lt;2,"Subvalorizada",IF(VLOOKUP(BO171,Fundamentus!A:U,12,FALSE)&lt;6,"Muita barata",IF(VLOOKUP(BO171,Fundamentus!A:U,12,FALSE)&lt;6,"Barata",IF(VLOOKUP(BO171,Fundamentus!A:U,12,FALSE)&lt;8,"Atrativa",IF(VLOOKUP(BO171,Fundamentus!A:U,12,FALSE)&gt;8,"Supervalorizada","n/a")))))</f>
        <v>Muita barata</v>
      </c>
      <c r="EQ171" s="17" t="str">
        <f>IF(VLOOKUP(BO171,Fundamentus!A:U,17,FALSE)&lt;0.1,"Fraco retorno",IF(VLOOKUP(BO171,Fundamentus!A:U,17,FALSE)&gt;0.1,"Bom retorno","n/a"))</f>
        <v>Fraco retorno</v>
      </c>
      <c r="ER171" s="17" t="str">
        <f>IF(VLOOKUP(BO171,Fundamentus!A:U,16,FALSE)&lt;0.1,"Ineficiente",IF(VLOOKUP(BO171,Fundamentus!A:U,16,FALSE)&gt;0.1,"Eficiente","n/a"))</f>
        <v>Eficiente</v>
      </c>
      <c r="ES171" s="33" t="str">
        <f>IF(VLOOKUP(BO171,Fundamentus!A:U,16,FALSE)&lt;0.1,"Oper. Ineficiente",IF(VLOOKUP(BO171,Fundamentus!A:U,16,FALSE)&gt;0.1,"Oper.Eficiente","n/a"))</f>
        <v>Oper.Eficiente</v>
      </c>
      <c r="ET171" s="34">
        <f>VLOOKUP(BO171,Fundamentus!A:U,14,FALSE)</f>
        <v>6.4199999999999993E-2</v>
      </c>
      <c r="EU171" s="17" t="str">
        <f>IF(VLOOKUP(BO171,Fundamentus!A:U,21,FALSE)&lt;0,"Negativo",IF(VLOOKUP(BO171,Fundamentus!A:U,21,FALSE)&lt;0.05,"Fraco",IF(VLOOKUP(BO171,Fundamentus!A:U,21,FALSE)&lt;0.1,"Bom",IF(VLOOKUP(BO171,Fundamentus!A:U,21,FALSE)&gt;0.1,"Muito bom","n/a"))))</f>
        <v>Muito bom</v>
      </c>
      <c r="EW171" s="29" t="str">
        <f>IF(VLOOKUP(BO171,Fundamentus!A:U,15,FALSE)&gt;1,"Bom",IF(VLOOKUP(BO171,Fundamentus!A:U,15,FALSE)&lt;1,"Ruim","n/a"))</f>
        <v>Bom</v>
      </c>
      <c r="EX171" s="17" t="str">
        <f>IF(VLOOKUP(BO171,Fundamentus!A:U,20,FALSE)&lt;0.5,"Baixa",IF(VLOOKUP(BO171,Fundamentus!A:U,20,FALSE)&lt;1,"Moderada",IF(VLOOKUP(BO171,Fundamentus!A:U,20,FALSE)&lt;2,"Alerta",IF(VLOOKUP(BO171,Fundamentus!A:U,20,FALSE)&gt;2,"Alta","n/a"))))</f>
        <v>Alta</v>
      </c>
      <c r="EY171" s="10"/>
    </row>
    <row r="172" spans="1:155" s="2" customFormat="1" ht="11.25"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5">
        <v>36.659999999999997</v>
      </c>
      <c r="BC172" s="52">
        <v>39</v>
      </c>
      <c r="BD172" s="52">
        <v>38.799999999999997</v>
      </c>
      <c r="BE172" s="52">
        <v>38.950000000000003</v>
      </c>
      <c r="BF172" s="52">
        <v>42.51</v>
      </c>
      <c r="BG172" s="67">
        <v>43.98</v>
      </c>
      <c r="BH172" s="52">
        <v>43.56</v>
      </c>
      <c r="BI172" s="52">
        <v>41.87</v>
      </c>
      <c r="BJ172" s="52">
        <v>42.58</v>
      </c>
      <c r="BK172" s="52">
        <v>42.76</v>
      </c>
      <c r="BL172" s="52">
        <v>43.29</v>
      </c>
      <c r="BM172" s="52">
        <v>41.9</v>
      </c>
      <c r="BN172" s="52" cm="1">
        <f t="array" aca="1" ref="BN172" ca="1">_FV(EB172,"Preço")</f>
        <v>41.9</v>
      </c>
      <c r="BO172" s="69" t="s">
        <v>168</v>
      </c>
      <c r="BP172" s="36" cm="1">
        <f t="array" aca="1" ref="BP172" ca="1">_FV(EB172,"Média de volume",TRUE)</f>
        <v>7433130</v>
      </c>
      <c r="BQ172" s="36">
        <v>4854200</v>
      </c>
      <c r="BR172" s="36" cm="1">
        <f t="array" aca="1" ref="BR172" ca="1">_FV(EB172,"Volume")</f>
        <v>4854200</v>
      </c>
      <c r="BS172" s="24" cm="1">
        <f t="array" aca="1" ref="BS172" ca="1">_FV(EB172,"Beta")</f>
        <v>1.2892999999999999</v>
      </c>
      <c r="BT172" s="71" cm="1">
        <f t="array" aca="1" ref="BT172" ca="1">_FV(EB172,"Variação (%)",TRUE)</f>
        <v>-9.4559999999999991E-3</v>
      </c>
      <c r="BV172" s="17" cm="1">
        <f t="array" aca="1" ref="BV172" ca="1">_FV(EB172,"Baixo")</f>
        <v>41.75</v>
      </c>
      <c r="BW172" s="17" cm="1">
        <f t="array" aca="1" ref="BW172" ca="1">_FV(EB172,"Alto")</f>
        <v>42.6</v>
      </c>
      <c r="BX172" s="24"/>
      <c r="BY172" s="63">
        <f ca="1">SQRT(22.5*(BN172/VLOOKUP(BO172,Fundamentus!A:U,3,FALSE))*(BN172/VLOOKUP(BO172,Fundamentus!A:U,4,FALSE)))</f>
        <v>90.670836956133101</v>
      </c>
      <c r="CA172" s="62">
        <f t="shared" ca="1" si="168"/>
        <v>0</v>
      </c>
      <c r="CB172" s="8"/>
      <c r="CC172" s="61">
        <f t="shared" si="169"/>
        <v>33.71</v>
      </c>
      <c r="CD172" s="61">
        <f t="shared" si="170"/>
        <v>49.29</v>
      </c>
      <c r="CE172" s="61">
        <f t="shared" si="171"/>
        <v>41.663615384615397</v>
      </c>
      <c r="CF172" s="14"/>
      <c r="CG172" s="35">
        <f t="shared" si="154"/>
        <v>41.261080989214911</v>
      </c>
      <c r="CH172" s="15">
        <f t="shared" si="172"/>
        <v>42.254999999999995</v>
      </c>
      <c r="CI172" s="35">
        <f t="shared" si="155"/>
        <v>43.24891901078508</v>
      </c>
      <c r="CK172" s="14"/>
      <c r="CL172" s="17">
        <f t="shared" si="156"/>
        <v>19.323333333333331</v>
      </c>
      <c r="CM172" s="17">
        <f t="shared" si="157"/>
        <v>26.516666666666666</v>
      </c>
      <c r="CN172" s="17">
        <f t="shared" si="158"/>
        <v>34.903333333333329</v>
      </c>
      <c r="CO172" s="38">
        <f t="shared" si="173"/>
        <v>42.096666666666664</v>
      </c>
      <c r="CP172" s="17">
        <f t="shared" si="159"/>
        <v>50.483333333333327</v>
      </c>
      <c r="CQ172" s="17">
        <f t="shared" si="160"/>
        <v>57.676666666666662</v>
      </c>
      <c r="CR172" s="17">
        <f t="shared" si="161"/>
        <v>66.063333333333333</v>
      </c>
      <c r="CS172" s="2" cm="1">
        <f t="array" aca="1" ref="CS172" ca="1">MAX(_xlfn._xlws.FILTER(CL172:CR172,CL172:CR172&lt;BN172))</f>
        <v>34.903333333333329</v>
      </c>
      <c r="CT172" s="2" cm="1">
        <f t="array" aca="1" ref="CT172" ca="1">MIN(_xlfn._xlws.FILTER($CL172:$CR172,$CL172:$CR172&gt;BN172))</f>
        <v>42.096666666666664</v>
      </c>
      <c r="CU172" s="16">
        <f t="shared" ca="1" si="175"/>
        <v>0.20609301881386699</v>
      </c>
      <c r="CV172" s="20">
        <f t="shared" ca="1" si="176"/>
        <v>-0.1030465094069335</v>
      </c>
      <c r="CW172" s="20">
        <f t="shared" ca="1" si="177"/>
        <v>-6.8697672937955659E-2</v>
      </c>
      <c r="CX172" s="20">
        <f t="shared" ca="1" si="178"/>
        <v>-4.1218603762773399E-2</v>
      </c>
      <c r="CY172" s="20">
        <f t="shared" ca="1" si="179"/>
        <v>-2.2899224312651886E-2</v>
      </c>
      <c r="CZ172" s="20">
        <f t="shared" ca="1" si="180"/>
        <v>-1.2123118753756882E-2</v>
      </c>
      <c r="DA172" s="20">
        <f t="shared" ca="1" si="181"/>
        <v>-6.2452429943596057E-3</v>
      </c>
      <c r="DB172" s="20">
        <f t="shared" ca="1" si="182"/>
        <v>-3.1706618279056459E-3</v>
      </c>
      <c r="DC172" s="21">
        <f t="shared" ca="1" si="183"/>
        <v>3.1706618279056459E-3</v>
      </c>
      <c r="DD172" s="21">
        <f t="shared" ca="1" si="184"/>
        <v>6.2452429943596057E-3</v>
      </c>
      <c r="DE172" s="21">
        <f t="shared" ca="1" si="185"/>
        <v>1.2123118753756882E-2</v>
      </c>
      <c r="DF172" s="21">
        <f t="shared" ca="1" si="186"/>
        <v>2.2899224312651886E-2</v>
      </c>
      <c r="DG172" s="21">
        <f t="shared" ca="1" si="187"/>
        <v>4.1218603762773399E-2</v>
      </c>
      <c r="DH172" s="21">
        <f t="shared" ca="1" si="188"/>
        <v>6.8697672937955659E-2</v>
      </c>
      <c r="DI172" s="21">
        <f t="shared" ca="1" si="189"/>
        <v>0.1030465094069335</v>
      </c>
      <c r="DK172" s="16" cm="1">
        <f t="array" aca="1" ref="DK172" ca="1">MAX(_xlfn._xlws.FILTER(CV172:DI172,CV172:DI172&lt;BT172))</f>
        <v>-1.2123118753756882E-2</v>
      </c>
      <c r="DL172" s="16" cm="1">
        <f t="array" aca="1" ref="DL172" ca="1">MIN(_xlfn._xlws.FILTER(CV172:DI172,CV172:DI172&gt;BT172))</f>
        <v>-6.2452429943596057E-3</v>
      </c>
      <c r="DM172" s="2" cm="1">
        <f t="array" aca="1" ref="DM172" ca="1">_FV(EB172,"Fechamento anterior",TRUE)</f>
        <v>42.3</v>
      </c>
      <c r="DN172" s="28">
        <f t="shared" ca="1" si="162"/>
        <v>0.45371050486726017</v>
      </c>
      <c r="DO172" s="15">
        <f t="shared" ca="1" si="190"/>
        <v>41.787192076716082</v>
      </c>
      <c r="DP172" s="15">
        <f t="shared" ca="1" si="191"/>
        <v>42.035826221338588</v>
      </c>
      <c r="DQ172" s="9"/>
      <c r="DR172" s="9"/>
      <c r="DS172" s="9"/>
      <c r="DT172" s="89">
        <v>5.8778757593972763E-3</v>
      </c>
      <c r="DU172" s="89">
        <f t="shared" ca="1" si="163"/>
        <v>5.8778757593972763E-3</v>
      </c>
      <c r="DV172" s="72">
        <f t="shared" ca="1" si="164"/>
        <v>-0.35717195882950925</v>
      </c>
      <c r="DW172" s="37"/>
      <c r="DX172" s="35">
        <f t="shared" si="174"/>
        <v>0.49695950539254219</v>
      </c>
      <c r="DY172" s="56"/>
      <c r="DZ172" s="56"/>
      <c r="EB172" s="2" t="e" vm="174">
        <v>#VALUE!</v>
      </c>
      <c r="ED172" s="10" cm="1">
        <f t="array" aca="1" ref="ED172" ca="1">_FV(EB172,"Ações em circulação",TRUE)</f>
        <v>896346200</v>
      </c>
      <c r="EE172" s="18">
        <f>VLOOKUP(BO172,Fundamentus!A:U,5,FALSE)</f>
        <v>2.44</v>
      </c>
      <c r="EF172" s="2">
        <f t="shared" ca="1" si="165"/>
        <v>15392174500</v>
      </c>
      <c r="EG172" s="17">
        <v>11176257904.449999</v>
      </c>
      <c r="EH172" s="17">
        <f t="shared" ca="1" si="166"/>
        <v>11176257904.449999</v>
      </c>
      <c r="EJ172" s="16">
        <f t="shared" ca="1" si="153"/>
        <v>0</v>
      </c>
      <c r="EK172" s="32" t="str">
        <f>IF(VLOOKUP(BO172,Fundamentus!A:U,3,FALSE)&lt;15,"Bom",IF(VLOOKUP(BO172,Fundamentus!A:U,3,FALSE)&gt;15,"Ruim","n/a"))</f>
        <v>Bom</v>
      </c>
      <c r="EL172" s="28" t="str">
        <f>IF(VLOOKUP(BO172,Fundamentus!A:U,4,FALSE)&lt;1,"Baixo",IF(VLOOKUP(BO172,Fundamentus!A:U,4,FALSE)&lt;1.5,"Moderado",IF(VLOOKUP(BO172,Fundamentus!A:U,4,FALSE)&gt;1.5,"Alto","n/a")))</f>
        <v>Moderado</v>
      </c>
      <c r="EM172" s="17" t="str">
        <f>IF(VLOOKUP(BO172,Fundamentus!A:U,8,FALSE)&lt;0,"Risco elevado",IF(VLOOKUP(BO172,Fundamentus!A:U,8,FALSE)&lt;1,"Saudável",IF(VLOOKUP(BO172,Fundamentus!A:U,8,FALSE)&lt;3,"Estável",IF(VLOOKUP(BO172,Fundamentus!A:U,8,FALSE)&gt;3,"Alerta","n/a"))))</f>
        <v>Alerta</v>
      </c>
      <c r="EN172" s="28" t="str">
        <f t="shared" si="167"/>
        <v>Bom</v>
      </c>
      <c r="EO172" s="17" t="str">
        <f>IF(VLOOKUP(BO172,Fundamentus!A:U,12,FALSE)&lt;2,"Subvalorizada",IF(VLOOKUP(BO172,Fundamentus!A:U,12,FALSE)&lt;6,"Muita barata",IF(VLOOKUP(BO172,Fundamentus!A:U,12,FALSE)&lt;6,"Barata",IF(VLOOKUP(BO172,Fundamentus!A:U,12,FALSE)&lt;8,"Atrativa",IF(VLOOKUP(BO172,Fundamentus!A:U,12,FALSE)&gt;8,"Supervalorizada","n/a")))))</f>
        <v>Muita barata</v>
      </c>
      <c r="EQ172" s="17" t="str">
        <f>IF(VLOOKUP(BO172,Fundamentus!A:U,17,FALSE)&lt;0.1,"Fraco retorno",IF(VLOOKUP(BO172,Fundamentus!A:U,17,FALSE)&gt;0.1,"Bom retorno","n/a"))</f>
        <v>Bom retorno</v>
      </c>
      <c r="ER172" s="17" t="str">
        <f>IF(VLOOKUP(BO172,Fundamentus!A:U,16,FALSE)&lt;0.1,"Ineficiente",IF(VLOOKUP(BO172,Fundamentus!A:U,16,FALSE)&gt;0.1,"Eficiente","n/a"))</f>
        <v>Eficiente</v>
      </c>
      <c r="ES172" s="33" t="str">
        <f>IF(VLOOKUP(BO172,Fundamentus!A:U,16,FALSE)&lt;0.1,"Oper. Ineficiente",IF(VLOOKUP(BO172,Fundamentus!A:U,16,FALSE)&gt;0.1,"Oper.Eficiente","n/a"))</f>
        <v>Oper.Eficiente</v>
      </c>
      <c r="ET172" s="34">
        <f>VLOOKUP(BO172,Fundamentus!A:U,14,FALSE)</f>
        <v>0.72609999999999997</v>
      </c>
      <c r="EU172" s="17" t="str">
        <f>IF(VLOOKUP(BO172,Fundamentus!A:U,21,FALSE)&lt;0,"Negativo",IF(VLOOKUP(BO172,Fundamentus!A:U,21,FALSE)&lt;0.05,"Fraco",IF(VLOOKUP(BO172,Fundamentus!A:U,21,FALSE)&lt;0.1,"Bom",IF(VLOOKUP(BO172,Fundamentus!A:U,21,FALSE)&gt;0.1,"Muito bom","n/a"))))</f>
        <v>Muito bom</v>
      </c>
      <c r="EW172" s="29" t="str">
        <f>IF(VLOOKUP(BO172,Fundamentus!A:U,15,FALSE)&gt;1,"Bom",IF(VLOOKUP(BO172,Fundamentus!A:U,15,FALSE)&lt;1,"Ruim","n/a"))</f>
        <v>Bom</v>
      </c>
      <c r="EX172" s="17" t="str">
        <f>IF(VLOOKUP(BO172,Fundamentus!A:U,20,FALSE)&lt;0.5,"Baixa",IF(VLOOKUP(BO172,Fundamentus!A:U,20,FALSE)&lt;1,"Moderada",IF(VLOOKUP(BO172,Fundamentus!A:U,20,FALSE)&lt;2,"Alerta",IF(VLOOKUP(BO172,Fundamentus!A:U,20,FALSE)&gt;2,"Alta","n/a"))))</f>
        <v>Moderada</v>
      </c>
      <c r="EY172" s="10"/>
    </row>
    <row r="173" spans="1:155" s="2" customFormat="1" ht="11.25"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5">
        <v>11.27</v>
      </c>
      <c r="BC173" s="52">
        <v>11.21</v>
      </c>
      <c r="BD173" s="52">
        <v>10.92</v>
      </c>
      <c r="BE173" s="52">
        <v>11</v>
      </c>
      <c r="BF173" s="52">
        <v>10.99</v>
      </c>
      <c r="BG173" s="67">
        <v>10.85</v>
      </c>
      <c r="BH173" s="52">
        <v>11.61</v>
      </c>
      <c r="BI173" s="52">
        <v>11.61</v>
      </c>
      <c r="BJ173" s="52">
        <v>11.73</v>
      </c>
      <c r="BK173" s="52">
        <v>11.59</v>
      </c>
      <c r="BL173" s="52">
        <v>11.3</v>
      </c>
      <c r="BM173" s="52">
        <v>11.91</v>
      </c>
      <c r="BN173" s="52" cm="1">
        <f t="array" aca="1" ref="BN173" ca="1">_FV(EB173,"Preço")</f>
        <v>11.91</v>
      </c>
      <c r="BO173" s="69" t="s">
        <v>169</v>
      </c>
      <c r="BP173" s="36" cm="1">
        <f t="array" aca="1" ref="BP173" ca="1">_FV(EB173,"Média de volume",TRUE)</f>
        <v>1747080</v>
      </c>
      <c r="BQ173" s="36">
        <v>3090800</v>
      </c>
      <c r="BR173" s="36" cm="1">
        <f t="array" aca="1" ref="BR173" ca="1">_FV(EB173,"Volume")</f>
        <v>3090800</v>
      </c>
      <c r="BS173" s="24" cm="1">
        <f t="array" aca="1" ref="BS173" ca="1">_FV(EB173,"Beta")</f>
        <v>0.5252</v>
      </c>
      <c r="BT173" s="71" cm="1">
        <f t="array" aca="1" ref="BT173" ca="1">_FV(EB173,"Variação (%)",TRUE)</f>
        <v>3.5651999999999996E-2</v>
      </c>
      <c r="BV173" s="17" cm="1">
        <f t="array" aca="1" ref="BV173" ca="1">_FV(EB173,"Baixo")</f>
        <v>11.44</v>
      </c>
      <c r="BW173" s="17" cm="1">
        <f t="array" aca="1" ref="BW173" ca="1">_FV(EB173,"Alto")</f>
        <v>11.91</v>
      </c>
      <c r="BX173" s="24"/>
      <c r="BY173" s="63">
        <f ca="1">SQRT(22.5*(BN173/VLOOKUP(BO173,Fundamentus!A:U,3,FALSE))*(BN173/VLOOKUP(BO173,Fundamentus!A:U,4,FALSE)))</f>
        <v>7.853676736949212</v>
      </c>
      <c r="CA173" s="62">
        <f t="shared" ca="1" si="168"/>
        <v>0</v>
      </c>
      <c r="CB173" s="8"/>
      <c r="CC173" s="61">
        <f t="shared" si="169"/>
        <v>10.24</v>
      </c>
      <c r="CD173" s="61">
        <f t="shared" si="170"/>
        <v>12.3</v>
      </c>
      <c r="CE173" s="61">
        <f t="shared" si="171"/>
        <v>11.195923076923073</v>
      </c>
      <c r="CF173" s="14"/>
      <c r="CG173" s="35">
        <f t="shared" si="154"/>
        <v>11.249045966494297</v>
      </c>
      <c r="CH173" s="15">
        <f t="shared" si="172"/>
        <v>11.694999999999993</v>
      </c>
      <c r="CI173" s="35">
        <f t="shared" si="155"/>
        <v>12.14095403350569</v>
      </c>
      <c r="CK173" s="14"/>
      <c r="CL173" s="17">
        <f t="shared" si="156"/>
        <v>8.2000000000000011</v>
      </c>
      <c r="CM173" s="17">
        <f t="shared" si="157"/>
        <v>9.2200000000000006</v>
      </c>
      <c r="CN173" s="17">
        <f t="shared" si="158"/>
        <v>10.260000000000002</v>
      </c>
      <c r="CO173" s="38">
        <f t="shared" si="173"/>
        <v>11.280000000000001</v>
      </c>
      <c r="CP173" s="17">
        <f t="shared" si="159"/>
        <v>12.320000000000002</v>
      </c>
      <c r="CQ173" s="17">
        <f t="shared" si="160"/>
        <v>13.340000000000002</v>
      </c>
      <c r="CR173" s="17">
        <f t="shared" si="161"/>
        <v>14.380000000000003</v>
      </c>
      <c r="CS173" s="2" cm="1">
        <f t="array" aca="1" ref="CS173" ca="1">MAX(_xlfn._xlws.FILTER(CL173:CR173,CL173:CR173&lt;BN173))</f>
        <v>11.280000000000001</v>
      </c>
      <c r="CT173" s="2" cm="1">
        <f t="array" aca="1" ref="CT173" ca="1">MIN(_xlfn._xlws.FILTER($CL173:$CR173,$CL173:$CR173&gt;BN173))</f>
        <v>12.320000000000002</v>
      </c>
      <c r="CU173" s="16">
        <f t="shared" ca="1" si="175"/>
        <v>9.219858156028371E-2</v>
      </c>
      <c r="CV173" s="20">
        <f t="shared" ca="1" si="176"/>
        <v>-4.6099290780141855E-2</v>
      </c>
      <c r="CW173" s="20">
        <f t="shared" ca="1" si="177"/>
        <v>-3.0732860520094569E-2</v>
      </c>
      <c r="CX173" s="20">
        <f t="shared" ca="1" si="178"/>
        <v>-1.8439716312056743E-2</v>
      </c>
      <c r="CY173" s="20">
        <f t="shared" ca="1" si="179"/>
        <v>-1.0244286840031524E-2</v>
      </c>
      <c r="CZ173" s="20">
        <f t="shared" ca="1" si="180"/>
        <v>-5.4234459741343355E-3</v>
      </c>
      <c r="DA173" s="20">
        <f t="shared" ca="1" si="181"/>
        <v>-2.793896410917688E-3</v>
      </c>
      <c r="DB173" s="20">
        <f t="shared" ca="1" si="182"/>
        <v>-1.4184397163120571E-3</v>
      </c>
      <c r="DC173" s="21">
        <f t="shared" ca="1" si="183"/>
        <v>1.4184397163120571E-3</v>
      </c>
      <c r="DD173" s="21">
        <f t="shared" ca="1" si="184"/>
        <v>2.793896410917688E-3</v>
      </c>
      <c r="DE173" s="21">
        <f t="shared" ca="1" si="185"/>
        <v>5.4234459741343355E-3</v>
      </c>
      <c r="DF173" s="21">
        <f t="shared" ca="1" si="186"/>
        <v>1.0244286840031524E-2</v>
      </c>
      <c r="DG173" s="21">
        <f t="shared" ca="1" si="187"/>
        <v>1.8439716312056743E-2</v>
      </c>
      <c r="DH173" s="21">
        <f t="shared" ca="1" si="188"/>
        <v>3.0732860520094569E-2</v>
      </c>
      <c r="DI173" s="21">
        <f t="shared" ca="1" si="189"/>
        <v>4.6099290780141855E-2</v>
      </c>
      <c r="DK173" s="16" cm="1">
        <f t="array" aca="1" ref="DK173" ca="1">MAX(_xlfn._xlws.FILTER(CV173:DI173,CV173:DI173&lt;BT173))</f>
        <v>3.0732860520094569E-2</v>
      </c>
      <c r="DL173" s="16" cm="1">
        <f t="array" aca="1" ref="DL173" ca="1">MIN(_xlfn._xlws.FILTER(CV173:DI173,CV173:DI173&gt;BT173))</f>
        <v>4.6099290780141855E-2</v>
      </c>
      <c r="DM173" s="2" cm="1">
        <f t="array" aca="1" ref="DM173" ca="1">_FV(EB173,"Fechamento anterior",TRUE)</f>
        <v>11.5</v>
      </c>
      <c r="DN173" s="28">
        <f t="shared" ca="1" si="162"/>
        <v>0.32013377926421216</v>
      </c>
      <c r="DO173" s="15">
        <f t="shared" ca="1" si="190"/>
        <v>11.853427895981088</v>
      </c>
      <c r="DP173" s="15">
        <f t="shared" ca="1" si="191"/>
        <v>12.030141843971631</v>
      </c>
      <c r="DQ173" s="9"/>
      <c r="DR173" s="9"/>
      <c r="DS173" s="9"/>
      <c r="DT173" s="89">
        <v>1.5366430260047286E-2</v>
      </c>
      <c r="DU173" s="89">
        <f t="shared" ca="1" si="163"/>
        <v>1.5366430260047286E-2</v>
      </c>
      <c r="DV173" s="72">
        <f t="shared" ca="1" si="164"/>
        <v>0.48211246865482305</v>
      </c>
      <c r="DW173" s="37"/>
      <c r="DX173" s="35">
        <f t="shared" si="174"/>
        <v>0.22297701675284815</v>
      </c>
      <c r="DY173" s="56"/>
      <c r="DZ173" s="56"/>
      <c r="EB173" s="2" t="e" vm="175">
        <v>#VALUE!</v>
      </c>
      <c r="ED173" s="10" cm="1">
        <f t="array" aca="1" ref="ED173" ca="1">_FV(EB173,"Ações em circulação",TRUE)</f>
        <v>552495700</v>
      </c>
      <c r="EE173" s="18">
        <f>VLOOKUP(BO173,Fundamentus!A:U,5,FALSE)</f>
        <v>2.7210000000000001</v>
      </c>
      <c r="EF173" s="2">
        <f t="shared" ca="1" si="165"/>
        <v>2418310836.8246965</v>
      </c>
      <c r="EG173" s="17">
        <v>587165871.18103623</v>
      </c>
      <c r="EH173" s="17">
        <f t="shared" ca="1" si="166"/>
        <v>587165871.18103623</v>
      </c>
      <c r="EJ173" s="16">
        <f t="shared" ca="1" si="153"/>
        <v>0</v>
      </c>
      <c r="EK173" s="32" t="str">
        <f>IF(VLOOKUP(BO173,Fundamentus!A:U,3,FALSE)&lt;15,"Bom",IF(VLOOKUP(BO173,Fundamentus!A:U,3,FALSE)&gt;15,"Ruim","n/a"))</f>
        <v>Bom</v>
      </c>
      <c r="EL173" s="28" t="str">
        <f>IF(VLOOKUP(BO173,Fundamentus!A:U,4,FALSE)&lt;1,"Baixo",IF(VLOOKUP(BO173,Fundamentus!A:U,4,FALSE)&lt;1.5,"Moderado",IF(VLOOKUP(BO173,Fundamentus!A:U,4,FALSE)&gt;1.5,"Alto","n/a")))</f>
        <v>Alto</v>
      </c>
      <c r="EM173" s="17" t="str">
        <f>IF(VLOOKUP(BO173,Fundamentus!A:U,8,FALSE)&lt;0,"Risco elevado",IF(VLOOKUP(BO173,Fundamentus!A:U,8,FALSE)&lt;1,"Saudável",IF(VLOOKUP(BO173,Fundamentus!A:U,8,FALSE)&lt;3,"Estável",IF(VLOOKUP(BO173,Fundamentus!A:U,8,FALSE)&gt;3,"Alerta","n/a"))))</f>
        <v>Risco elevado</v>
      </c>
      <c r="EN173" s="28" t="str">
        <f t="shared" si="167"/>
        <v>Bom</v>
      </c>
      <c r="EO173" s="17" t="str">
        <f>IF(VLOOKUP(BO173,Fundamentus!A:U,12,FALSE)&lt;2,"Subvalorizada",IF(VLOOKUP(BO173,Fundamentus!A:U,12,FALSE)&lt;6,"Muita barata",IF(VLOOKUP(BO173,Fundamentus!A:U,12,FALSE)&lt;6,"Barata",IF(VLOOKUP(BO173,Fundamentus!A:U,12,FALSE)&lt;8,"Atrativa",IF(VLOOKUP(BO173,Fundamentus!A:U,12,FALSE)&gt;8,"Supervalorizada","n/a")))))</f>
        <v>Atrativa</v>
      </c>
      <c r="EQ173" s="17" t="str">
        <f>IF(VLOOKUP(BO173,Fundamentus!A:U,17,FALSE)&lt;0.1,"Fraco retorno",IF(VLOOKUP(BO173,Fundamentus!A:U,17,FALSE)&gt;0.1,"Bom retorno","n/a"))</f>
        <v>Bom retorno</v>
      </c>
      <c r="ER173" s="17" t="str">
        <f>IF(VLOOKUP(BO173,Fundamentus!A:U,16,FALSE)&lt;0.1,"Ineficiente",IF(VLOOKUP(BO173,Fundamentus!A:U,16,FALSE)&gt;0.1,"Eficiente","n/a"))</f>
        <v>Eficiente</v>
      </c>
      <c r="ES173" s="33" t="str">
        <f>IF(VLOOKUP(BO173,Fundamentus!A:U,16,FALSE)&lt;0.1,"Oper. Ineficiente",IF(VLOOKUP(BO173,Fundamentus!A:U,16,FALSE)&gt;0.1,"Oper.Eficiente","n/a"))</f>
        <v>Oper.Eficiente</v>
      </c>
      <c r="ET173" s="34">
        <f>VLOOKUP(BO173,Fundamentus!A:U,14,FALSE)</f>
        <v>0.24279999999999999</v>
      </c>
      <c r="EU173" s="17" t="str">
        <f>IF(VLOOKUP(BO173,Fundamentus!A:U,21,FALSE)&lt;0,"Negativo",IF(VLOOKUP(BO173,Fundamentus!A:U,21,FALSE)&lt;0.05,"Fraco",IF(VLOOKUP(BO173,Fundamentus!A:U,21,FALSE)&lt;0.1,"Bom",IF(VLOOKUP(BO173,Fundamentus!A:U,21,FALSE)&gt;0.1,"Muito bom","n/a"))))</f>
        <v>Bom</v>
      </c>
      <c r="EW173" s="29" t="str">
        <f>IF(VLOOKUP(BO173,Fundamentus!A:U,15,FALSE)&gt;1,"Bom",IF(VLOOKUP(BO173,Fundamentus!A:U,15,FALSE)&lt;1,"Ruim","n/a"))</f>
        <v>Ruim</v>
      </c>
      <c r="EX173" s="17" t="str">
        <f>IF(VLOOKUP(BO173,Fundamentus!A:U,20,FALSE)&lt;0.5,"Baixa",IF(VLOOKUP(BO173,Fundamentus!A:U,20,FALSE)&lt;1,"Moderada",IF(VLOOKUP(BO173,Fundamentus!A:U,20,FALSE)&lt;2,"Alerta",IF(VLOOKUP(BO173,Fundamentus!A:U,20,FALSE)&gt;2,"Alta","n/a"))))</f>
        <v>Baixa</v>
      </c>
      <c r="EY173" s="10"/>
    </row>
    <row r="174" spans="1:155" s="2" customFormat="1" ht="11.25"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5">
        <v>13.47</v>
      </c>
      <c r="BC174" s="52">
        <v>15.08</v>
      </c>
      <c r="BD174" s="52">
        <v>13.97</v>
      </c>
      <c r="BE174" s="52">
        <v>14.47</v>
      </c>
      <c r="BF174" s="52">
        <v>14.5</v>
      </c>
      <c r="BG174" s="67">
        <v>15.56</v>
      </c>
      <c r="BH174" s="52">
        <v>15.79</v>
      </c>
      <c r="BI174" s="52">
        <v>14.33</v>
      </c>
      <c r="BJ174" s="52">
        <v>14.69</v>
      </c>
      <c r="BK174" s="52">
        <v>14.47</v>
      </c>
      <c r="BL174" s="52">
        <v>13.74</v>
      </c>
      <c r="BM174" s="52">
        <v>13.35</v>
      </c>
      <c r="BN174" s="52" cm="1">
        <f t="array" aca="1" ref="BN174" ca="1">_FV(EB174,"Preço")</f>
        <v>13.35</v>
      </c>
      <c r="BO174" s="69" t="s">
        <v>170</v>
      </c>
      <c r="BP174" s="36" cm="1">
        <f t="array" aca="1" ref="BP174" ca="1">_FV(EB174,"Média de volume",TRUE)</f>
        <v>2059860</v>
      </c>
      <c r="BQ174" s="36">
        <v>1715000</v>
      </c>
      <c r="BR174" s="36" cm="1">
        <f t="array" aca="1" ref="BR174" ca="1">_FV(EB174,"Volume")</f>
        <v>1715000</v>
      </c>
      <c r="BS174" s="24" cm="1">
        <f t="array" aca="1" ref="BS174" ca="1">_FV(EB174,"Beta")</f>
        <v>0.85</v>
      </c>
      <c r="BT174" s="71" cm="1">
        <f t="array" aca="1" ref="BT174" ca="1">_FV(EB174,"Variação (%)",TRUE)</f>
        <v>-4.4740000000000005E-3</v>
      </c>
      <c r="BV174" s="17" cm="1">
        <f t="array" aca="1" ref="BV174" ca="1">_FV(EB174,"Baixo")</f>
        <v>13.35</v>
      </c>
      <c r="BW174" s="17" cm="1">
        <f t="array" aca="1" ref="BW174" ca="1">_FV(EB174,"Alto")</f>
        <v>13.67</v>
      </c>
      <c r="BX174" s="24"/>
      <c r="BY174" s="63">
        <f ca="1">SQRT(22.5*(BN174/VLOOKUP(BO174,Fundamentus!A:U,3,FALSE))*(BN174/VLOOKUP(BO174,Fundamentus!A:U,4,FALSE)))</f>
        <v>25.067899425160419</v>
      </c>
      <c r="CA174" s="62">
        <f t="shared" ca="1" si="168"/>
        <v>0</v>
      </c>
      <c r="CB174" s="8"/>
      <c r="CC174" s="61">
        <f t="shared" si="169"/>
        <v>12.84</v>
      </c>
      <c r="CD174" s="61">
        <f t="shared" si="170"/>
        <v>21.64</v>
      </c>
      <c r="CE174" s="61">
        <f t="shared" si="171"/>
        <v>17.081307692307689</v>
      </c>
      <c r="CF174" s="14"/>
      <c r="CG174" s="35">
        <f t="shared" si="154"/>
        <v>11.792653013123795</v>
      </c>
      <c r="CH174" s="15">
        <f t="shared" si="172"/>
        <v>12.875</v>
      </c>
      <c r="CI174" s="35">
        <f t="shared" si="155"/>
        <v>13.957346986876205</v>
      </c>
      <c r="CK174" s="14"/>
      <c r="CL174" s="17">
        <f t="shared" si="156"/>
        <v>1.706666666666667</v>
      </c>
      <c r="CM174" s="17">
        <f t="shared" si="157"/>
        <v>7.2733333333333334</v>
      </c>
      <c r="CN174" s="17">
        <f t="shared" si="158"/>
        <v>10.506666666666668</v>
      </c>
      <c r="CO174" s="38">
        <f t="shared" si="173"/>
        <v>16.073333333333334</v>
      </c>
      <c r="CP174" s="17">
        <f t="shared" si="159"/>
        <v>19.306666666666668</v>
      </c>
      <c r="CQ174" s="17">
        <f t="shared" si="160"/>
        <v>24.873333333333335</v>
      </c>
      <c r="CR174" s="17">
        <f t="shared" si="161"/>
        <v>28.106666666666669</v>
      </c>
      <c r="CS174" s="2" cm="1">
        <f t="array" aca="1" ref="CS174" ca="1">MAX(_xlfn._xlws.FILTER(CL174:CR174,CL174:CR174&lt;BN174))</f>
        <v>10.506666666666668</v>
      </c>
      <c r="CT174" s="2" cm="1">
        <f t="array" aca="1" ref="CT174" ca="1">MIN(_xlfn._xlws.FILTER($CL174:$CR174,$CL174:$CR174&gt;BN174))</f>
        <v>16.073333333333334</v>
      </c>
      <c r="CU174" s="16">
        <f t="shared" ca="1" si="175"/>
        <v>0.52982233502538056</v>
      </c>
      <c r="CV174" s="20">
        <f t="shared" ca="1" si="176"/>
        <v>-0.26491116751269028</v>
      </c>
      <c r="CW174" s="20">
        <f t="shared" ca="1" si="177"/>
        <v>-0.17660744500846018</v>
      </c>
      <c r="CX174" s="20">
        <f t="shared" ca="1" si="178"/>
        <v>-0.10596446700507611</v>
      </c>
      <c r="CY174" s="20">
        <f t="shared" ca="1" si="179"/>
        <v>-5.8869148336153393E-2</v>
      </c>
      <c r="CZ174" s="20">
        <f t="shared" ca="1" si="180"/>
        <v>-3.1166019707375328E-2</v>
      </c>
      <c r="DA174" s="20">
        <f t="shared" ca="1" si="181"/>
        <v>-1.6055222273496379E-2</v>
      </c>
      <c r="DB174" s="20">
        <f t="shared" ca="1" si="182"/>
        <v>-8.1511128465443158E-3</v>
      </c>
      <c r="DC174" s="21">
        <f t="shared" ca="1" si="183"/>
        <v>8.1511128465443158E-3</v>
      </c>
      <c r="DD174" s="21">
        <f t="shared" ca="1" si="184"/>
        <v>1.6055222273496379E-2</v>
      </c>
      <c r="DE174" s="21">
        <f t="shared" ca="1" si="185"/>
        <v>3.1166019707375328E-2</v>
      </c>
      <c r="DF174" s="21">
        <f t="shared" ca="1" si="186"/>
        <v>5.8869148336153393E-2</v>
      </c>
      <c r="DG174" s="21">
        <f t="shared" ca="1" si="187"/>
        <v>0.10596446700507611</v>
      </c>
      <c r="DH174" s="21">
        <f t="shared" ca="1" si="188"/>
        <v>0.17660744500846018</v>
      </c>
      <c r="DI174" s="21">
        <f t="shared" ca="1" si="189"/>
        <v>0.26491116751269028</v>
      </c>
      <c r="DK174" s="16" cm="1">
        <f t="array" aca="1" ref="DK174" ca="1">MAX(_xlfn._xlws.FILTER(CV174:DI174,CV174:DI174&lt;BT174))</f>
        <v>-8.1511128465443158E-3</v>
      </c>
      <c r="DL174" s="16" cm="1">
        <f t="array" aca="1" ref="DL174" ca="1">MIN(_xlfn._xlws.FILTER(CV174:DI174,CV174:DI174&gt;BT174))</f>
        <v>8.1511128465443158E-3</v>
      </c>
      <c r="DM174" s="2" cm="1">
        <f t="array" aca="1" ref="DM174" ca="1">_FV(EB174,"Fechamento anterior",TRUE)</f>
        <v>13.41</v>
      </c>
      <c r="DN174" s="28">
        <f t="shared" ca="1" si="162"/>
        <v>0.22554220418223594</v>
      </c>
      <c r="DO174" s="15">
        <f t="shared" ca="1" si="190"/>
        <v>13.300693576727841</v>
      </c>
      <c r="DP174" s="15">
        <f t="shared" ca="1" si="191"/>
        <v>13.519306423272159</v>
      </c>
      <c r="DQ174" s="9"/>
      <c r="DR174" s="9"/>
      <c r="DS174" s="9"/>
      <c r="DT174" s="89">
        <v>1.6302225693088632E-2</v>
      </c>
      <c r="DU174" s="89">
        <f t="shared" ca="1" si="163"/>
        <v>1.6302225693088632E-2</v>
      </c>
      <c r="DV174" s="72">
        <f t="shared" ca="1" si="164"/>
        <v>0.43886110993934746</v>
      </c>
      <c r="DW174" s="37"/>
      <c r="DX174" s="35">
        <f t="shared" si="174"/>
        <v>0.5411734934381025</v>
      </c>
      <c r="DY174" s="56"/>
      <c r="DZ174" s="56"/>
      <c r="EB174" s="2" t="e" vm="176">
        <v>#VALUE!</v>
      </c>
      <c r="ED174" s="10" cm="1">
        <f t="array" aca="1" ref="ED174" ca="1">_FV(EB174,"Ações em circulação",TRUE)</f>
        <v>293472100</v>
      </c>
      <c r="EE174" s="18">
        <f>VLOOKUP(BO174,Fundamentus!A:U,5,FALSE)</f>
        <v>1.1759999999999999</v>
      </c>
      <c r="EF174" s="2">
        <f t="shared" ca="1" si="165"/>
        <v>3331507257.6530614</v>
      </c>
      <c r="EG174" s="17">
        <v>547033491.70663273</v>
      </c>
      <c r="EH174" s="17">
        <f t="shared" ca="1" si="166"/>
        <v>547033491.70663273</v>
      </c>
      <c r="EJ174" s="16">
        <f t="shared" ca="1" si="153"/>
        <v>0</v>
      </c>
      <c r="EK174" s="32" t="str">
        <f>IF(VLOOKUP(BO174,Fundamentus!A:U,3,FALSE)&lt;15,"Bom",IF(VLOOKUP(BO174,Fundamentus!A:U,3,FALSE)&gt;15,"Ruim","n/a"))</f>
        <v>Bom</v>
      </c>
      <c r="EL174" s="28" t="str">
        <f>IF(VLOOKUP(BO174,Fundamentus!A:U,4,FALSE)&lt;1,"Baixo",IF(VLOOKUP(BO174,Fundamentus!A:U,4,FALSE)&lt;1.5,"Moderado",IF(VLOOKUP(BO174,Fundamentus!A:U,4,FALSE)&gt;1.5,"Alto","n/a")))</f>
        <v>Baixo</v>
      </c>
      <c r="EM174" s="17" t="str">
        <f>IF(VLOOKUP(BO174,Fundamentus!A:U,8,FALSE)&lt;0,"Risco elevado",IF(VLOOKUP(BO174,Fundamentus!A:U,8,FALSE)&lt;1,"Saudável",IF(VLOOKUP(BO174,Fundamentus!A:U,8,FALSE)&lt;3,"Estável",IF(VLOOKUP(BO174,Fundamentus!A:U,8,FALSE)&gt;3,"Alerta","n/a"))))</f>
        <v>Alerta</v>
      </c>
      <c r="EN174" s="28" t="str">
        <f t="shared" si="167"/>
        <v>Bom</v>
      </c>
      <c r="EO174" s="17" t="str">
        <f>IF(VLOOKUP(BO174,Fundamentus!A:U,12,FALSE)&lt;2,"Subvalorizada",IF(VLOOKUP(BO174,Fundamentus!A:U,12,FALSE)&lt;6,"Muita barata",IF(VLOOKUP(BO174,Fundamentus!A:U,12,FALSE)&lt;6,"Barata",IF(VLOOKUP(BO174,Fundamentus!A:U,12,FALSE)&lt;8,"Atrativa",IF(VLOOKUP(BO174,Fundamentus!A:U,12,FALSE)&gt;8,"Supervalorizada","n/a")))))</f>
        <v>Muita barata</v>
      </c>
      <c r="EQ174" s="17" t="str">
        <f>IF(VLOOKUP(BO174,Fundamentus!A:U,17,FALSE)&lt;0.1,"Fraco retorno",IF(VLOOKUP(BO174,Fundamentus!A:U,17,FALSE)&gt;0.1,"Bom retorno","n/a"))</f>
        <v>Bom retorno</v>
      </c>
      <c r="ER174" s="17" t="str">
        <f>IF(VLOOKUP(BO174,Fundamentus!A:U,16,FALSE)&lt;0.1,"Ineficiente",IF(VLOOKUP(BO174,Fundamentus!A:U,16,FALSE)&gt;0.1,"Eficiente","n/a"))</f>
        <v>Eficiente</v>
      </c>
      <c r="ES174" s="33" t="str">
        <f>IF(VLOOKUP(BO174,Fundamentus!A:U,16,FALSE)&lt;0.1,"Oper. Ineficiente",IF(VLOOKUP(BO174,Fundamentus!A:U,16,FALSE)&gt;0.1,"Oper.Eficiente","n/a"))</f>
        <v>Oper.Eficiente</v>
      </c>
      <c r="ET174" s="34">
        <f>VLOOKUP(BO174,Fundamentus!A:U,14,FALSE)</f>
        <v>0.16420000000000001</v>
      </c>
      <c r="EU174" s="17" t="str">
        <f>IF(VLOOKUP(BO174,Fundamentus!A:U,21,FALSE)&lt;0,"Negativo",IF(VLOOKUP(BO174,Fundamentus!A:U,21,FALSE)&lt;0.05,"Fraco",IF(VLOOKUP(BO174,Fundamentus!A:U,21,FALSE)&lt;0.1,"Bom",IF(VLOOKUP(BO174,Fundamentus!A:U,21,FALSE)&gt;0.1,"Muito bom","n/a"))))</f>
        <v>Muito bom</v>
      </c>
      <c r="EW174" s="29" t="str">
        <f>IF(VLOOKUP(BO174,Fundamentus!A:U,15,FALSE)&gt;1,"Bom",IF(VLOOKUP(BO174,Fundamentus!A:U,15,FALSE)&lt;1,"Ruim","n/a"))</f>
        <v>Bom</v>
      </c>
      <c r="EX174" s="17" t="str">
        <f>IF(VLOOKUP(BO174,Fundamentus!A:U,20,FALSE)&lt;0.5,"Baixa",IF(VLOOKUP(BO174,Fundamentus!A:U,20,FALSE)&lt;1,"Moderada",IF(VLOOKUP(BO174,Fundamentus!A:U,20,FALSE)&lt;2,"Alerta",IF(VLOOKUP(BO174,Fundamentus!A:U,20,FALSE)&gt;2,"Alta","n/a"))))</f>
        <v>Baixa</v>
      </c>
      <c r="EY174" s="10"/>
    </row>
    <row r="175" spans="1:155" s="2" customFormat="1" ht="11.25"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5">
        <v>16.47</v>
      </c>
      <c r="BC175" s="52">
        <v>19.46</v>
      </c>
      <c r="BD175" s="52">
        <v>18.5</v>
      </c>
      <c r="BE175" s="52">
        <v>20.66</v>
      </c>
      <c r="BF175" s="52">
        <v>23</v>
      </c>
      <c r="BG175" s="67">
        <v>22.7</v>
      </c>
      <c r="BH175" s="52">
        <v>21.28</v>
      </c>
      <c r="BI175" s="52">
        <v>21.89</v>
      </c>
      <c r="BJ175" s="52">
        <v>24.2</v>
      </c>
      <c r="BK175" s="52">
        <v>23.22</v>
      </c>
      <c r="BL175" s="52">
        <v>21.12</v>
      </c>
      <c r="BM175" s="52">
        <v>21.8</v>
      </c>
      <c r="BN175" s="52" cm="1">
        <f t="array" aca="1" ref="BN175" ca="1">_FV(EB175,"Preço")</f>
        <v>21.8</v>
      </c>
      <c r="BO175" s="69" t="s">
        <v>171</v>
      </c>
      <c r="BP175" s="36" cm="1">
        <f t="array" aca="1" ref="BP175" ca="1">_FV(EB175,"Média de volume",TRUE)</f>
        <v>648090</v>
      </c>
      <c r="BQ175" s="36">
        <v>288100</v>
      </c>
      <c r="BR175" s="36" cm="1">
        <f t="array" aca="1" ref="BR175" ca="1">_FV(EB175,"Volume")</f>
        <v>288100</v>
      </c>
      <c r="BS175" s="24" cm="1">
        <f t="array" aca="1" ref="BS175" ca="1">_FV(EB175,"Beta")</f>
        <v>1.6978</v>
      </c>
      <c r="BT175" s="71" cm="1">
        <f t="array" aca="1" ref="BT175" ca="1">_FV(EB175,"Variação (%)",TRUE)</f>
        <v>5.535E-3</v>
      </c>
      <c r="BV175" s="17" cm="1">
        <f t="array" aca="1" ref="BV175" ca="1">_FV(EB175,"Baixo")</f>
        <v>21.35</v>
      </c>
      <c r="BW175" s="17" cm="1">
        <f t="array" aca="1" ref="BW175" ca="1">_FV(EB175,"Alto")</f>
        <v>21.85</v>
      </c>
      <c r="BX175" s="24"/>
      <c r="BY175" s="63">
        <f ca="1">SQRT(22.5*(BN175/VLOOKUP(BO175,Fundamentus!A:U,3,FALSE))*(BN175/VLOOKUP(BO175,Fundamentus!A:U,4,FALSE)))</f>
        <v>38.354505951562786</v>
      </c>
      <c r="CA175" s="62">
        <f t="shared" ca="1" si="168"/>
        <v>0</v>
      </c>
      <c r="CB175" s="8"/>
      <c r="CC175" s="61">
        <f t="shared" si="169"/>
        <v>10.220000000000001</v>
      </c>
      <c r="CD175" s="61">
        <f t="shared" si="170"/>
        <v>24.2</v>
      </c>
      <c r="CE175" s="61">
        <f t="shared" si="171"/>
        <v>14.782692307692308</v>
      </c>
      <c r="CF175" s="14"/>
      <c r="CG175" s="35">
        <f t="shared" si="154"/>
        <v>17.857105911614301</v>
      </c>
      <c r="CH175" s="15">
        <f t="shared" si="172"/>
        <v>20.260000000000218</v>
      </c>
      <c r="CI175" s="35">
        <f t="shared" si="155"/>
        <v>22.662894088386135</v>
      </c>
      <c r="CK175" s="14"/>
      <c r="CL175" s="17">
        <f t="shared" si="156"/>
        <v>-1.1533333333333271</v>
      </c>
      <c r="CM175" s="17">
        <f t="shared" si="157"/>
        <v>4.5333333333333368</v>
      </c>
      <c r="CN175" s="17">
        <f t="shared" si="158"/>
        <v>12.826666666666672</v>
      </c>
      <c r="CO175" s="38">
        <f t="shared" si="173"/>
        <v>18.513333333333335</v>
      </c>
      <c r="CP175" s="17">
        <f t="shared" si="159"/>
        <v>26.806666666666672</v>
      </c>
      <c r="CQ175" s="17">
        <f t="shared" si="160"/>
        <v>32.493333333333332</v>
      </c>
      <c r="CR175" s="17">
        <f t="shared" si="161"/>
        <v>40.786666666666669</v>
      </c>
      <c r="CS175" s="2" cm="1">
        <f t="array" aca="1" ref="CS175" ca="1">MAX(_xlfn._xlws.FILTER(CL175:CR175,CL175:CR175&lt;BN175))</f>
        <v>18.513333333333335</v>
      </c>
      <c r="CT175" s="2" cm="1">
        <f t="array" aca="1" ref="CT175" ca="1">MIN(_xlfn._xlws.FILTER($CL175:$CR175,$CL175:$CR175&gt;BN175))</f>
        <v>26.806666666666672</v>
      </c>
      <c r="CU175" s="16">
        <f t="shared" ca="1" si="175"/>
        <v>0.44796543032048985</v>
      </c>
      <c r="CV175" s="20">
        <f t="shared" ca="1" si="176"/>
        <v>-0.22398271516024493</v>
      </c>
      <c r="CW175" s="20">
        <f t="shared" ca="1" si="177"/>
        <v>-0.14932181010682996</v>
      </c>
      <c r="CX175" s="20">
        <f t="shared" ca="1" si="178"/>
        <v>-8.9593086064097965E-2</v>
      </c>
      <c r="CY175" s="20">
        <f t="shared" ca="1" si="179"/>
        <v>-4.9773936702276651E-2</v>
      </c>
      <c r="CZ175" s="20">
        <f t="shared" ca="1" si="180"/>
        <v>-2.6350907665911166E-2</v>
      </c>
      <c r="DA175" s="20">
        <f t="shared" ca="1" si="181"/>
        <v>-1.3574710009711813E-2</v>
      </c>
      <c r="DB175" s="20">
        <f t="shared" ca="1" si="182"/>
        <v>-6.8917758510844591E-3</v>
      </c>
      <c r="DC175" s="21">
        <f t="shared" ca="1" si="183"/>
        <v>6.8917758510844591E-3</v>
      </c>
      <c r="DD175" s="21">
        <f t="shared" ca="1" si="184"/>
        <v>1.3574710009711813E-2</v>
      </c>
      <c r="DE175" s="21">
        <f t="shared" ca="1" si="185"/>
        <v>2.6350907665911166E-2</v>
      </c>
      <c r="DF175" s="21">
        <f t="shared" ca="1" si="186"/>
        <v>4.9773936702276651E-2</v>
      </c>
      <c r="DG175" s="21">
        <f t="shared" ca="1" si="187"/>
        <v>8.9593086064097965E-2</v>
      </c>
      <c r="DH175" s="21">
        <f t="shared" ca="1" si="188"/>
        <v>0.14932181010682996</v>
      </c>
      <c r="DI175" s="21">
        <f t="shared" ca="1" si="189"/>
        <v>0.22398271516024493</v>
      </c>
      <c r="DK175" s="16" cm="1">
        <f t="array" aca="1" ref="DK175" ca="1">MAX(_xlfn._xlws.FILTER(CV175:DI175,CV175:DI175&lt;BT175))</f>
        <v>-6.8917758510844591E-3</v>
      </c>
      <c r="DL175" s="16" cm="1">
        <f t="array" aca="1" ref="DL175" ca="1">MIN(_xlfn._xlws.FILTER(CV175:DI175,CV175:DI175&gt;BT175))</f>
        <v>6.8917758510844591E-3</v>
      </c>
      <c r="DM175" s="2" cm="1">
        <f t="array" aca="1" ref="DM175" ca="1">_FV(EB175,"Fechamento anterior",TRUE)</f>
        <v>21.68</v>
      </c>
      <c r="DN175" s="28">
        <f t="shared" ca="1" si="162"/>
        <v>0.90156960050308232</v>
      </c>
      <c r="DO175" s="15">
        <f t="shared" ca="1" si="190"/>
        <v>21.530586299548489</v>
      </c>
      <c r="DP175" s="15">
        <f t="shared" ca="1" si="191"/>
        <v>21.829413700451511</v>
      </c>
      <c r="DQ175" s="9"/>
      <c r="DR175" s="9"/>
      <c r="DS175" s="9"/>
      <c r="DT175" s="89">
        <v>1.3783551702168918E-2</v>
      </c>
      <c r="DU175" s="89">
        <f t="shared" ca="1" si="163"/>
        <v>1.3783551702168918E-2</v>
      </c>
      <c r="DV175" s="72">
        <f t="shared" ca="1" si="164"/>
        <v>0.64089383191842564</v>
      </c>
      <c r="DW175" s="37"/>
      <c r="DX175" s="35">
        <f t="shared" si="174"/>
        <v>1.201447044192959</v>
      </c>
      <c r="DY175" s="56"/>
      <c r="DZ175" s="56"/>
      <c r="EB175" s="2" t="e" vm="177">
        <v>#VALUE!</v>
      </c>
      <c r="ED175" s="10" cm="1">
        <f t="array" aca="1" ref="ED175" ca="1">_FV(EB175,"Ações em circulação",TRUE)</f>
        <v>84909370</v>
      </c>
      <c r="EE175" s="18">
        <f>VLOOKUP(BO175,Fundamentus!A:U,5,FALSE)</f>
        <v>1.0660000000000001</v>
      </c>
      <c r="EF175" s="2">
        <f t="shared" ca="1" si="165"/>
        <v>1736420512.1951218</v>
      </c>
      <c r="EG175" s="17">
        <v>285120248.10243899</v>
      </c>
      <c r="EH175" s="17">
        <f t="shared" ca="1" si="166"/>
        <v>285120248.10243899</v>
      </c>
      <c r="EJ175" s="16">
        <f t="shared" ca="1" si="153"/>
        <v>0</v>
      </c>
      <c r="EK175" s="32" t="str">
        <f>IF(VLOOKUP(BO175,Fundamentus!A:U,3,FALSE)&lt;15,"Bom",IF(VLOOKUP(BO175,Fundamentus!A:U,3,FALSE)&gt;15,"Ruim","n/a"))</f>
        <v>Bom</v>
      </c>
      <c r="EL175" s="28" t="str">
        <f>IF(VLOOKUP(BO175,Fundamentus!A:U,4,FALSE)&lt;1,"Baixo",IF(VLOOKUP(BO175,Fundamentus!A:U,4,FALSE)&lt;1.5,"Moderado",IF(VLOOKUP(BO175,Fundamentus!A:U,4,FALSE)&gt;1.5,"Alto","n/a")))</f>
        <v>Moderado</v>
      </c>
      <c r="EM175" s="17" t="str">
        <f>IF(VLOOKUP(BO175,Fundamentus!A:U,8,FALSE)&lt;0,"Risco elevado",IF(VLOOKUP(BO175,Fundamentus!A:U,8,FALSE)&lt;1,"Saudável",IF(VLOOKUP(BO175,Fundamentus!A:U,8,FALSE)&lt;3,"Estável",IF(VLOOKUP(BO175,Fundamentus!A:U,8,FALSE)&gt;3,"Alerta","n/a"))))</f>
        <v>Estável</v>
      </c>
      <c r="EN175" s="28" t="str">
        <f t="shared" si="167"/>
        <v>Bom</v>
      </c>
      <c r="EO175" s="17" t="str">
        <f>IF(VLOOKUP(BO175,Fundamentus!A:U,12,FALSE)&lt;2,"Subvalorizada",IF(VLOOKUP(BO175,Fundamentus!A:U,12,FALSE)&lt;6,"Muita barata",IF(VLOOKUP(BO175,Fundamentus!A:U,12,FALSE)&lt;6,"Barata",IF(VLOOKUP(BO175,Fundamentus!A:U,12,FALSE)&lt;8,"Atrativa",IF(VLOOKUP(BO175,Fundamentus!A:U,12,FALSE)&gt;8,"Supervalorizada","n/a")))))</f>
        <v>Muita barata</v>
      </c>
      <c r="EQ175" s="17" t="str">
        <f>IF(VLOOKUP(BO175,Fundamentus!A:U,17,FALSE)&lt;0.1,"Fraco retorno",IF(VLOOKUP(BO175,Fundamentus!A:U,17,FALSE)&gt;0.1,"Bom retorno","n/a"))</f>
        <v>Bom retorno</v>
      </c>
      <c r="ER175" s="17" t="str">
        <f>IF(VLOOKUP(BO175,Fundamentus!A:U,16,FALSE)&lt;0.1,"Ineficiente",IF(VLOOKUP(BO175,Fundamentus!A:U,16,FALSE)&gt;0.1,"Eficiente","n/a"))</f>
        <v>Ineficiente</v>
      </c>
      <c r="ES175" s="33" t="str">
        <f>IF(VLOOKUP(BO175,Fundamentus!A:U,16,FALSE)&lt;0.1,"Oper. Ineficiente",IF(VLOOKUP(BO175,Fundamentus!A:U,16,FALSE)&gt;0.1,"Oper.Eficiente","n/a"))</f>
        <v>Oper. Ineficiente</v>
      </c>
      <c r="ET175" s="34">
        <f>VLOOKUP(BO175,Fundamentus!A:U,14,FALSE)</f>
        <v>0.16420000000000001</v>
      </c>
      <c r="EU175" s="17" t="str">
        <f>IF(VLOOKUP(BO175,Fundamentus!A:U,21,FALSE)&lt;0,"Negativo",IF(VLOOKUP(BO175,Fundamentus!A:U,21,FALSE)&lt;0.05,"Fraco",IF(VLOOKUP(BO175,Fundamentus!A:U,21,FALSE)&lt;0.1,"Bom",IF(VLOOKUP(BO175,Fundamentus!A:U,21,FALSE)&gt;0.1,"Muito bom","n/a"))))</f>
        <v>Muito bom</v>
      </c>
      <c r="EW175" s="29" t="str">
        <f>IF(VLOOKUP(BO175,Fundamentus!A:U,15,FALSE)&gt;1,"Bom",IF(VLOOKUP(BO175,Fundamentus!A:U,15,FALSE)&lt;1,"Ruim","n/a"))</f>
        <v>Bom</v>
      </c>
      <c r="EX175" s="17" t="str">
        <f>IF(VLOOKUP(BO175,Fundamentus!A:U,20,FALSE)&lt;0.5,"Baixa",IF(VLOOKUP(BO175,Fundamentus!A:U,20,FALSE)&lt;1,"Moderada",IF(VLOOKUP(BO175,Fundamentus!A:U,20,FALSE)&lt;2,"Alerta",IF(VLOOKUP(BO175,Fundamentus!A:U,20,FALSE)&gt;2,"Alta","n/a"))))</f>
        <v>Baixa</v>
      </c>
      <c r="EY175" s="10"/>
    </row>
    <row r="176" spans="1:155" s="2" customFormat="1" ht="11.25"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5">
        <v>1.55</v>
      </c>
      <c r="BC176" s="52">
        <v>1.45</v>
      </c>
      <c r="BD176" s="52">
        <v>1.17</v>
      </c>
      <c r="BE176" s="52">
        <v>1.1599999999999999</v>
      </c>
      <c r="BF176" s="52">
        <v>1.03</v>
      </c>
      <c r="BG176" s="67">
        <v>0.98</v>
      </c>
      <c r="BH176" s="52">
        <v>1.02</v>
      </c>
      <c r="BI176" s="52">
        <v>0.96</v>
      </c>
      <c r="BJ176" s="52">
        <v>0.94</v>
      </c>
      <c r="BK176" s="52">
        <v>0.95</v>
      </c>
      <c r="BL176" s="52">
        <v>1.06</v>
      </c>
      <c r="BM176" s="52">
        <v>1.1000000000000001</v>
      </c>
      <c r="BN176" s="52" cm="1">
        <f t="array" aca="1" ref="BN176" ca="1">_FV(EB176,"Preço")</f>
        <v>1.1000000000000001</v>
      </c>
      <c r="BO176" s="69" t="s">
        <v>172</v>
      </c>
      <c r="BP176" s="36" cm="1">
        <f t="array" aca="1" ref="BP176" ca="1">_FV(EB176,"Média de volume",TRUE)</f>
        <v>5658680</v>
      </c>
      <c r="BQ176" s="36">
        <v>4044600</v>
      </c>
      <c r="BR176" s="36" cm="1">
        <f t="array" aca="1" ref="BR176" ca="1">_FV(EB176,"Volume")</f>
        <v>4044600</v>
      </c>
      <c r="BS176" s="24" cm="1">
        <f t="array" aca="1" ref="BS176" ca="1">_FV(EB176,"Beta")</f>
        <v>1.4360999999999999</v>
      </c>
      <c r="BT176" s="71" cm="1">
        <f t="array" aca="1" ref="BT176" ca="1">_FV(EB176,"Variação (%)",TRUE)</f>
        <v>-5.9829E-2</v>
      </c>
      <c r="BV176" s="17" cm="1">
        <f t="array" aca="1" ref="BV176" ca="1">_FV(EB176,"Baixo")</f>
        <v>1.08</v>
      </c>
      <c r="BW176" s="17" cm="1">
        <f t="array" aca="1" ref="BW176" ca="1">_FV(EB176,"Alto")</f>
        <v>1.2</v>
      </c>
      <c r="BX176" s="24"/>
      <c r="BY176" s="63">
        <f ca="1">SQRT(22.5*(BN176/VLOOKUP(BO176,Fundamentus!A:U,3,FALSE))*(BN176/VLOOKUP(BO176,Fundamentus!A:U,4,FALSE)))</f>
        <v>2.8908245531491636</v>
      </c>
      <c r="CA176" s="62">
        <f t="shared" ca="1" si="168"/>
        <v>0</v>
      </c>
      <c r="CB176" s="8"/>
      <c r="CC176" s="61">
        <f t="shared" si="169"/>
        <v>0.37</v>
      </c>
      <c r="CD176" s="61">
        <f t="shared" si="170"/>
        <v>2.0499999999999998</v>
      </c>
      <c r="CE176" s="61">
        <f t="shared" si="171"/>
        <v>1.0918461538461537</v>
      </c>
      <c r="CF176" s="14"/>
      <c r="CG176" s="35">
        <f t="shared" si="154"/>
        <v>1.0218877268306368</v>
      </c>
      <c r="CH176" s="15">
        <f t="shared" si="172"/>
        <v>1.1599999999999682</v>
      </c>
      <c r="CI176" s="35">
        <f t="shared" si="155"/>
        <v>1.2981122731692996</v>
      </c>
      <c r="CK176" s="14"/>
      <c r="CL176" s="17">
        <f t="shared" si="156"/>
        <v>-1.4099999999999997</v>
      </c>
      <c r="CM176" s="17">
        <f t="shared" si="157"/>
        <v>-0.5199999999999998</v>
      </c>
      <c r="CN176" s="17">
        <f t="shared" si="158"/>
        <v>0.27</v>
      </c>
      <c r="CO176" s="38">
        <f t="shared" si="173"/>
        <v>1.1599999999999999</v>
      </c>
      <c r="CP176" s="17">
        <f t="shared" si="159"/>
        <v>1.9499999999999997</v>
      </c>
      <c r="CQ176" s="17">
        <f t="shared" si="160"/>
        <v>2.84</v>
      </c>
      <c r="CR176" s="17">
        <f t="shared" si="161"/>
        <v>3.63</v>
      </c>
      <c r="CS176" s="2" cm="1">
        <f t="array" aca="1" ref="CS176" ca="1">MAX(_xlfn._xlws.FILTER(CL176:CR176,CL176:CR176&lt;BN176))</f>
        <v>0.27</v>
      </c>
      <c r="CT176" s="2" cm="1">
        <f t="array" aca="1" ref="CT176" ca="1">MIN(_xlfn._xlws.FILTER($CL176:$CR176,$CL176:$CR176&gt;BN176))</f>
        <v>1.1599999999999999</v>
      </c>
      <c r="CU176" s="16">
        <f t="shared" ca="1" si="175"/>
        <v>3.2962962962962958</v>
      </c>
      <c r="CV176" s="20">
        <f t="shared" ca="1" si="176"/>
        <v>-1.6481481481481479</v>
      </c>
      <c r="CW176" s="20">
        <f t="shared" ca="1" si="177"/>
        <v>-1.0987654320987652</v>
      </c>
      <c r="CX176" s="20">
        <f t="shared" ca="1" si="178"/>
        <v>-0.65925925925925921</v>
      </c>
      <c r="CY176" s="20">
        <f t="shared" ca="1" si="179"/>
        <v>-0.36625514403292175</v>
      </c>
      <c r="CZ176" s="20">
        <f t="shared" ca="1" si="180"/>
        <v>-0.19389978213507622</v>
      </c>
      <c r="DA176" s="20">
        <f t="shared" ca="1" si="181"/>
        <v>-9.9887766554433211E-2</v>
      </c>
      <c r="DB176" s="20">
        <f t="shared" ca="1" si="182"/>
        <v>-5.0712250712250703E-2</v>
      </c>
      <c r="DC176" s="21">
        <f t="shared" ca="1" si="183"/>
        <v>5.0712250712250703E-2</v>
      </c>
      <c r="DD176" s="21">
        <f t="shared" ca="1" si="184"/>
        <v>9.9887766554433211E-2</v>
      </c>
      <c r="DE176" s="21">
        <f t="shared" ca="1" si="185"/>
        <v>0.19389978213507622</v>
      </c>
      <c r="DF176" s="21">
        <f t="shared" ca="1" si="186"/>
        <v>0.36625514403292175</v>
      </c>
      <c r="DG176" s="21">
        <f t="shared" ca="1" si="187"/>
        <v>0.65925925925925921</v>
      </c>
      <c r="DH176" s="21">
        <f t="shared" ca="1" si="188"/>
        <v>1.0987654320987652</v>
      </c>
      <c r="DI176" s="21">
        <f t="shared" ca="1" si="189"/>
        <v>1.6481481481481479</v>
      </c>
      <c r="DK176" s="16" cm="1">
        <f t="array" aca="1" ref="DK176" ca="1">MAX(_xlfn._xlws.FILTER(CV176:DI176,CV176:DI176&lt;BT176))</f>
        <v>-9.9887766554433211E-2</v>
      </c>
      <c r="DL176" s="16" cm="1">
        <f t="array" aca="1" ref="DL176" ca="1">MIN(_xlfn._xlws.FILTER(CV176:DI176,CV176:DI176&gt;BT176))</f>
        <v>-5.0712250712250703E-2</v>
      </c>
      <c r="DM176" s="2" cm="1">
        <f t="array" aca="1" ref="DM176" ca="1">_FV(EB176,"Fechamento anterior",TRUE)</f>
        <v>1.17</v>
      </c>
      <c r="DN176" s="28">
        <f t="shared" ca="1" si="162"/>
        <v>0.81460674157303492</v>
      </c>
      <c r="DO176" s="15">
        <f t="shared" ca="1" si="190"/>
        <v>1.0531313131313131</v>
      </c>
      <c r="DP176" s="15">
        <f t="shared" ca="1" si="191"/>
        <v>1.1106666666666667</v>
      </c>
      <c r="DQ176" s="9"/>
      <c r="DR176" s="9"/>
      <c r="DS176" s="9"/>
      <c r="DT176" s="89">
        <v>4.9175515842182507E-2</v>
      </c>
      <c r="DU176" s="89">
        <f t="shared" ca="1" si="163"/>
        <v>4.9175515842182507E-2</v>
      </c>
      <c r="DV176" s="72">
        <f t="shared" ca="1" si="164"/>
        <v>-0.43442916855336661</v>
      </c>
      <c r="DW176" s="37"/>
      <c r="DX176" s="35">
        <f t="shared" si="174"/>
        <v>6.9056136584665737E-2</v>
      </c>
      <c r="DY176" s="56"/>
      <c r="DZ176" s="56"/>
      <c r="EB176" s="2" t="e" vm="178">
        <v>#VALUE!</v>
      </c>
      <c r="ED176" s="10" cm="1">
        <f t="array" aca="1" ref="ED176" ca="1">_FV(EB176,"Ações em circulação",TRUE)</f>
        <v>31822290</v>
      </c>
      <c r="EE176" s="18">
        <f>VLOOKUP(BO176,Fundamentus!A:U,5,FALSE)</f>
        <v>3.181</v>
      </c>
      <c r="EF176" s="2">
        <f t="shared" ca="1" si="165"/>
        <v>11004249.921408363</v>
      </c>
      <c r="EG176" s="17">
        <v>-20537231.628324427</v>
      </c>
      <c r="EH176" s="17">
        <f t="shared" ca="1" si="166"/>
        <v>-20537231.628324427</v>
      </c>
      <c r="EJ176" s="16">
        <f t="shared" ca="1" si="153"/>
        <v>0</v>
      </c>
      <c r="EK176" s="32" t="str">
        <f>IF(VLOOKUP(BO176,Fundamentus!A:U,3,FALSE)&lt;15,"Bom",IF(VLOOKUP(BO176,Fundamentus!A:U,3,FALSE)&gt;15,"Ruim","n/a"))</f>
        <v>Bom</v>
      </c>
      <c r="EL176" s="28" t="str">
        <f>IF(VLOOKUP(BO176,Fundamentus!A:U,4,FALSE)&lt;1,"Baixo",IF(VLOOKUP(BO176,Fundamentus!A:U,4,FALSE)&lt;1.5,"Moderado",IF(VLOOKUP(BO176,Fundamentus!A:U,4,FALSE)&gt;1.5,"Alto","n/a")))</f>
        <v>Baixo</v>
      </c>
      <c r="EM176" s="17" t="str">
        <f>IF(VLOOKUP(BO176,Fundamentus!A:U,8,FALSE)&lt;0,"Risco elevado",IF(VLOOKUP(BO176,Fundamentus!A:U,8,FALSE)&lt;1,"Saudável",IF(VLOOKUP(BO176,Fundamentus!A:U,8,FALSE)&lt;3,"Estável",IF(VLOOKUP(BO176,Fundamentus!A:U,8,FALSE)&gt;3,"Alerta","n/a"))))</f>
        <v>Risco elevado</v>
      </c>
      <c r="EN176" s="28" t="str">
        <f t="shared" si="167"/>
        <v>Bom</v>
      </c>
      <c r="EO176" s="17" t="str">
        <f>IF(VLOOKUP(BO176,Fundamentus!A:U,12,FALSE)&lt;2,"Subvalorizada",IF(VLOOKUP(BO176,Fundamentus!A:U,12,FALSE)&lt;6,"Muita barata",IF(VLOOKUP(BO176,Fundamentus!A:U,12,FALSE)&lt;6,"Barata",IF(VLOOKUP(BO176,Fundamentus!A:U,12,FALSE)&lt;8,"Atrativa",IF(VLOOKUP(BO176,Fundamentus!A:U,12,FALSE)&gt;8,"Supervalorizada","n/a")))))</f>
        <v>Subvalorizada</v>
      </c>
      <c r="EQ176" s="17" t="str">
        <f>IF(VLOOKUP(BO176,Fundamentus!A:U,17,FALSE)&lt;0.1,"Fraco retorno",IF(VLOOKUP(BO176,Fundamentus!A:U,17,FALSE)&gt;0.1,"Bom retorno","n/a"))</f>
        <v>Bom retorno</v>
      </c>
      <c r="ER176" s="17" t="str">
        <f>IF(VLOOKUP(BO176,Fundamentus!A:U,16,FALSE)&lt;0.1,"Ineficiente",IF(VLOOKUP(BO176,Fundamentus!A:U,16,FALSE)&gt;0.1,"Eficiente","n/a"))</f>
        <v>Ineficiente</v>
      </c>
      <c r="ES176" s="33" t="str">
        <f>IF(VLOOKUP(BO176,Fundamentus!A:U,16,FALSE)&lt;0.1,"Oper. Ineficiente",IF(VLOOKUP(BO176,Fundamentus!A:U,16,FALSE)&gt;0.1,"Oper.Eficiente","n/a"))</f>
        <v>Oper. Ineficiente</v>
      </c>
      <c r="ET176" s="34">
        <f>VLOOKUP(BO176,Fundamentus!A:U,14,FALSE)</f>
        <v>-1.8663000000000001</v>
      </c>
      <c r="EU176" s="17" t="str">
        <f>IF(VLOOKUP(BO176,Fundamentus!A:U,21,FALSE)&lt;0,"Negativo",IF(VLOOKUP(BO176,Fundamentus!A:U,21,FALSE)&lt;0.05,"Fraco",IF(VLOOKUP(BO176,Fundamentus!A:U,21,FALSE)&lt;0.1,"Bom",IF(VLOOKUP(BO176,Fundamentus!A:U,21,FALSE)&gt;0.1,"Muito bom","n/a"))))</f>
        <v>Negativo</v>
      </c>
      <c r="EW176" s="29" t="str">
        <f>IF(VLOOKUP(BO176,Fundamentus!A:U,15,FALSE)&gt;1,"Bom",IF(VLOOKUP(BO176,Fundamentus!A:U,15,FALSE)&lt;1,"Ruim","n/a"))</f>
        <v>Ruim</v>
      </c>
      <c r="EX176" s="17" t="str">
        <f>IF(VLOOKUP(BO176,Fundamentus!A:U,20,FALSE)&lt;0.5,"Baixa",IF(VLOOKUP(BO176,Fundamentus!A:U,20,FALSE)&lt;1,"Moderada",IF(VLOOKUP(BO176,Fundamentus!A:U,20,FALSE)&lt;2,"Alerta",IF(VLOOKUP(BO176,Fundamentus!A:U,20,FALSE)&gt;2,"Alta","n/a"))))</f>
        <v>Baixa</v>
      </c>
      <c r="EY176" s="10"/>
    </row>
    <row r="177" spans="1:155" s="2" customFormat="1" ht="11.25"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5">
        <v>4.28</v>
      </c>
      <c r="BC177" s="52">
        <v>4.1100000000000003</v>
      </c>
      <c r="BD177" s="52">
        <v>4.07</v>
      </c>
      <c r="BE177" s="52">
        <v>4.04</v>
      </c>
      <c r="BF177" s="52">
        <v>4.05</v>
      </c>
      <c r="BG177" s="67">
        <v>4</v>
      </c>
      <c r="BH177" s="52">
        <v>4.0999999999999996</v>
      </c>
      <c r="BI177" s="52">
        <v>3.99</v>
      </c>
      <c r="BJ177" s="52">
        <v>4.07</v>
      </c>
      <c r="BK177" s="52">
        <v>4.03</v>
      </c>
      <c r="BL177" s="52">
        <v>4.01</v>
      </c>
      <c r="BM177" s="52">
        <v>4.04</v>
      </c>
      <c r="BN177" s="52" cm="1">
        <f t="array" aca="1" ref="BN177" ca="1">_FV(EB177,"Preço")</f>
        <v>4.04</v>
      </c>
      <c r="BO177" s="69" t="s">
        <v>173</v>
      </c>
      <c r="BP177" s="36" cm="1">
        <f t="array" aca="1" ref="BP177" ca="1">_FV(EB177,"Média de volume",TRUE)</f>
        <v>9370</v>
      </c>
      <c r="BQ177" s="36">
        <v>1700</v>
      </c>
      <c r="BR177" s="36" cm="1">
        <f t="array" aca="1" ref="BR177" ca="1">_FV(EB177,"Volume")</f>
        <v>1700</v>
      </c>
      <c r="BS177" s="24" cm="1">
        <f t="array" aca="1" ref="BS177" ca="1">_FV(EB177,"Beta")</f>
        <v>1.8142</v>
      </c>
      <c r="BT177" s="71" cm="1">
        <f t="array" aca="1" ref="BT177" ca="1">_FV(EB177,"Variação (%)",TRUE)</f>
        <v>2.4809999999999997E-3</v>
      </c>
      <c r="BV177" s="17" cm="1">
        <f t="array" aca="1" ref="BV177" ca="1">_FV(EB177,"Baixo")</f>
        <v>4</v>
      </c>
      <c r="BW177" s="17" cm="1">
        <f t="array" aca="1" ref="BW177" ca="1">_FV(EB177,"Alto")</f>
        <v>4.04</v>
      </c>
      <c r="BX177" s="24"/>
      <c r="BY177" s="63">
        <f ca="1">SQRT(22.5*(BN177/VLOOKUP(BO177,Fundamentus!A:U,3,FALSE))*(BN177/VLOOKUP(BO177,Fundamentus!A:U,4,FALSE)))</f>
        <v>14.837084351506215</v>
      </c>
      <c r="CA177" s="62">
        <f t="shared" ca="1" si="168"/>
        <v>0</v>
      </c>
      <c r="CB177" s="8"/>
      <c r="CC177" s="61">
        <f t="shared" si="169"/>
        <v>3.68</v>
      </c>
      <c r="CD177" s="61">
        <f t="shared" si="170"/>
        <v>6.91</v>
      </c>
      <c r="CE177" s="61">
        <f t="shared" si="171"/>
        <v>4.7128461538461544</v>
      </c>
      <c r="CF177" s="14"/>
      <c r="CG177" s="35">
        <f t="shared" si="154"/>
        <v>3.966698729810783</v>
      </c>
      <c r="CH177" s="15">
        <f t="shared" si="172"/>
        <v>4.0100000000000051</v>
      </c>
      <c r="CI177" s="35">
        <f t="shared" si="155"/>
        <v>4.0533012701892277</v>
      </c>
      <c r="CK177" s="14"/>
      <c r="CL177" s="17">
        <f t="shared" si="156"/>
        <v>-0.40666666666666762</v>
      </c>
      <c r="CM177" s="17">
        <f t="shared" si="157"/>
        <v>1.6366666666666663</v>
      </c>
      <c r="CN177" s="17">
        <f t="shared" si="158"/>
        <v>2.8233333333333324</v>
      </c>
      <c r="CO177" s="38">
        <f t="shared" si="173"/>
        <v>4.8666666666666663</v>
      </c>
      <c r="CP177" s="17">
        <f t="shared" si="159"/>
        <v>6.0533333333333328</v>
      </c>
      <c r="CQ177" s="17">
        <f t="shared" si="160"/>
        <v>8.0966666666666658</v>
      </c>
      <c r="CR177" s="17">
        <f t="shared" si="161"/>
        <v>9.2833333333333314</v>
      </c>
      <c r="CS177" s="2" cm="1">
        <f t="array" aca="1" ref="CS177" ca="1">MAX(_xlfn._xlws.FILTER(CL177:CR177,CL177:CR177&lt;BN177))</f>
        <v>2.8233333333333324</v>
      </c>
      <c r="CT177" s="2" cm="1">
        <f t="array" aca="1" ref="CT177" ca="1">MIN(_xlfn._xlws.FILTER($CL177:$CR177,$CL177:$CR177&gt;BN177))</f>
        <v>4.8666666666666663</v>
      </c>
      <c r="CU177" s="16">
        <f t="shared" ca="1" si="175"/>
        <v>0.72373081463990596</v>
      </c>
      <c r="CV177" s="20">
        <f t="shared" ca="1" si="176"/>
        <v>-0.36186540731995298</v>
      </c>
      <c r="CW177" s="20">
        <f t="shared" ca="1" si="177"/>
        <v>-0.24124360487996865</v>
      </c>
      <c r="CX177" s="20">
        <f t="shared" ca="1" si="178"/>
        <v>-0.1447461629279812</v>
      </c>
      <c r="CY177" s="20">
        <f t="shared" ca="1" si="179"/>
        <v>-8.0414534959989556E-2</v>
      </c>
      <c r="CZ177" s="20">
        <f t="shared" ca="1" si="180"/>
        <v>-4.2572400861170936E-2</v>
      </c>
      <c r="DA177" s="20">
        <f t="shared" ca="1" si="181"/>
        <v>-2.1931236807269879E-2</v>
      </c>
      <c r="DB177" s="20">
        <f t="shared" ca="1" si="182"/>
        <v>-1.1134320225229323E-2</v>
      </c>
      <c r="DC177" s="21">
        <f t="shared" ca="1" si="183"/>
        <v>1.1134320225229323E-2</v>
      </c>
      <c r="DD177" s="21">
        <f t="shared" ca="1" si="184"/>
        <v>2.1931236807269879E-2</v>
      </c>
      <c r="DE177" s="21">
        <f t="shared" ca="1" si="185"/>
        <v>4.2572400861170936E-2</v>
      </c>
      <c r="DF177" s="21">
        <f t="shared" ca="1" si="186"/>
        <v>8.0414534959989556E-2</v>
      </c>
      <c r="DG177" s="21">
        <f t="shared" ca="1" si="187"/>
        <v>0.1447461629279812</v>
      </c>
      <c r="DH177" s="21">
        <f t="shared" ca="1" si="188"/>
        <v>0.24124360487996865</v>
      </c>
      <c r="DI177" s="21">
        <f t="shared" ca="1" si="189"/>
        <v>0.36186540731995298</v>
      </c>
      <c r="DK177" s="16" cm="1">
        <f t="array" aca="1" ref="DK177" ca="1">MAX(_xlfn._xlws.FILTER(CV177:DI177,CV177:DI177&lt;BT177))</f>
        <v>-1.1134320225229323E-2</v>
      </c>
      <c r="DL177" s="16" cm="1">
        <f t="array" aca="1" ref="DL177" ca="1">MIN(_xlfn._xlws.FILTER(CV177:DI177,CV177:DI177&gt;BT177))</f>
        <v>1.1134320225229323E-2</v>
      </c>
      <c r="DM177" s="2" cm="1">
        <f t="array" aca="1" ref="DM177" ca="1">_FV(EB177,"Fechamento anterior",TRUE)</f>
        <v>4.03</v>
      </c>
      <c r="DN177" s="28">
        <f t="shared" ca="1" si="162"/>
        <v>0.61142977424616873</v>
      </c>
      <c r="DO177" s="15">
        <f t="shared" ca="1" si="190"/>
        <v>3.9851286894923259</v>
      </c>
      <c r="DP177" s="15">
        <f t="shared" ca="1" si="191"/>
        <v>4.0748713105076746</v>
      </c>
      <c r="DQ177" s="9"/>
      <c r="DR177" s="9"/>
      <c r="DS177" s="9"/>
      <c r="DT177" s="89">
        <v>2.2268640450458645E-2</v>
      </c>
      <c r="DU177" s="89">
        <f t="shared" ca="1" si="163"/>
        <v>2.2268640450458645E-2</v>
      </c>
      <c r="DV177" s="72">
        <f t="shared" ca="1" si="164"/>
        <v>0.69282032302743024</v>
      </c>
      <c r="DW177" s="37"/>
      <c r="DX177" s="35">
        <f t="shared" si="174"/>
        <v>2.1650635094611122E-2</v>
      </c>
      <c r="DY177" s="56"/>
      <c r="DZ177" s="56"/>
      <c r="EB177" s="2" t="e" vm="179">
        <v>#VALUE!</v>
      </c>
      <c r="ED177" s="10" cm="1">
        <f t="array" aca="1" ref="ED177" ca="1">_FV(EB177,"Ações em circulação",TRUE)</f>
        <v>44000000</v>
      </c>
      <c r="EE177" s="18">
        <f>VLOOKUP(BO177,Fundamentus!A:U,5,FALSE)</f>
        <v>0.13700000000000001</v>
      </c>
      <c r="EF177" s="2">
        <f t="shared" ca="1" si="165"/>
        <v>1297518248.1751823</v>
      </c>
      <c r="EG177" s="17">
        <v>389255.47445255466</v>
      </c>
      <c r="EH177" s="17">
        <f t="shared" ca="1" si="166"/>
        <v>389255.47445255466</v>
      </c>
      <c r="EJ177" s="16">
        <f t="shared" ca="1" si="153"/>
        <v>0</v>
      </c>
      <c r="EK177" s="32" t="str">
        <f>IF(VLOOKUP(BO177,Fundamentus!A:U,3,FALSE)&lt;15,"Bom",IF(VLOOKUP(BO177,Fundamentus!A:U,3,FALSE)&gt;15,"Ruim","n/a"))</f>
        <v>Bom</v>
      </c>
      <c r="EL177" s="28" t="str">
        <f>IF(VLOOKUP(BO177,Fundamentus!A:U,4,FALSE)&lt;1,"Baixo",IF(VLOOKUP(BO177,Fundamentus!A:U,4,FALSE)&lt;1.5,"Moderado",IF(VLOOKUP(BO177,Fundamentus!A:U,4,FALSE)&gt;1.5,"Alto","n/a")))</f>
        <v>Baixo</v>
      </c>
      <c r="EM177" s="17" t="str">
        <f>IF(VLOOKUP(BO177,Fundamentus!A:U,8,FALSE)&lt;0,"Risco elevado",IF(VLOOKUP(BO177,Fundamentus!A:U,8,FALSE)&lt;1,"Saudável",IF(VLOOKUP(BO177,Fundamentus!A:U,8,FALSE)&lt;3,"Estável",IF(VLOOKUP(BO177,Fundamentus!A:U,8,FALSE)&gt;3,"Alerta","n/a"))))</f>
        <v>Risco elevado</v>
      </c>
      <c r="EN177" s="28" t="str">
        <f t="shared" si="167"/>
        <v>Ruim</v>
      </c>
      <c r="EO177" s="17" t="str">
        <f>IF(VLOOKUP(BO177,Fundamentus!A:U,12,FALSE)&lt;2,"Subvalorizada",IF(VLOOKUP(BO177,Fundamentus!A:U,12,FALSE)&lt;6,"Muita barata",IF(VLOOKUP(BO177,Fundamentus!A:U,12,FALSE)&lt;6,"Barata",IF(VLOOKUP(BO177,Fundamentus!A:U,12,FALSE)&lt;8,"Atrativa",IF(VLOOKUP(BO177,Fundamentus!A:U,12,FALSE)&gt;8,"Supervalorizada","n/a")))))</f>
        <v>Muita barata</v>
      </c>
      <c r="EQ177" s="17" t="str">
        <f>IF(VLOOKUP(BO177,Fundamentus!A:U,17,FALSE)&lt;0.1,"Fraco retorno",IF(VLOOKUP(BO177,Fundamentus!A:U,17,FALSE)&gt;0.1,"Bom retorno","n/a"))</f>
        <v>Fraco retorno</v>
      </c>
      <c r="ER177" s="17" t="str">
        <f>IF(VLOOKUP(BO177,Fundamentus!A:U,16,FALSE)&lt;0.1,"Ineficiente",IF(VLOOKUP(BO177,Fundamentus!A:U,16,FALSE)&gt;0.1,"Eficiente","n/a"))</f>
        <v>Ineficiente</v>
      </c>
      <c r="ES177" s="33" t="str">
        <f>IF(VLOOKUP(BO177,Fundamentus!A:U,16,FALSE)&lt;0.1,"Oper. Ineficiente",IF(VLOOKUP(BO177,Fundamentus!A:U,16,FALSE)&gt;0.1,"Oper.Eficiente","n/a"))</f>
        <v>Oper. Ineficiente</v>
      </c>
      <c r="ET177" s="34">
        <f>VLOOKUP(BO177,Fundamentus!A:U,14,FALSE)</f>
        <v>2.9999999999999997E-4</v>
      </c>
      <c r="EU177" s="17" t="str">
        <f>IF(VLOOKUP(BO177,Fundamentus!A:U,21,FALSE)&lt;0,"Negativo",IF(VLOOKUP(BO177,Fundamentus!A:U,21,FALSE)&lt;0.05,"Fraco",IF(VLOOKUP(BO177,Fundamentus!A:U,21,FALSE)&lt;0.1,"Bom",IF(VLOOKUP(BO177,Fundamentus!A:U,21,FALSE)&gt;0.1,"Muito bom","n/a"))))</f>
        <v>Bom</v>
      </c>
      <c r="EW177" s="29" t="str">
        <f>IF(VLOOKUP(BO177,Fundamentus!A:U,15,FALSE)&gt;1,"Bom",IF(VLOOKUP(BO177,Fundamentus!A:U,15,FALSE)&lt;1,"Ruim","n/a"))</f>
        <v>Ruim</v>
      </c>
      <c r="EX177" s="17" t="str">
        <f>IF(VLOOKUP(BO177,Fundamentus!A:U,20,FALSE)&lt;0.5,"Baixa",IF(VLOOKUP(BO177,Fundamentus!A:U,20,FALSE)&lt;1,"Moderada",IF(VLOOKUP(BO177,Fundamentus!A:U,20,FALSE)&lt;2,"Alerta",IF(VLOOKUP(BO177,Fundamentus!A:U,20,FALSE)&gt;2,"Alta","n/a"))))</f>
        <v>Alerta</v>
      </c>
      <c r="EY177" s="10"/>
    </row>
    <row r="178" spans="1:155" s="2" customFormat="1" ht="11.25"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5">
        <v>7.84</v>
      </c>
      <c r="BC178" s="52">
        <v>7.8</v>
      </c>
      <c r="BD178" s="52">
        <v>7.77</v>
      </c>
      <c r="BE178" s="52">
        <v>7.7</v>
      </c>
      <c r="BF178" s="52">
        <v>7.22</v>
      </c>
      <c r="BG178" s="67">
        <v>7.18</v>
      </c>
      <c r="BH178" s="52">
        <v>7.13</v>
      </c>
      <c r="BI178" s="52">
        <v>6.82</v>
      </c>
      <c r="BJ178" s="52">
        <v>6.92</v>
      </c>
      <c r="BK178" s="52">
        <v>6.35</v>
      </c>
      <c r="BL178" s="52">
        <v>5.75</v>
      </c>
      <c r="BM178" s="52">
        <v>5.21</v>
      </c>
      <c r="BN178" s="52" cm="1">
        <f t="array" aca="1" ref="BN178" ca="1">_FV(EB178,"Preço")</f>
        <v>5.21</v>
      </c>
      <c r="BO178" s="69" t="s">
        <v>174</v>
      </c>
      <c r="BP178" s="36" cm="1">
        <f t="array" aca="1" ref="BP178" ca="1">_FV(EB178,"Média de volume",TRUE)</f>
        <v>455580</v>
      </c>
      <c r="BQ178" s="36">
        <v>406800</v>
      </c>
      <c r="BR178" s="36" cm="1">
        <f t="array" aca="1" ref="BR178" ca="1">_FV(EB178,"Volume")</f>
        <v>406800</v>
      </c>
      <c r="BS178" s="24" cm="1">
        <f t="array" aca="1" ref="BS178" ca="1">_FV(EB178,"Beta")</f>
        <v>1.2166999999999999</v>
      </c>
      <c r="BT178" s="71" cm="1">
        <f t="array" aca="1" ref="BT178" ca="1">_FV(EB178,"Variação (%)",TRUE)</f>
        <v>3.8540000000000002E-3</v>
      </c>
      <c r="BV178" s="17" cm="1">
        <f t="array" aca="1" ref="BV178" ca="1">_FV(EB178,"Baixo")</f>
        <v>5.0599999999999996</v>
      </c>
      <c r="BW178" s="17" cm="1">
        <f t="array" aca="1" ref="BW178" ca="1">_FV(EB178,"Alto")</f>
        <v>5.21</v>
      </c>
      <c r="BX178" s="24"/>
      <c r="BY178" s="63">
        <f ca="1">SQRT(22.5*(BN178/VLOOKUP(BO178,Fundamentus!A:U,3,FALSE))*(BN178/VLOOKUP(BO178,Fundamentus!A:U,4,FALSE)))</f>
        <v>10.462306758749385</v>
      </c>
      <c r="CA178" s="62">
        <f t="shared" ca="1" si="168"/>
        <v>0</v>
      </c>
      <c r="CB178" s="8"/>
      <c r="CC178" s="61">
        <f t="shared" si="169"/>
        <v>5.21</v>
      </c>
      <c r="CD178" s="61">
        <f t="shared" si="170"/>
        <v>12.53</v>
      </c>
      <c r="CE178" s="61">
        <f t="shared" si="171"/>
        <v>9.3059230769230794</v>
      </c>
      <c r="CF178" s="14"/>
      <c r="CG178" s="35">
        <f t="shared" si="154"/>
        <v>3.3434872220691627</v>
      </c>
      <c r="CH178" s="15">
        <f t="shared" si="172"/>
        <v>4.625</v>
      </c>
      <c r="CI178" s="35">
        <f t="shared" si="155"/>
        <v>5.9065127779308373</v>
      </c>
      <c r="CK178" s="14"/>
      <c r="CL178" s="17">
        <f t="shared" si="156"/>
        <v>-4.1900000000000004</v>
      </c>
      <c r="CM178" s="17">
        <f t="shared" si="157"/>
        <v>0.50999999999999979</v>
      </c>
      <c r="CN178" s="17">
        <f t="shared" si="158"/>
        <v>3.129999999999999</v>
      </c>
      <c r="CO178" s="38">
        <f t="shared" si="173"/>
        <v>7.8299999999999992</v>
      </c>
      <c r="CP178" s="17">
        <f t="shared" si="159"/>
        <v>10.45</v>
      </c>
      <c r="CQ178" s="17">
        <f t="shared" si="160"/>
        <v>15.149999999999999</v>
      </c>
      <c r="CR178" s="17">
        <f t="shared" si="161"/>
        <v>17.769999999999996</v>
      </c>
      <c r="CS178" s="2" cm="1">
        <f t="array" aca="1" ref="CS178" ca="1">MAX(_xlfn._xlws.FILTER(CL178:CR178,CL178:CR178&lt;BN178))</f>
        <v>3.129999999999999</v>
      </c>
      <c r="CT178" s="2" cm="1">
        <f t="array" aca="1" ref="CT178" ca="1">MIN(_xlfn._xlws.FILTER($CL178:$CR178,$CL178:$CR178&gt;BN178))</f>
        <v>7.8299999999999992</v>
      </c>
      <c r="CU178" s="16">
        <f t="shared" ca="1" si="175"/>
        <v>1.5015974440894575</v>
      </c>
      <c r="CV178" s="20">
        <f t="shared" ca="1" si="176"/>
        <v>-0.75079872204472875</v>
      </c>
      <c r="CW178" s="20">
        <f t="shared" ca="1" si="177"/>
        <v>-0.50053248136315254</v>
      </c>
      <c r="CX178" s="20">
        <f t="shared" ca="1" si="178"/>
        <v>-0.3003194888178915</v>
      </c>
      <c r="CY178" s="20">
        <f t="shared" ca="1" si="179"/>
        <v>-0.16684416045438416</v>
      </c>
      <c r="CZ178" s="20">
        <f t="shared" ca="1" si="180"/>
        <v>-8.8329261417026905E-2</v>
      </c>
      <c r="DA178" s="20">
        <f t="shared" ca="1" si="181"/>
        <v>-4.5502952851195683E-2</v>
      </c>
      <c r="DB178" s="20">
        <f t="shared" ca="1" si="182"/>
        <v>-2.3101499139837809E-2</v>
      </c>
      <c r="DC178" s="21">
        <f t="shared" ca="1" si="183"/>
        <v>2.3101499139837809E-2</v>
      </c>
      <c r="DD178" s="21">
        <f t="shared" ca="1" si="184"/>
        <v>4.5502952851195683E-2</v>
      </c>
      <c r="DE178" s="21">
        <f t="shared" ca="1" si="185"/>
        <v>8.8329261417026905E-2</v>
      </c>
      <c r="DF178" s="21">
        <f t="shared" ca="1" si="186"/>
        <v>0.16684416045438416</v>
      </c>
      <c r="DG178" s="21">
        <f t="shared" ca="1" si="187"/>
        <v>0.3003194888178915</v>
      </c>
      <c r="DH178" s="21">
        <f t="shared" ca="1" si="188"/>
        <v>0.50053248136315254</v>
      </c>
      <c r="DI178" s="21">
        <f t="shared" ca="1" si="189"/>
        <v>0.75079872204472875</v>
      </c>
      <c r="DK178" s="16" cm="1">
        <f t="array" aca="1" ref="DK178" ca="1">MAX(_xlfn._xlws.FILTER(CV178:DI178,CV178:DI178&lt;BT178))</f>
        <v>-2.3101499139837809E-2</v>
      </c>
      <c r="DL178" s="16" cm="1">
        <f t="array" aca="1" ref="DL178" ca="1">MIN(_xlfn._xlws.FILTER(CV178:DI178,CV178:DI178&gt;BT178))</f>
        <v>2.3101499139837809E-2</v>
      </c>
      <c r="DM178" s="2" cm="1">
        <f t="array" aca="1" ref="DM178" ca="1">_FV(EB178,"Fechamento anterior",TRUE)</f>
        <v>5.19</v>
      </c>
      <c r="DN178" s="28">
        <f t="shared" ca="1" si="162"/>
        <v>0.58340507522649743</v>
      </c>
      <c r="DO178" s="15">
        <f t="shared" ca="1" si="190"/>
        <v>5.0701032194642419</v>
      </c>
      <c r="DP178" s="15">
        <f t="shared" ca="1" si="191"/>
        <v>5.3098967805357589</v>
      </c>
      <c r="DQ178" s="9"/>
      <c r="DR178" s="9"/>
      <c r="DS178" s="9"/>
      <c r="DT178" s="89">
        <v>4.6202998279675618E-2</v>
      </c>
      <c r="DU178" s="89">
        <f t="shared" ca="1" si="163"/>
        <v>4.6202998279675618E-2</v>
      </c>
      <c r="DV178" s="72">
        <f t="shared" ca="1" si="164"/>
        <v>0.45649174169340367</v>
      </c>
      <c r="DW178" s="37"/>
      <c r="DX178" s="35">
        <f t="shared" si="174"/>
        <v>0.64075638896541875</v>
      </c>
      <c r="DY178" s="56"/>
      <c r="DZ178" s="56"/>
      <c r="EB178" s="2" t="e" vm="180">
        <v>#VALUE!</v>
      </c>
      <c r="ED178" s="10" cm="1">
        <f t="array" aca="1" ref="ED178" ca="1">_FV(EB178,"Ações em circulação",TRUE)</f>
        <v>139297900</v>
      </c>
      <c r="EE178" s="18">
        <f>VLOOKUP(BO178,Fundamentus!A:U,5,FALSE)</f>
        <v>0.46700000000000003</v>
      </c>
      <c r="EF178" s="2">
        <f t="shared" ca="1" si="165"/>
        <v>1554051518.2012846</v>
      </c>
      <c r="EG178" s="17">
        <v>75371498.632762313</v>
      </c>
      <c r="EH178" s="17">
        <f t="shared" ca="1" si="166"/>
        <v>75371498.632762313</v>
      </c>
      <c r="EJ178" s="16">
        <f t="shared" ca="1" si="153"/>
        <v>0</v>
      </c>
      <c r="EK178" s="32" t="str">
        <f>IF(VLOOKUP(BO178,Fundamentus!A:U,3,FALSE)&lt;15,"Bom",IF(VLOOKUP(BO178,Fundamentus!A:U,3,FALSE)&gt;15,"Ruim","n/a"))</f>
        <v>Bom</v>
      </c>
      <c r="EL178" s="28" t="str">
        <f>IF(VLOOKUP(BO178,Fundamentus!A:U,4,FALSE)&lt;1,"Baixo",IF(VLOOKUP(BO178,Fundamentus!A:U,4,FALSE)&lt;1.5,"Moderado",IF(VLOOKUP(BO178,Fundamentus!A:U,4,FALSE)&gt;1.5,"Alto","n/a")))</f>
        <v>Baixo</v>
      </c>
      <c r="EM178" s="17" t="str">
        <f>IF(VLOOKUP(BO178,Fundamentus!A:U,8,FALSE)&lt;0,"Risco elevado",IF(VLOOKUP(BO178,Fundamentus!A:U,8,FALSE)&lt;1,"Saudável",IF(VLOOKUP(BO178,Fundamentus!A:U,8,FALSE)&lt;3,"Estável",IF(VLOOKUP(BO178,Fundamentus!A:U,8,FALSE)&gt;3,"Alerta","n/a"))))</f>
        <v>Estável</v>
      </c>
      <c r="EN178" s="28" t="str">
        <f t="shared" si="167"/>
        <v>Ruim</v>
      </c>
      <c r="EO178" s="17" t="str">
        <f>IF(VLOOKUP(BO178,Fundamentus!A:U,12,FALSE)&lt;2,"Subvalorizada",IF(VLOOKUP(BO178,Fundamentus!A:U,12,FALSE)&lt;6,"Muita barata",IF(VLOOKUP(BO178,Fundamentus!A:U,12,FALSE)&lt;6,"Barata",IF(VLOOKUP(BO178,Fundamentus!A:U,12,FALSE)&lt;8,"Atrativa",IF(VLOOKUP(BO178,Fundamentus!A:U,12,FALSE)&gt;8,"Supervalorizada","n/a")))))</f>
        <v>Supervalorizada</v>
      </c>
      <c r="EQ178" s="17" t="str">
        <f>IF(VLOOKUP(BO178,Fundamentus!A:U,17,FALSE)&lt;0.1,"Fraco retorno",IF(VLOOKUP(BO178,Fundamentus!A:U,17,FALSE)&gt;0.1,"Bom retorno","n/a"))</f>
        <v>Fraco retorno</v>
      </c>
      <c r="ER178" s="17" t="str">
        <f>IF(VLOOKUP(BO178,Fundamentus!A:U,16,FALSE)&lt;0.1,"Ineficiente",IF(VLOOKUP(BO178,Fundamentus!A:U,16,FALSE)&gt;0.1,"Eficiente","n/a"))</f>
        <v>Ineficiente</v>
      </c>
      <c r="ES178" s="33" t="str">
        <f>IF(VLOOKUP(BO178,Fundamentus!A:U,16,FALSE)&lt;0.1,"Oper. Ineficiente",IF(VLOOKUP(BO178,Fundamentus!A:U,16,FALSE)&gt;0.1,"Oper.Eficiente","n/a"))</f>
        <v>Oper. Ineficiente</v>
      </c>
      <c r="ET178" s="34">
        <f>VLOOKUP(BO178,Fundamentus!A:U,14,FALSE)</f>
        <v>4.8500000000000001E-2</v>
      </c>
      <c r="EU178" s="17" t="str">
        <f>IF(VLOOKUP(BO178,Fundamentus!A:U,21,FALSE)&lt;0,"Negativo",IF(VLOOKUP(BO178,Fundamentus!A:U,21,FALSE)&lt;0.05,"Fraco",IF(VLOOKUP(BO178,Fundamentus!A:U,21,FALSE)&lt;0.1,"Bom",IF(VLOOKUP(BO178,Fundamentus!A:U,21,FALSE)&gt;0.1,"Muito bom","n/a"))))</f>
        <v>Negativo</v>
      </c>
      <c r="EW178" s="29" t="str">
        <f>IF(VLOOKUP(BO178,Fundamentus!A:U,15,FALSE)&gt;1,"Bom",IF(VLOOKUP(BO178,Fundamentus!A:U,15,FALSE)&lt;1,"Ruim","n/a"))</f>
        <v>Bom</v>
      </c>
      <c r="EX178" s="17" t="str">
        <f>IF(VLOOKUP(BO178,Fundamentus!A:U,20,FALSE)&lt;0.5,"Baixa",IF(VLOOKUP(BO178,Fundamentus!A:U,20,FALSE)&lt;1,"Moderada",IF(VLOOKUP(BO178,Fundamentus!A:U,20,FALSE)&lt;2,"Alerta",IF(VLOOKUP(BO178,Fundamentus!A:U,20,FALSE)&gt;2,"Alta","n/a"))))</f>
        <v>Moderada</v>
      </c>
      <c r="EY178" s="10"/>
    </row>
    <row r="179" spans="1:155" s="2" customFormat="1" ht="11.25"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5">
        <v>4.38</v>
      </c>
      <c r="BC179" s="52">
        <v>4.34</v>
      </c>
      <c r="BD179" s="52">
        <v>4.59</v>
      </c>
      <c r="BE179" s="52">
        <v>4.46</v>
      </c>
      <c r="BF179" s="52">
        <v>4.4800000000000004</v>
      </c>
      <c r="BG179" s="67">
        <v>4.34</v>
      </c>
      <c r="BH179" s="52">
        <v>4.4000000000000004</v>
      </c>
      <c r="BI179" s="52">
        <v>4.12</v>
      </c>
      <c r="BJ179" s="52">
        <v>3.56</v>
      </c>
      <c r="BK179" s="52">
        <v>3.51</v>
      </c>
      <c r="BL179" s="52">
        <v>3.58</v>
      </c>
      <c r="BM179" s="52">
        <v>3.53</v>
      </c>
      <c r="BN179" s="52" cm="1">
        <f t="array" aca="1" ref="BN179" ca="1">_FV(EB179,"Preço")</f>
        <v>3.53</v>
      </c>
      <c r="BO179" s="69" t="s">
        <v>175</v>
      </c>
      <c r="BP179" s="36" cm="1">
        <f t="array" aca="1" ref="BP179" ca="1">_FV(EB179,"Média de volume",TRUE)</f>
        <v>970</v>
      </c>
      <c r="BQ179" s="36">
        <v>100</v>
      </c>
      <c r="BR179" s="36" cm="1">
        <f t="array" aca="1" ref="BR179" ca="1">_FV(EB179,"Volume")</f>
        <v>100</v>
      </c>
      <c r="BS179" s="24" cm="1">
        <f t="array" aca="1" ref="BS179" ca="1">_FV(EB179,"Beta")</f>
        <v>0.36480000000000001</v>
      </c>
      <c r="BT179" s="71" cm="1">
        <f t="array" aca="1" ref="BT179" ca="1">_FV(EB179,"Variação (%)",TRUE)</f>
        <v>2.8410000000000002E-3</v>
      </c>
      <c r="BV179" s="17" cm="1">
        <f t="array" aca="1" ref="BV179" ca="1">_FV(EB179,"Baixo")</f>
        <v>3.53</v>
      </c>
      <c r="BW179" s="17" cm="1">
        <f t="array" aca="1" ref="BW179" ca="1">_FV(EB179,"Alto")</f>
        <v>3.53</v>
      </c>
      <c r="BX179" s="24"/>
      <c r="BY179" s="63">
        <f ca="1">SQRT(22.5*(BN179/VLOOKUP(BO179,Fundamentus!A:U,3,FALSE))*(BN179/VLOOKUP(BO179,Fundamentus!A:U,4,FALSE)))</f>
        <v>207.68698711133689</v>
      </c>
      <c r="CA179" s="62">
        <f t="shared" ca="1" si="168"/>
        <v>0</v>
      </c>
      <c r="CB179" s="8"/>
      <c r="CC179" s="61">
        <f t="shared" si="169"/>
        <v>3.45</v>
      </c>
      <c r="CD179" s="61">
        <f t="shared" si="170"/>
        <v>6.29</v>
      </c>
      <c r="CE179" s="61">
        <f t="shared" si="171"/>
        <v>4.8582307692307669</v>
      </c>
      <c r="CF179" s="14"/>
      <c r="CG179" s="35">
        <f t="shared" si="154"/>
        <v>3.4861483519286574</v>
      </c>
      <c r="CH179" s="15">
        <f t="shared" si="172"/>
        <v>3.5400000000000027</v>
      </c>
      <c r="CI179" s="35">
        <f t="shared" si="155"/>
        <v>3.593851648071348</v>
      </c>
      <c r="CK179" s="14"/>
      <c r="CL179" s="17">
        <f t="shared" si="156"/>
        <v>-0.24999999999999911</v>
      </c>
      <c r="CM179" s="17">
        <f t="shared" si="157"/>
        <v>1.6000000000000005</v>
      </c>
      <c r="CN179" s="17">
        <f t="shared" si="158"/>
        <v>2.5900000000000007</v>
      </c>
      <c r="CO179" s="38">
        <f t="shared" si="173"/>
        <v>4.4400000000000004</v>
      </c>
      <c r="CP179" s="17">
        <f t="shared" si="159"/>
        <v>5.4300000000000006</v>
      </c>
      <c r="CQ179" s="17">
        <f t="shared" si="160"/>
        <v>7.28</v>
      </c>
      <c r="CR179" s="17">
        <f t="shared" si="161"/>
        <v>8.27</v>
      </c>
      <c r="CS179" s="2" cm="1">
        <f t="array" aca="1" ref="CS179" ca="1">MAX(_xlfn._xlws.FILTER(CL179:CR179,CL179:CR179&lt;BN179))</f>
        <v>2.5900000000000007</v>
      </c>
      <c r="CT179" s="2" cm="1">
        <f t="array" aca="1" ref="CT179" ca="1">MIN(_xlfn._xlws.FILTER($CL179:$CR179,$CL179:$CR179&gt;BN179))</f>
        <v>4.4400000000000004</v>
      </c>
      <c r="CU179" s="16">
        <f t="shared" ref="CU179:CU186" ca="1" si="192">(CT179/CS179)-1</f>
        <v>0.71428571428571397</v>
      </c>
      <c r="CV179" s="20">
        <f t="shared" ref="CV179:CV186" ca="1" si="193">-$CU179/2</f>
        <v>-0.35714285714285698</v>
      </c>
      <c r="CW179" s="20">
        <f t="shared" ref="CW179:CW186" ca="1" si="194">-$CU179/3</f>
        <v>-0.238095238095238</v>
      </c>
      <c r="CX179" s="20">
        <f t="shared" ref="CX179:CX186" ca="1" si="195">-$CU179/5</f>
        <v>-0.14285714285714279</v>
      </c>
      <c r="CY179" s="20">
        <f t="shared" ref="CY179:CY186" ca="1" si="196">-$CU179/9</f>
        <v>-7.9365079365079333E-2</v>
      </c>
      <c r="CZ179" s="20">
        <f t="shared" ref="CZ179:CZ186" ca="1" si="197">-$CU179/17</f>
        <v>-4.2016806722689058E-2</v>
      </c>
      <c r="DA179" s="20">
        <f t="shared" ref="DA179:DA186" ca="1" si="198">-$CU179/33</f>
        <v>-2.1645021645021634E-2</v>
      </c>
      <c r="DB179" s="20">
        <f t="shared" ref="DB179:DB186" ca="1" si="199">-$CU179/65</f>
        <v>-1.0989010989010985E-2</v>
      </c>
      <c r="DC179" s="21">
        <f t="shared" ref="DC179:DC186" ca="1" si="200">-$CU179/65*-1</f>
        <v>1.0989010989010985E-2</v>
      </c>
      <c r="DD179" s="21">
        <f t="shared" ref="DD179:DD186" ca="1" si="201">-$CU179/33*-1</f>
        <v>2.1645021645021634E-2</v>
      </c>
      <c r="DE179" s="21">
        <f t="shared" ref="DE179:DE186" ca="1" si="202">-$CU179/17*-1</f>
        <v>4.2016806722689058E-2</v>
      </c>
      <c r="DF179" s="21">
        <f t="shared" ref="DF179:DF186" ca="1" si="203">-$CU179/9*-1</f>
        <v>7.9365079365079333E-2</v>
      </c>
      <c r="DG179" s="21">
        <f t="shared" ref="DG179:DG186" ca="1" si="204">-$CU179/5*-1</f>
        <v>0.14285714285714279</v>
      </c>
      <c r="DH179" s="21">
        <f t="shared" ref="DH179:DH186" ca="1" si="205">-$CU179/3*-1</f>
        <v>0.238095238095238</v>
      </c>
      <c r="DI179" s="21">
        <f t="shared" ref="DI179:DI186" ca="1" si="206">-$CU179/2*-1</f>
        <v>0.35714285714285698</v>
      </c>
      <c r="DK179" s="16" cm="1">
        <f t="array" aca="1" ref="DK179" ca="1">MAX(_xlfn._xlws.FILTER(CV179:DI179,CV179:DI179&lt;BT179))</f>
        <v>-1.0989010989010985E-2</v>
      </c>
      <c r="DL179" s="16" cm="1">
        <f t="array" aca="1" ref="DL179" ca="1">MIN(_xlfn._xlws.FILTER(CV179:DI179,CV179:DI179&gt;BT179))</f>
        <v>1.0989010989010985E-2</v>
      </c>
      <c r="DM179" s="2" cm="1">
        <f t="array" aca="1" ref="DM179" ca="1">_FV(EB179,"Fechamento anterior",TRUE)</f>
        <v>3.52</v>
      </c>
      <c r="DN179" s="28">
        <f t="shared" ca="1" si="162"/>
        <v>0.62926136363636109</v>
      </c>
      <c r="DO179" s="15">
        <f t="shared" ref="DO179:DO186" ca="1" si="207">DM179+(DM179*DK179)</f>
        <v>3.4813186813186814</v>
      </c>
      <c r="DP179" s="15">
        <f t="shared" ref="DP179:DP186" ca="1" si="208">DM179+(DM179*DL179)</f>
        <v>3.5586813186813187</v>
      </c>
      <c r="DQ179" s="9"/>
      <c r="DR179" s="9"/>
      <c r="DS179" s="9"/>
      <c r="DT179" s="89">
        <v>2.1978021978021969E-2</v>
      </c>
      <c r="DU179" s="89">
        <f t="shared" ca="1" si="163"/>
        <v>2.1978021978021969E-2</v>
      </c>
      <c r="DV179" s="72">
        <f t="shared" ca="1" si="164"/>
        <v>-0.18569533817710457</v>
      </c>
      <c r="DW179" s="37"/>
      <c r="DX179" s="35">
        <f t="shared" si="174"/>
        <v>2.6925824035672646E-2</v>
      </c>
      <c r="DY179" s="56"/>
      <c r="DZ179" s="56"/>
      <c r="EB179" s="2" t="e" vm="181">
        <v>#VALUE!</v>
      </c>
      <c r="ED179" s="10" cm="1">
        <f t="array" aca="1" ref="ED179" ca="1">_FV(EB179,"Ações em circulação",TRUE)</f>
        <v>7716400</v>
      </c>
      <c r="EE179" s="18">
        <f>VLOOKUP(BO179,Fundamentus!A:U,5,FALSE)</f>
        <v>2.8000000000000001E-2</v>
      </c>
      <c r="EF179" s="2">
        <f t="shared" ca="1" si="165"/>
        <v>972817571.42857146</v>
      </c>
      <c r="EG179" s="17">
        <v>-40566492.72857143</v>
      </c>
      <c r="EH179" s="17">
        <f t="shared" ca="1" si="166"/>
        <v>-40566492.72857143</v>
      </c>
      <c r="EJ179" s="16">
        <f t="shared" ca="1" si="153"/>
        <v>0</v>
      </c>
      <c r="EK179" s="39" t="str">
        <f>IF(VLOOKUP(BO179,Fundamentus!A:U,3,FALSE)&lt;15,"Bom",IF(VLOOKUP(BO179,Fundamentus!A:U,3,FALSE)&gt;15,"Ruim","n/a"))</f>
        <v>Bom</v>
      </c>
      <c r="EL179" s="40" t="str">
        <f>IF(VLOOKUP(BO179,Fundamentus!A:U,4,FALSE)&lt;1,"Baixo",IF(VLOOKUP(BO179,Fundamentus!A:U,4,FALSE)&lt;1.5,"Moderado",IF(VLOOKUP(BO179,Fundamentus!A:U,4,FALSE)&gt;1.5,"Alto","n/a")))</f>
        <v>Baixo</v>
      </c>
      <c r="EM179" s="41" t="str">
        <f>IF(VLOOKUP(BO179,Fundamentus!A:U,8,FALSE)&lt;0,"Risco elevado",IF(VLOOKUP(BO179,Fundamentus!A:U,8,FALSE)&lt;1,"Saudável",IF(VLOOKUP(BO179,Fundamentus!A:U,8,FALSE)&lt;3,"Estável",IF(VLOOKUP(BO179,Fundamentus!A:U,8,FALSE)&gt;3,"Alerta","n/a"))))</f>
        <v>Risco elevado</v>
      </c>
      <c r="EN179" s="40" t="str">
        <f t="shared" si="167"/>
        <v>Ruim</v>
      </c>
      <c r="EO179" s="41" t="str">
        <f>IF(VLOOKUP(BO179,Fundamentus!A:U,12,FALSE)&lt;2,"Subvalorizada",IF(VLOOKUP(BO179,Fundamentus!A:U,12,FALSE)&lt;6,"Muita barata",IF(VLOOKUP(BO179,Fundamentus!A:U,12,FALSE)&lt;6,"Barata",IF(VLOOKUP(BO179,Fundamentus!A:U,12,FALSE)&lt;8,"Atrativa",IF(VLOOKUP(BO179,Fundamentus!A:U,12,FALSE)&gt;8,"Supervalorizada","n/a")))))</f>
        <v>Muita barata</v>
      </c>
      <c r="EQ179" s="41" t="str">
        <f>IF(VLOOKUP(BO179,Fundamentus!A:U,17,FALSE)&lt;0.1,"Fraco retorno",IF(VLOOKUP(BO179,Fundamentus!A:U,17,FALSE)&gt;0.1,"Bom retorno","n/a"))</f>
        <v>Fraco retorno</v>
      </c>
      <c r="ER179" s="41" t="str">
        <f>IF(VLOOKUP(BO179,Fundamentus!A:U,16,FALSE)&lt;0.1,"Ineficiente",IF(VLOOKUP(BO179,Fundamentus!A:U,16,FALSE)&gt;0.1,"Eficiente","n/a"))</f>
        <v>Ineficiente</v>
      </c>
      <c r="ES179" s="42" t="str">
        <f>IF(VLOOKUP(BO179,Fundamentus!A:U,16,FALSE)&lt;0.1,"Oper. Ineficiente",IF(VLOOKUP(BO179,Fundamentus!A:U,16,FALSE)&gt;0.1,"Oper.Eficiente","n/a"))</f>
        <v>Oper. Ineficiente</v>
      </c>
      <c r="ET179" s="43">
        <f>VLOOKUP(BO179,Fundamentus!A:U,14,FALSE)</f>
        <v>-4.1700000000000001E-2</v>
      </c>
      <c r="EU179" s="41" t="str">
        <f>IF(VLOOKUP(BO179,Fundamentus!A:U,21,FALSE)&lt;0,"Negativo",IF(VLOOKUP(BO179,Fundamentus!A:U,21,FALSE)&lt;0.05,"Fraco",IF(VLOOKUP(BO179,Fundamentus!A:U,21,FALSE)&lt;0.1,"Bom",IF(VLOOKUP(BO179,Fundamentus!A:U,21,FALSE)&gt;0.1,"Muito bom","n/a"))))</f>
        <v>Muito bom</v>
      </c>
      <c r="EW179" s="44" t="str">
        <f>IF(VLOOKUP(BO179,Fundamentus!A:U,15,FALSE)&gt;1,"Bom",IF(VLOOKUP(BO179,Fundamentus!A:U,15,FALSE)&lt;1,"Ruim","n/a"))</f>
        <v>Ruim</v>
      </c>
      <c r="EX179" s="41" t="str">
        <f>IF(VLOOKUP(BO179,Fundamentus!A:U,20,FALSE)&lt;0.5,"Baixa",IF(VLOOKUP(BO179,Fundamentus!A:U,20,FALSE)&lt;1,"Moderada",IF(VLOOKUP(BO179,Fundamentus!A:U,20,FALSE)&lt;2,"Alerta",IF(VLOOKUP(BO179,Fundamentus!A:U,20,FALSE)&gt;2,"Alta","n/a"))))</f>
        <v>Baixa</v>
      </c>
      <c r="EY179" s="10"/>
    </row>
    <row r="180" spans="1:155" s="2" customFormat="1" ht="11.25"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5">
        <v>10.89</v>
      </c>
      <c r="BC180" s="52">
        <v>10.99</v>
      </c>
      <c r="BD180" s="52">
        <v>11.25</v>
      </c>
      <c r="BE180" s="52">
        <v>11.6</v>
      </c>
      <c r="BF180" s="52">
        <v>11.92</v>
      </c>
      <c r="BG180" s="67">
        <v>11.84</v>
      </c>
      <c r="BH180" s="52">
        <v>12.02</v>
      </c>
      <c r="BI180" s="52">
        <v>12.1</v>
      </c>
      <c r="BJ180" s="52">
        <v>12.61</v>
      </c>
      <c r="BK180" s="52">
        <v>12.65</v>
      </c>
      <c r="BL180" s="52">
        <v>12.07</v>
      </c>
      <c r="BM180" s="52">
        <v>11.87</v>
      </c>
      <c r="BN180" s="52" cm="1">
        <f t="array" aca="1" ref="BN180" ca="1">_FV(EB180,"Preço")</f>
        <v>11.87</v>
      </c>
      <c r="BO180" s="66" t="s">
        <v>89</v>
      </c>
      <c r="BP180" s="36" cm="1">
        <f t="array" aca="1" ref="BP180" ca="1">_FV(EB180,"Média de volume",TRUE)</f>
        <v>418520</v>
      </c>
      <c r="BQ180" s="36">
        <v>157200</v>
      </c>
      <c r="BR180" s="36" cm="1">
        <f t="array" aca="1" ref="BR180" ca="1">_FV(EB180,"Volume")</f>
        <v>157200</v>
      </c>
      <c r="BS180" s="24" cm="1">
        <f t="array" aca="1" ref="BS180" ca="1">_FV(EB180,"Beta")</f>
        <v>1.1695</v>
      </c>
      <c r="BT180" s="71" cm="1">
        <f t="array" aca="1" ref="BT180" ca="1">_FV(EB180,"Variação (%)",TRUE)</f>
        <v>8.4320000000000011E-4</v>
      </c>
      <c r="BV180" s="17" cm="1">
        <f t="array" aca="1" ref="BV180" ca="1">_FV(EB180,"Baixo")</f>
        <v>11.77</v>
      </c>
      <c r="BW180" s="17" cm="1">
        <f t="array" aca="1" ref="BW180" ca="1">_FV(EB180,"Alto")</f>
        <v>11.96</v>
      </c>
      <c r="BX180" s="24"/>
      <c r="BY180" s="17">
        <f ca="1">SQRT(22.5*(BN180/VLOOKUP(BO180,Fundamentus!A:U,3,FALSE))*(BN180/VLOOKUP(BO180,Fundamentus!A:U,4,FALSE)))</f>
        <v>17.708924072600141</v>
      </c>
      <c r="CA180" s="62">
        <f t="shared" ca="1" si="168"/>
        <v>0</v>
      </c>
      <c r="CB180" s="8"/>
      <c r="CC180" s="61">
        <f t="shared" si="169"/>
        <v>7.06</v>
      </c>
      <c r="CD180" s="61">
        <f t="shared" si="170"/>
        <v>12.65</v>
      </c>
      <c r="CE180" s="61">
        <f t="shared" si="171"/>
        <v>9.2184615384615416</v>
      </c>
      <c r="CF180" s="14"/>
      <c r="CG180" s="35">
        <f t="shared" si="154"/>
        <v>10.924426169837727</v>
      </c>
      <c r="CH180" s="15">
        <f t="shared" si="172"/>
        <v>11.599999999999909</v>
      </c>
      <c r="CI180" s="35">
        <f t="shared" si="155"/>
        <v>12.275573830162092</v>
      </c>
      <c r="CK180" s="14"/>
      <c r="CL180" s="17">
        <f t="shared" si="156"/>
        <v>2.9466666666666663</v>
      </c>
      <c r="CM180" s="17">
        <f t="shared" si="157"/>
        <v>5.003333333333333</v>
      </c>
      <c r="CN180" s="17">
        <f t="shared" si="158"/>
        <v>8.5366666666666671</v>
      </c>
      <c r="CO180" s="38">
        <f t="shared" si="173"/>
        <v>10.593333333333334</v>
      </c>
      <c r="CP180" s="17">
        <f t="shared" si="159"/>
        <v>14.126666666666669</v>
      </c>
      <c r="CQ180" s="17">
        <f t="shared" si="160"/>
        <v>16.183333333333334</v>
      </c>
      <c r="CR180" s="17">
        <f t="shared" si="161"/>
        <v>19.716666666666669</v>
      </c>
      <c r="CS180" s="2" cm="1">
        <f t="array" aca="1" ref="CS180" ca="1">MAX(_xlfn._xlws.FILTER(CL180:CR180,CL180:CR180&lt;BN180))</f>
        <v>10.593333333333334</v>
      </c>
      <c r="CT180" s="2" cm="1">
        <f t="array" aca="1" ref="CT180" ca="1">MIN(_xlfn._xlws.FILTER($CL180:$CR180,$CL180:$CR180&gt;BN180))</f>
        <v>14.126666666666669</v>
      </c>
      <c r="CU180" s="16">
        <f t="shared" ca="1" si="192"/>
        <v>0.33354310887350547</v>
      </c>
      <c r="CV180" s="20">
        <f t="shared" ca="1" si="193"/>
        <v>-0.16677155443675273</v>
      </c>
      <c r="CW180" s="20">
        <f t="shared" ca="1" si="194"/>
        <v>-0.11118103629116849</v>
      </c>
      <c r="CX180" s="20">
        <f t="shared" ca="1" si="195"/>
        <v>-6.6708621774701091E-2</v>
      </c>
      <c r="CY180" s="20">
        <f t="shared" ca="1" si="196"/>
        <v>-3.7060345430389496E-2</v>
      </c>
      <c r="CZ180" s="20">
        <f t="shared" ca="1" si="197"/>
        <v>-1.9620182874912087E-2</v>
      </c>
      <c r="DA180" s="20">
        <f t="shared" ca="1" si="198"/>
        <v>-1.0107366935560773E-2</v>
      </c>
      <c r="DB180" s="20">
        <f t="shared" ca="1" si="199"/>
        <v>-5.1314324442077765E-3</v>
      </c>
      <c r="DC180" s="21">
        <f t="shared" ca="1" si="200"/>
        <v>5.1314324442077765E-3</v>
      </c>
      <c r="DD180" s="21">
        <f t="shared" ca="1" si="201"/>
        <v>1.0107366935560773E-2</v>
      </c>
      <c r="DE180" s="21">
        <f t="shared" ca="1" si="202"/>
        <v>1.9620182874912087E-2</v>
      </c>
      <c r="DF180" s="21">
        <f t="shared" ca="1" si="203"/>
        <v>3.7060345430389496E-2</v>
      </c>
      <c r="DG180" s="21">
        <f t="shared" ca="1" si="204"/>
        <v>6.6708621774701091E-2</v>
      </c>
      <c r="DH180" s="21">
        <f t="shared" ca="1" si="205"/>
        <v>0.11118103629116849</v>
      </c>
      <c r="DI180" s="21">
        <f t="shared" ca="1" si="206"/>
        <v>0.16677155443675273</v>
      </c>
      <c r="DK180" s="16" cm="1">
        <f t="array" aca="1" ref="DK180" ca="1">MAX(_xlfn._xlws.FILTER(CV180:DI180,CV180:DI180&lt;BT180))</f>
        <v>-5.1314324442077765E-3</v>
      </c>
      <c r="DL180" s="16" cm="1">
        <f t="array" aca="1" ref="DL180" ca="1">MIN(_xlfn._xlws.FILTER(CV180:DI180,CV180:DI180&gt;BT180))</f>
        <v>5.1314324442077765E-3</v>
      </c>
      <c r="DM180" s="2" cm="1">
        <f t="array" aca="1" ref="DM180" ca="1">_FV(EB180,"Fechamento anterior",TRUE)</f>
        <v>11.86</v>
      </c>
      <c r="DN180" s="28">
        <f t="shared" ca="1" si="162"/>
        <v>0.58215740239905722</v>
      </c>
      <c r="DO180" s="15">
        <f t="shared" ca="1" si="207"/>
        <v>11.799141211211696</v>
      </c>
      <c r="DP180" s="15">
        <f t="shared" ca="1" si="208"/>
        <v>11.920858788788303</v>
      </c>
      <c r="DQ180" s="9"/>
      <c r="DR180" s="9"/>
      <c r="DS180" s="9"/>
      <c r="DT180" s="89">
        <v>1.0262864888415553E-2</v>
      </c>
      <c r="DU180" s="89">
        <f t="shared" ca="1" si="163"/>
        <v>1.0262864888415553E-2</v>
      </c>
      <c r="DV180" s="75">
        <f t="shared" ca="1" si="164"/>
        <v>0.39966024133183525</v>
      </c>
      <c r="DW180" s="37"/>
      <c r="DX180" s="35">
        <f t="shared" si="174"/>
        <v>0.33778691508109088</v>
      </c>
      <c r="DY180" s="56"/>
      <c r="DZ180" s="56"/>
      <c r="EB180" s="2" t="e" vm="182">
        <v>#VALUE!</v>
      </c>
      <c r="ED180" s="10" cm="1">
        <f t="array" aca="1" ref="ED180" ca="1">_FV(EB180,"Ações em circulação",TRUE)</f>
        <v>195434400</v>
      </c>
      <c r="EE180" s="18">
        <f>VLOOKUP(BO180,Fundamentus!A:U,5,FALSE)</f>
        <v>1.4570000000000001</v>
      </c>
      <c r="EF180" s="2">
        <f t="shared" ca="1" si="165"/>
        <v>1592180046.6712422</v>
      </c>
      <c r="EG180" s="17">
        <v>414922120.16252571</v>
      </c>
      <c r="EH180" s="17">
        <f t="shared" ca="1" si="166"/>
        <v>414922120.16252571</v>
      </c>
      <c r="EJ180" s="16">
        <f t="shared" ca="1" si="153"/>
        <v>0</v>
      </c>
      <c r="EK180" s="32" t="str">
        <f>IF(VLOOKUP(BO180,Fundamentus!A:U,3,FALSE)&lt;15,"Bom",IF(VLOOKUP(BO180,Fundamentus!A:U,3,FALSE)&gt;15,"Ruim","n/a"))</f>
        <v>Bom</v>
      </c>
      <c r="EL180" s="28" t="str">
        <f>IF(VLOOKUP(BO180,Fundamentus!A:U,4,FALSE)&lt;1,"Baixo",IF(VLOOKUP(BO180,Fundamentus!A:U,4,FALSE)&lt;1.5,"Moderado",IF(VLOOKUP(BO180,Fundamentus!A:U,4,FALSE)&gt;1.5,"Alto","n/a")))</f>
        <v>Alto</v>
      </c>
      <c r="EM180" s="17" t="str">
        <f>IF(VLOOKUP(BO180,Fundamentus!A:U,8,FALSE)&lt;0,"Risco elevado",IF(VLOOKUP(BO180,Fundamentus!A:U,8,FALSE)&lt;1,"Saudável",IF(VLOOKUP(BO180,Fundamentus!A:U,8,FALSE)&lt;3,"Estável",IF(VLOOKUP(BO180,Fundamentus!A:U,8,FALSE)&gt;3,"Alerta","n/a"))))</f>
        <v>Estável</v>
      </c>
      <c r="EN180" s="28" t="str">
        <f t="shared" si="167"/>
        <v>Bom</v>
      </c>
      <c r="EO180" s="17" t="str">
        <f>IF(VLOOKUP(BO180,Fundamentus!A:U,12,FALSE)&lt;2,"Subvalorizada",IF(VLOOKUP(BO180,Fundamentus!A:U,12,FALSE)&lt;6,"Muita barata",IF(VLOOKUP(BO180,Fundamentus!A:U,12,FALSE)&lt;6,"Barata",IF(VLOOKUP(BO180,Fundamentus!A:U,12,FALSE)&lt;8,"Atrativa",IF(VLOOKUP(BO180,Fundamentus!A:U,12,FALSE)&gt;8,"Supervalorizada","n/a")))))</f>
        <v>Atrativa</v>
      </c>
      <c r="EQ180" s="17" t="str">
        <f>IF(VLOOKUP(BO180,Fundamentus!A:U,17,FALSE)&lt;0.1,"Fraco retorno",IF(VLOOKUP(BO180,Fundamentus!A:U,17,FALSE)&gt;0.1,"Bom retorno","n/a"))</f>
        <v>Bom retorno</v>
      </c>
      <c r="ER180" s="17" t="str">
        <f>IF(VLOOKUP(BO180,Fundamentus!A:U,16,FALSE)&lt;0.1,"Ineficiente",IF(VLOOKUP(BO180,Fundamentus!A:U,16,FALSE)&gt;0.1,"Eficiente","n/a"))</f>
        <v>Eficiente</v>
      </c>
      <c r="ES180" s="33" t="str">
        <f>IF(VLOOKUP(BO180,Fundamentus!A:U,16,FALSE)&lt;0.1,"Oper. Ineficiente",IF(VLOOKUP(BO180,Fundamentus!A:U,16,FALSE)&gt;0.1,"Oper.Eficiente","n/a"))</f>
        <v>Oper.Eficiente</v>
      </c>
      <c r="ET180" s="34">
        <f>VLOOKUP(BO180,Fundamentus!A:U,14,FALSE)</f>
        <v>0.2606</v>
      </c>
      <c r="EU180" s="17" t="str">
        <f>IF(VLOOKUP(BO180,Fundamentus!A:U,21,FALSE)&lt;0,"Negativo",IF(VLOOKUP(BO180,Fundamentus!A:U,21,FALSE)&lt;0.05,"Fraco",IF(VLOOKUP(BO180,Fundamentus!A:U,21,FALSE)&lt;0.1,"Bom",IF(VLOOKUP(BO180,Fundamentus!A:U,21,FALSE)&gt;0.1,"Muito bom","n/a"))))</f>
        <v>Muito bom</v>
      </c>
      <c r="EW180" s="29" t="str">
        <f>IF(VLOOKUP(BO180,Fundamentus!A:U,15,FALSE)&gt;1,"Bom",IF(VLOOKUP(BO180,Fundamentus!A:U,15,FALSE)&lt;1,"Ruim","n/a"))</f>
        <v>Bom</v>
      </c>
      <c r="EX180" s="17" t="str">
        <f>IF(VLOOKUP(BO180,Fundamentus!A:U,20,FALSE)&lt;0.5,"Baixa",IF(VLOOKUP(BO180,Fundamentus!A:U,20,FALSE)&lt;1,"Moderada",IF(VLOOKUP(BO180,Fundamentus!A:U,20,FALSE)&lt;2,"Alerta",IF(VLOOKUP(BO180,Fundamentus!A:U,20,FALSE)&gt;2,"Alta","n/a"))))</f>
        <v>Baixa</v>
      </c>
      <c r="EY180" s="10"/>
    </row>
    <row r="181" spans="1:155" s="2" customFormat="1" ht="11.25"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5">
        <v>6.95</v>
      </c>
      <c r="BC181" s="52">
        <v>7.95</v>
      </c>
      <c r="BD181" s="52">
        <v>8.98</v>
      </c>
      <c r="BE181" s="52">
        <v>8.9499999999999993</v>
      </c>
      <c r="BF181" s="52">
        <v>8.6999999999999993</v>
      </c>
      <c r="BG181" s="67">
        <v>9.18</v>
      </c>
      <c r="BH181" s="52">
        <v>8.64</v>
      </c>
      <c r="BI181" s="52">
        <v>8.73</v>
      </c>
      <c r="BJ181" s="52">
        <v>8.6</v>
      </c>
      <c r="BK181" s="52">
        <v>8.09</v>
      </c>
      <c r="BL181" s="52">
        <v>7.5</v>
      </c>
      <c r="BM181" s="52">
        <v>7.64</v>
      </c>
      <c r="BN181" s="52" cm="1">
        <f t="array" aca="1" ref="BN181" ca="1">_FV(EB181,"Preço")</f>
        <v>7.64</v>
      </c>
      <c r="BO181" s="69" t="s">
        <v>177</v>
      </c>
      <c r="BP181" s="36" cm="1">
        <f t="array" aca="1" ref="BP181" ca="1">_FV(EB181,"Média de volume",TRUE)</f>
        <v>1066940</v>
      </c>
      <c r="BQ181" s="36">
        <v>400</v>
      </c>
      <c r="BR181" s="36" cm="1">
        <f t="array" aca="1" ref="BR181" ca="1">_FV(EB181,"Volume")</f>
        <v>400</v>
      </c>
      <c r="BS181" s="24" cm="1">
        <f t="array" aca="1" ref="BS181" ca="1">_FV(EB181,"Beta")</f>
        <v>0.95650000000000002</v>
      </c>
      <c r="BT181" s="71" cm="1">
        <f t="array" aca="1" ref="BT181" ca="1">_FV(EB181,"Variação (%)",TRUE)</f>
        <v>3.8043E-2</v>
      </c>
      <c r="BV181" s="17" cm="1">
        <f t="array" aca="1" ref="BV181" ca="1">_FV(EB181,"Baixo")</f>
        <v>7.64</v>
      </c>
      <c r="BW181" s="17" cm="1">
        <f t="array" aca="1" ref="BW181" ca="1">_FV(EB181,"Alto")</f>
        <v>7.64</v>
      </c>
      <c r="BX181" s="24"/>
      <c r="BY181" s="63">
        <f ca="1">SQRT(22.5*(BN181/VLOOKUP(BO181,Fundamentus!A:U,3,FALSE))*(BN181/VLOOKUP(BO181,Fundamentus!A:U,4,FALSE)))</f>
        <v>6.1761164444277741</v>
      </c>
      <c r="CA181" s="62">
        <f t="shared" ca="1" si="168"/>
        <v>0</v>
      </c>
      <c r="CB181" s="8"/>
      <c r="CC181" s="61">
        <f t="shared" si="169"/>
        <v>5.81</v>
      </c>
      <c r="CD181" s="61">
        <f t="shared" si="170"/>
        <v>10.25</v>
      </c>
      <c r="CE181" s="61">
        <f t="shared" si="171"/>
        <v>7.5834615384615383</v>
      </c>
      <c r="CF181" s="14"/>
      <c r="CG181" s="35">
        <f t="shared" si="154"/>
        <v>6.2294914294443373</v>
      </c>
      <c r="CH181" s="15">
        <f t="shared" si="172"/>
        <v>7.0900000000001455</v>
      </c>
      <c r="CI181" s="35">
        <f t="shared" si="155"/>
        <v>7.9505085705559537</v>
      </c>
      <c r="CK181" s="14"/>
      <c r="CL181" s="17">
        <f t="shared" si="156"/>
        <v>1.0166666666666648</v>
      </c>
      <c r="CM181" s="17">
        <f t="shared" si="157"/>
        <v>3.4133333333333322</v>
      </c>
      <c r="CN181" s="17">
        <f t="shared" si="158"/>
        <v>5.4566666666666652</v>
      </c>
      <c r="CO181" s="38">
        <f t="shared" si="173"/>
        <v>7.8533333333333326</v>
      </c>
      <c r="CP181" s="17">
        <f t="shared" si="159"/>
        <v>9.8966666666666647</v>
      </c>
      <c r="CQ181" s="17">
        <f t="shared" si="160"/>
        <v>12.293333333333333</v>
      </c>
      <c r="CR181" s="17">
        <f t="shared" si="161"/>
        <v>14.336666666666666</v>
      </c>
      <c r="CS181" s="2" cm="1">
        <f t="array" aca="1" ref="CS181" ca="1">MAX(_xlfn._xlws.FILTER(CL181:CR181,CL181:CR181&lt;BN181))</f>
        <v>5.4566666666666652</v>
      </c>
      <c r="CT181" s="2" cm="1">
        <f t="array" aca="1" ref="CT181" ca="1">MIN(_xlfn._xlws.FILTER($CL181:$CR181,$CL181:$CR181&gt;BN181))</f>
        <v>7.8533333333333326</v>
      </c>
      <c r="CU181" s="16">
        <f t="shared" ca="1" si="192"/>
        <v>0.43921808185705591</v>
      </c>
      <c r="CV181" s="20">
        <f t="shared" ca="1" si="193"/>
        <v>-0.21960904092852795</v>
      </c>
      <c r="CW181" s="20">
        <f t="shared" ca="1" si="194"/>
        <v>-0.1464060272856853</v>
      </c>
      <c r="CX181" s="20">
        <f t="shared" ca="1" si="195"/>
        <v>-8.7843616371411179E-2</v>
      </c>
      <c r="CY181" s="20">
        <f t="shared" ca="1" si="196"/>
        <v>-4.8802009095228437E-2</v>
      </c>
      <c r="CZ181" s="20">
        <f t="shared" ca="1" si="197"/>
        <v>-2.5836357756297407E-2</v>
      </c>
      <c r="DA181" s="20">
        <f t="shared" ca="1" si="198"/>
        <v>-1.330963884415321E-2</v>
      </c>
      <c r="DB181" s="20">
        <f t="shared" ca="1" si="199"/>
        <v>-6.7572012593393217E-3</v>
      </c>
      <c r="DC181" s="21">
        <f t="shared" ca="1" si="200"/>
        <v>6.7572012593393217E-3</v>
      </c>
      <c r="DD181" s="21">
        <f t="shared" ca="1" si="201"/>
        <v>1.330963884415321E-2</v>
      </c>
      <c r="DE181" s="21">
        <f t="shared" ca="1" si="202"/>
        <v>2.5836357756297407E-2</v>
      </c>
      <c r="DF181" s="21">
        <f t="shared" ca="1" si="203"/>
        <v>4.8802009095228437E-2</v>
      </c>
      <c r="DG181" s="21">
        <f t="shared" ca="1" si="204"/>
        <v>8.7843616371411179E-2</v>
      </c>
      <c r="DH181" s="21">
        <f t="shared" ca="1" si="205"/>
        <v>0.1464060272856853</v>
      </c>
      <c r="DI181" s="21">
        <f t="shared" ca="1" si="206"/>
        <v>0.21960904092852795</v>
      </c>
      <c r="DK181" s="16" cm="1">
        <f t="array" aca="1" ref="DK181" ca="1">MAX(_xlfn._xlws.FILTER(CV181:DI181,CV181:DI181&lt;BT181))</f>
        <v>2.5836357756297407E-2</v>
      </c>
      <c r="DL181" s="16" cm="1">
        <f t="array" aca="1" ref="DL181" ca="1">MIN(_xlfn._xlws.FILTER(CV181:DI181,CV181:DI181&gt;BT181))</f>
        <v>4.8802009095228437E-2</v>
      </c>
      <c r="DM181" s="2" cm="1">
        <f t="array" aca="1" ref="DM181" ca="1">_FV(EB181,"Fechamento anterior",TRUE)</f>
        <v>7.36</v>
      </c>
      <c r="DN181" s="28">
        <f t="shared" ca="1" si="162"/>
        <v>0.5315381795367925</v>
      </c>
      <c r="DO181" s="15">
        <f t="shared" ca="1" si="207"/>
        <v>7.5501555930863491</v>
      </c>
      <c r="DP181" s="15">
        <f t="shared" ca="1" si="208"/>
        <v>7.7191827869408813</v>
      </c>
      <c r="DQ181" s="9"/>
      <c r="DR181" s="9"/>
      <c r="DS181" s="9"/>
      <c r="DT181" s="89">
        <v>2.2965651338931029E-2</v>
      </c>
      <c r="DU181" s="89">
        <f t="shared" ca="1" si="163"/>
        <v>2.2965651338931029E-2</v>
      </c>
      <c r="DV181" s="72">
        <f t="shared" ca="1" si="164"/>
        <v>0.63915691117940343</v>
      </c>
      <c r="DW181" s="37"/>
      <c r="DX181" s="35">
        <f t="shared" si="174"/>
        <v>0.43025428527790394</v>
      </c>
      <c r="DY181" s="56"/>
      <c r="DZ181" s="56"/>
      <c r="EB181" s="2" t="e" vm="183">
        <v>#VALUE!</v>
      </c>
      <c r="ED181" s="10" cm="1">
        <f t="array" aca="1" ref="ED181" ca="1">_FV(EB181,"Ações em circulação",TRUE)</f>
        <v>683062200</v>
      </c>
      <c r="EE181" s="18">
        <f>VLOOKUP(BO181,Fundamentus!A:U,5,FALSE)</f>
        <v>1.222</v>
      </c>
      <c r="EF181" s="2">
        <f t="shared" ca="1" si="165"/>
        <v>4270536176.7594109</v>
      </c>
      <c r="EG181" s="17">
        <v>195163503.27790508</v>
      </c>
      <c r="EH181" s="17">
        <f t="shared" ca="1" si="166"/>
        <v>195163503.27790508</v>
      </c>
      <c r="EJ181" s="16">
        <f t="shared" ca="1" si="153"/>
        <v>0</v>
      </c>
      <c r="EK181" s="45" t="str">
        <f>IF(VLOOKUP(BO181,Fundamentus!A:U,3,FALSE)&lt;15,"Bom",IF(VLOOKUP(BO181,Fundamentus!A:U,3,FALSE)&gt;15,"Ruim","n/a"))</f>
        <v>Ruim</v>
      </c>
      <c r="EL181" s="46" t="str">
        <f>IF(VLOOKUP(BO181,Fundamentus!A:U,4,FALSE)&lt;1,"Baixo",IF(VLOOKUP(BO181,Fundamentus!A:U,4,FALSE)&lt;1.5,"Moderado",IF(VLOOKUP(BO181,Fundamentus!A:U,4,FALSE)&gt;1.5,"Alto","n/a")))</f>
        <v>Moderado</v>
      </c>
      <c r="EM181" s="30" t="str">
        <f>IF(VLOOKUP(BO181,Fundamentus!A:U,8,FALSE)&lt;0,"Risco elevado",IF(VLOOKUP(BO181,Fundamentus!A:U,8,FALSE)&lt;1,"Saudável",IF(VLOOKUP(BO181,Fundamentus!A:U,8,FALSE)&lt;3,"Estável",IF(VLOOKUP(BO181,Fundamentus!A:U,8,FALSE)&gt;3,"Alerta","n/a"))))</f>
        <v>Alerta</v>
      </c>
      <c r="EN181" s="46" t="str">
        <f t="shared" si="167"/>
        <v>Bom</v>
      </c>
      <c r="EO181" s="30" t="str">
        <f>IF(VLOOKUP(BO181,Fundamentus!A:U,12,FALSE)&lt;2,"Subvalorizada",IF(VLOOKUP(BO181,Fundamentus!A:U,12,FALSE)&lt;6,"Muita barata",IF(VLOOKUP(BO181,Fundamentus!A:U,12,FALSE)&lt;6,"Barata",IF(VLOOKUP(BO181,Fundamentus!A:U,12,FALSE)&lt;8,"Atrativa",IF(VLOOKUP(BO181,Fundamentus!A:U,12,FALSE)&gt;8,"Supervalorizada","n/a")))))</f>
        <v>Supervalorizada</v>
      </c>
      <c r="EQ181" s="30" t="str">
        <f>IF(VLOOKUP(BO181,Fundamentus!A:U,17,FALSE)&lt;0.1,"Fraco retorno",IF(VLOOKUP(BO181,Fundamentus!A:U,17,FALSE)&gt;0.1,"Bom retorno","n/a"))</f>
        <v>Fraco retorno</v>
      </c>
      <c r="ER181" s="30" t="str">
        <f>IF(VLOOKUP(BO181,Fundamentus!A:U,16,FALSE)&lt;0.1,"Ineficiente",IF(VLOOKUP(BO181,Fundamentus!A:U,16,FALSE)&gt;0.1,"Eficiente","n/a"))</f>
        <v>Ineficiente</v>
      </c>
      <c r="ES181" s="49" t="str">
        <f>IF(VLOOKUP(BO181,Fundamentus!A:U,16,FALSE)&lt;0.1,"Oper. Ineficiente",IF(VLOOKUP(BO181,Fundamentus!A:U,16,FALSE)&gt;0.1,"Oper.Eficiente","n/a"))</f>
        <v>Oper. Ineficiente</v>
      </c>
      <c r="ET181" s="48">
        <f>VLOOKUP(BO181,Fundamentus!A:U,14,FALSE)</f>
        <v>4.5699999999999998E-2</v>
      </c>
      <c r="EU181" s="30" t="str">
        <f>IF(VLOOKUP(BO181,Fundamentus!A:U,21,FALSE)&lt;0,"Negativo",IF(VLOOKUP(BO181,Fundamentus!A:U,21,FALSE)&lt;0.05,"Fraco",IF(VLOOKUP(BO181,Fundamentus!A:U,21,FALSE)&lt;0.1,"Bom",IF(VLOOKUP(BO181,Fundamentus!A:U,21,FALSE)&gt;0.1,"Muito bom","n/a"))))</f>
        <v>Fraco</v>
      </c>
      <c r="EW181" s="31" t="str">
        <f>IF(VLOOKUP(BO181,Fundamentus!A:U,15,FALSE)&gt;1,"Bom",IF(VLOOKUP(BO181,Fundamentus!A:U,15,FALSE)&lt;1,"Ruim","n/a"))</f>
        <v>Bom</v>
      </c>
      <c r="EX181" s="30" t="str">
        <f>IF(VLOOKUP(BO181,Fundamentus!A:U,20,FALSE)&lt;0.5,"Baixa",IF(VLOOKUP(BO181,Fundamentus!A:U,20,FALSE)&lt;1,"Moderada",IF(VLOOKUP(BO181,Fundamentus!A:U,20,FALSE)&lt;2,"Alerta",IF(VLOOKUP(BO181,Fundamentus!A:U,20,FALSE)&gt;2,"Alta","n/a"))))</f>
        <v>Baixa</v>
      </c>
      <c r="EY181" s="10"/>
    </row>
    <row r="182" spans="1:155" s="2" customFormat="1" ht="11.25"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5">
        <v>3.1</v>
      </c>
      <c r="BC182" s="52">
        <v>3.07</v>
      </c>
      <c r="BD182" s="52">
        <v>3.04</v>
      </c>
      <c r="BE182" s="52">
        <v>3.4</v>
      </c>
      <c r="BF182" s="52">
        <v>3.21</v>
      </c>
      <c r="BG182" s="67">
        <v>3.86</v>
      </c>
      <c r="BH182" s="52">
        <v>3.71</v>
      </c>
      <c r="BI182" s="52">
        <v>3.6</v>
      </c>
      <c r="BJ182" s="52">
        <v>3.71</v>
      </c>
      <c r="BK182" s="52">
        <v>3.5</v>
      </c>
      <c r="BL182" s="52">
        <v>3.6</v>
      </c>
      <c r="BM182" s="52">
        <v>3.57</v>
      </c>
      <c r="BN182" s="52" cm="1">
        <f t="array" aca="1" ref="BN182" ca="1">_FV(EB182,"Preço")</f>
        <v>3.57</v>
      </c>
      <c r="BO182" s="69" t="s">
        <v>178</v>
      </c>
      <c r="BP182" s="36" cm="1">
        <f t="array" aca="1" ref="BP182" ca="1">_FV(EB182,"Média de volume",TRUE)</f>
        <v>15320</v>
      </c>
      <c r="BQ182" s="36">
        <v>15000</v>
      </c>
      <c r="BR182" s="36" cm="1">
        <f t="array" aca="1" ref="BR182" ca="1">_FV(EB182,"Volume")</f>
        <v>15000</v>
      </c>
      <c r="BS182" s="24" cm="1">
        <f t="array" aca="1" ref="BS182" ca="1">_FV(EB182,"Beta")</f>
        <v>1.5087999999999999</v>
      </c>
      <c r="BT182" s="71" cm="1">
        <f t="array" aca="1" ref="BT182" ca="1">_FV(EB182,"Variação (%)",TRUE)</f>
        <v>0.02</v>
      </c>
      <c r="BV182" s="17" cm="1">
        <f t="array" aca="1" ref="BV182" ca="1">_FV(EB182,"Baixo")</f>
        <v>3.45</v>
      </c>
      <c r="BW182" s="17" cm="1">
        <f t="array" aca="1" ref="BW182" ca="1">_FV(EB182,"Alto")</f>
        <v>3.6</v>
      </c>
      <c r="BX182" s="24"/>
      <c r="BY182" s="63">
        <f ca="1">SQRT(22.5*(BN182/VLOOKUP(BO182,Fundamentus!A:U,3,FALSE))*(BN182/VLOOKUP(BO182,Fundamentus!A:U,4,FALSE)))</f>
        <v>10.652630278760062</v>
      </c>
      <c r="CA182" s="62">
        <f t="shared" ca="1" si="168"/>
        <v>0</v>
      </c>
      <c r="CB182" s="8"/>
      <c r="CC182" s="61">
        <f t="shared" si="169"/>
        <v>2.19</v>
      </c>
      <c r="CD182" s="61">
        <f t="shared" si="170"/>
        <v>4.26</v>
      </c>
      <c r="CE182" s="61">
        <f t="shared" si="171"/>
        <v>3.2428461538461528</v>
      </c>
      <c r="CF182" s="14"/>
      <c r="CG182" s="35">
        <f t="shared" si="154"/>
        <v>3.363672540495771</v>
      </c>
      <c r="CH182" s="15">
        <f t="shared" si="172"/>
        <v>3.5149999999999864</v>
      </c>
      <c r="CI182" s="35">
        <f t="shared" si="155"/>
        <v>3.6663274595042017</v>
      </c>
      <c r="CK182" s="14"/>
      <c r="CL182" s="17">
        <f t="shared" si="156"/>
        <v>0.36999999999999966</v>
      </c>
      <c r="CM182" s="17">
        <f t="shared" si="157"/>
        <v>1.2799999999999998</v>
      </c>
      <c r="CN182" s="17">
        <f t="shared" si="158"/>
        <v>2.4399999999999995</v>
      </c>
      <c r="CO182" s="38">
        <f t="shared" si="173"/>
        <v>3.3499999999999996</v>
      </c>
      <c r="CP182" s="17">
        <f t="shared" si="159"/>
        <v>4.51</v>
      </c>
      <c r="CQ182" s="17">
        <f t="shared" si="160"/>
        <v>5.42</v>
      </c>
      <c r="CR182" s="17">
        <f t="shared" si="161"/>
        <v>6.5799999999999992</v>
      </c>
      <c r="CS182" s="2" cm="1">
        <f t="array" aca="1" ref="CS182" ca="1">MAX(_xlfn._xlws.FILTER(CL182:CR182,CL182:CR182&lt;BN182))</f>
        <v>3.3499999999999996</v>
      </c>
      <c r="CT182" s="2" cm="1">
        <f t="array" aca="1" ref="CT182" ca="1">MIN(_xlfn._xlws.FILTER($CL182:$CR182,$CL182:$CR182&gt;BN182))</f>
        <v>4.51</v>
      </c>
      <c r="CU182" s="16">
        <f t="shared" ca="1" si="192"/>
        <v>0.34626865671641793</v>
      </c>
      <c r="CV182" s="20">
        <f t="shared" ca="1" si="193"/>
        <v>-0.17313432835820897</v>
      </c>
      <c r="CW182" s="20">
        <f t="shared" ca="1" si="194"/>
        <v>-0.11542288557213931</v>
      </c>
      <c r="CX182" s="20">
        <f t="shared" ca="1" si="195"/>
        <v>-6.9253731343283581E-2</v>
      </c>
      <c r="CY182" s="20">
        <f t="shared" ca="1" si="196"/>
        <v>-3.8474295190713104E-2</v>
      </c>
      <c r="CZ182" s="20">
        <f t="shared" ca="1" si="197"/>
        <v>-2.0368744512730467E-2</v>
      </c>
      <c r="DA182" s="20">
        <f t="shared" ca="1" si="198"/>
        <v>-1.0492989597467211E-2</v>
      </c>
      <c r="DB182" s="20">
        <f t="shared" ca="1" si="199"/>
        <v>-5.327210103329507E-3</v>
      </c>
      <c r="DC182" s="21">
        <f t="shared" ca="1" si="200"/>
        <v>5.327210103329507E-3</v>
      </c>
      <c r="DD182" s="21">
        <f t="shared" ca="1" si="201"/>
        <v>1.0492989597467211E-2</v>
      </c>
      <c r="DE182" s="21">
        <f t="shared" ca="1" si="202"/>
        <v>2.0368744512730467E-2</v>
      </c>
      <c r="DF182" s="21">
        <f t="shared" ca="1" si="203"/>
        <v>3.8474295190713104E-2</v>
      </c>
      <c r="DG182" s="21">
        <f t="shared" ca="1" si="204"/>
        <v>6.9253731343283581E-2</v>
      </c>
      <c r="DH182" s="21">
        <f t="shared" ca="1" si="205"/>
        <v>0.11542288557213931</v>
      </c>
      <c r="DI182" s="21">
        <f t="shared" ca="1" si="206"/>
        <v>0.17313432835820897</v>
      </c>
      <c r="DK182" s="16" cm="1">
        <f t="array" aca="1" ref="DK182" ca="1">MAX(_xlfn._xlws.FILTER(CV182:DI182,CV182:DI182&lt;BT182))</f>
        <v>1.0492989597467211E-2</v>
      </c>
      <c r="DL182" s="16" cm="1">
        <f t="array" aca="1" ref="DL182" ca="1">MIN(_xlfn._xlws.FILTER(CV182:DI182,CV182:DI182&gt;BT182))</f>
        <v>2.0368744512730467E-2</v>
      </c>
      <c r="DM182" s="2" cm="1">
        <f t="array" aca="1" ref="DM182" ca="1">_FV(EB182,"Fechamento anterior",TRUE)</f>
        <v>3.5</v>
      </c>
      <c r="DN182" s="28">
        <f t="shared" ca="1" si="162"/>
        <v>0.96266163793103066</v>
      </c>
      <c r="DO182" s="15">
        <f t="shared" ca="1" si="207"/>
        <v>3.5367254635911354</v>
      </c>
      <c r="DP182" s="15">
        <f t="shared" ca="1" si="208"/>
        <v>3.5712906057945566</v>
      </c>
      <c r="DQ182" s="9"/>
      <c r="DR182" s="9"/>
      <c r="DS182" s="9"/>
      <c r="DT182" s="89">
        <v>9.8757549152632563E-3</v>
      </c>
      <c r="DU182" s="89">
        <f t="shared" ca="1" si="163"/>
        <v>9.8757549152632563E-3</v>
      </c>
      <c r="DV182" s="72">
        <f t="shared" ca="1" si="164"/>
        <v>0.36345023025038903</v>
      </c>
      <c r="DW182" s="37"/>
      <c r="DX182" s="35">
        <f t="shared" si="174"/>
        <v>7.5663729752107778E-2</v>
      </c>
      <c r="DY182" s="56"/>
      <c r="DZ182" s="56"/>
      <c r="EB182" s="2" t="e" vm="184">
        <v>#VALUE!</v>
      </c>
      <c r="ED182" s="10" cm="1">
        <f t="array" aca="1" ref="ED182" ca="1">_FV(EB182,"Ações em circulação",TRUE)</f>
        <v>63461460</v>
      </c>
      <c r="EE182" s="18">
        <f>VLOOKUP(BO182,Fundamentus!A:U,5,FALSE)</f>
        <v>0.27500000000000002</v>
      </c>
      <c r="EF182" s="2">
        <f t="shared" ca="1" si="165"/>
        <v>823845135.27272713</v>
      </c>
      <c r="EG182" s="17">
        <v>31388499.653890904</v>
      </c>
      <c r="EH182" s="17">
        <f t="shared" ca="1" si="166"/>
        <v>31388499.653890904</v>
      </c>
      <c r="EJ182" s="16">
        <f t="shared" ca="1" si="153"/>
        <v>0</v>
      </c>
      <c r="EK182" s="32" t="str">
        <f>IF(VLOOKUP(BO182,Fundamentus!A:U,3,FALSE)&lt;15,"Bom",IF(VLOOKUP(BO182,Fundamentus!A:U,3,FALSE)&gt;15,"Ruim","n/a"))</f>
        <v>Bom</v>
      </c>
      <c r="EL182" s="28" t="str">
        <f>IF(VLOOKUP(BO182,Fundamentus!A:U,4,FALSE)&lt;1,"Baixo",IF(VLOOKUP(BO182,Fundamentus!A:U,4,FALSE)&lt;1.5,"Moderado",IF(VLOOKUP(BO182,Fundamentus!A:U,4,FALSE)&gt;1.5,"Alto","n/a")))</f>
        <v>Baixo</v>
      </c>
      <c r="EM182" s="17" t="str">
        <f>IF(VLOOKUP(BO182,Fundamentus!A:U,8,FALSE)&lt;0,"Risco elevado",IF(VLOOKUP(BO182,Fundamentus!A:U,8,FALSE)&lt;1,"Saudável",IF(VLOOKUP(BO182,Fundamentus!A:U,8,FALSE)&lt;3,"Estável",IF(VLOOKUP(BO182,Fundamentus!A:U,8,FALSE)&gt;3,"Alerta","n/a"))))</f>
        <v>Saudável</v>
      </c>
      <c r="EN182" s="28" t="str">
        <f t="shared" si="167"/>
        <v>Ruim</v>
      </c>
      <c r="EO182" s="17" t="str">
        <f>IF(VLOOKUP(BO182,Fundamentus!A:U,12,FALSE)&lt;2,"Subvalorizada",IF(VLOOKUP(BO182,Fundamentus!A:U,12,FALSE)&lt;6,"Muita barata",IF(VLOOKUP(BO182,Fundamentus!A:U,12,FALSE)&lt;6,"Barata",IF(VLOOKUP(BO182,Fundamentus!A:U,12,FALSE)&lt;8,"Atrativa",IF(VLOOKUP(BO182,Fundamentus!A:U,12,FALSE)&gt;8,"Supervalorizada","n/a")))))</f>
        <v>Subvalorizada</v>
      </c>
      <c r="EQ182" s="17" t="str">
        <f>IF(VLOOKUP(BO182,Fundamentus!A:U,17,FALSE)&lt;0.1,"Fraco retorno",IF(VLOOKUP(BO182,Fundamentus!A:U,17,FALSE)&gt;0.1,"Bom retorno","n/a"))</f>
        <v>Fraco retorno</v>
      </c>
      <c r="ER182" s="17" t="str">
        <f>IF(VLOOKUP(BO182,Fundamentus!A:U,16,FALSE)&lt;0.1,"Ineficiente",IF(VLOOKUP(BO182,Fundamentus!A:U,16,FALSE)&gt;0.1,"Eficiente","n/a"))</f>
        <v>Eficiente</v>
      </c>
      <c r="ES182" s="33" t="str">
        <f>IF(VLOOKUP(BO182,Fundamentus!A:U,16,FALSE)&lt;0.1,"Oper. Ineficiente",IF(VLOOKUP(BO182,Fundamentus!A:U,16,FALSE)&gt;0.1,"Oper.Eficiente","n/a"))</f>
        <v>Oper.Eficiente</v>
      </c>
      <c r="ET182" s="34">
        <f>VLOOKUP(BO182,Fundamentus!A:U,14,FALSE)</f>
        <v>3.8100000000000002E-2</v>
      </c>
      <c r="EU182" s="17" t="str">
        <f>IF(VLOOKUP(BO182,Fundamentus!A:U,21,FALSE)&lt;0,"Negativo",IF(VLOOKUP(BO182,Fundamentus!A:U,21,FALSE)&lt;0.05,"Fraco",IF(VLOOKUP(BO182,Fundamentus!A:U,21,FALSE)&lt;0.1,"Bom",IF(VLOOKUP(BO182,Fundamentus!A:U,21,FALSE)&gt;0.1,"Muito bom","n/a"))))</f>
        <v>Negativo</v>
      </c>
      <c r="EW182" s="29" t="str">
        <f>IF(VLOOKUP(BO182,Fundamentus!A:U,15,FALSE)&gt;1,"Bom",IF(VLOOKUP(BO182,Fundamentus!A:U,15,FALSE)&lt;1,"Ruim","n/a"))</f>
        <v>Bom</v>
      </c>
      <c r="EX182" s="17" t="str">
        <f>IF(VLOOKUP(BO182,Fundamentus!A:U,20,FALSE)&lt;0.5,"Baixa",IF(VLOOKUP(BO182,Fundamentus!A:U,20,FALSE)&lt;1,"Moderada",IF(VLOOKUP(BO182,Fundamentus!A:U,20,FALSE)&lt;2,"Alerta",IF(VLOOKUP(BO182,Fundamentus!A:U,20,FALSE)&gt;2,"Alta","n/a"))))</f>
        <v>Baixa</v>
      </c>
      <c r="EY182" s="10"/>
    </row>
    <row r="183" spans="1:155" s="2" customFormat="1" ht="11.25"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5">
        <v>5.16</v>
      </c>
      <c r="BC183" s="52">
        <v>5.14</v>
      </c>
      <c r="BD183" s="52">
        <v>5.17</v>
      </c>
      <c r="BE183" s="52">
        <v>5.04</v>
      </c>
      <c r="BF183" s="52">
        <v>4.9000000000000004</v>
      </c>
      <c r="BG183" s="67">
        <v>4.8600000000000003</v>
      </c>
      <c r="BH183" s="52">
        <v>4.87</v>
      </c>
      <c r="BI183" s="52">
        <v>4.82</v>
      </c>
      <c r="BJ183" s="52">
        <v>5.17</v>
      </c>
      <c r="BK183" s="52">
        <v>5.37</v>
      </c>
      <c r="BL183" s="52">
        <v>5.12</v>
      </c>
      <c r="BM183" s="52">
        <v>5.09</v>
      </c>
      <c r="BN183" s="52" cm="1">
        <f t="array" aca="1" ref="BN183" ca="1">_FV(EB183,"Preço")</f>
        <v>5.09</v>
      </c>
      <c r="BO183" s="69" t="s">
        <v>179</v>
      </c>
      <c r="BP183" s="36" cm="1">
        <f t="array" aca="1" ref="BP183" ca="1">_FV(EB183,"Média de volume",TRUE)</f>
        <v>11762570</v>
      </c>
      <c r="BQ183" s="36">
        <v>6817000</v>
      </c>
      <c r="BR183" s="36" cm="1">
        <f t="array" aca="1" ref="BR183" ca="1">_FV(EB183,"Volume")</f>
        <v>6817000</v>
      </c>
      <c r="BS183" s="24" cm="1">
        <f t="array" aca="1" ref="BS183" ca="1">_FV(EB183,"Beta")</f>
        <v>0.77359999999999995</v>
      </c>
      <c r="BT183" s="71" cm="1">
        <f t="array" aca="1" ref="BT183" ca="1">_FV(EB183,"Variação (%)",TRUE)</f>
        <v>3.9450000000000006E-3</v>
      </c>
      <c r="BV183" s="17" cm="1">
        <f t="array" aca="1" ref="BV183" ca="1">_FV(EB183,"Baixo")</f>
        <v>5.05</v>
      </c>
      <c r="BW183" s="17" cm="1">
        <f t="array" aca="1" ref="BW183" ca="1">_FV(EB183,"Alto")</f>
        <v>5.14</v>
      </c>
      <c r="BX183" s="24"/>
      <c r="BY183" s="63">
        <f ca="1">SQRT(22.5*(BN183/VLOOKUP(BO183,Fundamentus!A:U,3,FALSE))*(BN183/VLOOKUP(BO183,Fundamentus!A:U,4,FALSE)))</f>
        <v>4.0949435437146535</v>
      </c>
      <c r="CA183" s="62">
        <f t="shared" ca="1" si="168"/>
        <v>0</v>
      </c>
      <c r="CB183" s="8"/>
      <c r="CC183" s="61">
        <f t="shared" si="169"/>
        <v>4.42</v>
      </c>
      <c r="CD183" s="61">
        <f t="shared" si="170"/>
        <v>7.95</v>
      </c>
      <c r="CE183" s="61">
        <f t="shared" si="171"/>
        <v>5.860692307692311</v>
      </c>
      <c r="CF183" s="14"/>
      <c r="CG183" s="35">
        <f t="shared" si="154"/>
        <v>4.8466539443910168</v>
      </c>
      <c r="CH183" s="15">
        <f t="shared" si="172"/>
        <v>5.0649999999999977</v>
      </c>
      <c r="CI183" s="35">
        <f t="shared" si="155"/>
        <v>5.2833460556089786</v>
      </c>
      <c r="CK183" s="14"/>
      <c r="CL183" s="17">
        <f t="shared" si="156"/>
        <v>0.18000000000000149</v>
      </c>
      <c r="CM183" s="17">
        <f t="shared" si="157"/>
        <v>2.3000000000000007</v>
      </c>
      <c r="CN183" s="17">
        <f t="shared" si="158"/>
        <v>3.7100000000000017</v>
      </c>
      <c r="CO183" s="38">
        <f t="shared" si="173"/>
        <v>5.830000000000001</v>
      </c>
      <c r="CP183" s="17">
        <f t="shared" si="159"/>
        <v>7.240000000000002</v>
      </c>
      <c r="CQ183" s="17">
        <f t="shared" si="160"/>
        <v>9.3600000000000012</v>
      </c>
      <c r="CR183" s="17">
        <f t="shared" si="161"/>
        <v>10.770000000000003</v>
      </c>
      <c r="CS183" s="2" cm="1">
        <f t="array" aca="1" ref="CS183" ca="1">MAX(_xlfn._xlws.FILTER(CL183:CR183,CL183:CR183&lt;BN183))</f>
        <v>3.7100000000000017</v>
      </c>
      <c r="CT183" s="2" cm="1">
        <f t="array" aca="1" ref="CT183" ca="1">MIN(_xlfn._xlws.FILTER($CL183:$CR183,$CL183:$CR183&gt;BN183))</f>
        <v>5.830000000000001</v>
      </c>
      <c r="CU183" s="16">
        <f t="shared" ca="1" si="192"/>
        <v>0.57142857142857095</v>
      </c>
      <c r="CV183" s="20">
        <f t="shared" ca="1" si="193"/>
        <v>-0.28571428571428548</v>
      </c>
      <c r="CW183" s="20">
        <f t="shared" ca="1" si="194"/>
        <v>-0.19047619047619033</v>
      </c>
      <c r="CX183" s="20">
        <f t="shared" ca="1" si="195"/>
        <v>-0.11428571428571419</v>
      </c>
      <c r="CY183" s="20">
        <f t="shared" ca="1" si="196"/>
        <v>-6.3492063492063433E-2</v>
      </c>
      <c r="CZ183" s="20">
        <f t="shared" ca="1" si="197"/>
        <v>-3.3613445378151231E-2</v>
      </c>
      <c r="DA183" s="20">
        <f t="shared" ca="1" si="198"/>
        <v>-1.7316017316017302E-2</v>
      </c>
      <c r="DB183" s="20">
        <f t="shared" ca="1" si="199"/>
        <v>-8.7912087912087843E-3</v>
      </c>
      <c r="DC183" s="21">
        <f t="shared" ca="1" si="200"/>
        <v>8.7912087912087843E-3</v>
      </c>
      <c r="DD183" s="21">
        <f t="shared" ca="1" si="201"/>
        <v>1.7316017316017302E-2</v>
      </c>
      <c r="DE183" s="21">
        <f t="shared" ca="1" si="202"/>
        <v>3.3613445378151231E-2</v>
      </c>
      <c r="DF183" s="21">
        <f t="shared" ca="1" si="203"/>
        <v>6.3492063492063433E-2</v>
      </c>
      <c r="DG183" s="21">
        <f t="shared" ca="1" si="204"/>
        <v>0.11428571428571419</v>
      </c>
      <c r="DH183" s="21">
        <f t="shared" ca="1" si="205"/>
        <v>0.19047619047619033</v>
      </c>
      <c r="DI183" s="21">
        <f t="shared" ca="1" si="206"/>
        <v>0.28571428571428548</v>
      </c>
      <c r="DK183" s="16" cm="1">
        <f t="array" aca="1" ref="DK183" ca="1">MAX(_xlfn._xlws.FILTER(CV183:DI183,CV183:DI183&lt;BT183))</f>
        <v>-8.7912087912087843E-3</v>
      </c>
      <c r="DL183" s="16" cm="1">
        <f t="array" aca="1" ref="DL183" ca="1">MIN(_xlfn._xlws.FILTER(CV183:DI183,CV183:DI183&gt;BT183))</f>
        <v>8.7912087912087843E-3</v>
      </c>
      <c r="DM183" s="2" cm="1">
        <f t="array" aca="1" ref="DM183" ca="1">_FV(EB183,"Fechamento anterior",TRUE)</f>
        <v>5.07</v>
      </c>
      <c r="DN183" s="28">
        <f t="shared" ca="1" si="162"/>
        <v>0.72435897435897001</v>
      </c>
      <c r="DO183" s="15">
        <f t="shared" ca="1" si="207"/>
        <v>5.0254285714285718</v>
      </c>
      <c r="DP183" s="15">
        <f t="shared" ca="1" si="208"/>
        <v>5.1145714285714288</v>
      </c>
      <c r="DQ183" s="9"/>
      <c r="DR183" s="9"/>
      <c r="DS183" s="9"/>
      <c r="DT183" s="89">
        <v>1.7582417582417569E-2</v>
      </c>
      <c r="DU183" s="89">
        <f t="shared" ca="1" si="163"/>
        <v>1.7582417582417569E-2</v>
      </c>
      <c r="DV183" s="72">
        <f t="shared" ca="1" si="164"/>
        <v>0.1144971450492914</v>
      </c>
      <c r="DW183" s="37"/>
      <c r="DX183" s="35">
        <f t="shared" si="174"/>
        <v>0.1091730278044903</v>
      </c>
      <c r="DY183" s="56"/>
      <c r="DZ183" s="56"/>
      <c r="EB183" s="2" t="e" vm="185">
        <v>#VALUE!</v>
      </c>
      <c r="ED183" s="10" cm="1">
        <f t="array" aca="1" ref="ED183" ca="1">_FV(EB183,"Ações em circulação",TRUE)</f>
        <v>994489400</v>
      </c>
      <c r="EE183" s="18">
        <f>VLOOKUP(BO183,Fundamentus!A:U,5,FALSE)</f>
        <v>0.13700000000000001</v>
      </c>
      <c r="EF183" s="2">
        <f t="shared" ca="1" si="165"/>
        <v>36948547781.021896</v>
      </c>
      <c r="EG183" s="17">
        <v>-1156489545.5459855</v>
      </c>
      <c r="EH183" s="17">
        <f t="shared" ca="1" si="166"/>
        <v>-1156489545.5459855</v>
      </c>
      <c r="EJ183" s="16">
        <f t="shared" ca="1" si="153"/>
        <v>0</v>
      </c>
      <c r="EK183" s="32" t="str">
        <f>IF(VLOOKUP(BO183,Fundamentus!A:U,3,FALSE)&lt;15,"Bom",IF(VLOOKUP(BO183,Fundamentus!A:U,3,FALSE)&gt;15,"Ruim","n/a"))</f>
        <v>Bom</v>
      </c>
      <c r="EL183" s="28" t="str">
        <f>IF(VLOOKUP(BO183,Fundamentus!A:U,4,FALSE)&lt;1,"Baixo",IF(VLOOKUP(BO183,Fundamentus!A:U,4,FALSE)&lt;1.5,"Moderado",IF(VLOOKUP(BO183,Fundamentus!A:U,4,FALSE)&gt;1.5,"Alto","n/a")))</f>
        <v>Baixo</v>
      </c>
      <c r="EM183" s="17" t="str">
        <f>IF(VLOOKUP(BO183,Fundamentus!A:U,8,FALSE)&lt;0,"Risco elevado",IF(VLOOKUP(BO183,Fundamentus!A:U,8,FALSE)&lt;1,"Saudável",IF(VLOOKUP(BO183,Fundamentus!A:U,8,FALSE)&lt;3,"Estável",IF(VLOOKUP(BO183,Fundamentus!A:U,8,FALSE)&gt;3,"Alerta","n/a"))))</f>
        <v>Saudável</v>
      </c>
      <c r="EN183" s="28" t="str">
        <f t="shared" si="167"/>
        <v>Ruim</v>
      </c>
      <c r="EO183" s="17" t="str">
        <f>IF(VLOOKUP(BO183,Fundamentus!A:U,12,FALSE)&lt;2,"Subvalorizada",IF(VLOOKUP(BO183,Fundamentus!A:U,12,FALSE)&lt;6,"Muita barata",IF(VLOOKUP(BO183,Fundamentus!A:U,12,FALSE)&lt;6,"Barata",IF(VLOOKUP(BO183,Fundamentus!A:U,12,FALSE)&lt;8,"Atrativa",IF(VLOOKUP(BO183,Fundamentus!A:U,12,FALSE)&gt;8,"Supervalorizada","n/a")))))</f>
        <v>Atrativa</v>
      </c>
      <c r="EQ183" s="17" t="str">
        <f>IF(VLOOKUP(BO183,Fundamentus!A:U,17,FALSE)&lt;0.1,"Fraco retorno",IF(VLOOKUP(BO183,Fundamentus!A:U,17,FALSE)&gt;0.1,"Bom retorno","n/a"))</f>
        <v>Bom retorno</v>
      </c>
      <c r="ER183" s="17" t="str">
        <f>IF(VLOOKUP(BO183,Fundamentus!A:U,16,FALSE)&lt;0.1,"Ineficiente",IF(VLOOKUP(BO183,Fundamentus!A:U,16,FALSE)&gt;0.1,"Eficiente","n/a"))</f>
        <v>Eficiente</v>
      </c>
      <c r="ES183" s="33" t="str">
        <f>IF(VLOOKUP(BO183,Fundamentus!A:U,16,FALSE)&lt;0.1,"Oper. Ineficiente",IF(VLOOKUP(BO183,Fundamentus!A:U,16,FALSE)&gt;0.1,"Oper.Eficiente","n/a"))</f>
        <v>Oper.Eficiente</v>
      </c>
      <c r="ET183" s="34">
        <f>VLOOKUP(BO183,Fundamentus!A:U,14,FALSE)</f>
        <v>-3.1300000000000001E-2</v>
      </c>
      <c r="EU183" s="17" t="str">
        <f>IF(VLOOKUP(BO183,Fundamentus!A:U,21,FALSE)&lt;0,"Negativo",IF(VLOOKUP(BO183,Fundamentus!A:U,21,FALSE)&lt;0.05,"Fraco",IF(VLOOKUP(BO183,Fundamentus!A:U,21,FALSE)&lt;0.1,"Bom",IF(VLOOKUP(BO183,Fundamentus!A:U,21,FALSE)&gt;0.1,"Muito bom","n/a"))))</f>
        <v>Muito bom</v>
      </c>
      <c r="EW183" s="29" t="str">
        <f>IF(VLOOKUP(BO183,Fundamentus!A:U,15,FALSE)&gt;1,"Bom",IF(VLOOKUP(BO183,Fundamentus!A:U,15,FALSE)&lt;1,"Ruim","n/a"))</f>
        <v>Bom</v>
      </c>
      <c r="EX183" s="17" t="str">
        <f>IF(VLOOKUP(BO183,Fundamentus!A:U,20,FALSE)&lt;0.5,"Baixa",IF(VLOOKUP(BO183,Fundamentus!A:U,20,FALSE)&lt;1,"Moderada",IF(VLOOKUP(BO183,Fundamentus!A:U,20,FALSE)&lt;2,"Alerta",IF(VLOOKUP(BO183,Fundamentus!A:U,20,FALSE)&gt;2,"Alta","n/a"))))</f>
        <v>Baixa</v>
      </c>
      <c r="EY183" s="10"/>
    </row>
    <row r="184" spans="1:155" s="2" customFormat="1" ht="11.25"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5">
        <v>8.11</v>
      </c>
      <c r="BC184" s="52">
        <v>9.14</v>
      </c>
      <c r="BD184" s="52">
        <v>9.08</v>
      </c>
      <c r="BE184" s="52">
        <v>9.18</v>
      </c>
      <c r="BF184" s="52">
        <v>8.93</v>
      </c>
      <c r="BG184" s="67">
        <v>9.15</v>
      </c>
      <c r="BH184" s="52">
        <v>9.06</v>
      </c>
      <c r="BI184" s="52">
        <v>9.23</v>
      </c>
      <c r="BJ184" s="52">
        <v>8.94</v>
      </c>
      <c r="BK184" s="52">
        <v>8.56</v>
      </c>
      <c r="BL184" s="52">
        <v>8.5299999999999994</v>
      </c>
      <c r="BM184" s="52">
        <v>8.49</v>
      </c>
      <c r="BN184" s="52" cm="1">
        <f t="array" aca="1" ref="BN184" ca="1">_FV(EB184,"Preço")</f>
        <v>8.49</v>
      </c>
      <c r="BO184" s="69" t="s">
        <v>67</v>
      </c>
      <c r="BP184" s="36" cm="1">
        <f t="array" aca="1" ref="BP184" ca="1">_FV(EB184,"Média de volume",TRUE)</f>
        <v>1066940</v>
      </c>
      <c r="BQ184" s="36">
        <v>894600</v>
      </c>
      <c r="BR184" s="36" cm="1">
        <f t="array" aca="1" ref="BR184" ca="1">_FV(EB184,"Volume")</f>
        <v>894600</v>
      </c>
      <c r="BS184" s="24" cm="1">
        <f t="array" aca="1" ref="BS184" ca="1">_FV(EB184,"Beta")</f>
        <v>0.95650000000000002</v>
      </c>
      <c r="BT184" s="71" cm="1">
        <f t="array" aca="1" ref="BT184" ca="1">_FV(EB184,"Variação (%)",TRUE)</f>
        <v>0</v>
      </c>
      <c r="BV184" s="17" cm="1">
        <f t="array" aca="1" ref="BV184" ca="1">_FV(EB184,"Baixo")</f>
        <v>8.44</v>
      </c>
      <c r="BW184" s="17" cm="1">
        <f t="array" aca="1" ref="BW184" ca="1">_FV(EB184,"Alto")</f>
        <v>8.57</v>
      </c>
      <c r="BX184" s="24"/>
      <c r="BY184" s="63">
        <f ca="1">SQRT(22.5*(BN184/VLOOKUP(BO184,Fundamentus!A:U,3,FALSE))*(BN184/VLOOKUP(BO184,Fundamentus!A:U,4,FALSE)))</f>
        <v>6.101898567112519</v>
      </c>
      <c r="CA184" s="62">
        <f t="shared" ca="1" si="168"/>
        <v>0</v>
      </c>
      <c r="CB184" s="8"/>
      <c r="CC184" s="61">
        <f t="shared" si="169"/>
        <v>6</v>
      </c>
      <c r="CD184" s="61">
        <f t="shared" si="170"/>
        <v>9.9600000000000009</v>
      </c>
      <c r="CE184" s="61">
        <f t="shared" si="171"/>
        <v>7.7831538461538452</v>
      </c>
      <c r="CF184" s="14"/>
      <c r="CG184" s="35">
        <f t="shared" si="154"/>
        <v>7.9236137800081154</v>
      </c>
      <c r="CH184" s="15">
        <f t="shared" si="172"/>
        <v>8.2849999999999682</v>
      </c>
      <c r="CI184" s="35">
        <f t="shared" si="155"/>
        <v>8.64638621999182</v>
      </c>
      <c r="CK184" s="14"/>
      <c r="CL184" s="17">
        <f t="shared" si="156"/>
        <v>2.4066666666666663</v>
      </c>
      <c r="CM184" s="17">
        <f t="shared" si="157"/>
        <v>4.2033333333333331</v>
      </c>
      <c r="CN184" s="17">
        <f t="shared" si="158"/>
        <v>6.3666666666666671</v>
      </c>
      <c r="CO184" s="38">
        <f t="shared" si="173"/>
        <v>8.163333333333334</v>
      </c>
      <c r="CP184" s="17">
        <f t="shared" si="159"/>
        <v>10.326666666666668</v>
      </c>
      <c r="CQ184" s="17">
        <f t="shared" si="160"/>
        <v>12.123333333333335</v>
      </c>
      <c r="CR184" s="17">
        <f t="shared" si="161"/>
        <v>14.286666666666669</v>
      </c>
      <c r="CS184" s="2" cm="1">
        <f t="array" aca="1" ref="CS184" ca="1">MAX(_xlfn._xlws.FILTER(CL184:CR184,CL184:CR184&lt;BN184))</f>
        <v>8.163333333333334</v>
      </c>
      <c r="CT184" s="2" cm="1">
        <f t="array" aca="1" ref="CT184" ca="1">MIN(_xlfn._xlws.FILTER($CL184:$CR184,$CL184:$CR184&gt;BN184))</f>
        <v>10.326666666666668</v>
      </c>
      <c r="CU184" s="16">
        <f t="shared" ca="1" si="192"/>
        <v>0.26500612494895881</v>
      </c>
      <c r="CV184" s="20">
        <f t="shared" ca="1" si="193"/>
        <v>-0.1325030624744794</v>
      </c>
      <c r="CW184" s="20">
        <f t="shared" ca="1" si="194"/>
        <v>-8.833537498298627E-2</v>
      </c>
      <c r="CX184" s="20">
        <f t="shared" ca="1" si="195"/>
        <v>-5.3001224989791762E-2</v>
      </c>
      <c r="CY184" s="20">
        <f t="shared" ca="1" si="196"/>
        <v>-2.9445124994328758E-2</v>
      </c>
      <c r="CZ184" s="20">
        <f t="shared" ca="1" si="197"/>
        <v>-1.5588595585232871E-2</v>
      </c>
      <c r="DA184" s="20">
        <f t="shared" ca="1" si="198"/>
        <v>-8.030488634816934E-3</v>
      </c>
      <c r="DB184" s="20">
        <f t="shared" ca="1" si="199"/>
        <v>-4.0770173069070584E-3</v>
      </c>
      <c r="DC184" s="21">
        <f t="shared" ca="1" si="200"/>
        <v>4.0770173069070584E-3</v>
      </c>
      <c r="DD184" s="21">
        <f t="shared" ca="1" si="201"/>
        <v>8.030488634816934E-3</v>
      </c>
      <c r="DE184" s="21">
        <f t="shared" ca="1" si="202"/>
        <v>1.5588595585232871E-2</v>
      </c>
      <c r="DF184" s="21">
        <f t="shared" ca="1" si="203"/>
        <v>2.9445124994328758E-2</v>
      </c>
      <c r="DG184" s="21">
        <f t="shared" ca="1" si="204"/>
        <v>5.3001224989791762E-2</v>
      </c>
      <c r="DH184" s="21">
        <f t="shared" ca="1" si="205"/>
        <v>8.833537498298627E-2</v>
      </c>
      <c r="DI184" s="21">
        <f t="shared" ca="1" si="206"/>
        <v>0.1325030624744794</v>
      </c>
      <c r="DK184" s="16" cm="1">
        <f t="array" aca="1" ref="DK184" ca="1">MAX(_xlfn._xlws.FILTER(CV184:DI184,CV184:DI184&lt;BT184))</f>
        <v>-4.0770173069070584E-3</v>
      </c>
      <c r="DL184" s="16" cm="1">
        <f t="array" aca="1" ref="DL184" ca="1">MIN(_xlfn._xlws.FILTER(CV184:DI184,CV184:DI184&gt;BT184))</f>
        <v>4.0770173069070584E-3</v>
      </c>
      <c r="DM184" s="2" cm="1">
        <f t="array" aca="1" ref="DM184" ca="1">_FV(EB184,"Fechamento anterior",TRUE)</f>
        <v>8.49</v>
      </c>
      <c r="DN184" s="28">
        <f t="shared" ca="1" si="162"/>
        <v>0.5</v>
      </c>
      <c r="DO184" s="15">
        <f t="shared" ca="1" si="207"/>
        <v>8.4553861230643594</v>
      </c>
      <c r="DP184" s="15">
        <f t="shared" ca="1" si="208"/>
        <v>8.524613876935641</v>
      </c>
      <c r="DQ184" s="9"/>
      <c r="DR184" s="9"/>
      <c r="DS184" s="9"/>
      <c r="DT184" s="89">
        <v>8.1540346138141168E-3</v>
      </c>
      <c r="DU184" s="89">
        <f t="shared" ca="1" si="163"/>
        <v>8.1540346138141168E-3</v>
      </c>
      <c r="DV184" s="72">
        <f t="shared" ca="1" si="164"/>
        <v>0.56726014623538679</v>
      </c>
      <c r="DW184" s="37"/>
      <c r="DX184" s="35">
        <f t="shared" si="174"/>
        <v>0.18069310999592633</v>
      </c>
      <c r="DY184" s="56"/>
      <c r="DZ184" s="56"/>
      <c r="EB184" s="2" t="e" vm="186">
        <v>#VALUE!</v>
      </c>
      <c r="ED184" s="10" cm="1">
        <f t="array" aca="1" ref="ED184" ca="1">_FV(EB184,"Ações em circulação",TRUE)</f>
        <v>683062200</v>
      </c>
      <c r="EE184" s="18">
        <f>VLOOKUP(BO184,Fundamentus!A:U,5,FALSE)</f>
        <v>1.3759999999999999</v>
      </c>
      <c r="EF184" s="2">
        <f t="shared" ca="1" si="165"/>
        <v>4214533486.9186049</v>
      </c>
      <c r="EG184" s="17">
        <v>192604180.35218024</v>
      </c>
      <c r="EH184" s="17">
        <f t="shared" ca="1" si="166"/>
        <v>192604180.35218024</v>
      </c>
      <c r="EJ184" s="16">
        <f t="shared" ca="1" si="153"/>
        <v>0</v>
      </c>
      <c r="EK184" s="32" t="str">
        <f>IF(VLOOKUP(BO184,Fundamentus!A:U,3,FALSE)&lt;15,"Bom",IF(VLOOKUP(BO184,Fundamentus!A:U,3,FALSE)&gt;15,"Ruim","n/a"))</f>
        <v>Ruim</v>
      </c>
      <c r="EL184" s="28" t="str">
        <f>IF(VLOOKUP(BO184,Fundamentus!A:U,4,FALSE)&lt;1,"Baixo",IF(VLOOKUP(BO184,Fundamentus!A:U,4,FALSE)&lt;1.5,"Moderado",IF(VLOOKUP(BO184,Fundamentus!A:U,4,FALSE)&gt;1.5,"Alto","n/a")))</f>
        <v>Moderado</v>
      </c>
      <c r="EM184" s="17" t="str">
        <f>IF(VLOOKUP(BO184,Fundamentus!A:U,8,FALSE)&lt;0,"Risco elevado",IF(VLOOKUP(BO184,Fundamentus!A:U,8,FALSE)&lt;1,"Saudável",IF(VLOOKUP(BO184,Fundamentus!A:U,8,FALSE)&lt;3,"Estável",IF(VLOOKUP(BO184,Fundamentus!A:U,8,FALSE)&gt;3,"Alerta","n/a"))))</f>
        <v>Alerta</v>
      </c>
      <c r="EN184" s="28" t="str">
        <f t="shared" si="167"/>
        <v>Bom</v>
      </c>
      <c r="EO184" s="17" t="str">
        <f>IF(VLOOKUP(BO184,Fundamentus!A:U,12,FALSE)&lt;2,"Subvalorizada",IF(VLOOKUP(BO184,Fundamentus!A:U,12,FALSE)&lt;6,"Muita barata",IF(VLOOKUP(BO184,Fundamentus!A:U,12,FALSE)&lt;6,"Barata",IF(VLOOKUP(BO184,Fundamentus!A:U,12,FALSE)&lt;8,"Atrativa",IF(VLOOKUP(BO184,Fundamentus!A:U,12,FALSE)&gt;8,"Supervalorizada","n/a")))))</f>
        <v>Supervalorizada</v>
      </c>
      <c r="EQ184" s="17" t="str">
        <f>IF(VLOOKUP(BO184,Fundamentus!A:U,17,FALSE)&lt;0.1,"Fraco retorno",IF(VLOOKUP(BO184,Fundamentus!A:U,17,FALSE)&gt;0.1,"Bom retorno","n/a"))</f>
        <v>Fraco retorno</v>
      </c>
      <c r="ER184" s="17" t="str">
        <f>IF(VLOOKUP(BO184,Fundamentus!A:U,16,FALSE)&lt;0.1,"Ineficiente",IF(VLOOKUP(BO184,Fundamentus!A:U,16,FALSE)&gt;0.1,"Eficiente","n/a"))</f>
        <v>Ineficiente</v>
      </c>
      <c r="ES184" s="33" t="str">
        <f>IF(VLOOKUP(BO184,Fundamentus!A:U,16,FALSE)&lt;0.1,"Oper. Ineficiente",IF(VLOOKUP(BO184,Fundamentus!A:U,16,FALSE)&gt;0.1,"Oper.Eficiente","n/a"))</f>
        <v>Oper. Ineficiente</v>
      </c>
      <c r="ET184" s="34">
        <f>VLOOKUP(BO184,Fundamentus!A:U,14,FALSE)</f>
        <v>4.5699999999999998E-2</v>
      </c>
      <c r="EU184" s="17" t="str">
        <f>IF(VLOOKUP(BO184,Fundamentus!A:U,21,FALSE)&lt;0,"Negativo",IF(VLOOKUP(BO184,Fundamentus!A:U,21,FALSE)&lt;0.05,"Fraco",IF(VLOOKUP(BO184,Fundamentus!A:U,21,FALSE)&lt;0.1,"Bom",IF(VLOOKUP(BO184,Fundamentus!A:U,21,FALSE)&gt;0.1,"Muito bom","n/a"))))</f>
        <v>Fraco</v>
      </c>
      <c r="EW184" s="29" t="str">
        <f>IF(VLOOKUP(BO184,Fundamentus!A:U,15,FALSE)&gt;1,"Bom",IF(VLOOKUP(BO184,Fundamentus!A:U,15,FALSE)&lt;1,"Ruim","n/a"))</f>
        <v>Bom</v>
      </c>
      <c r="EX184" s="17" t="str">
        <f>IF(VLOOKUP(BO184,Fundamentus!A:U,20,FALSE)&lt;0.5,"Baixa",IF(VLOOKUP(BO184,Fundamentus!A:U,20,FALSE)&lt;1,"Moderada",IF(VLOOKUP(BO184,Fundamentus!A:U,20,FALSE)&lt;2,"Alerta",IF(VLOOKUP(BO184,Fundamentus!A:U,20,FALSE)&gt;2,"Alta","n/a"))))</f>
        <v>Baixa</v>
      </c>
      <c r="EY184" s="10"/>
    </row>
    <row r="185" spans="1:155" s="5" customFormat="1" ht="11.25"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5">
        <v>1.29</v>
      </c>
      <c r="BC185" s="52">
        <v>1.26</v>
      </c>
      <c r="BD185" s="52">
        <v>1</v>
      </c>
      <c r="BE185" s="52">
        <v>1.04</v>
      </c>
      <c r="BF185" s="52">
        <v>1.07</v>
      </c>
      <c r="BG185" s="67">
        <v>1.07</v>
      </c>
      <c r="BH185" s="52">
        <v>1.08</v>
      </c>
      <c r="BI185" s="52">
        <v>1.08</v>
      </c>
      <c r="BJ185" s="52">
        <v>1.07</v>
      </c>
      <c r="BK185" s="52">
        <v>1.04</v>
      </c>
      <c r="BL185" s="52">
        <v>1.05</v>
      </c>
      <c r="BM185" s="52">
        <v>1.03</v>
      </c>
      <c r="BN185" s="52" cm="1">
        <f t="array" aca="1" ref="BN185" ca="1">_FV(EB185,"Preço")</f>
        <v>1.03</v>
      </c>
      <c r="BO185" s="69" t="s">
        <v>181</v>
      </c>
      <c r="BP185" s="36" cm="1">
        <f t="array" aca="1" ref="BP185" ca="1">_FV(EB185,"Média de volume",TRUE)</f>
        <v>934680</v>
      </c>
      <c r="BQ185" s="36">
        <v>1196800</v>
      </c>
      <c r="BR185" s="36" cm="1">
        <f t="array" aca="1" ref="BR185" ca="1">_FV(EB185,"Volume")</f>
        <v>1196800</v>
      </c>
      <c r="BS185" s="24" cm="1">
        <f t="array" aca="1" ref="BS185" ca="1">_FV(EB185,"Beta")</f>
        <v>1.8240000000000001</v>
      </c>
      <c r="BT185" s="71" cm="1">
        <f t="array" aca="1" ref="BT185" ca="1">_FV(EB185,"Variação (%)",TRUE)</f>
        <v>-9.6150000000000003E-3</v>
      </c>
      <c r="BV185" s="17" cm="1">
        <f t="array" aca="1" ref="BV185" ca="1">_FV(EB185,"Baixo")</f>
        <v>1.02</v>
      </c>
      <c r="BW185" s="17" cm="1">
        <f t="array" aca="1" ref="BW185" ca="1">_FV(EB185,"Alto")</f>
        <v>1.05</v>
      </c>
      <c r="BX185" s="24"/>
      <c r="BY185" s="63" t="e">
        <f ca="1">SQRT(22.5*(BN185/VLOOKUP(BO185,Fundamentus!A:U,3,FALSE))*(BN185/VLOOKUP(BO185,Fundamentus!A:U,4,FALSE)))</f>
        <v>#NUM!</v>
      </c>
      <c r="CA185" s="62">
        <f t="shared" ca="1" si="168"/>
        <v>0</v>
      </c>
      <c r="CB185" s="8"/>
      <c r="CC185" s="61">
        <f t="shared" si="169"/>
        <v>1</v>
      </c>
      <c r="CD185" s="61">
        <f t="shared" si="170"/>
        <v>2.1800000000000002</v>
      </c>
      <c r="CE185" s="61">
        <f t="shared" si="171"/>
        <v>1.478230769230769</v>
      </c>
      <c r="CF185" s="14"/>
      <c r="CG185" s="35">
        <f t="shared" si="154"/>
        <v>0.99041960108449789</v>
      </c>
      <c r="CH185" s="15">
        <f t="shared" si="172"/>
        <v>1.019999999999996</v>
      </c>
      <c r="CI185" s="35">
        <f t="shared" si="155"/>
        <v>1.0495803989154942</v>
      </c>
      <c r="CK185" s="14"/>
      <c r="CL185" s="17">
        <f t="shared" si="156"/>
        <v>-0.54</v>
      </c>
      <c r="CM185" s="17">
        <f t="shared" si="157"/>
        <v>0.22999999999999998</v>
      </c>
      <c r="CN185" s="17">
        <f t="shared" si="158"/>
        <v>0.64000000000000012</v>
      </c>
      <c r="CO185" s="38">
        <f t="shared" si="173"/>
        <v>1.4100000000000001</v>
      </c>
      <c r="CP185" s="17">
        <f t="shared" si="159"/>
        <v>1.8200000000000003</v>
      </c>
      <c r="CQ185" s="17">
        <f t="shared" si="160"/>
        <v>2.5900000000000003</v>
      </c>
      <c r="CR185" s="17">
        <f t="shared" si="161"/>
        <v>3.0000000000000004</v>
      </c>
      <c r="CS185" s="2" cm="1">
        <f t="array" aca="1" ref="CS185" ca="1">MAX(_xlfn._xlws.FILTER(CL185:CR185,CL185:CR185&lt;BN185))</f>
        <v>0.64000000000000012</v>
      </c>
      <c r="CT185" s="2" cm="1">
        <f t="array" aca="1" ref="CT185" ca="1">MIN(_xlfn._xlws.FILTER($CL185:$CR185,$CL185:$CR185&gt;BN185))</f>
        <v>1.4100000000000001</v>
      </c>
      <c r="CU185" s="16">
        <f t="shared" ca="1" si="192"/>
        <v>1.203125</v>
      </c>
      <c r="CV185" s="20">
        <f t="shared" ca="1" si="193"/>
        <v>-0.6015625</v>
      </c>
      <c r="CW185" s="20">
        <f t="shared" ca="1" si="194"/>
        <v>-0.40104166666666669</v>
      </c>
      <c r="CX185" s="20">
        <f t="shared" ca="1" si="195"/>
        <v>-0.24062500000000001</v>
      </c>
      <c r="CY185" s="20">
        <f t="shared" ca="1" si="196"/>
        <v>-0.13368055555555555</v>
      </c>
      <c r="CZ185" s="20">
        <f t="shared" ca="1" si="197"/>
        <v>-7.077205882352941E-2</v>
      </c>
      <c r="DA185" s="20">
        <f t="shared" ca="1" si="198"/>
        <v>-3.6458333333333336E-2</v>
      </c>
      <c r="DB185" s="20">
        <f t="shared" ca="1" si="199"/>
        <v>-1.8509615384615385E-2</v>
      </c>
      <c r="DC185" s="21">
        <f t="shared" ca="1" si="200"/>
        <v>1.8509615384615385E-2</v>
      </c>
      <c r="DD185" s="21">
        <f t="shared" ca="1" si="201"/>
        <v>3.6458333333333336E-2</v>
      </c>
      <c r="DE185" s="21">
        <f t="shared" ca="1" si="202"/>
        <v>7.077205882352941E-2</v>
      </c>
      <c r="DF185" s="21">
        <f t="shared" ca="1" si="203"/>
        <v>0.13368055555555555</v>
      </c>
      <c r="DG185" s="21">
        <f t="shared" ca="1" si="204"/>
        <v>0.24062500000000001</v>
      </c>
      <c r="DH185" s="21">
        <f t="shared" ca="1" si="205"/>
        <v>0.40104166666666669</v>
      </c>
      <c r="DI185" s="21">
        <f t="shared" ca="1" si="206"/>
        <v>0.6015625</v>
      </c>
      <c r="DK185" s="16" cm="1">
        <f t="array" aca="1" ref="DK185" ca="1">MAX(_xlfn._xlws.FILTER(CV185:DI185,CV185:DI185&lt;BT185))</f>
        <v>-1.8509615384615385E-2</v>
      </c>
      <c r="DL185" s="16" cm="1">
        <f t="array" aca="1" ref="DL185" ca="1">MIN(_xlfn._xlws.FILTER(CV185:DI185,CV185:DI185&gt;BT185))</f>
        <v>1.8509615384615385E-2</v>
      </c>
      <c r="DM185" s="2" cm="1">
        <f t="array" aca="1" ref="DM185" ca="1">_FV(EB185,"Fechamento anterior",TRUE)</f>
        <v>1.04</v>
      </c>
      <c r="DN185" s="28">
        <f t="shared" ca="1" si="162"/>
        <v>0.2402597402597399</v>
      </c>
      <c r="DO185" s="15">
        <f t="shared" ca="1" si="207"/>
        <v>1.02075</v>
      </c>
      <c r="DP185" s="15">
        <f t="shared" ca="1" si="208"/>
        <v>1.05925</v>
      </c>
      <c r="DQ185" s="9"/>
      <c r="DR185" s="9"/>
      <c r="DS185" s="9"/>
      <c r="DT185" s="89">
        <v>3.701923076923077E-2</v>
      </c>
      <c r="DU185" s="89">
        <f t="shared" ca="1" si="163"/>
        <v>3.701923076923077E-2</v>
      </c>
      <c r="DV185" s="72">
        <f t="shared" ca="1" si="164"/>
        <v>0.3380617018915415</v>
      </c>
      <c r="DW185" s="37"/>
      <c r="DX185" s="35">
        <f t="shared" si="174"/>
        <v>1.4790199457749054E-2</v>
      </c>
      <c r="DY185" s="56"/>
      <c r="DZ185" s="56"/>
      <c r="EB185" s="5" t="e" vm="187">
        <v>#VALUE!</v>
      </c>
      <c r="ED185" s="10" cm="1">
        <f t="array" aca="1" ref="ED185" ca="1">_FV(EB185,"Ações em circulação",TRUE)</f>
        <v>820539200</v>
      </c>
      <c r="EE185" s="18">
        <f>VLOOKUP(BO185,Fundamentus!A:U,5,FALSE)</f>
        <v>0.252</v>
      </c>
      <c r="EF185" s="2">
        <f t="shared" ca="1" si="165"/>
        <v>3353791174.6031747</v>
      </c>
      <c r="EG185" s="17">
        <v>-183787756.36825398</v>
      </c>
      <c r="EH185" s="17">
        <f t="shared" ca="1" si="166"/>
        <v>-183787756.36825398</v>
      </c>
      <c r="EI185" s="2"/>
      <c r="EJ185" s="16">
        <f t="shared" ca="1" si="153"/>
        <v>0</v>
      </c>
      <c r="EK185" s="32" t="str">
        <f>IF(VLOOKUP(BO185,Fundamentus!A:U,3,FALSE)&lt;15,"Bom",IF(VLOOKUP(BO185,Fundamentus!A:U,3,FALSE)&gt;15,"Ruim","n/a"))</f>
        <v>Bom</v>
      </c>
      <c r="EL185" s="28" t="str">
        <f>IF(VLOOKUP(BO185,Fundamentus!A:U,4,FALSE)&lt;1,"Baixo",IF(VLOOKUP(BO185,Fundamentus!A:U,4,FALSE)&lt;1.5,"Moderado",IF(VLOOKUP(BO185,Fundamentus!A:U,4,FALSE)&gt;1.5,"Alto","n/a")))</f>
        <v>Baixo</v>
      </c>
      <c r="EM185" s="17" t="str">
        <f>IF(VLOOKUP(BO185,Fundamentus!A:U,8,FALSE)&lt;0,"Risco elevado",IF(VLOOKUP(BO185,Fundamentus!A:U,8,FALSE)&lt;1,"Saudável",IF(VLOOKUP(BO185,Fundamentus!A:U,8,FALSE)&lt;3,"Estável",IF(VLOOKUP(BO185,Fundamentus!A:U,8,FALSE)&gt;3,"Alerta","n/a"))))</f>
        <v>Saudável</v>
      </c>
      <c r="EN185" s="28" t="str">
        <f t="shared" si="167"/>
        <v>Ruim</v>
      </c>
      <c r="EO185" s="17" t="str">
        <f>IF(VLOOKUP(BO185,Fundamentus!A:U,12,FALSE)&lt;2,"Subvalorizada",IF(VLOOKUP(BO185,Fundamentus!A:U,12,FALSE)&lt;6,"Muita barata",IF(VLOOKUP(BO185,Fundamentus!A:U,12,FALSE)&lt;6,"Barata",IF(VLOOKUP(BO185,Fundamentus!A:U,12,FALSE)&lt;8,"Atrativa",IF(VLOOKUP(BO185,Fundamentus!A:U,12,FALSE)&gt;8,"Supervalorizada","n/a")))))</f>
        <v>Subvalorizada</v>
      </c>
      <c r="EP185" s="2"/>
      <c r="EQ185" s="17" t="str">
        <f>IF(VLOOKUP(BO185,Fundamentus!A:U,17,FALSE)&lt;0.1,"Fraco retorno",IF(VLOOKUP(BO185,Fundamentus!A:U,17,FALSE)&gt;0.1,"Bom retorno","n/a"))</f>
        <v>Fraco retorno</v>
      </c>
      <c r="ER185" s="17" t="str">
        <f>IF(VLOOKUP(BO185,Fundamentus!A:U,16,FALSE)&lt;0.1,"Ineficiente",IF(VLOOKUP(BO185,Fundamentus!A:U,16,FALSE)&gt;0.1,"Eficiente","n/a"))</f>
        <v>Ineficiente</v>
      </c>
      <c r="ES185" s="33" t="str">
        <f>IF(VLOOKUP(BO185,Fundamentus!A:U,16,FALSE)&lt;0.1,"Oper. Ineficiente",IF(VLOOKUP(BO185,Fundamentus!A:U,16,FALSE)&gt;0.1,"Oper.Eficiente","n/a"))</f>
        <v>Oper. Ineficiente</v>
      </c>
      <c r="ET185" s="34">
        <f>VLOOKUP(BO185,Fundamentus!A:U,14,FALSE)</f>
        <v>-5.4800000000000001E-2</v>
      </c>
      <c r="EU185" s="17" t="str">
        <f>IF(VLOOKUP(BO185,Fundamentus!A:U,21,FALSE)&lt;0,"Negativo",IF(VLOOKUP(BO185,Fundamentus!A:U,21,FALSE)&lt;0.05,"Fraco",IF(VLOOKUP(BO185,Fundamentus!A:U,21,FALSE)&lt;0.1,"Bom",IF(VLOOKUP(BO185,Fundamentus!A:U,21,FALSE)&gt;0.1,"Muito bom","n/a"))))</f>
        <v>Negativo</v>
      </c>
      <c r="EW185" s="29" t="str">
        <f>IF(VLOOKUP(BO185,Fundamentus!A:U,15,FALSE)&gt;1,"Bom",IF(VLOOKUP(BO185,Fundamentus!A:U,15,FALSE)&lt;1,"Ruim","n/a"))</f>
        <v>Bom</v>
      </c>
      <c r="EX185" s="17" t="str">
        <f>IF(VLOOKUP(BO185,Fundamentus!A:U,20,FALSE)&lt;0.5,"Baixa",IF(VLOOKUP(BO185,Fundamentus!A:U,20,FALSE)&lt;1,"Moderada",IF(VLOOKUP(BO185,Fundamentus!A:U,20,FALSE)&lt;2,"Alerta",IF(VLOOKUP(BO185,Fundamentus!A:U,20,FALSE)&gt;2,"Alta","n/a"))))</f>
        <v>Baixa</v>
      </c>
      <c r="EY185" s="10"/>
    </row>
    <row r="186" spans="1:155" s="2" customFormat="1" ht="11.25"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5">
        <v>13.75</v>
      </c>
      <c r="BC186" s="52">
        <v>15.28</v>
      </c>
      <c r="BD186" s="52">
        <v>17.989999999999998</v>
      </c>
      <c r="BE186" s="52">
        <v>18.79</v>
      </c>
      <c r="BF186" s="52">
        <v>18.8</v>
      </c>
      <c r="BG186" s="67">
        <v>18.399999999999999</v>
      </c>
      <c r="BH186" s="52">
        <v>18.39</v>
      </c>
      <c r="BI186" s="52">
        <v>18.7</v>
      </c>
      <c r="BJ186" s="52">
        <v>18.760000000000002</v>
      </c>
      <c r="BK186" s="52">
        <v>17.170000000000002</v>
      </c>
      <c r="BL186" s="52">
        <v>17.18</v>
      </c>
      <c r="BM186" s="52">
        <v>17.2</v>
      </c>
      <c r="BN186" s="52" cm="1">
        <f t="array" aca="1" ref="BN186" ca="1">_FV(EB186,"Preço")</f>
        <v>17.2</v>
      </c>
      <c r="BO186" s="69" t="s">
        <v>11</v>
      </c>
      <c r="BP186" s="36" cm="1">
        <f t="array" aca="1" ref="BP186" ca="1">_FV(EB186,"Média de volume",TRUE)</f>
        <v>27230</v>
      </c>
      <c r="BQ186" s="36">
        <v>22200</v>
      </c>
      <c r="BR186" s="36" cm="1">
        <f t="array" aca="1" ref="BR186" ca="1">_FV(EB186,"Volume")</f>
        <v>22200</v>
      </c>
      <c r="BS186" s="24" cm="1">
        <f t="array" aca="1" ref="BS186" ca="1">_FV(EB186,"Beta")</f>
        <v>1.0273000000000001</v>
      </c>
      <c r="BT186" s="71" cm="1">
        <f t="array" aca="1" ref="BT186" ca="1">_FV(EB186,"Variação (%)",TRUE)</f>
        <v>2.5640999999999997E-2</v>
      </c>
      <c r="BV186" s="17" cm="1">
        <f t="array" aca="1" ref="BV186" ca="1">_FV(EB186,"Baixo")</f>
        <v>16.8</v>
      </c>
      <c r="BW186" s="17" cm="1">
        <f t="array" aca="1" ref="BW186" ca="1">_FV(EB186,"Alto")</f>
        <v>17.27</v>
      </c>
      <c r="BX186" s="24"/>
      <c r="BY186" s="17">
        <f ca="1">SQRT(22.5*(BN186/VLOOKUP(BO186,Fundamentus!A:U,3,FALSE))*(BN186/VLOOKUP(BO186,Fundamentus!A:U,4,FALSE)))</f>
        <v>41.061152408110352</v>
      </c>
      <c r="CA186" s="62">
        <f t="shared" ca="1" si="168"/>
        <v>0</v>
      </c>
      <c r="CB186" s="8"/>
      <c r="CC186" s="61">
        <f t="shared" si="169"/>
        <v>12.1</v>
      </c>
      <c r="CD186" s="61">
        <f t="shared" si="170"/>
        <v>18.8</v>
      </c>
      <c r="CE186" s="61">
        <f t="shared" si="171"/>
        <v>14.795461538461536</v>
      </c>
      <c r="CF186" s="14"/>
      <c r="CG186" s="35">
        <f t="shared" si="154"/>
        <v>15.044395738143587</v>
      </c>
      <c r="CH186" s="15">
        <f t="shared" si="172"/>
        <v>16.409999999999854</v>
      </c>
      <c r="CI186" s="35">
        <f t="shared" si="155"/>
        <v>17.775604261856124</v>
      </c>
      <c r="CK186" s="14"/>
      <c r="CL186" s="17">
        <f t="shared" si="156"/>
        <v>6.5533333333333328</v>
      </c>
      <c r="CM186" s="17">
        <f t="shared" si="157"/>
        <v>9.3266666666666662</v>
      </c>
      <c r="CN186" s="17">
        <f t="shared" si="158"/>
        <v>13.253333333333334</v>
      </c>
      <c r="CO186" s="38">
        <f t="shared" si="173"/>
        <v>16.026666666666667</v>
      </c>
      <c r="CP186" s="17">
        <f t="shared" si="159"/>
        <v>19.953333333333333</v>
      </c>
      <c r="CQ186" s="17">
        <f t="shared" si="160"/>
        <v>22.726666666666667</v>
      </c>
      <c r="CR186" s="17">
        <f t="shared" si="161"/>
        <v>26.653333333333336</v>
      </c>
      <c r="CS186" s="2" cm="1">
        <f t="array" aca="1" ref="CS186" ca="1">MAX(_xlfn._xlws.FILTER(CL186:CR186,CL186:CR186&lt;BN186))</f>
        <v>16.026666666666667</v>
      </c>
      <c r="CT186" s="2" cm="1">
        <f t="array" aca="1" ref="CT186" ca="1">MIN(_xlfn._xlws.FILTER($CL186:$CR186,$CL186:$CR186&gt;BN186))</f>
        <v>19.953333333333333</v>
      </c>
      <c r="CU186" s="16">
        <f t="shared" ca="1" si="192"/>
        <v>0.24500831946755408</v>
      </c>
      <c r="CV186" s="20">
        <f t="shared" ca="1" si="193"/>
        <v>-0.12250415973377704</v>
      </c>
      <c r="CW186" s="20">
        <f t="shared" ca="1" si="194"/>
        <v>-8.1669439822518022E-2</v>
      </c>
      <c r="CX186" s="20">
        <f t="shared" ca="1" si="195"/>
        <v>-4.9001663893510815E-2</v>
      </c>
      <c r="CY186" s="20">
        <f t="shared" ca="1" si="196"/>
        <v>-2.7223146607506007E-2</v>
      </c>
      <c r="CZ186" s="20">
        <f t="shared" ca="1" si="197"/>
        <v>-1.4412254086326711E-2</v>
      </c>
      <c r="DA186" s="20">
        <f t="shared" ca="1" si="198"/>
        <v>-7.4244945293198208E-3</v>
      </c>
      <c r="DB186" s="20">
        <f t="shared" ca="1" si="199"/>
        <v>-3.7693587610392936E-3</v>
      </c>
      <c r="DC186" s="21">
        <f t="shared" ca="1" si="200"/>
        <v>3.7693587610392936E-3</v>
      </c>
      <c r="DD186" s="21">
        <f t="shared" ca="1" si="201"/>
        <v>7.4244945293198208E-3</v>
      </c>
      <c r="DE186" s="21">
        <f t="shared" ca="1" si="202"/>
        <v>1.4412254086326711E-2</v>
      </c>
      <c r="DF186" s="21">
        <f t="shared" ca="1" si="203"/>
        <v>2.7223146607506007E-2</v>
      </c>
      <c r="DG186" s="21">
        <f t="shared" ca="1" si="204"/>
        <v>4.9001663893510815E-2</v>
      </c>
      <c r="DH186" s="21">
        <f t="shared" ca="1" si="205"/>
        <v>8.1669439822518022E-2</v>
      </c>
      <c r="DI186" s="21">
        <f t="shared" ca="1" si="206"/>
        <v>0.12250415973377704</v>
      </c>
      <c r="DK186" s="16" cm="1">
        <f t="array" aca="1" ref="DK186" ca="1">MAX(_xlfn._xlws.FILTER(CV186:DI186,CV186:DI186&lt;BT186))</f>
        <v>1.4412254086326711E-2</v>
      </c>
      <c r="DL186" s="16" cm="1">
        <f t="array" aca="1" ref="DL186" ca="1">MIN(_xlfn._xlws.FILTER(CV186:DI186,CV186:DI186&gt;BT186))</f>
        <v>2.7223146607506007E-2</v>
      </c>
      <c r="DM186" s="2" cm="1">
        <f t="array" aca="1" ref="DM186" ca="1">_FV(EB186,"Fechamento anterior",TRUE)</f>
        <v>16.77</v>
      </c>
      <c r="DN186" s="28">
        <f t="shared" ca="1" si="162"/>
        <v>0.87650189369204767</v>
      </c>
      <c r="DO186" s="15">
        <f t="shared" ca="1" si="207"/>
        <v>17.011693501027697</v>
      </c>
      <c r="DP186" s="15">
        <f t="shared" ca="1" si="208"/>
        <v>17.226532168607875</v>
      </c>
      <c r="DQ186" s="9"/>
      <c r="DR186" s="9"/>
      <c r="DS186" s="9"/>
      <c r="DT186" s="89">
        <v>1.2810892521179297E-2</v>
      </c>
      <c r="DU186" s="89">
        <f t="shared" ca="1" si="163"/>
        <v>1.2810892521179297E-2</v>
      </c>
      <c r="DV186" s="75">
        <f t="shared" ca="1" si="164"/>
        <v>0.57849848749468369</v>
      </c>
      <c r="DW186" s="37"/>
      <c r="DX186" s="35">
        <f t="shared" si="174"/>
        <v>0.68280213092813402</v>
      </c>
      <c r="DY186" s="56"/>
      <c r="DZ186" s="56"/>
      <c r="EB186" s="2" t="e" vm="188">
        <v>#VALUE!</v>
      </c>
      <c r="ED186" s="10" cm="1">
        <f t="array" aca="1" ref="ED186" ca="1">_FV(EB186,"Ações em circulação",TRUE)</f>
        <v>92619260</v>
      </c>
      <c r="EE186" s="18">
        <f>VLOOKUP(BO186,Fundamentus!A:U,5,FALSE)</f>
        <v>0.53500000000000003</v>
      </c>
      <c r="EF186" s="2">
        <f t="shared" ca="1" si="165"/>
        <v>2977665928.9719625</v>
      </c>
      <c r="EG186" s="17">
        <v>242084240.02542055</v>
      </c>
      <c r="EH186" s="17">
        <f t="shared" ca="1" si="166"/>
        <v>242084240.02542055</v>
      </c>
      <c r="EJ186" s="16">
        <f t="shared" ca="1" si="153"/>
        <v>0</v>
      </c>
      <c r="EK186" s="32" t="str">
        <f>IF(VLOOKUP(BO186,Fundamentus!A:U,3,FALSE)&lt;15,"Bom",IF(VLOOKUP(BO186,Fundamentus!A:U,3,FALSE)&gt;15,"Ruim","n/a"))</f>
        <v>Bom</v>
      </c>
      <c r="EL186" s="28" t="str">
        <f>IF(VLOOKUP(BO186,Fundamentus!A:U,4,FALSE)&lt;1,"Baixo",IF(VLOOKUP(BO186,Fundamentus!A:U,4,FALSE)&lt;1.5,"Moderado",IF(VLOOKUP(BO186,Fundamentus!A:U,4,FALSE)&gt;1.5,"Alto","n/a")))</f>
        <v>Baixo</v>
      </c>
      <c r="EM186" s="17" t="str">
        <f>IF(VLOOKUP(BO186,Fundamentus!A:U,8,FALSE)&lt;0,"Risco elevado",IF(VLOOKUP(BO186,Fundamentus!A:U,8,FALSE)&lt;1,"Saudável",IF(VLOOKUP(BO186,Fundamentus!A:U,8,FALSE)&lt;3,"Estável",IF(VLOOKUP(BO186,Fundamentus!A:U,8,FALSE)&gt;3,"Alerta","n/a"))))</f>
        <v>Estável</v>
      </c>
      <c r="EN186" s="28" t="str">
        <f t="shared" si="167"/>
        <v>Ruim</v>
      </c>
      <c r="EO186" s="17" t="str">
        <f>IF(VLOOKUP(BO186,Fundamentus!A:U,12,FALSE)&lt;2,"Subvalorizada",IF(VLOOKUP(BO186,Fundamentus!A:U,12,FALSE)&lt;6,"Muita barata",IF(VLOOKUP(BO186,Fundamentus!A:U,12,FALSE)&lt;6,"Barata",IF(VLOOKUP(BO186,Fundamentus!A:U,12,FALSE)&lt;8,"Atrativa",IF(VLOOKUP(BO186,Fundamentus!A:U,12,FALSE)&gt;8,"Supervalorizada","n/a")))))</f>
        <v>Muita barata</v>
      </c>
      <c r="EQ186" s="17" t="str">
        <f>IF(VLOOKUP(BO186,Fundamentus!A:U,17,FALSE)&lt;0.1,"Fraco retorno",IF(VLOOKUP(BO186,Fundamentus!A:U,17,FALSE)&gt;0.1,"Bom retorno","n/a"))</f>
        <v>Fraco retorno</v>
      </c>
      <c r="ER186" s="17" t="str">
        <f>IF(VLOOKUP(BO186,Fundamentus!A:U,16,FALSE)&lt;0.1,"Ineficiente",IF(VLOOKUP(BO186,Fundamentus!A:U,16,FALSE)&gt;0.1,"Eficiente","n/a"))</f>
        <v>Eficiente</v>
      </c>
      <c r="ES186" s="33" t="str">
        <f>IF(VLOOKUP(BO186,Fundamentus!A:U,16,FALSE)&lt;0.1,"Oper. Ineficiente",IF(VLOOKUP(BO186,Fundamentus!A:U,16,FALSE)&gt;0.1,"Oper.Eficiente","n/a"))</f>
        <v>Oper.Eficiente</v>
      </c>
      <c r="ET186" s="34">
        <f>VLOOKUP(BO186,Fundamentus!A:U,14,FALSE)</f>
        <v>8.1299999999999997E-2</v>
      </c>
      <c r="EU186" s="17" t="str">
        <f>IF(VLOOKUP(BO186,Fundamentus!A:U,21,FALSE)&lt;0,"Negativo",IF(VLOOKUP(BO186,Fundamentus!A:U,21,FALSE)&lt;0.05,"Fraco",IF(VLOOKUP(BO186,Fundamentus!A:U,21,FALSE)&lt;0.1,"Bom",IF(VLOOKUP(BO186,Fundamentus!A:U,21,FALSE)&gt;0.1,"Muito bom","n/a"))))</f>
        <v>Bom</v>
      </c>
      <c r="EW186" s="29" t="str">
        <f>IF(VLOOKUP(BO186,Fundamentus!A:U,15,FALSE)&gt;1,"Bom",IF(VLOOKUP(BO186,Fundamentus!A:U,15,FALSE)&lt;1,"Ruim","n/a"))</f>
        <v>Bom</v>
      </c>
      <c r="EX186" s="17" t="str">
        <f>IF(VLOOKUP(BO186,Fundamentus!A:U,20,FALSE)&lt;0.5,"Baixa",IF(VLOOKUP(BO186,Fundamentus!A:U,20,FALSE)&lt;1,"Moderada",IF(VLOOKUP(BO186,Fundamentus!A:U,20,FALSE)&lt;2,"Alerta",IF(VLOOKUP(BO186,Fundamentus!A:U,20,FALSE)&gt;2,"Alta","n/a"))))</f>
        <v>Baixa</v>
      </c>
      <c r="EY186" s="10">
        <v>1</v>
      </c>
    </row>
    <row r="187" spans="1:155" s="2" customFormat="1" ht="11.25"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5">
        <v>14.25</v>
      </c>
      <c r="BC187" s="52">
        <v>14.77</v>
      </c>
      <c r="BD187" s="52">
        <v>14.39</v>
      </c>
      <c r="BE187" s="52">
        <v>13.95</v>
      </c>
      <c r="BF187" s="52">
        <v>13.57</v>
      </c>
      <c r="BG187" s="67">
        <v>13.05</v>
      </c>
      <c r="BH187" s="52">
        <v>13.62</v>
      </c>
      <c r="BI187" s="52">
        <v>14.12</v>
      </c>
      <c r="BJ187" s="52">
        <v>14.71</v>
      </c>
      <c r="BK187" s="52">
        <v>13.71</v>
      </c>
      <c r="BL187" s="52">
        <v>12.97</v>
      </c>
      <c r="BM187" s="52">
        <v>13.07</v>
      </c>
      <c r="BN187" s="52" cm="1">
        <f t="array" aca="1" ref="BN187" ca="1">_FV(EB187,"Preço")</f>
        <v>13.07</v>
      </c>
      <c r="BO187" s="69" t="s">
        <v>183</v>
      </c>
      <c r="BP187" s="36" cm="1">
        <f t="array" aca="1" ref="BP187" ca="1">_FV(EB187,"Média de volume",TRUE)</f>
        <v>30237190</v>
      </c>
      <c r="BQ187" s="36">
        <v>20299700</v>
      </c>
      <c r="BR187" s="36" cm="1">
        <f t="array" aca="1" ref="BR187" ca="1">_FV(EB187,"Volume")</f>
        <v>20299700</v>
      </c>
      <c r="BS187" s="24" cm="1">
        <f t="array" aca="1" ref="BS187" ca="1">_FV(EB187,"Beta")</f>
        <v>1.5002</v>
      </c>
      <c r="BT187" s="71" cm="1">
        <f t="array" aca="1" ref="BT187" ca="1">_FV(EB187,"Variação (%)",TRUE)</f>
        <v>-3.8110000000000002E-3</v>
      </c>
      <c r="BV187" s="17" cm="1">
        <f t="array" aca="1" ref="BV187" ca="1">_FV(EB187,"Baixo")</f>
        <v>13.06</v>
      </c>
      <c r="BW187" s="17" cm="1">
        <f t="array" aca="1" ref="BW187" ca="1">_FV(EB187,"Alto")</f>
        <v>13.22</v>
      </c>
      <c r="BX187" s="24"/>
      <c r="BY187" s="63">
        <f ca="1">SQRT(22.5*(BN187/VLOOKUP(BO187,Fundamentus!A:U,3,FALSE))*(BN187/VLOOKUP(BO187,Fundamentus!A:U,4,FALSE)))</f>
        <v>8.2938863228025053</v>
      </c>
      <c r="CA187" s="62">
        <f t="shared" ca="1" si="168"/>
        <v>0</v>
      </c>
      <c r="CB187" s="8"/>
      <c r="CC187" s="61">
        <f t="shared" si="169"/>
        <v>9.26</v>
      </c>
      <c r="CD187" s="61">
        <f t="shared" si="170"/>
        <v>14.77</v>
      </c>
      <c r="CE187" s="61">
        <f t="shared" si="171"/>
        <v>11.638000000000002</v>
      </c>
      <c r="CF187" s="14"/>
      <c r="CG187" s="35">
        <f t="shared" si="154"/>
        <v>10.81396248247008</v>
      </c>
      <c r="CH187" s="15">
        <f t="shared" si="172"/>
        <v>12.199999999999818</v>
      </c>
      <c r="CI187" s="35">
        <f t="shared" si="155"/>
        <v>13.586037517529556</v>
      </c>
      <c r="CK187" s="14"/>
      <c r="CL187" s="17">
        <f t="shared" si="156"/>
        <v>4.3866666666666685</v>
      </c>
      <c r="CM187" s="17">
        <f t="shared" si="157"/>
        <v>6.8233333333333341</v>
      </c>
      <c r="CN187" s="17">
        <f t="shared" si="158"/>
        <v>9.8966666666666683</v>
      </c>
      <c r="CO187" s="38">
        <f t="shared" si="173"/>
        <v>12.333333333333334</v>
      </c>
      <c r="CP187" s="17">
        <f t="shared" si="159"/>
        <v>15.406666666666668</v>
      </c>
      <c r="CQ187" s="17">
        <f t="shared" si="160"/>
        <v>17.843333333333334</v>
      </c>
      <c r="CR187" s="17">
        <f t="shared" si="161"/>
        <v>20.916666666666668</v>
      </c>
      <c r="CS187" s="2" cm="1">
        <f t="array" aca="1" ref="CS187" ca="1">MAX(_xlfn._xlws.FILTER(CL187:CR187,CL187:CR187&lt;BN187))</f>
        <v>12.333333333333334</v>
      </c>
      <c r="CT187" s="2" cm="1">
        <f t="array" aca="1" ref="CT187" ca="1">MIN(_xlfn._xlws.FILTER($CL187:$CR187,$CL187:$CR187&gt;BN187))</f>
        <v>15.406666666666668</v>
      </c>
      <c r="CU187" s="16">
        <f t="shared" ref="CU187:CU205" ca="1" si="209">(CT187/CS187)-1</f>
        <v>0.24918918918918931</v>
      </c>
      <c r="CV187" s="20">
        <f t="shared" ref="CV187:CV205" ca="1" si="210">-$CU187/2</f>
        <v>-0.12459459459459465</v>
      </c>
      <c r="CW187" s="20">
        <f t="shared" ref="CW187:CW205" ca="1" si="211">-$CU187/3</f>
        <v>-8.3063063063063103E-2</v>
      </c>
      <c r="CX187" s="20">
        <f t="shared" ref="CX187:CX205" ca="1" si="212">-$CU187/5</f>
        <v>-4.9837837837837864E-2</v>
      </c>
      <c r="CY187" s="20">
        <f t="shared" ref="CY187:CY205" ca="1" si="213">-$CU187/9</f>
        <v>-2.7687687687687701E-2</v>
      </c>
      <c r="CZ187" s="20">
        <f t="shared" ref="CZ187:CZ205" ca="1" si="214">-$CU187/17</f>
        <v>-1.4658187599364077E-2</v>
      </c>
      <c r="DA187" s="20">
        <f t="shared" ref="DA187:DA205" ca="1" si="215">-$CU187/33</f>
        <v>-7.5511875511875548E-3</v>
      </c>
      <c r="DB187" s="20">
        <f t="shared" ref="DB187:DB205" ca="1" si="216">-$CU187/65</f>
        <v>-3.8336798336798357E-3</v>
      </c>
      <c r="DC187" s="21">
        <f t="shared" ref="DC187:DC205" ca="1" si="217">-$CU187/65*-1</f>
        <v>3.8336798336798357E-3</v>
      </c>
      <c r="DD187" s="21">
        <f t="shared" ref="DD187:DD205" ca="1" si="218">-$CU187/33*-1</f>
        <v>7.5511875511875548E-3</v>
      </c>
      <c r="DE187" s="21">
        <f t="shared" ref="DE187:DE205" ca="1" si="219">-$CU187/17*-1</f>
        <v>1.4658187599364077E-2</v>
      </c>
      <c r="DF187" s="21">
        <f t="shared" ref="DF187:DF205" ca="1" si="220">-$CU187/9*-1</f>
        <v>2.7687687687687701E-2</v>
      </c>
      <c r="DG187" s="21">
        <f t="shared" ref="DG187:DG205" ca="1" si="221">-$CU187/5*-1</f>
        <v>4.9837837837837864E-2</v>
      </c>
      <c r="DH187" s="21">
        <f t="shared" ref="DH187:DH205" ca="1" si="222">-$CU187/3*-1</f>
        <v>8.3063063063063103E-2</v>
      </c>
      <c r="DI187" s="21">
        <f t="shared" ref="DI187:DI205" ca="1" si="223">-$CU187/2*-1</f>
        <v>0.12459459459459465</v>
      </c>
      <c r="DK187" s="16" cm="1">
        <f t="array" aca="1" ref="DK187" ca="1">MAX(_xlfn._xlws.FILTER(CV187:DI187,CV187:DI187&lt;BT187))</f>
        <v>-3.8336798336798357E-3</v>
      </c>
      <c r="DL187" s="16" cm="1">
        <f t="array" aca="1" ref="DL187" ca="1">MIN(_xlfn._xlws.FILTER(CV187:DI187,CV187:DI187&gt;BT187))</f>
        <v>3.8336798336798357E-3</v>
      </c>
      <c r="DM187" s="2" cm="1">
        <f t="array" aca="1" ref="DM187" ca="1">_FV(EB187,"Fechamento anterior",TRUE)</f>
        <v>13.12</v>
      </c>
      <c r="DN187" s="28">
        <f t="shared" ca="1" si="162"/>
        <v>2.9611528490664494E-3</v>
      </c>
      <c r="DO187" s="15">
        <f t="shared" ref="DO187:DO205" ca="1" si="224">DM187+(DM187*DK187)</f>
        <v>13.06970212058212</v>
      </c>
      <c r="DP187" s="15">
        <f t="shared" ref="DP187:DP205" ca="1" si="225">DM187+(DM187*DL187)</f>
        <v>13.170297879417879</v>
      </c>
      <c r="DQ187" s="9"/>
      <c r="DR187" s="9"/>
      <c r="DS187" s="9"/>
      <c r="DT187" s="89">
        <v>7.6673596673596713E-3</v>
      </c>
      <c r="DU187" s="89">
        <f t="shared" ca="1" si="163"/>
        <v>7.6673596673596713E-3</v>
      </c>
      <c r="DV187" s="72">
        <f t="shared" ca="1" si="164"/>
        <v>0.62768863684926612</v>
      </c>
      <c r="DW187" s="37"/>
      <c r="DX187" s="35">
        <f t="shared" si="174"/>
        <v>0.69301875876486929</v>
      </c>
      <c r="DY187" s="56"/>
      <c r="DZ187" s="56"/>
      <c r="EB187" s="2" t="e" vm="189">
        <v>#VALUE!</v>
      </c>
      <c r="ED187" s="10" cm="1">
        <f t="array" aca="1" ref="ED187" ca="1">_FV(EB187,"Ações em circulação",TRUE)</f>
        <v>5426500000</v>
      </c>
      <c r="EE187" s="18">
        <f>VLOOKUP(BO187,Fundamentus!A:U,5,FALSE)</f>
        <v>6.5519999999999996</v>
      </c>
      <c r="EF187" s="2">
        <f t="shared" ca="1" si="165"/>
        <v>10824840506.715508</v>
      </c>
      <c r="EG187" s="17">
        <v>4759682370.8028088</v>
      </c>
      <c r="EH187" s="17">
        <f t="shared" ca="1" si="166"/>
        <v>4759682370.8028088</v>
      </c>
      <c r="EJ187" s="16">
        <f t="shared" ca="1" si="153"/>
        <v>0</v>
      </c>
      <c r="EK187" s="32" t="str">
        <f>IF(VLOOKUP(BO187,Fundamentus!A:U,3,FALSE)&lt;15,"Bom",IF(VLOOKUP(BO187,Fundamentus!A:U,3,FALSE)&gt;15,"Ruim","n/a"))</f>
        <v>Bom</v>
      </c>
      <c r="EL187" s="28" t="str">
        <f>IF(VLOOKUP(BO187,Fundamentus!A:U,4,FALSE)&lt;1,"Baixo",IF(VLOOKUP(BO187,Fundamentus!A:U,4,FALSE)&lt;1.5,"Moderado",IF(VLOOKUP(BO187,Fundamentus!A:U,4,FALSE)&gt;1.5,"Alto","n/a")))</f>
        <v>Alto</v>
      </c>
      <c r="EM187" s="17" t="str">
        <f>IF(VLOOKUP(BO187,Fundamentus!A:U,8,FALSE)&lt;0,"Risco elevado",IF(VLOOKUP(BO187,Fundamentus!A:U,8,FALSE)&lt;1,"Saudável",IF(VLOOKUP(BO187,Fundamentus!A:U,8,FALSE)&lt;3,"Estável",IF(VLOOKUP(BO187,Fundamentus!A:U,8,FALSE)&gt;3,"Alerta","n/a"))))</f>
        <v>Alerta</v>
      </c>
      <c r="EN187" s="28" t="str">
        <f t="shared" si="167"/>
        <v>Bom</v>
      </c>
      <c r="EO187" s="17" t="str">
        <f>IF(VLOOKUP(BO187,Fundamentus!A:U,12,FALSE)&lt;2,"Subvalorizada",IF(VLOOKUP(BO187,Fundamentus!A:U,12,FALSE)&lt;6,"Muita barata",IF(VLOOKUP(BO187,Fundamentus!A:U,12,FALSE)&lt;6,"Barata",IF(VLOOKUP(BO187,Fundamentus!A:U,12,FALSE)&lt;8,"Atrativa",IF(VLOOKUP(BO187,Fundamentus!A:U,12,FALSE)&gt;8,"Supervalorizada","n/a")))))</f>
        <v>Supervalorizada</v>
      </c>
      <c r="EQ187" s="17" t="str">
        <f>IF(VLOOKUP(BO187,Fundamentus!A:U,17,FALSE)&lt;0.1,"Fraco retorno",IF(VLOOKUP(BO187,Fundamentus!A:U,17,FALSE)&gt;0.1,"Bom retorno","n/a"))</f>
        <v>Bom retorno</v>
      </c>
      <c r="ER187" s="17" t="str">
        <f>IF(VLOOKUP(BO187,Fundamentus!A:U,16,FALSE)&lt;0.1,"Ineficiente",IF(VLOOKUP(BO187,Fundamentus!A:U,16,FALSE)&gt;0.1,"Eficiente","n/a"))</f>
        <v>Eficiente</v>
      </c>
      <c r="ES187" s="33" t="str">
        <f>IF(VLOOKUP(BO187,Fundamentus!A:U,16,FALSE)&lt;0.1,"Oper. Ineficiente",IF(VLOOKUP(BO187,Fundamentus!A:U,16,FALSE)&gt;0.1,"Oper.Eficiente","n/a"))</f>
        <v>Oper.Eficiente</v>
      </c>
      <c r="ET187" s="34">
        <f>VLOOKUP(BO187,Fundamentus!A:U,14,FALSE)</f>
        <v>0.43969999999999998</v>
      </c>
      <c r="EU187" s="17" t="str">
        <f>IF(VLOOKUP(BO187,Fundamentus!A:U,21,FALSE)&lt;0,"Negativo",IF(VLOOKUP(BO187,Fundamentus!A:U,21,FALSE)&lt;0.05,"Fraco",IF(VLOOKUP(BO187,Fundamentus!A:U,21,FALSE)&lt;0.1,"Bom",IF(VLOOKUP(BO187,Fundamentus!A:U,21,FALSE)&gt;0.1,"Muito bom","n/a"))))</f>
        <v>Fraco</v>
      </c>
      <c r="EW187" s="29" t="str">
        <f>IF(VLOOKUP(BO187,Fundamentus!A:U,15,FALSE)&gt;1,"Bom",IF(VLOOKUP(BO187,Fundamentus!A:U,15,FALSE)&lt;1,"Ruim","n/a"))</f>
        <v>Bom</v>
      </c>
      <c r="EX187" s="17" t="str">
        <f>IF(VLOOKUP(BO187,Fundamentus!A:U,20,FALSE)&lt;0.5,"Baixa",IF(VLOOKUP(BO187,Fundamentus!A:U,20,FALSE)&lt;1,"Moderada",IF(VLOOKUP(BO187,Fundamentus!A:U,20,FALSE)&lt;2,"Alerta",IF(VLOOKUP(BO187,Fundamentus!A:U,20,FALSE)&gt;2,"Alta","n/a"))))</f>
        <v>Moderada</v>
      </c>
      <c r="EY187" s="10"/>
    </row>
    <row r="188" spans="1:155" s="2" customFormat="1" ht="11.25"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5">
        <v>8.8699999999999992</v>
      </c>
      <c r="BC188" s="52">
        <v>8.8699999999999992</v>
      </c>
      <c r="BD188" s="52">
        <v>8.8699999999999992</v>
      </c>
      <c r="BE188" s="52">
        <v>8.8699999999999992</v>
      </c>
      <c r="BF188" s="52">
        <v>8.8699999999999992</v>
      </c>
      <c r="BG188" s="67">
        <v>8.8699999999999992</v>
      </c>
      <c r="BH188" s="52">
        <v>8.8699999999999992</v>
      </c>
      <c r="BI188" s="52">
        <v>8.8699999999999992</v>
      </c>
      <c r="BJ188" s="52">
        <v>8.8699999999999992</v>
      </c>
      <c r="BK188" s="52">
        <v>8.8699999999999992</v>
      </c>
      <c r="BL188" s="52">
        <v>8.8699999999999992</v>
      </c>
      <c r="BM188" s="52">
        <v>8.8699999999999992</v>
      </c>
      <c r="BN188" s="52" cm="1">
        <f t="array" aca="1" ref="BN188" ca="1">_FV(EB188,"Preço")</f>
        <v>8.8699999999999992</v>
      </c>
      <c r="BO188" s="69" t="s">
        <v>184</v>
      </c>
      <c r="BP188" s="36" t="e" cm="1" vm="3">
        <f t="array" ref="BP188">_FV(EB188,"Média de volume",TRUE)</f>
        <v>#VALUE!</v>
      </c>
      <c r="BQ188" s="36">
        <v>20000</v>
      </c>
      <c r="BR188" s="36" cm="1">
        <f t="array" aca="1" ref="BR188" ca="1">_FV(EB188,"Volume")</f>
        <v>20000</v>
      </c>
      <c r="BS188" s="24" cm="1">
        <f t="array" aca="1" ref="BS188" ca="1">_FV(EB188,"Beta")</f>
        <v>0.82779999999999998</v>
      </c>
      <c r="BT188" s="71" cm="1">
        <f t="array" aca="1" ref="BT188" ca="1">_FV(EB188,"Variação (%)",TRUE)</f>
        <v>0</v>
      </c>
      <c r="BV188" s="17" cm="1">
        <f t="array" aca="1" ref="BV188" ca="1">_FV(EB188,"Baixo")</f>
        <v>8.8699999999999992</v>
      </c>
      <c r="BW188" s="17" cm="1">
        <f t="array" aca="1" ref="BW188" ca="1">_FV(EB188,"Alto")</f>
        <v>8.8800000000000008</v>
      </c>
      <c r="BX188" s="24"/>
      <c r="BY188" s="63" t="e">
        <f ca="1">SQRT(22.5*(BN188/VLOOKUP(BO188,Fundamentus!A:U,3,FALSE))*(BN188/VLOOKUP(BO188,Fundamentus!A:U,4,FALSE)))</f>
        <v>#N/A</v>
      </c>
      <c r="CA188" s="62">
        <f t="shared" ca="1" si="168"/>
        <v>0</v>
      </c>
      <c r="CB188" s="8"/>
      <c r="CC188" s="61">
        <f t="shared" si="169"/>
        <v>0.46</v>
      </c>
      <c r="CD188" s="61">
        <f t="shared" si="170"/>
        <v>8.8800000000000008</v>
      </c>
      <c r="CE188" s="61">
        <f t="shared" si="171"/>
        <v>5.4160000000000013</v>
      </c>
      <c r="CF188" s="14"/>
      <c r="CG188" s="35">
        <f t="shared" si="154"/>
        <v>8.8699999999999992</v>
      </c>
      <c r="CH188" s="15">
        <f t="shared" si="172"/>
        <v>8.8699999999999992</v>
      </c>
      <c r="CI188" s="35">
        <f t="shared" si="155"/>
        <v>8.8699999999999992</v>
      </c>
      <c r="CK188" s="14"/>
      <c r="CL188" s="17">
        <f t="shared" si="156"/>
        <v>-5.160000000000001</v>
      </c>
      <c r="CM188" s="17">
        <f t="shared" si="157"/>
        <v>-2.3499999999999996</v>
      </c>
      <c r="CN188" s="17">
        <f t="shared" si="158"/>
        <v>3.26</v>
      </c>
      <c r="CO188" s="38">
        <f t="shared" si="173"/>
        <v>6.07</v>
      </c>
      <c r="CP188" s="17">
        <f t="shared" si="159"/>
        <v>11.68</v>
      </c>
      <c r="CQ188" s="17">
        <f t="shared" si="160"/>
        <v>14.49</v>
      </c>
      <c r="CR188" s="17">
        <f t="shared" si="161"/>
        <v>20.100000000000001</v>
      </c>
      <c r="CS188" s="2" cm="1">
        <f t="array" aca="1" ref="CS188" ca="1">MAX(_xlfn._xlws.FILTER(CL188:CR188,CL188:CR188&lt;BN188))</f>
        <v>6.07</v>
      </c>
      <c r="CT188" s="2" cm="1">
        <f t="array" aca="1" ref="CT188" ca="1">MIN(_xlfn._xlws.FILTER($CL188:$CR188,$CL188:$CR188&gt;BN188))</f>
        <v>11.68</v>
      </c>
      <c r="CU188" s="16">
        <f t="shared" ca="1" si="209"/>
        <v>0.92421746293245466</v>
      </c>
      <c r="CV188" s="20">
        <f t="shared" ca="1" si="210"/>
        <v>-0.46210873146622733</v>
      </c>
      <c r="CW188" s="20">
        <f t="shared" ca="1" si="211"/>
        <v>-0.30807248764415157</v>
      </c>
      <c r="CX188" s="20">
        <f t="shared" ca="1" si="212"/>
        <v>-0.18484349258649094</v>
      </c>
      <c r="CY188" s="20">
        <f t="shared" ca="1" si="213"/>
        <v>-0.10269082921471719</v>
      </c>
      <c r="CZ188" s="20">
        <f t="shared" ca="1" si="214"/>
        <v>-5.4365733113673806E-2</v>
      </c>
      <c r="DA188" s="20">
        <f t="shared" ca="1" si="215"/>
        <v>-2.800658978583196E-2</v>
      </c>
      <c r="DB188" s="20">
        <f t="shared" ca="1" si="216"/>
        <v>-1.4218730198960841E-2</v>
      </c>
      <c r="DC188" s="21">
        <f t="shared" ca="1" si="217"/>
        <v>1.4218730198960841E-2</v>
      </c>
      <c r="DD188" s="21">
        <f t="shared" ca="1" si="218"/>
        <v>2.800658978583196E-2</v>
      </c>
      <c r="DE188" s="21">
        <f t="shared" ca="1" si="219"/>
        <v>5.4365733113673806E-2</v>
      </c>
      <c r="DF188" s="21">
        <f t="shared" ca="1" si="220"/>
        <v>0.10269082921471719</v>
      </c>
      <c r="DG188" s="21">
        <f t="shared" ca="1" si="221"/>
        <v>0.18484349258649094</v>
      </c>
      <c r="DH188" s="21">
        <f t="shared" ca="1" si="222"/>
        <v>0.30807248764415157</v>
      </c>
      <c r="DI188" s="21">
        <f t="shared" ca="1" si="223"/>
        <v>0.46210873146622733</v>
      </c>
      <c r="DK188" s="16" cm="1">
        <f t="array" aca="1" ref="DK188" ca="1">MAX(_xlfn._xlws.FILTER(CV188:DI188,CV188:DI188&lt;BT188))</f>
        <v>-1.4218730198960841E-2</v>
      </c>
      <c r="DL188" s="16" cm="1">
        <f t="array" aca="1" ref="DL188" ca="1">MIN(_xlfn._xlws.FILTER(CV188:DI188,CV188:DI188&gt;BT188))</f>
        <v>1.4218730198960841E-2</v>
      </c>
      <c r="DM188" s="2" cm="1">
        <f t="array" aca="1" ref="DM188" ca="1">_FV(EB188,"Fechamento anterior",TRUE)</f>
        <v>8.8800000000000008</v>
      </c>
      <c r="DN188" s="28">
        <f t="shared" ca="1" si="162"/>
        <v>0.46039990525284019</v>
      </c>
      <c r="DO188" s="15">
        <f t="shared" ca="1" si="224"/>
        <v>8.7537376758332286</v>
      </c>
      <c r="DP188" s="15">
        <f t="shared" ca="1" si="225"/>
        <v>9.006262324166773</v>
      </c>
      <c r="DQ188" s="9"/>
      <c r="DR188" s="9"/>
      <c r="DS188" s="9"/>
      <c r="DT188" s="89">
        <v>2.8437460397921683E-2</v>
      </c>
      <c r="DU188" s="89">
        <f t="shared" ca="1" si="163"/>
        <v>2.8437460397921683E-2</v>
      </c>
      <c r="DV188" s="72" t="e">
        <f t="shared" ca="1" si="164"/>
        <v>#DIV/0!</v>
      </c>
      <c r="DW188" s="37"/>
      <c r="DX188" s="35">
        <f t="shared" si="174"/>
        <v>0</v>
      </c>
      <c r="DY188" s="56"/>
      <c r="DZ188" s="56"/>
      <c r="EB188" s="2" t="e" vm="190">
        <v>#VALUE!</v>
      </c>
      <c r="ED188" s="10" cm="1">
        <f t="array" aca="1" ref="ED188" ca="1">_FV(EB188,"Ações em circulação",TRUE)</f>
        <v>77334810</v>
      </c>
      <c r="EE188" s="18" t="e">
        <f>VLOOKUP(BO188,Fundamentus!A:U,5,FALSE)</f>
        <v>#N/A</v>
      </c>
      <c r="EF188" s="2" t="e">
        <f t="shared" ca="1" si="165"/>
        <v>#N/A</v>
      </c>
      <c r="EG188" s="17" t="e">
        <v>#N/A</v>
      </c>
      <c r="EH188" s="17" t="e">
        <f t="shared" ca="1" si="166"/>
        <v>#N/A</v>
      </c>
      <c r="EJ188" s="16" t="e">
        <f t="shared" ca="1" si="153"/>
        <v>#N/A</v>
      </c>
      <c r="EK188" s="32" t="e">
        <f>IF(VLOOKUP(BO188,Fundamentus!A:U,3,FALSE)&lt;15,"Bom",IF(VLOOKUP(BO188,Fundamentus!A:U,3,FALSE)&gt;15,"Ruim","n/a"))</f>
        <v>#N/A</v>
      </c>
      <c r="EL188" s="28" t="e">
        <f>IF(VLOOKUP(BO188,Fundamentus!A:U,4,FALSE)&lt;1,"Baixo",IF(VLOOKUP(BO188,Fundamentus!A:U,4,FALSE)&lt;1.5,"Moderado",IF(VLOOKUP(BO188,Fundamentus!A:U,4,FALSE)&gt;1.5,"Alto","n/a")))</f>
        <v>#N/A</v>
      </c>
      <c r="EM188" s="17" t="e">
        <f>IF(VLOOKUP(BO188,Fundamentus!A:U,8,FALSE)&lt;0,"Risco elevado",IF(VLOOKUP(BO188,Fundamentus!A:U,8,FALSE)&lt;1,"Saudável",IF(VLOOKUP(BO188,Fundamentus!A:U,8,FALSE)&lt;3,"Estável",IF(VLOOKUP(BO188,Fundamentus!A:U,8,FALSE)&gt;3,"Alerta","n/a"))))</f>
        <v>#N/A</v>
      </c>
      <c r="EN188" s="28" t="e">
        <f t="shared" si="167"/>
        <v>#N/A</v>
      </c>
      <c r="EO188" s="17" t="e">
        <f>IF(VLOOKUP(BO188,Fundamentus!A:U,12,FALSE)&lt;2,"Subvalorizada",IF(VLOOKUP(BO188,Fundamentus!A:U,12,FALSE)&lt;6,"Muita barata",IF(VLOOKUP(BO188,Fundamentus!A:U,12,FALSE)&lt;6,"Barata",IF(VLOOKUP(BO188,Fundamentus!A:U,12,FALSE)&lt;8,"Atrativa",IF(VLOOKUP(BO188,Fundamentus!A:U,12,FALSE)&gt;8,"Supervalorizada","n/a")))))</f>
        <v>#N/A</v>
      </c>
      <c r="EQ188" s="17" t="e">
        <f>IF(VLOOKUP(BO188,Fundamentus!A:U,17,FALSE)&lt;0.1,"Fraco retorno",IF(VLOOKUP(BO188,Fundamentus!A:U,17,FALSE)&gt;0.1,"Bom retorno","n/a"))</f>
        <v>#N/A</v>
      </c>
      <c r="ER188" s="17" t="e">
        <f>IF(VLOOKUP(BO188,Fundamentus!A:U,16,FALSE)&lt;0.1,"Ineficiente",IF(VLOOKUP(BO188,Fundamentus!A:U,16,FALSE)&gt;0.1,"Eficiente","n/a"))</f>
        <v>#N/A</v>
      </c>
      <c r="ES188" s="33" t="e">
        <f>IF(VLOOKUP(BO188,Fundamentus!A:U,16,FALSE)&lt;0.1,"Oper. Ineficiente",IF(VLOOKUP(BO188,Fundamentus!A:U,16,FALSE)&gt;0.1,"Oper.Eficiente","n/a"))</f>
        <v>#N/A</v>
      </c>
      <c r="ET188" s="34" t="e">
        <f>VLOOKUP(BO188,Fundamentus!A:U,14,FALSE)</f>
        <v>#N/A</v>
      </c>
      <c r="EU188" s="17" t="e">
        <f>IF(VLOOKUP(BO188,Fundamentus!A:U,21,FALSE)&lt;0,"Negativo",IF(VLOOKUP(BO188,Fundamentus!A:U,21,FALSE)&lt;0.05,"Fraco",IF(VLOOKUP(BO188,Fundamentus!A:U,21,FALSE)&lt;0.1,"Bom",IF(VLOOKUP(BO188,Fundamentus!A:U,21,FALSE)&gt;0.1,"Muito bom","n/a"))))</f>
        <v>#N/A</v>
      </c>
      <c r="EW188" s="29" t="e">
        <f>IF(VLOOKUP(BO188,Fundamentus!A:U,15,FALSE)&gt;1,"Bom",IF(VLOOKUP(BO188,Fundamentus!A:U,15,FALSE)&lt;1,"Ruim","n/a"))</f>
        <v>#N/A</v>
      </c>
      <c r="EX188" s="17" t="e">
        <f>IF(VLOOKUP(BO188,Fundamentus!A:U,20,FALSE)&lt;0.5,"Baixa",IF(VLOOKUP(BO188,Fundamentus!A:U,20,FALSE)&lt;1,"Moderada",IF(VLOOKUP(BO188,Fundamentus!A:U,20,FALSE)&lt;2,"Alerta",IF(VLOOKUP(BO188,Fundamentus!A:U,20,FALSE)&gt;2,"Alta","n/a"))))</f>
        <v>#N/A</v>
      </c>
      <c r="EY188" s="10"/>
    </row>
    <row r="189" spans="1:155" s="2" customFormat="1" ht="11.25"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5">
        <v>1.64</v>
      </c>
      <c r="BC189" s="52">
        <v>1.62</v>
      </c>
      <c r="BD189" s="52">
        <v>1.59</v>
      </c>
      <c r="BE189" s="52">
        <v>1.68</v>
      </c>
      <c r="BF189" s="52">
        <v>1.57</v>
      </c>
      <c r="BG189" s="67">
        <v>1.59</v>
      </c>
      <c r="BH189" s="52">
        <v>1.59</v>
      </c>
      <c r="BI189" s="52">
        <v>1.58</v>
      </c>
      <c r="BJ189" s="52">
        <v>1.58</v>
      </c>
      <c r="BK189" s="52">
        <v>1.57</v>
      </c>
      <c r="BL189" s="52">
        <v>1.48</v>
      </c>
      <c r="BM189" s="52">
        <v>1.4</v>
      </c>
      <c r="BN189" s="52" cm="1">
        <f t="array" aca="1" ref="BN189" ca="1">_FV(EB189,"Preço")</f>
        <v>1.4</v>
      </c>
      <c r="BO189" s="69" t="s">
        <v>185</v>
      </c>
      <c r="BP189" s="36" cm="1">
        <f t="array" aca="1" ref="BP189" ca="1">_FV(EB189,"Média de volume",TRUE)</f>
        <v>6280</v>
      </c>
      <c r="BQ189" s="36">
        <v>3300</v>
      </c>
      <c r="BR189" s="36" cm="1">
        <f t="array" aca="1" ref="BR189" ca="1">_FV(EB189,"Volume")</f>
        <v>3300</v>
      </c>
      <c r="BS189" s="24" cm="1">
        <f t="array" aca="1" ref="BS189" ca="1">_FV(EB189,"Beta")</f>
        <v>0.89970000000000006</v>
      </c>
      <c r="BT189" s="71" cm="1">
        <f t="array" aca="1" ref="BT189" ca="1">_FV(EB189,"Variação (%)",TRUE)</f>
        <v>7.1940000000000007E-3</v>
      </c>
      <c r="BV189" s="17" cm="1">
        <f t="array" aca="1" ref="BV189" ca="1">_FV(EB189,"Baixo")</f>
        <v>1.39</v>
      </c>
      <c r="BW189" s="17" cm="1">
        <f t="array" aca="1" ref="BW189" ca="1">_FV(EB189,"Alto")</f>
        <v>1.41</v>
      </c>
      <c r="BX189" s="24"/>
      <c r="BY189" s="63">
        <f ca="1">SQRT(22.5*(BN189/VLOOKUP(BO189,Fundamentus!A:U,3,FALSE))*(BN189/VLOOKUP(BO189,Fundamentus!A:U,4,FALSE)))</f>
        <v>0.15109282254619955</v>
      </c>
      <c r="CA189" s="62">
        <f t="shared" ca="1" si="168"/>
        <v>0</v>
      </c>
      <c r="CB189" s="8"/>
      <c r="CC189" s="61">
        <f t="shared" si="169"/>
        <v>1.4</v>
      </c>
      <c r="CD189" s="61">
        <f t="shared" si="170"/>
        <v>2.84</v>
      </c>
      <c r="CE189" s="61">
        <f t="shared" si="171"/>
        <v>1.9762307692307695</v>
      </c>
      <c r="CF189" s="14"/>
      <c r="CG189" s="35">
        <f t="shared" si="154"/>
        <v>1.2034564911024372</v>
      </c>
      <c r="CH189" s="15">
        <f t="shared" si="172"/>
        <v>1.3499999999999659</v>
      </c>
      <c r="CI189" s="35">
        <f t="shared" si="155"/>
        <v>1.4965435088974945</v>
      </c>
      <c r="CK189" s="14"/>
      <c r="CL189" s="17">
        <f t="shared" si="156"/>
        <v>-0.4666666666666659</v>
      </c>
      <c r="CM189" s="17">
        <f t="shared" si="157"/>
        <v>0.46666666666666701</v>
      </c>
      <c r="CN189" s="17">
        <f t="shared" si="158"/>
        <v>0.97333333333333405</v>
      </c>
      <c r="CO189" s="38">
        <f t="shared" si="173"/>
        <v>1.906666666666667</v>
      </c>
      <c r="CP189" s="17">
        <f t="shared" si="159"/>
        <v>2.413333333333334</v>
      </c>
      <c r="CQ189" s="17">
        <f t="shared" si="160"/>
        <v>3.3466666666666667</v>
      </c>
      <c r="CR189" s="17">
        <f t="shared" si="161"/>
        <v>3.8533333333333339</v>
      </c>
      <c r="CS189" s="2" cm="1">
        <f t="array" aca="1" ref="CS189" ca="1">MAX(_xlfn._xlws.FILTER(CL189:CR189,CL189:CR189&lt;BN189))</f>
        <v>0.97333333333333405</v>
      </c>
      <c r="CT189" s="2" cm="1">
        <f t="array" aca="1" ref="CT189" ca="1">MIN(_xlfn._xlws.FILTER($CL189:$CR189,$CL189:$CR189&gt;BN189))</f>
        <v>1.906666666666667</v>
      </c>
      <c r="CU189" s="16">
        <f t="shared" ca="1" si="209"/>
        <v>0.95890410958904004</v>
      </c>
      <c r="CV189" s="20">
        <f t="shared" ca="1" si="210"/>
        <v>-0.47945205479452002</v>
      </c>
      <c r="CW189" s="20">
        <f t="shared" ca="1" si="211"/>
        <v>-0.31963470319634668</v>
      </c>
      <c r="CX189" s="20">
        <f t="shared" ca="1" si="212"/>
        <v>-0.19178082191780801</v>
      </c>
      <c r="CY189" s="20">
        <f t="shared" ca="1" si="213"/>
        <v>-0.10654490106544889</v>
      </c>
      <c r="CZ189" s="20">
        <f t="shared" ca="1" si="214"/>
        <v>-5.6406124093472947E-2</v>
      </c>
      <c r="DA189" s="20">
        <f t="shared" ca="1" si="215"/>
        <v>-2.9057700290576971E-2</v>
      </c>
      <c r="DB189" s="20">
        <f t="shared" ca="1" si="216"/>
        <v>-1.4752370916754463E-2</v>
      </c>
      <c r="DC189" s="21">
        <f t="shared" ca="1" si="217"/>
        <v>1.4752370916754463E-2</v>
      </c>
      <c r="DD189" s="21">
        <f t="shared" ca="1" si="218"/>
        <v>2.9057700290576971E-2</v>
      </c>
      <c r="DE189" s="21">
        <f t="shared" ca="1" si="219"/>
        <v>5.6406124093472947E-2</v>
      </c>
      <c r="DF189" s="21">
        <f t="shared" ca="1" si="220"/>
        <v>0.10654490106544889</v>
      </c>
      <c r="DG189" s="21">
        <f t="shared" ca="1" si="221"/>
        <v>0.19178082191780801</v>
      </c>
      <c r="DH189" s="21">
        <f t="shared" ca="1" si="222"/>
        <v>0.31963470319634668</v>
      </c>
      <c r="DI189" s="21">
        <f t="shared" ca="1" si="223"/>
        <v>0.47945205479452002</v>
      </c>
      <c r="DK189" s="16" cm="1">
        <f t="array" aca="1" ref="DK189" ca="1">MAX(_xlfn._xlws.FILTER(CV189:DI189,CV189:DI189&lt;BT189))</f>
        <v>-1.4752370916754463E-2</v>
      </c>
      <c r="DL189" s="16" cm="1">
        <f t="array" aca="1" ref="DL189" ca="1">MIN(_xlfn._xlws.FILTER(CV189:DI189,CV189:DI189&gt;BT189))</f>
        <v>1.4752370916754463E-2</v>
      </c>
      <c r="DM189" s="2" cm="1">
        <f t="array" aca="1" ref="DM189" ca="1">_FV(EB189,"Fechamento anterior",TRUE)</f>
        <v>1.39</v>
      </c>
      <c r="DN189" s="28">
        <f t="shared" ca="1" si="162"/>
        <v>0.74383350462487241</v>
      </c>
      <c r="DO189" s="15">
        <f t="shared" ca="1" si="224"/>
        <v>1.3694942044257112</v>
      </c>
      <c r="DP189" s="15">
        <f t="shared" ca="1" si="225"/>
        <v>1.4105057955742886</v>
      </c>
      <c r="DQ189" s="9"/>
      <c r="DR189" s="9"/>
      <c r="DS189" s="9"/>
      <c r="DT189" s="89">
        <v>2.9504741833508926E-2</v>
      </c>
      <c r="DU189" s="89">
        <f t="shared" ca="1" si="163"/>
        <v>2.9504741833508926E-2</v>
      </c>
      <c r="DV189" s="72">
        <f t="shared" ca="1" si="164"/>
        <v>0.34119559696770185</v>
      </c>
      <c r="DW189" s="37"/>
      <c r="DX189" s="35">
        <f t="shared" si="174"/>
        <v>7.3271754448764298E-2</v>
      </c>
      <c r="DY189" s="56"/>
      <c r="DZ189" s="56"/>
      <c r="EB189" s="2" t="e" vm="191">
        <v>#VALUE!</v>
      </c>
      <c r="ED189" s="10" cm="1">
        <f t="array" aca="1" ref="ED189" ca="1">_FV(EB189,"Ações em circulação",TRUE)</f>
        <v>260509800</v>
      </c>
      <c r="EE189" s="18">
        <f>VLOOKUP(BO189,Fundamentus!A:U,5,FALSE)</f>
        <v>0.23699999999999999</v>
      </c>
      <c r="EF189" s="2">
        <f t="shared" ca="1" si="165"/>
        <v>1538876455.6962025</v>
      </c>
      <c r="EG189" s="17">
        <v>72788856.354430377</v>
      </c>
      <c r="EH189" s="17">
        <f t="shared" ca="1" si="166"/>
        <v>72788856.354430377</v>
      </c>
      <c r="EJ189" s="16">
        <f t="shared" ca="1" si="153"/>
        <v>0</v>
      </c>
      <c r="EK189" s="32" t="str">
        <f>IF(VLOOKUP(BO189,Fundamentus!A:U,3,FALSE)&lt;15,"Bom",IF(VLOOKUP(BO189,Fundamentus!A:U,3,FALSE)&gt;15,"Ruim","n/a"))</f>
        <v>Bom</v>
      </c>
      <c r="EL189" s="28" t="str">
        <f>IF(VLOOKUP(BO189,Fundamentus!A:U,4,FALSE)&lt;1,"Baixo",IF(VLOOKUP(BO189,Fundamentus!A:U,4,FALSE)&lt;1.5,"Moderado",IF(VLOOKUP(BO189,Fundamentus!A:U,4,FALSE)&gt;1.5,"Alto","n/a")))</f>
        <v>Alto</v>
      </c>
      <c r="EM189" s="17" t="str">
        <f>IF(VLOOKUP(BO189,Fundamentus!A:U,8,FALSE)&lt;0,"Risco elevado",IF(VLOOKUP(BO189,Fundamentus!A:U,8,FALSE)&lt;1,"Saudável",IF(VLOOKUP(BO189,Fundamentus!A:U,8,FALSE)&lt;3,"Estável",IF(VLOOKUP(BO189,Fundamentus!A:U,8,FALSE)&gt;3,"Alerta","n/a"))))</f>
        <v>Risco elevado</v>
      </c>
      <c r="EN189" s="28" t="str">
        <f t="shared" si="167"/>
        <v>Ruim</v>
      </c>
      <c r="EO189" s="17" t="str">
        <f>IF(VLOOKUP(BO189,Fundamentus!A:U,12,FALSE)&lt;2,"Subvalorizada",IF(VLOOKUP(BO189,Fundamentus!A:U,12,FALSE)&lt;6,"Muita barata",IF(VLOOKUP(BO189,Fundamentus!A:U,12,FALSE)&lt;6,"Barata",IF(VLOOKUP(BO189,Fundamentus!A:U,12,FALSE)&lt;8,"Atrativa",IF(VLOOKUP(BO189,Fundamentus!A:U,12,FALSE)&gt;8,"Supervalorizada","n/a")))))</f>
        <v>Muita barata</v>
      </c>
      <c r="EQ189" s="17" t="str">
        <f>IF(VLOOKUP(BO189,Fundamentus!A:U,17,FALSE)&lt;0.1,"Fraco retorno",IF(VLOOKUP(BO189,Fundamentus!A:U,17,FALSE)&gt;0.1,"Bom retorno","n/a"))</f>
        <v>Bom retorno</v>
      </c>
      <c r="ER189" s="17" t="str">
        <f>IF(VLOOKUP(BO189,Fundamentus!A:U,16,FALSE)&lt;0.1,"Ineficiente",IF(VLOOKUP(BO189,Fundamentus!A:U,16,FALSE)&gt;0.1,"Eficiente","n/a"))</f>
        <v>Eficiente</v>
      </c>
      <c r="ES189" s="33" t="str">
        <f>IF(VLOOKUP(BO189,Fundamentus!A:U,16,FALSE)&lt;0.1,"Oper. Ineficiente",IF(VLOOKUP(BO189,Fundamentus!A:U,16,FALSE)&gt;0.1,"Oper.Eficiente","n/a"))</f>
        <v>Oper.Eficiente</v>
      </c>
      <c r="ET189" s="34">
        <f>VLOOKUP(BO189,Fundamentus!A:U,14,FALSE)</f>
        <v>4.7300000000000002E-2</v>
      </c>
      <c r="EU189" s="17" t="str">
        <f>IF(VLOOKUP(BO189,Fundamentus!A:U,21,FALSE)&lt;0,"Negativo",IF(VLOOKUP(BO189,Fundamentus!A:U,21,FALSE)&lt;0.05,"Fraco",IF(VLOOKUP(BO189,Fundamentus!A:U,21,FALSE)&lt;0.1,"Bom",IF(VLOOKUP(BO189,Fundamentus!A:U,21,FALSE)&gt;0.1,"Muito bom","n/a"))))</f>
        <v>Muito bom</v>
      </c>
      <c r="EW189" s="29" t="str">
        <f>IF(VLOOKUP(BO189,Fundamentus!A:U,15,FALSE)&gt;1,"Bom",IF(VLOOKUP(BO189,Fundamentus!A:U,15,FALSE)&lt;1,"Ruim","n/a"))</f>
        <v>Ruim</v>
      </c>
      <c r="EX189" s="17" t="str">
        <f>IF(VLOOKUP(BO189,Fundamentus!A:U,20,FALSE)&lt;0.5,"Baixa",IF(VLOOKUP(BO189,Fundamentus!A:U,20,FALSE)&lt;1,"Moderada",IF(VLOOKUP(BO189,Fundamentus!A:U,20,FALSE)&lt;2,"Alerta",IF(VLOOKUP(BO189,Fundamentus!A:U,20,FALSE)&gt;2,"Alta","n/a"))))</f>
        <v>Alta</v>
      </c>
      <c r="EY189" s="10"/>
    </row>
    <row r="190" spans="1:155" s="2" customFormat="1" ht="11.25"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5">
        <v>4.54</v>
      </c>
      <c r="BC190" s="52">
        <v>4.54</v>
      </c>
      <c r="BD190" s="52">
        <v>4.37</v>
      </c>
      <c r="BE190" s="52">
        <v>4.29</v>
      </c>
      <c r="BF190" s="52">
        <v>4.08</v>
      </c>
      <c r="BG190" s="67">
        <v>4.03</v>
      </c>
      <c r="BH190" s="52">
        <v>4.01</v>
      </c>
      <c r="BI190" s="52">
        <v>4.01</v>
      </c>
      <c r="BJ190" s="52">
        <v>4.07</v>
      </c>
      <c r="BK190" s="52">
        <v>3.91</v>
      </c>
      <c r="BL190" s="52">
        <v>3.75</v>
      </c>
      <c r="BM190" s="52">
        <v>3.7</v>
      </c>
      <c r="BN190" s="52" cm="1">
        <f t="array" aca="1" ref="BN190" ca="1">_FV(EB190,"Preço")</f>
        <v>3.7</v>
      </c>
      <c r="BO190" s="69" t="s">
        <v>186</v>
      </c>
      <c r="BP190" s="36" cm="1">
        <f t="array" aca="1" ref="BP190" ca="1">_FV(EB190,"Média de volume",TRUE)</f>
        <v>72350</v>
      </c>
      <c r="BQ190" s="36">
        <v>104900</v>
      </c>
      <c r="BR190" s="36" cm="1">
        <f t="array" aca="1" ref="BR190" ca="1">_FV(EB190,"Volume")</f>
        <v>104900</v>
      </c>
      <c r="BS190" s="24" cm="1">
        <f t="array" aca="1" ref="BS190" ca="1">_FV(EB190,"Beta")</f>
        <v>1.8565</v>
      </c>
      <c r="BT190" s="71" cm="1">
        <f t="array" aca="1" ref="BT190" ca="1">_FV(EB190,"Variação (%)",TRUE)</f>
        <v>2.2099000000000001E-2</v>
      </c>
      <c r="BV190" s="17" cm="1">
        <f t="array" aca="1" ref="BV190" ca="1">_FV(EB190,"Baixo")</f>
        <v>3.58</v>
      </c>
      <c r="BW190" s="17" cm="1">
        <f t="array" aca="1" ref="BW190" ca="1">_FV(EB190,"Alto")</f>
        <v>3.7</v>
      </c>
      <c r="BX190" s="24"/>
      <c r="BY190" s="63">
        <f ca="1">SQRT(22.5*(BN190/VLOOKUP(BO190,Fundamentus!A:U,3,FALSE))*(BN190/VLOOKUP(BO190,Fundamentus!A:U,4,FALSE)))</f>
        <v>11.360411598644605</v>
      </c>
      <c r="CA190" s="62">
        <f t="shared" ca="1" si="168"/>
        <v>0</v>
      </c>
      <c r="CB190" s="8"/>
      <c r="CC190" s="61">
        <f t="shared" si="169"/>
        <v>3.7</v>
      </c>
      <c r="CD190" s="61">
        <f t="shared" si="170"/>
        <v>7.15</v>
      </c>
      <c r="CE190" s="61">
        <f t="shared" si="171"/>
        <v>5.3166153846153854</v>
      </c>
      <c r="CF190" s="14"/>
      <c r="CG190" s="35">
        <f t="shared" si="154"/>
        <v>3.2496984326600677</v>
      </c>
      <c r="CH190" s="15">
        <f t="shared" si="172"/>
        <v>3.5399999999999636</v>
      </c>
      <c r="CI190" s="35">
        <f t="shared" si="155"/>
        <v>3.8303015673398595</v>
      </c>
      <c r="CK190" s="14"/>
      <c r="CL190" s="17">
        <f t="shared" si="156"/>
        <v>-0.86666666666666625</v>
      </c>
      <c r="CM190" s="17">
        <f t="shared" si="157"/>
        <v>1.416666666666667</v>
      </c>
      <c r="CN190" s="17">
        <f t="shared" si="158"/>
        <v>2.5833333333333339</v>
      </c>
      <c r="CO190" s="38">
        <f t="shared" si="173"/>
        <v>4.8666666666666671</v>
      </c>
      <c r="CP190" s="17">
        <f t="shared" si="159"/>
        <v>6.0333333333333341</v>
      </c>
      <c r="CQ190" s="17">
        <f t="shared" si="160"/>
        <v>8.3166666666666664</v>
      </c>
      <c r="CR190" s="17">
        <f t="shared" si="161"/>
        <v>9.4833333333333343</v>
      </c>
      <c r="CS190" s="2" cm="1">
        <f t="array" aca="1" ref="CS190" ca="1">MAX(_xlfn._xlws.FILTER(CL190:CR190,CL190:CR190&lt;BN190))</f>
        <v>2.5833333333333339</v>
      </c>
      <c r="CT190" s="2" cm="1">
        <f t="array" aca="1" ref="CT190" ca="1">MIN(_xlfn._xlws.FILTER($CL190:$CR190,$CL190:$CR190&gt;BN190))</f>
        <v>4.8666666666666671</v>
      </c>
      <c r="CU190" s="16">
        <f t="shared" ca="1" si="209"/>
        <v>0.88387096774193519</v>
      </c>
      <c r="CV190" s="20">
        <f t="shared" ca="1" si="210"/>
        <v>-0.44193548387096759</v>
      </c>
      <c r="CW190" s="20">
        <f t="shared" ca="1" si="211"/>
        <v>-0.29462365591397838</v>
      </c>
      <c r="CX190" s="20">
        <f t="shared" ca="1" si="212"/>
        <v>-0.17677419354838703</v>
      </c>
      <c r="CY190" s="20">
        <f t="shared" ca="1" si="213"/>
        <v>-9.8207885304659459E-2</v>
      </c>
      <c r="CZ190" s="20">
        <f t="shared" ca="1" si="214"/>
        <v>-5.1992409867172656E-2</v>
      </c>
      <c r="DA190" s="20">
        <f t="shared" ca="1" si="215"/>
        <v>-2.6783968719452583E-2</v>
      </c>
      <c r="DB190" s="20">
        <f t="shared" ca="1" si="216"/>
        <v>-1.3598014888337465E-2</v>
      </c>
      <c r="DC190" s="21">
        <f t="shared" ca="1" si="217"/>
        <v>1.3598014888337465E-2</v>
      </c>
      <c r="DD190" s="21">
        <f t="shared" ca="1" si="218"/>
        <v>2.6783968719452583E-2</v>
      </c>
      <c r="DE190" s="21">
        <f t="shared" ca="1" si="219"/>
        <v>5.1992409867172656E-2</v>
      </c>
      <c r="DF190" s="21">
        <f t="shared" ca="1" si="220"/>
        <v>9.8207885304659459E-2</v>
      </c>
      <c r="DG190" s="21">
        <f t="shared" ca="1" si="221"/>
        <v>0.17677419354838703</v>
      </c>
      <c r="DH190" s="21">
        <f t="shared" ca="1" si="222"/>
        <v>0.29462365591397838</v>
      </c>
      <c r="DI190" s="21">
        <f t="shared" ca="1" si="223"/>
        <v>0.44193548387096759</v>
      </c>
      <c r="DK190" s="16" cm="1">
        <f t="array" aca="1" ref="DK190" ca="1">MAX(_xlfn._xlws.FILTER(CV190:DI190,CV190:DI190&lt;BT190))</f>
        <v>1.3598014888337465E-2</v>
      </c>
      <c r="DL190" s="16" cm="1">
        <f t="array" aca="1" ref="DL190" ca="1">MIN(_xlfn._xlws.FILTER(CV190:DI190,CV190:DI190&gt;BT190))</f>
        <v>2.6783968719452583E-2</v>
      </c>
      <c r="DM190" s="2" cm="1">
        <f t="array" aca="1" ref="DM190" ca="1">_FV(EB190,"Fechamento anterior",TRUE)</f>
        <v>3.62</v>
      </c>
      <c r="DN190" s="28">
        <f t="shared" ca="1" si="162"/>
        <v>0.64473398999879061</v>
      </c>
      <c r="DO190" s="15">
        <f t="shared" ca="1" si="224"/>
        <v>3.6692248138957817</v>
      </c>
      <c r="DP190" s="15">
        <f t="shared" ca="1" si="225"/>
        <v>3.7169579667644186</v>
      </c>
      <c r="DQ190" s="9"/>
      <c r="DR190" s="9"/>
      <c r="DS190" s="9"/>
      <c r="DT190" s="89">
        <v>1.3185953831115118E-2</v>
      </c>
      <c r="DU190" s="89">
        <f t="shared" ca="1" si="163"/>
        <v>1.3185953831115118E-2</v>
      </c>
      <c r="DV190" s="72">
        <f t="shared" ca="1" si="164"/>
        <v>0.55115100295928687</v>
      </c>
      <c r="DW190" s="37"/>
      <c r="DX190" s="35">
        <f t="shared" si="174"/>
        <v>0.14515078366994791</v>
      </c>
      <c r="DY190" s="56"/>
      <c r="DZ190" s="56"/>
      <c r="EB190" s="2" t="e" vm="192">
        <v>#VALUE!</v>
      </c>
      <c r="ED190" s="10" cm="1">
        <f t="array" aca="1" ref="ED190" ca="1">_FV(EB190,"Ações em circulação",TRUE)</f>
        <v>61776580</v>
      </c>
      <c r="EE190" s="18">
        <f>VLOOKUP(BO190,Fundamentus!A:U,5,FALSE)</f>
        <v>0.19400000000000001</v>
      </c>
      <c r="EF190" s="2">
        <f t="shared" ca="1" si="165"/>
        <v>1178213123.7113402</v>
      </c>
      <c r="EG190" s="17">
        <v>27805829.719587628</v>
      </c>
      <c r="EH190" s="17">
        <f t="shared" ca="1" si="166"/>
        <v>27805829.719587628</v>
      </c>
      <c r="EJ190" s="16">
        <f t="shared" ca="1" si="153"/>
        <v>0</v>
      </c>
      <c r="EK190" s="32" t="str">
        <f>IF(VLOOKUP(BO190,Fundamentus!A:U,3,FALSE)&lt;15,"Bom",IF(VLOOKUP(BO190,Fundamentus!A:U,3,FALSE)&gt;15,"Ruim","n/a"))</f>
        <v>Bom</v>
      </c>
      <c r="EL190" s="28" t="str">
        <f>IF(VLOOKUP(BO190,Fundamentus!A:U,4,FALSE)&lt;1,"Baixo",IF(VLOOKUP(BO190,Fundamentus!A:U,4,FALSE)&lt;1.5,"Moderado",IF(VLOOKUP(BO190,Fundamentus!A:U,4,FALSE)&gt;1.5,"Alto","n/a")))</f>
        <v>Baixo</v>
      </c>
      <c r="EM190" s="17" t="str">
        <f>IF(VLOOKUP(BO190,Fundamentus!A:U,8,FALSE)&lt;0,"Risco elevado",IF(VLOOKUP(BO190,Fundamentus!A:U,8,FALSE)&lt;1,"Saudável",IF(VLOOKUP(BO190,Fundamentus!A:U,8,FALSE)&lt;3,"Estável",IF(VLOOKUP(BO190,Fundamentus!A:U,8,FALSE)&gt;3,"Alerta","n/a"))))</f>
        <v>Estável</v>
      </c>
      <c r="EN190" s="28" t="str">
        <f t="shared" si="167"/>
        <v>Ruim</v>
      </c>
      <c r="EO190" s="17" t="str">
        <f>IF(VLOOKUP(BO190,Fundamentus!A:U,12,FALSE)&lt;2,"Subvalorizada",IF(VLOOKUP(BO190,Fundamentus!A:U,12,FALSE)&lt;6,"Muita barata",IF(VLOOKUP(BO190,Fundamentus!A:U,12,FALSE)&lt;6,"Barata",IF(VLOOKUP(BO190,Fundamentus!A:U,12,FALSE)&lt;8,"Atrativa",IF(VLOOKUP(BO190,Fundamentus!A:U,12,FALSE)&gt;8,"Supervalorizada","n/a")))))</f>
        <v>Muita barata</v>
      </c>
      <c r="EQ190" s="17" t="str">
        <f>IF(VLOOKUP(BO190,Fundamentus!A:U,17,FALSE)&lt;0.1,"Fraco retorno",IF(VLOOKUP(BO190,Fundamentus!A:U,17,FALSE)&gt;0.1,"Bom retorno","n/a"))</f>
        <v>Fraco retorno</v>
      </c>
      <c r="ER190" s="17" t="str">
        <f>IF(VLOOKUP(BO190,Fundamentus!A:U,16,FALSE)&lt;0.1,"Ineficiente",IF(VLOOKUP(BO190,Fundamentus!A:U,16,FALSE)&gt;0.1,"Eficiente","n/a"))</f>
        <v>Ineficiente</v>
      </c>
      <c r="ES190" s="33" t="str">
        <f>IF(VLOOKUP(BO190,Fundamentus!A:U,16,FALSE)&lt;0.1,"Oper. Ineficiente",IF(VLOOKUP(BO190,Fundamentus!A:U,16,FALSE)&gt;0.1,"Oper.Eficiente","n/a"))</f>
        <v>Oper. Ineficiente</v>
      </c>
      <c r="ET190" s="34">
        <f>VLOOKUP(BO190,Fundamentus!A:U,14,FALSE)</f>
        <v>2.3599999999999999E-2</v>
      </c>
      <c r="EU190" s="17" t="str">
        <f>IF(VLOOKUP(BO190,Fundamentus!A:U,21,FALSE)&lt;0,"Negativo",IF(VLOOKUP(BO190,Fundamentus!A:U,21,FALSE)&lt;0.05,"Fraco",IF(VLOOKUP(BO190,Fundamentus!A:U,21,FALSE)&lt;0.1,"Bom",IF(VLOOKUP(BO190,Fundamentus!A:U,21,FALSE)&gt;0.1,"Muito bom","n/a"))))</f>
        <v>Bom</v>
      </c>
      <c r="EW190" s="29" t="str">
        <f>IF(VLOOKUP(BO190,Fundamentus!A:U,15,FALSE)&gt;1,"Bom",IF(VLOOKUP(BO190,Fundamentus!A:U,15,FALSE)&lt;1,"Ruim","n/a"))</f>
        <v>Bom</v>
      </c>
      <c r="EX190" s="17" t="str">
        <f>IF(VLOOKUP(BO190,Fundamentus!A:U,20,FALSE)&lt;0.5,"Baixa",IF(VLOOKUP(BO190,Fundamentus!A:U,20,FALSE)&lt;1,"Moderada",IF(VLOOKUP(BO190,Fundamentus!A:U,20,FALSE)&lt;2,"Alerta",IF(VLOOKUP(BO190,Fundamentus!A:U,20,FALSE)&gt;2,"Alta","n/a"))))</f>
        <v>Baixa</v>
      </c>
      <c r="EY190" s="10"/>
    </row>
    <row r="191" spans="1:155" s="2" customFormat="1" ht="11.25"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5">
        <v>0.89</v>
      </c>
      <c r="BC191" s="52">
        <v>0.94</v>
      </c>
      <c r="BD191" s="52">
        <v>1.1200000000000001</v>
      </c>
      <c r="BE191" s="52">
        <v>1</v>
      </c>
      <c r="BF191" s="52">
        <v>1.01</v>
      </c>
      <c r="BG191" s="67">
        <v>1.02</v>
      </c>
      <c r="BH191" s="52">
        <v>1.03</v>
      </c>
      <c r="BI191" s="52">
        <v>1.03</v>
      </c>
      <c r="BJ191" s="52">
        <v>1.1100000000000001</v>
      </c>
      <c r="BK191" s="52">
        <v>1.1200000000000001</v>
      </c>
      <c r="BL191" s="52">
        <v>1.1200000000000001</v>
      </c>
      <c r="BM191" s="52">
        <v>1.06</v>
      </c>
      <c r="BN191" s="52" cm="1">
        <f t="array" aca="1" ref="BN191" ca="1">_FV(EB191,"Preço")</f>
        <v>1.06</v>
      </c>
      <c r="BO191" s="66" t="s">
        <v>180</v>
      </c>
      <c r="BP191" s="36" cm="1">
        <f t="array" aca="1" ref="BP191" ca="1">_FV(EB191,"Média de volume",TRUE)</f>
        <v>293410</v>
      </c>
      <c r="BQ191" s="36">
        <v>207600</v>
      </c>
      <c r="BR191" s="36" cm="1">
        <f t="array" aca="1" ref="BR191" ca="1">_FV(EB191,"Volume")</f>
        <v>207600</v>
      </c>
      <c r="BS191" s="24" cm="1">
        <f t="array" aca="1" ref="BS191" ca="1">_FV(EB191,"Beta")</f>
        <v>1.587</v>
      </c>
      <c r="BT191" s="71" cm="1">
        <f t="array" aca="1" ref="BT191" ca="1">_FV(EB191,"Variação (%)",TRUE)</f>
        <v>-1.8519000000000001E-2</v>
      </c>
      <c r="BV191" s="17" cm="1">
        <f t="array" aca="1" ref="BV191" ca="1">_FV(EB191,"Baixo")</f>
        <v>1.04</v>
      </c>
      <c r="BW191" s="17" cm="1">
        <f t="array" aca="1" ref="BW191" ca="1">_FV(EB191,"Alto")</f>
        <v>1.08</v>
      </c>
      <c r="BX191" s="24"/>
      <c r="BY191" s="63">
        <f ca="1">SQRT(22.5*(BN191/VLOOKUP(BO191,Fundamentus!A:U,3,FALSE))*(BN191/VLOOKUP(BO191,Fundamentus!A:U,4,FALSE)))</f>
        <v>1.1140011013109958</v>
      </c>
      <c r="CA191" s="62">
        <f t="shared" ca="1" si="168"/>
        <v>0</v>
      </c>
      <c r="CB191" s="8"/>
      <c r="CC191" s="61">
        <f t="shared" si="169"/>
        <v>0.67</v>
      </c>
      <c r="CD191" s="61">
        <f t="shared" si="170"/>
        <v>1.18</v>
      </c>
      <c r="CE191" s="61">
        <f t="shared" si="171"/>
        <v>0.9346153846153844</v>
      </c>
      <c r="CF191" s="14"/>
      <c r="CG191" s="35">
        <f t="shared" si="154"/>
        <v>1.0152506281446667</v>
      </c>
      <c r="CH191" s="15">
        <f t="shared" si="172"/>
        <v>1.0649999999999977</v>
      </c>
      <c r="CI191" s="35">
        <f t="shared" si="155"/>
        <v>1.1147493718553287</v>
      </c>
      <c r="CK191" s="14"/>
      <c r="CL191" s="17">
        <f t="shared" si="156"/>
        <v>0.29000000000000037</v>
      </c>
      <c r="CM191" s="17">
        <f t="shared" si="157"/>
        <v>0.4800000000000002</v>
      </c>
      <c r="CN191" s="17">
        <f t="shared" si="158"/>
        <v>0.80000000000000027</v>
      </c>
      <c r="CO191" s="38">
        <f t="shared" si="173"/>
        <v>0.9900000000000001</v>
      </c>
      <c r="CP191" s="17">
        <f t="shared" si="159"/>
        <v>1.31</v>
      </c>
      <c r="CQ191" s="17">
        <f t="shared" si="160"/>
        <v>1.5</v>
      </c>
      <c r="CR191" s="17">
        <f t="shared" si="161"/>
        <v>1.82</v>
      </c>
      <c r="CS191" s="2" cm="1">
        <f t="array" aca="1" ref="CS191" ca="1">MAX(_xlfn._xlws.FILTER(CL191:CR191,CL191:CR191&lt;BN191))</f>
        <v>0.9900000000000001</v>
      </c>
      <c r="CT191" s="2" cm="1">
        <f t="array" aca="1" ref="CT191" ca="1">MIN(_xlfn._xlws.FILTER($CL191:$CR191,$CL191:$CR191&gt;BN191))</f>
        <v>1.31</v>
      </c>
      <c r="CU191" s="16">
        <f t="shared" ca="1" si="209"/>
        <v>0.32323232323232309</v>
      </c>
      <c r="CV191" s="20">
        <f t="shared" ca="1" si="210"/>
        <v>-0.16161616161616155</v>
      </c>
      <c r="CW191" s="20">
        <f t="shared" ca="1" si="211"/>
        <v>-0.1077441077441077</v>
      </c>
      <c r="CX191" s="20">
        <f t="shared" ca="1" si="212"/>
        <v>-6.4646464646464619E-2</v>
      </c>
      <c r="CY191" s="20">
        <f t="shared" ca="1" si="213"/>
        <v>-3.591470258136923E-2</v>
      </c>
      <c r="CZ191" s="20">
        <f t="shared" ca="1" si="214"/>
        <v>-1.9013666072489593E-2</v>
      </c>
      <c r="DA191" s="20">
        <f t="shared" ca="1" si="215"/>
        <v>-9.7949188858279732E-3</v>
      </c>
      <c r="DB191" s="20">
        <f t="shared" ca="1" si="216"/>
        <v>-4.9728049728049711E-3</v>
      </c>
      <c r="DC191" s="21">
        <f t="shared" ca="1" si="217"/>
        <v>4.9728049728049711E-3</v>
      </c>
      <c r="DD191" s="21">
        <f t="shared" ca="1" si="218"/>
        <v>9.7949188858279732E-3</v>
      </c>
      <c r="DE191" s="21">
        <f t="shared" ca="1" si="219"/>
        <v>1.9013666072489593E-2</v>
      </c>
      <c r="DF191" s="21">
        <f t="shared" ca="1" si="220"/>
        <v>3.591470258136923E-2</v>
      </c>
      <c r="DG191" s="21">
        <f t="shared" ca="1" si="221"/>
        <v>6.4646464646464619E-2</v>
      </c>
      <c r="DH191" s="21">
        <f t="shared" ca="1" si="222"/>
        <v>0.1077441077441077</v>
      </c>
      <c r="DI191" s="21">
        <f t="shared" ca="1" si="223"/>
        <v>0.16161616161616155</v>
      </c>
      <c r="DK191" s="16" cm="1">
        <f t="array" aca="1" ref="DK191" ca="1">MAX(_xlfn._xlws.FILTER(CV191:DI191,CV191:DI191&lt;BT191))</f>
        <v>-1.9013666072489593E-2</v>
      </c>
      <c r="DL191" s="16" cm="1">
        <f t="array" aca="1" ref="DL191" ca="1">MIN(_xlfn._xlws.FILTER(CV191:DI191,CV191:DI191&gt;BT191))</f>
        <v>-9.7949188858279732E-3</v>
      </c>
      <c r="DM191" s="2" cm="1">
        <f t="array" aca="1" ref="DM191" ca="1">_FV(EB191,"Fechamento anterior",TRUE)</f>
        <v>1.08</v>
      </c>
      <c r="DN191" s="28">
        <f t="shared" ca="1" si="162"/>
        <v>5.3710937499995601E-2</v>
      </c>
      <c r="DO191" s="15">
        <f t="shared" ca="1" si="224"/>
        <v>1.0594652406417113</v>
      </c>
      <c r="DP191" s="15">
        <f t="shared" ca="1" si="225"/>
        <v>1.0694214876033059</v>
      </c>
      <c r="DQ191" s="9"/>
      <c r="DR191" s="9"/>
      <c r="DS191" s="9"/>
      <c r="DT191" s="89">
        <v>9.2187471866616195E-3</v>
      </c>
      <c r="DU191" s="89">
        <f t="shared" ca="1" si="163"/>
        <v>9.2187471866616195E-3</v>
      </c>
      <c r="DV191" s="72">
        <f t="shared" ca="1" si="164"/>
        <v>-0.1005037815258744</v>
      </c>
      <c r="DW191" s="37"/>
      <c r="DX191" s="35">
        <f t="shared" si="174"/>
        <v>2.4874685927665518E-2</v>
      </c>
      <c r="DY191" s="56"/>
      <c r="DZ191" s="56"/>
      <c r="EB191" s="2" t="e" vm="193">
        <v>#VALUE!</v>
      </c>
      <c r="ED191" s="10" cm="1">
        <f t="array" aca="1" ref="ED191" ca="1">_FV(EB191,"Ações em circulação",TRUE)</f>
        <v>361423100</v>
      </c>
      <c r="EE191" s="18">
        <f>VLOOKUP(BO191,Fundamentus!A:U,5,FALSE)</f>
        <v>0.38</v>
      </c>
      <c r="EF191" s="2">
        <f t="shared" ca="1" si="165"/>
        <v>1008180226.3157895</v>
      </c>
      <c r="EG191" s="17">
        <v>7964623.7878947379</v>
      </c>
      <c r="EH191" s="17">
        <f t="shared" ca="1" si="166"/>
        <v>7964623.7878947379</v>
      </c>
      <c r="EJ191" s="16">
        <f t="shared" ca="1" si="153"/>
        <v>0</v>
      </c>
      <c r="EK191" s="32" t="str">
        <f>IF(VLOOKUP(BO191,Fundamentus!A:U,3,FALSE)&lt;15,"Bom",IF(VLOOKUP(BO191,Fundamentus!A:U,3,FALSE)&gt;15,"Ruim","n/a"))</f>
        <v>Ruim</v>
      </c>
      <c r="EL191" s="28" t="str">
        <f>IF(VLOOKUP(BO191,Fundamentus!A:U,4,FALSE)&lt;1,"Baixo",IF(VLOOKUP(BO191,Fundamentus!A:U,4,FALSE)&lt;1.5,"Moderado",IF(VLOOKUP(BO191,Fundamentus!A:U,4,FALSE)&gt;1.5,"Alto","n/a")))</f>
        <v>Baixo</v>
      </c>
      <c r="EM191" s="17" t="str">
        <f>IF(VLOOKUP(BO191,Fundamentus!A:U,8,FALSE)&lt;0,"Risco elevado",IF(VLOOKUP(BO191,Fundamentus!A:U,8,FALSE)&lt;1,"Saudável",IF(VLOOKUP(BO191,Fundamentus!A:U,8,FALSE)&lt;3,"Estável",IF(VLOOKUP(BO191,Fundamentus!A:U,8,FALSE)&gt;3,"Alerta","n/a"))))</f>
        <v>Estável</v>
      </c>
      <c r="EN191" s="28" t="str">
        <f t="shared" si="167"/>
        <v>Ruim</v>
      </c>
      <c r="EO191" s="17" t="str">
        <f>IF(VLOOKUP(BO191,Fundamentus!A:U,12,FALSE)&lt;2,"Subvalorizada",IF(VLOOKUP(BO191,Fundamentus!A:U,12,FALSE)&lt;6,"Muita barata",IF(VLOOKUP(BO191,Fundamentus!A:U,12,FALSE)&lt;6,"Barata",IF(VLOOKUP(BO191,Fundamentus!A:U,12,FALSE)&lt;8,"Atrativa",IF(VLOOKUP(BO191,Fundamentus!A:U,12,FALSE)&gt;8,"Supervalorizada","n/a")))))</f>
        <v>Muita barata</v>
      </c>
      <c r="EQ191" s="17" t="str">
        <f>IF(VLOOKUP(BO191,Fundamentus!A:U,17,FALSE)&lt;0.1,"Fraco retorno",IF(VLOOKUP(BO191,Fundamentus!A:U,17,FALSE)&gt;0.1,"Bom retorno","n/a"))</f>
        <v>Fraco retorno</v>
      </c>
      <c r="ER191" s="17" t="str">
        <f>IF(VLOOKUP(BO191,Fundamentus!A:U,16,FALSE)&lt;0.1,"Ineficiente",IF(VLOOKUP(BO191,Fundamentus!A:U,16,FALSE)&gt;0.1,"Eficiente","n/a"))</f>
        <v>Ineficiente</v>
      </c>
      <c r="ES191" s="33" t="str">
        <f>IF(VLOOKUP(BO191,Fundamentus!A:U,16,FALSE)&lt;0.1,"Oper. Ineficiente",IF(VLOOKUP(BO191,Fundamentus!A:U,16,FALSE)&gt;0.1,"Oper.Eficiente","n/a"))</f>
        <v>Oper. Ineficiente</v>
      </c>
      <c r="ET191" s="34">
        <f>VLOOKUP(BO191,Fundamentus!A:U,14,FALSE)</f>
        <v>7.9000000000000008E-3</v>
      </c>
      <c r="EU191" s="17" t="str">
        <f>IF(VLOOKUP(BO191,Fundamentus!A:U,21,FALSE)&lt;0,"Negativo",IF(VLOOKUP(BO191,Fundamentus!A:U,21,FALSE)&lt;0.05,"Fraco",IF(VLOOKUP(BO191,Fundamentus!A:U,21,FALSE)&lt;0.1,"Bom",IF(VLOOKUP(BO191,Fundamentus!A:U,21,FALSE)&gt;0.1,"Muito bom","n/a"))))</f>
        <v>Muito bom</v>
      </c>
      <c r="EW191" s="29" t="str">
        <f>IF(VLOOKUP(BO191,Fundamentus!A:U,15,FALSE)&gt;1,"Bom",IF(VLOOKUP(BO191,Fundamentus!A:U,15,FALSE)&lt;1,"Ruim","n/a"))</f>
        <v>Bom</v>
      </c>
      <c r="EX191" s="17" t="str">
        <f>IF(VLOOKUP(BO191,Fundamentus!A:U,20,FALSE)&lt;0.5,"Baixa",IF(VLOOKUP(BO191,Fundamentus!A:U,20,FALSE)&lt;1,"Moderada",IF(VLOOKUP(BO191,Fundamentus!A:U,20,FALSE)&lt;2,"Alerta",IF(VLOOKUP(BO191,Fundamentus!A:U,20,FALSE)&gt;2,"Alta","n/a"))))</f>
        <v>Moderada</v>
      </c>
      <c r="EY191" s="10"/>
    </row>
    <row r="192" spans="1:155" s="2" customFormat="1" ht="11.25"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5">
        <v>4.5599999999999996</v>
      </c>
      <c r="BC192" s="52">
        <v>4.4400000000000004</v>
      </c>
      <c r="BD192" s="52">
        <v>4.95</v>
      </c>
      <c r="BE192" s="52">
        <v>4.74</v>
      </c>
      <c r="BF192" s="52">
        <v>4.66</v>
      </c>
      <c r="BG192" s="67">
        <v>4.4000000000000004</v>
      </c>
      <c r="BH192" s="52">
        <v>4.7300000000000004</v>
      </c>
      <c r="BI192" s="52">
        <v>4.59</v>
      </c>
      <c r="BJ192" s="52">
        <v>4.62</v>
      </c>
      <c r="BK192" s="52">
        <v>4.58</v>
      </c>
      <c r="BL192" s="52">
        <v>4.3099999999999996</v>
      </c>
      <c r="BM192" s="52">
        <v>4.43</v>
      </c>
      <c r="BN192" s="52" cm="1">
        <f t="array" aca="1" ref="BN192" ca="1">_FV(EB192,"Preço")</f>
        <v>4.43</v>
      </c>
      <c r="BO192" s="69" t="s">
        <v>188</v>
      </c>
      <c r="BP192" s="36" cm="1">
        <f t="array" aca="1" ref="BP192" ca="1">_FV(EB192,"Média de volume",TRUE)</f>
        <v>332570</v>
      </c>
      <c r="BQ192" s="36">
        <v>231300</v>
      </c>
      <c r="BR192" s="36" cm="1">
        <f t="array" aca="1" ref="BR192" ca="1">_FV(EB192,"Volume")</f>
        <v>231300</v>
      </c>
      <c r="BS192" s="24" cm="1">
        <f t="array" aca="1" ref="BS192" ca="1">_FV(EB192,"Beta")</f>
        <v>1.5616000000000001</v>
      </c>
      <c r="BT192" s="71" cm="1">
        <f t="array" aca="1" ref="BT192" ca="1">_FV(EB192,"Variação (%)",TRUE)</f>
        <v>1.3729999999999999E-2</v>
      </c>
      <c r="BV192" s="17" cm="1">
        <f t="array" aca="1" ref="BV192" ca="1">_FV(EB192,"Baixo")</f>
        <v>4.3099999999999996</v>
      </c>
      <c r="BW192" s="17" cm="1">
        <f t="array" aca="1" ref="BW192" ca="1">_FV(EB192,"Alto")</f>
        <v>4.4400000000000004</v>
      </c>
      <c r="BX192" s="24"/>
      <c r="BY192" s="63" t="e">
        <f ca="1">SQRT(22.5*(BN192/VLOOKUP(BO192,Fundamentus!A:U,3,FALSE))*(BN192/VLOOKUP(BO192,Fundamentus!A:U,4,FALSE)))</f>
        <v>#NUM!</v>
      </c>
      <c r="CA192" s="62">
        <f t="shared" ca="1" si="168"/>
        <v>0</v>
      </c>
      <c r="CB192" s="8"/>
      <c r="CC192" s="61">
        <f t="shared" si="169"/>
        <v>3.51</v>
      </c>
      <c r="CD192" s="61">
        <f t="shared" si="170"/>
        <v>5.81</v>
      </c>
      <c r="CE192" s="61">
        <f t="shared" si="171"/>
        <v>4.4199230769230775</v>
      </c>
      <c r="CF192" s="14"/>
      <c r="CG192" s="35">
        <f t="shared" si="154"/>
        <v>4.0282207464149158</v>
      </c>
      <c r="CH192" s="15">
        <f t="shared" si="172"/>
        <v>4.2749999999999773</v>
      </c>
      <c r="CI192" s="35">
        <f t="shared" si="155"/>
        <v>4.5217792535850387</v>
      </c>
      <c r="CK192" s="14"/>
      <c r="CL192" s="17">
        <f t="shared" si="156"/>
        <v>0.97666666666666657</v>
      </c>
      <c r="CM192" s="17">
        <f t="shared" si="157"/>
        <v>2.2433333333333332</v>
      </c>
      <c r="CN192" s="17">
        <f t="shared" si="158"/>
        <v>3.2766666666666664</v>
      </c>
      <c r="CO192" s="38">
        <f t="shared" si="173"/>
        <v>4.543333333333333</v>
      </c>
      <c r="CP192" s="17">
        <f t="shared" si="159"/>
        <v>5.5766666666666662</v>
      </c>
      <c r="CQ192" s="17">
        <f t="shared" si="160"/>
        <v>6.8433333333333328</v>
      </c>
      <c r="CR192" s="17">
        <f t="shared" si="161"/>
        <v>7.876666666666666</v>
      </c>
      <c r="CS192" s="2" cm="1">
        <f t="array" aca="1" ref="CS192" ca="1">MAX(_xlfn._xlws.FILTER(CL192:CR192,CL192:CR192&lt;BN192))</f>
        <v>3.2766666666666664</v>
      </c>
      <c r="CT192" s="2" cm="1">
        <f t="array" aca="1" ref="CT192" ca="1">MIN(_xlfn._xlws.FILTER($CL192:$CR192,$CL192:$CR192&gt;BN192))</f>
        <v>4.543333333333333</v>
      </c>
      <c r="CU192" s="16">
        <f t="shared" ca="1" si="209"/>
        <v>0.38657171922685651</v>
      </c>
      <c r="CV192" s="20">
        <f t="shared" ca="1" si="210"/>
        <v>-0.19328585961342826</v>
      </c>
      <c r="CW192" s="20">
        <f t="shared" ca="1" si="211"/>
        <v>-0.1288572397422855</v>
      </c>
      <c r="CX192" s="20">
        <f t="shared" ca="1" si="212"/>
        <v>-7.7314343845371308E-2</v>
      </c>
      <c r="CY192" s="20">
        <f t="shared" ca="1" si="213"/>
        <v>-4.2952413247428503E-2</v>
      </c>
      <c r="CZ192" s="20">
        <f t="shared" ca="1" si="214"/>
        <v>-2.2739512895697443E-2</v>
      </c>
      <c r="DA192" s="20">
        <f t="shared" ca="1" si="215"/>
        <v>-1.1714294522025956E-2</v>
      </c>
      <c r="DB192" s="20">
        <f t="shared" ca="1" si="216"/>
        <v>-5.9472572188747153E-3</v>
      </c>
      <c r="DC192" s="21">
        <f t="shared" ca="1" si="217"/>
        <v>5.9472572188747153E-3</v>
      </c>
      <c r="DD192" s="21">
        <f t="shared" ca="1" si="218"/>
        <v>1.1714294522025956E-2</v>
      </c>
      <c r="DE192" s="21">
        <f t="shared" ca="1" si="219"/>
        <v>2.2739512895697443E-2</v>
      </c>
      <c r="DF192" s="21">
        <f t="shared" ca="1" si="220"/>
        <v>4.2952413247428503E-2</v>
      </c>
      <c r="DG192" s="21">
        <f t="shared" ca="1" si="221"/>
        <v>7.7314343845371308E-2</v>
      </c>
      <c r="DH192" s="21">
        <f t="shared" ca="1" si="222"/>
        <v>0.1288572397422855</v>
      </c>
      <c r="DI192" s="21">
        <f t="shared" ca="1" si="223"/>
        <v>0.19328585961342826</v>
      </c>
      <c r="DK192" s="16" cm="1">
        <f t="array" aca="1" ref="DK192" ca="1">MAX(_xlfn._xlws.FILTER(CV192:DI192,CV192:DI192&lt;BT192))</f>
        <v>1.1714294522025956E-2</v>
      </c>
      <c r="DL192" s="16" cm="1">
        <f t="array" aca="1" ref="DL192" ca="1">MIN(_xlfn._xlws.FILTER(CV192:DI192,CV192:DI192&gt;BT192))</f>
        <v>2.2739512895697443E-2</v>
      </c>
      <c r="DM192" s="2" cm="1">
        <f t="array" aca="1" ref="DM192" ca="1">_FV(EB192,"Fechamento anterior",TRUE)</f>
        <v>4.37</v>
      </c>
      <c r="DN192" s="28">
        <f t="shared" ca="1" si="162"/>
        <v>0.18282473202456936</v>
      </c>
      <c r="DO192" s="15">
        <f t="shared" ca="1" si="224"/>
        <v>4.4211914670612531</v>
      </c>
      <c r="DP192" s="15">
        <f t="shared" ca="1" si="225"/>
        <v>4.4693716713541978</v>
      </c>
      <c r="DQ192" s="9"/>
      <c r="DR192" s="9"/>
      <c r="DS192" s="9"/>
      <c r="DT192" s="89">
        <v>1.1025218373671488E-2</v>
      </c>
      <c r="DU192" s="89">
        <f t="shared" ca="1" si="163"/>
        <v>1.1025218373671488E-2</v>
      </c>
      <c r="DV192" s="72">
        <f t="shared" ca="1" si="164"/>
        <v>0.6280916963167491</v>
      </c>
      <c r="DW192" s="37"/>
      <c r="DX192" s="35">
        <f t="shared" si="174"/>
        <v>0.12338962679253086</v>
      </c>
      <c r="DY192" s="56"/>
      <c r="DZ192" s="56"/>
      <c r="EB192" s="2" t="e" vm="194">
        <v>#VALUE!</v>
      </c>
      <c r="ED192" s="10" cm="1">
        <f t="array" aca="1" ref="ED192" ca="1">_FV(EB192,"Ações em circulação",TRUE)</f>
        <v>339428000</v>
      </c>
      <c r="EE192" s="18">
        <f>VLOOKUP(BO192,Fundamentus!A:U,5,FALSE)</f>
        <v>0.68899999999999995</v>
      </c>
      <c r="EF192" s="2">
        <f t="shared" ca="1" si="165"/>
        <v>2182389027.5761976</v>
      </c>
      <c r="EG192" s="17">
        <v>-356165889.30043548</v>
      </c>
      <c r="EH192" s="17">
        <f t="shared" ca="1" si="166"/>
        <v>-356165889.30043548</v>
      </c>
      <c r="EJ192" s="16">
        <f t="shared" ca="1" si="153"/>
        <v>0</v>
      </c>
      <c r="EK192" s="32" t="str">
        <f>IF(VLOOKUP(BO192,Fundamentus!A:U,3,FALSE)&lt;15,"Bom",IF(VLOOKUP(BO192,Fundamentus!A:U,3,FALSE)&gt;15,"Ruim","n/a"))</f>
        <v>Bom</v>
      </c>
      <c r="EL192" s="28" t="str">
        <f>IF(VLOOKUP(BO192,Fundamentus!A:U,4,FALSE)&lt;1,"Baixo",IF(VLOOKUP(BO192,Fundamentus!A:U,4,FALSE)&lt;1.5,"Moderado",IF(VLOOKUP(BO192,Fundamentus!A:U,4,FALSE)&gt;1.5,"Alto","n/a")))</f>
        <v>Moderado</v>
      </c>
      <c r="EM192" s="17" t="str">
        <f>IF(VLOOKUP(BO192,Fundamentus!A:U,8,FALSE)&lt;0,"Risco elevado",IF(VLOOKUP(BO192,Fundamentus!A:U,8,FALSE)&lt;1,"Saudável",IF(VLOOKUP(BO192,Fundamentus!A:U,8,FALSE)&lt;3,"Estável",IF(VLOOKUP(BO192,Fundamentus!A:U,8,FALSE)&gt;3,"Alerta","n/a"))))</f>
        <v>Estável</v>
      </c>
      <c r="EN192" s="28" t="str">
        <f t="shared" si="167"/>
        <v>Ruim</v>
      </c>
      <c r="EO192" s="17" t="str">
        <f>IF(VLOOKUP(BO192,Fundamentus!A:U,12,FALSE)&lt;2,"Subvalorizada",IF(VLOOKUP(BO192,Fundamentus!A:U,12,FALSE)&lt;6,"Muita barata",IF(VLOOKUP(BO192,Fundamentus!A:U,12,FALSE)&lt;6,"Barata",IF(VLOOKUP(BO192,Fundamentus!A:U,12,FALSE)&lt;8,"Atrativa",IF(VLOOKUP(BO192,Fundamentus!A:U,12,FALSE)&gt;8,"Supervalorizada","n/a")))))</f>
        <v>Muita barata</v>
      </c>
      <c r="EQ192" s="17" t="str">
        <f>IF(VLOOKUP(BO192,Fundamentus!A:U,17,FALSE)&lt;0.1,"Fraco retorno",IF(VLOOKUP(BO192,Fundamentus!A:U,17,FALSE)&gt;0.1,"Bom retorno","n/a"))</f>
        <v>Fraco retorno</v>
      </c>
      <c r="ER192" s="17" t="str">
        <f>IF(VLOOKUP(BO192,Fundamentus!A:U,16,FALSE)&lt;0.1,"Ineficiente",IF(VLOOKUP(BO192,Fundamentus!A:U,16,FALSE)&gt;0.1,"Eficiente","n/a"))</f>
        <v>Ineficiente</v>
      </c>
      <c r="ES192" s="33" t="str">
        <f>IF(VLOOKUP(BO192,Fundamentus!A:U,16,FALSE)&lt;0.1,"Oper. Ineficiente",IF(VLOOKUP(BO192,Fundamentus!A:U,16,FALSE)&gt;0.1,"Oper.Eficiente","n/a"))</f>
        <v>Oper. Ineficiente</v>
      </c>
      <c r="ET192" s="34">
        <f>VLOOKUP(BO192,Fundamentus!A:U,14,FALSE)</f>
        <v>-0.16320000000000001</v>
      </c>
      <c r="EU192" s="17" t="str">
        <f>IF(VLOOKUP(BO192,Fundamentus!A:U,21,FALSE)&lt;0,"Negativo",IF(VLOOKUP(BO192,Fundamentus!A:U,21,FALSE)&lt;0.05,"Fraco",IF(VLOOKUP(BO192,Fundamentus!A:U,21,FALSE)&lt;0.1,"Bom",IF(VLOOKUP(BO192,Fundamentus!A:U,21,FALSE)&gt;0.1,"Muito bom","n/a"))))</f>
        <v>Muito bom</v>
      </c>
      <c r="EW192" s="29" t="str">
        <f>IF(VLOOKUP(BO192,Fundamentus!A:U,15,FALSE)&gt;1,"Bom",IF(VLOOKUP(BO192,Fundamentus!A:U,15,FALSE)&lt;1,"Ruim","n/a"))</f>
        <v>Bom</v>
      </c>
      <c r="EX192" s="17" t="str">
        <f>IF(VLOOKUP(BO192,Fundamentus!A:U,20,FALSE)&lt;0.5,"Baixa",IF(VLOOKUP(BO192,Fundamentus!A:U,20,FALSE)&lt;1,"Moderada",IF(VLOOKUP(BO192,Fundamentus!A:U,20,FALSE)&lt;2,"Alerta",IF(VLOOKUP(BO192,Fundamentus!A:U,20,FALSE)&gt;2,"Alta","n/a"))))</f>
        <v>Moderada</v>
      </c>
      <c r="EY192" s="10"/>
    </row>
    <row r="193" spans="1:155" s="2" customFormat="1" ht="11.25"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5">
        <v>7</v>
      </c>
      <c r="BC193" s="52">
        <v>6.97</v>
      </c>
      <c r="BD193" s="52">
        <v>7.89</v>
      </c>
      <c r="BE193" s="52">
        <v>9</v>
      </c>
      <c r="BF193" s="52">
        <v>8.19</v>
      </c>
      <c r="BG193" s="67">
        <v>7.2</v>
      </c>
      <c r="BH193" s="52">
        <v>7.85</v>
      </c>
      <c r="BI193" s="52">
        <v>7.27</v>
      </c>
      <c r="BJ193" s="52">
        <v>6.59</v>
      </c>
      <c r="BK193" s="52">
        <v>7.39</v>
      </c>
      <c r="BL193" s="52">
        <v>7.49</v>
      </c>
      <c r="BM193" s="52">
        <v>7.32</v>
      </c>
      <c r="BN193" s="52" cm="1">
        <f t="array" aca="1" ref="BN193" ca="1">_FV(EB193,"Preço")</f>
        <v>7.32</v>
      </c>
      <c r="BO193" s="69" t="s">
        <v>189</v>
      </c>
      <c r="BP193" s="36" cm="1">
        <f t="array" aca="1" ref="BP193" ca="1">_FV(EB193,"Média de volume",TRUE)</f>
        <v>15880</v>
      </c>
      <c r="BQ193" s="36">
        <v>13500</v>
      </c>
      <c r="BR193" s="36" cm="1">
        <f t="array" aca="1" ref="BR193" ca="1">_FV(EB193,"Volume")</f>
        <v>13500</v>
      </c>
      <c r="BS193" s="24" cm="1">
        <f t="array" aca="1" ref="BS193" ca="1">_FV(EB193,"Beta")</f>
        <v>0.52090000000000003</v>
      </c>
      <c r="BT193" s="71" cm="1">
        <f t="array" aca="1" ref="BT193" ca="1">_FV(EB193,"Variação (%)",TRUE)</f>
        <v>-2.725E-3</v>
      </c>
      <c r="BV193" s="17" cm="1">
        <f t="array" aca="1" ref="BV193" ca="1">_FV(EB193,"Baixo")</f>
        <v>7.2</v>
      </c>
      <c r="BW193" s="17" cm="1">
        <f t="array" aca="1" ref="BW193" ca="1">_FV(EB193,"Alto")</f>
        <v>7.59</v>
      </c>
      <c r="BX193" s="24"/>
      <c r="BY193" s="63" t="e">
        <f ca="1">SQRT(22.5*(BN193/VLOOKUP(BO193,Fundamentus!A:U,3,FALSE))*(BN193/VLOOKUP(BO193,Fundamentus!A:U,4,FALSE)))</f>
        <v>#NUM!</v>
      </c>
      <c r="CA193" s="62">
        <f t="shared" ca="1" si="168"/>
        <v>0</v>
      </c>
      <c r="CB193" s="8"/>
      <c r="CC193" s="61">
        <f t="shared" si="169"/>
        <v>0.52</v>
      </c>
      <c r="CD193" s="61">
        <f t="shared" si="170"/>
        <v>9</v>
      </c>
      <c r="CE193" s="61">
        <f t="shared" si="171"/>
        <v>5.0748461538461527</v>
      </c>
      <c r="CF193" s="14"/>
      <c r="CG193" s="35">
        <f t="shared" si="154"/>
        <v>7.0581889295606413</v>
      </c>
      <c r="CH193" s="15">
        <f t="shared" si="172"/>
        <v>7.7699999999999818</v>
      </c>
      <c r="CI193" s="35">
        <f t="shared" si="155"/>
        <v>8.4818110704393224</v>
      </c>
      <c r="CK193" s="14"/>
      <c r="CL193" s="17">
        <f t="shared" si="156"/>
        <v>-6.1400000000000023</v>
      </c>
      <c r="CM193" s="17">
        <f t="shared" si="157"/>
        <v>-2.8100000000000014</v>
      </c>
      <c r="CN193" s="17">
        <f t="shared" si="158"/>
        <v>2.3399999999999981</v>
      </c>
      <c r="CO193" s="38">
        <f t="shared" si="173"/>
        <v>5.669999999999999</v>
      </c>
      <c r="CP193" s="17">
        <f t="shared" si="159"/>
        <v>10.819999999999999</v>
      </c>
      <c r="CQ193" s="17">
        <f t="shared" si="160"/>
        <v>14.149999999999999</v>
      </c>
      <c r="CR193" s="17">
        <f t="shared" si="161"/>
        <v>19.299999999999997</v>
      </c>
      <c r="CS193" s="2" cm="1">
        <f t="array" aca="1" ref="CS193" ca="1">MAX(_xlfn._xlws.FILTER(CL193:CR193,CL193:CR193&lt;BN193))</f>
        <v>5.669999999999999</v>
      </c>
      <c r="CT193" s="2" cm="1">
        <f t="array" aca="1" ref="CT193" ca="1">MIN(_xlfn._xlws.FILTER($CL193:$CR193,$CL193:$CR193&gt;BN193))</f>
        <v>10.819999999999999</v>
      </c>
      <c r="CU193" s="16">
        <f t="shared" ca="1" si="209"/>
        <v>0.90828924162257496</v>
      </c>
      <c r="CV193" s="20">
        <f t="shared" ca="1" si="210"/>
        <v>-0.45414462081128748</v>
      </c>
      <c r="CW193" s="20">
        <f t="shared" ca="1" si="211"/>
        <v>-0.30276308054085832</v>
      </c>
      <c r="CX193" s="20">
        <f t="shared" ca="1" si="212"/>
        <v>-0.18165784832451498</v>
      </c>
      <c r="CY193" s="20">
        <f t="shared" ca="1" si="213"/>
        <v>-0.10092102684695277</v>
      </c>
      <c r="CZ193" s="20">
        <f t="shared" ca="1" si="214"/>
        <v>-5.3428778918974996E-2</v>
      </c>
      <c r="DA193" s="20">
        <f t="shared" ca="1" si="215"/>
        <v>-2.7523916412805303E-2</v>
      </c>
      <c r="DB193" s="20">
        <f t="shared" ca="1" si="216"/>
        <v>-1.3973680640347307E-2</v>
      </c>
      <c r="DC193" s="21">
        <f t="shared" ca="1" si="217"/>
        <v>1.3973680640347307E-2</v>
      </c>
      <c r="DD193" s="21">
        <f t="shared" ca="1" si="218"/>
        <v>2.7523916412805303E-2</v>
      </c>
      <c r="DE193" s="21">
        <f t="shared" ca="1" si="219"/>
        <v>5.3428778918974996E-2</v>
      </c>
      <c r="DF193" s="21">
        <f t="shared" ca="1" si="220"/>
        <v>0.10092102684695277</v>
      </c>
      <c r="DG193" s="21">
        <f t="shared" ca="1" si="221"/>
        <v>0.18165784832451498</v>
      </c>
      <c r="DH193" s="21">
        <f t="shared" ca="1" si="222"/>
        <v>0.30276308054085832</v>
      </c>
      <c r="DI193" s="21">
        <f t="shared" ca="1" si="223"/>
        <v>0.45414462081128748</v>
      </c>
      <c r="DK193" s="16" cm="1">
        <f t="array" aca="1" ref="DK193" ca="1">MAX(_xlfn._xlws.FILTER(CV193:DI193,CV193:DI193&lt;BT193))</f>
        <v>-1.3973680640347307E-2</v>
      </c>
      <c r="DL193" s="16" cm="1">
        <f t="array" aca="1" ref="DL193" ca="1">MIN(_xlfn._xlws.FILTER(CV193:DI193,CV193:DI193&gt;BT193))</f>
        <v>1.3973680640347307E-2</v>
      </c>
      <c r="DM193" s="2" cm="1">
        <f t="array" aca="1" ref="DM193" ca="1">_FV(EB193,"Fechamento anterior",TRUE)</f>
        <v>7.34</v>
      </c>
      <c r="DN193" s="28">
        <f t="shared" ca="1" si="162"/>
        <v>0.40250257929684641</v>
      </c>
      <c r="DO193" s="15">
        <f t="shared" ca="1" si="224"/>
        <v>7.2374331840998503</v>
      </c>
      <c r="DP193" s="15">
        <f t="shared" ca="1" si="225"/>
        <v>7.4425668159001495</v>
      </c>
      <c r="DQ193" s="9"/>
      <c r="DR193" s="9"/>
      <c r="DS193" s="9"/>
      <c r="DT193" s="89">
        <v>2.7947361280694614E-2</v>
      </c>
      <c r="DU193" s="89">
        <f t="shared" ca="1" si="163"/>
        <v>2.7947361280694614E-2</v>
      </c>
      <c r="DV193" s="72">
        <f t="shared" ca="1" si="164"/>
        <v>-0.63219022390623225</v>
      </c>
      <c r="DW193" s="37"/>
      <c r="DX193" s="35">
        <f t="shared" si="174"/>
        <v>0.35590553521967039</v>
      </c>
      <c r="DY193" s="56"/>
      <c r="DZ193" s="56"/>
      <c r="EB193" s="2" t="e" vm="195">
        <v>#VALUE!</v>
      </c>
      <c r="ED193" s="10" cm="1">
        <f t="array" aca="1" ref="ED193" ca="1">_FV(EB193,"Ações em circulação",TRUE)</f>
        <v>40021020</v>
      </c>
      <c r="EE193" s="18">
        <f>VLOOKUP(BO193,Fundamentus!A:U,5,FALSE)</f>
        <v>7.1740000000000004</v>
      </c>
      <c r="EF193" s="2">
        <f t="shared" ca="1" si="165"/>
        <v>40835498.522442155</v>
      </c>
      <c r="EG193" s="17">
        <v>-84443727.394558132</v>
      </c>
      <c r="EH193" s="17">
        <f t="shared" ca="1" si="166"/>
        <v>-84443727.394558132</v>
      </c>
      <c r="EJ193" s="16">
        <f t="shared" ca="1" si="153"/>
        <v>0</v>
      </c>
      <c r="EK193" s="32" t="str">
        <f>IF(VLOOKUP(BO193,Fundamentus!A:U,3,FALSE)&lt;15,"Bom",IF(VLOOKUP(BO193,Fundamentus!A:U,3,FALSE)&gt;15,"Ruim","n/a"))</f>
        <v>Bom</v>
      </c>
      <c r="EL193" s="28" t="str">
        <f>IF(VLOOKUP(BO193,Fundamentus!A:U,4,FALSE)&lt;1,"Baixo",IF(VLOOKUP(BO193,Fundamentus!A:U,4,FALSE)&lt;1.5,"Moderado",IF(VLOOKUP(BO193,Fundamentus!A:U,4,FALSE)&gt;1.5,"Alto","n/a")))</f>
        <v>Alto</v>
      </c>
      <c r="EM193" s="17" t="str">
        <f>IF(VLOOKUP(BO193,Fundamentus!A:U,8,FALSE)&lt;0,"Risco elevado",IF(VLOOKUP(BO193,Fundamentus!A:U,8,FALSE)&lt;1,"Saudável",IF(VLOOKUP(BO193,Fundamentus!A:U,8,FALSE)&lt;3,"Estável",IF(VLOOKUP(BO193,Fundamentus!A:U,8,FALSE)&gt;3,"Alerta","n/a"))))</f>
        <v>Alerta</v>
      </c>
      <c r="EN193" s="28" t="str">
        <f t="shared" si="167"/>
        <v>Bom</v>
      </c>
      <c r="EO193" s="17" t="str">
        <f>IF(VLOOKUP(BO193,Fundamentus!A:U,12,FALSE)&lt;2,"Subvalorizada",IF(VLOOKUP(BO193,Fundamentus!A:U,12,FALSE)&lt;6,"Muita barata",IF(VLOOKUP(BO193,Fundamentus!A:U,12,FALSE)&lt;6,"Barata",IF(VLOOKUP(BO193,Fundamentus!A:U,12,FALSE)&lt;8,"Atrativa",IF(VLOOKUP(BO193,Fundamentus!A:U,12,FALSE)&gt;8,"Supervalorizada","n/a")))))</f>
        <v>Subvalorizada</v>
      </c>
      <c r="EQ193" s="17" t="str">
        <f>IF(VLOOKUP(BO193,Fundamentus!A:U,17,FALSE)&lt;0.1,"Fraco retorno",IF(VLOOKUP(BO193,Fundamentus!A:U,17,FALSE)&gt;0.1,"Bom retorno","n/a"))</f>
        <v>Fraco retorno</v>
      </c>
      <c r="ER193" s="17" t="str">
        <f>IF(VLOOKUP(BO193,Fundamentus!A:U,16,FALSE)&lt;0.1,"Ineficiente",IF(VLOOKUP(BO193,Fundamentus!A:U,16,FALSE)&gt;0.1,"Eficiente","n/a"))</f>
        <v>Ineficiente</v>
      </c>
      <c r="ES193" s="33" t="str">
        <f>IF(VLOOKUP(BO193,Fundamentus!A:U,16,FALSE)&lt;0.1,"Oper. Ineficiente",IF(VLOOKUP(BO193,Fundamentus!A:U,16,FALSE)&gt;0.1,"Oper.Eficiente","n/a"))</f>
        <v>Oper. Ineficiente</v>
      </c>
      <c r="ET193" s="34">
        <f>VLOOKUP(BO193,Fundamentus!A:U,14,FALSE)</f>
        <v>-2.0678999999999998</v>
      </c>
      <c r="EU193" s="17" t="str">
        <f>IF(VLOOKUP(BO193,Fundamentus!A:U,21,FALSE)&lt;0,"Negativo",IF(VLOOKUP(BO193,Fundamentus!A:U,21,FALSE)&lt;0.05,"Fraco",IF(VLOOKUP(BO193,Fundamentus!A:U,21,FALSE)&lt;0.1,"Bom",IF(VLOOKUP(BO193,Fundamentus!A:U,21,FALSE)&gt;0.1,"Muito bom","n/a"))))</f>
        <v>Negativo</v>
      </c>
      <c r="EW193" s="29" t="str">
        <f>IF(VLOOKUP(BO193,Fundamentus!A:U,15,FALSE)&gt;1,"Bom",IF(VLOOKUP(BO193,Fundamentus!A:U,15,FALSE)&lt;1,"Ruim","n/a"))</f>
        <v>Bom</v>
      </c>
      <c r="EX193" s="17" t="str">
        <f>IF(VLOOKUP(BO193,Fundamentus!A:U,20,FALSE)&lt;0.5,"Baixa",IF(VLOOKUP(BO193,Fundamentus!A:U,20,FALSE)&lt;1,"Moderada",IF(VLOOKUP(BO193,Fundamentus!A:U,20,FALSE)&lt;2,"Alerta",IF(VLOOKUP(BO193,Fundamentus!A:U,20,FALSE)&gt;2,"Alta","n/a"))))</f>
        <v>Baixa</v>
      </c>
      <c r="EY193" s="10"/>
    </row>
    <row r="194" spans="1:155" s="2" customFormat="1" ht="11.25"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5">
        <v>20.3</v>
      </c>
      <c r="BC194" s="52">
        <v>21.38</v>
      </c>
      <c r="BD194" s="52">
        <v>20.32</v>
      </c>
      <c r="BE194" s="52">
        <v>20.3</v>
      </c>
      <c r="BF194" s="52">
        <v>19.61</v>
      </c>
      <c r="BG194" s="67">
        <v>19.5</v>
      </c>
      <c r="BH194" s="52">
        <v>19.7</v>
      </c>
      <c r="BI194" s="52">
        <v>20.71</v>
      </c>
      <c r="BJ194" s="52">
        <v>21.88</v>
      </c>
      <c r="BK194" s="52">
        <v>20.2</v>
      </c>
      <c r="BL194" s="52">
        <v>18.829999999999998</v>
      </c>
      <c r="BM194" s="52">
        <v>18.64</v>
      </c>
      <c r="BN194" s="52" cm="1">
        <f t="array" aca="1" ref="BN194" ca="1">_FV(EB194,"Preço")</f>
        <v>18.64</v>
      </c>
      <c r="BO194" s="69" t="s">
        <v>190</v>
      </c>
      <c r="BP194" s="36" cm="1">
        <f t="array" aca="1" ref="BP194" ca="1">_FV(EB194,"Média de volume",TRUE)</f>
        <v>677870</v>
      </c>
      <c r="BQ194" s="36">
        <v>377300</v>
      </c>
      <c r="BR194" s="36" cm="1">
        <f t="array" aca="1" ref="BR194" ca="1">_FV(EB194,"Volume")</f>
        <v>377300</v>
      </c>
      <c r="BS194" s="24" cm="1">
        <f t="array" aca="1" ref="BS194" ca="1">_FV(EB194,"Beta")</f>
        <v>0.91059999999999997</v>
      </c>
      <c r="BT194" s="71" cm="1">
        <f t="array" aca="1" ref="BT194" ca="1">_FV(EB194,"Variação (%)",TRUE)</f>
        <v>2.1510000000000001E-3</v>
      </c>
      <c r="BV194" s="17" cm="1">
        <f t="array" aca="1" ref="BV194" ca="1">_FV(EB194,"Baixo")</f>
        <v>18.5</v>
      </c>
      <c r="BW194" s="17" cm="1">
        <f t="array" aca="1" ref="BW194" ca="1">_FV(EB194,"Alto")</f>
        <v>18.809999999999999</v>
      </c>
      <c r="BX194" s="24"/>
      <c r="BY194" s="63">
        <f ca="1">SQRT(22.5*(BN194/VLOOKUP(BO194,Fundamentus!A:U,3,FALSE))*(BN194/VLOOKUP(BO194,Fundamentus!A:U,4,FALSE)))</f>
        <v>19.64653891377403</v>
      </c>
      <c r="CA194" s="62">
        <f t="shared" ca="1" si="168"/>
        <v>0</v>
      </c>
      <c r="CB194" s="8"/>
      <c r="CC194" s="61">
        <f t="shared" si="169"/>
        <v>14.46</v>
      </c>
      <c r="CD194" s="61">
        <f t="shared" si="170"/>
        <v>21.88</v>
      </c>
      <c r="CE194" s="61">
        <f t="shared" si="171"/>
        <v>16.93176923076923</v>
      </c>
      <c r="CF194" s="14"/>
      <c r="CG194" s="35">
        <f t="shared" si="154"/>
        <v>14.518410891187994</v>
      </c>
      <c r="CH194" s="15">
        <f t="shared" si="172"/>
        <v>17.114999999999782</v>
      </c>
      <c r="CI194" s="35">
        <f t="shared" si="155"/>
        <v>19.71158910881157</v>
      </c>
      <c r="CK194" s="14"/>
      <c r="CL194" s="17">
        <f t="shared" si="156"/>
        <v>7.480000000000004</v>
      </c>
      <c r="CM194" s="17">
        <f t="shared" si="157"/>
        <v>10.970000000000002</v>
      </c>
      <c r="CN194" s="17">
        <f t="shared" si="158"/>
        <v>14.900000000000002</v>
      </c>
      <c r="CO194" s="38">
        <f t="shared" si="173"/>
        <v>18.39</v>
      </c>
      <c r="CP194" s="17">
        <f t="shared" si="159"/>
        <v>22.32</v>
      </c>
      <c r="CQ194" s="17">
        <f t="shared" si="160"/>
        <v>25.81</v>
      </c>
      <c r="CR194" s="17">
        <f t="shared" si="161"/>
        <v>29.74</v>
      </c>
      <c r="CS194" s="2" cm="1">
        <f t="array" aca="1" ref="CS194" ca="1">MAX(_xlfn._xlws.FILTER(CL194:CR194,CL194:CR194&lt;BN194))</f>
        <v>18.39</v>
      </c>
      <c r="CT194" s="2" cm="1">
        <f t="array" aca="1" ref="CT194" ca="1">MIN(_xlfn._xlws.FILTER($CL194:$CR194,$CL194:$CR194&gt;BN194))</f>
        <v>22.32</v>
      </c>
      <c r="CU194" s="16">
        <f t="shared" ca="1" si="209"/>
        <v>0.21370309951060351</v>
      </c>
      <c r="CV194" s="20">
        <f t="shared" ca="1" si="210"/>
        <v>-0.10685154975530176</v>
      </c>
      <c r="CW194" s="20">
        <f t="shared" ca="1" si="211"/>
        <v>-7.1234366503534499E-2</v>
      </c>
      <c r="CX194" s="20">
        <f t="shared" ca="1" si="212"/>
        <v>-4.2740619902120705E-2</v>
      </c>
      <c r="CY194" s="20">
        <f t="shared" ca="1" si="213"/>
        <v>-2.3744788834511501E-2</v>
      </c>
      <c r="CZ194" s="20">
        <f t="shared" ca="1" si="214"/>
        <v>-1.2570770559447265E-2</v>
      </c>
      <c r="DA194" s="20">
        <f t="shared" ca="1" si="215"/>
        <v>-6.4758515003213186E-3</v>
      </c>
      <c r="DB194" s="20">
        <f t="shared" ca="1" si="216"/>
        <v>-3.2877399924708234E-3</v>
      </c>
      <c r="DC194" s="21">
        <f t="shared" ca="1" si="217"/>
        <v>3.2877399924708234E-3</v>
      </c>
      <c r="DD194" s="21">
        <f t="shared" ca="1" si="218"/>
        <v>6.4758515003213186E-3</v>
      </c>
      <c r="DE194" s="21">
        <f t="shared" ca="1" si="219"/>
        <v>1.2570770559447265E-2</v>
      </c>
      <c r="DF194" s="21">
        <f t="shared" ca="1" si="220"/>
        <v>2.3744788834511501E-2</v>
      </c>
      <c r="DG194" s="21">
        <f t="shared" ca="1" si="221"/>
        <v>4.2740619902120705E-2</v>
      </c>
      <c r="DH194" s="21">
        <f t="shared" ca="1" si="222"/>
        <v>7.1234366503534499E-2</v>
      </c>
      <c r="DI194" s="21">
        <f t="shared" ca="1" si="223"/>
        <v>0.10685154975530176</v>
      </c>
      <c r="DK194" s="16" cm="1">
        <f t="array" aca="1" ref="DK194" ca="1">MAX(_xlfn._xlws.FILTER(CV194:DI194,CV194:DI194&lt;BT194))</f>
        <v>-3.2877399924708234E-3</v>
      </c>
      <c r="DL194" s="16" cm="1">
        <f t="array" aca="1" ref="DL194" ca="1">MIN(_xlfn._xlws.FILTER(CV194:DI194,CV194:DI194&gt;BT194))</f>
        <v>3.2877399924708234E-3</v>
      </c>
      <c r="DM194" s="2" cm="1">
        <f t="array" aca="1" ref="DM194" ca="1">_FV(EB194,"Fechamento anterior",TRUE)</f>
        <v>18.600000000000001</v>
      </c>
      <c r="DN194" s="28">
        <f t="shared" ca="1" si="162"/>
        <v>0.82705409176721667</v>
      </c>
      <c r="DO194" s="15">
        <f t="shared" ca="1" si="224"/>
        <v>18.538848036140045</v>
      </c>
      <c r="DP194" s="15">
        <f t="shared" ca="1" si="225"/>
        <v>18.661151963859957</v>
      </c>
      <c r="DQ194" s="9"/>
      <c r="DR194" s="9"/>
      <c r="DS194" s="9"/>
      <c r="DT194" s="89">
        <v>6.5754799849416469E-3</v>
      </c>
      <c r="DU194" s="89">
        <f t="shared" ca="1" si="163"/>
        <v>6.5754799849416469E-3</v>
      </c>
      <c r="DV194" s="72">
        <f t="shared" ca="1" si="164"/>
        <v>0.58730894111239129</v>
      </c>
      <c r="DW194" s="37"/>
      <c r="DX194" s="35">
        <f t="shared" si="174"/>
        <v>1.2982945544058941</v>
      </c>
      <c r="DY194" s="56"/>
      <c r="DZ194" s="56"/>
      <c r="EB194" s="2" t="e" vm="196">
        <v>#VALUE!</v>
      </c>
      <c r="ED194" s="10" cm="1">
        <f t="array" aca="1" ref="ED194" ca="1">_FV(EB194,"Ações em circulação",TRUE)</f>
        <v>275536300</v>
      </c>
      <c r="EE194" s="18">
        <f>VLOOKUP(BO194,Fundamentus!A:U,5,FALSE)</f>
        <v>1.6259999999999999</v>
      </c>
      <c r="EF194" s="2">
        <f t="shared" ca="1" si="165"/>
        <v>3158669515.375154</v>
      </c>
      <c r="EG194" s="17">
        <v>588460130.71439123</v>
      </c>
      <c r="EH194" s="17">
        <f t="shared" ca="1" si="166"/>
        <v>588460130.71439123</v>
      </c>
      <c r="EJ194" s="16">
        <f t="shared" ca="1" si="153"/>
        <v>0</v>
      </c>
      <c r="EK194" s="32" t="str">
        <f>IF(VLOOKUP(BO194,Fundamentus!A:U,3,FALSE)&lt;15,"Bom",IF(VLOOKUP(BO194,Fundamentus!A:U,3,FALSE)&gt;15,"Ruim","n/a"))</f>
        <v>Bom</v>
      </c>
      <c r="EL194" s="28" t="str">
        <f>IF(VLOOKUP(BO194,Fundamentus!A:U,4,FALSE)&lt;1,"Baixo",IF(VLOOKUP(BO194,Fundamentus!A:U,4,FALSE)&lt;1.5,"Moderado",IF(VLOOKUP(BO194,Fundamentus!A:U,4,FALSE)&gt;1.5,"Alto","n/a")))</f>
        <v>Alto</v>
      </c>
      <c r="EM194" s="17" t="str">
        <f>IF(VLOOKUP(BO194,Fundamentus!A:U,8,FALSE)&lt;0,"Risco elevado",IF(VLOOKUP(BO194,Fundamentus!A:U,8,FALSE)&lt;1,"Saudável",IF(VLOOKUP(BO194,Fundamentus!A:U,8,FALSE)&lt;3,"Estável",IF(VLOOKUP(BO194,Fundamentus!A:U,8,FALSE)&gt;3,"Alerta","n/a"))))</f>
        <v>Alerta</v>
      </c>
      <c r="EN194" s="28" t="str">
        <f t="shared" si="167"/>
        <v>Bom</v>
      </c>
      <c r="EO194" s="17" t="str">
        <f>IF(VLOOKUP(BO194,Fundamentus!A:U,12,FALSE)&lt;2,"Subvalorizada",IF(VLOOKUP(BO194,Fundamentus!A:U,12,FALSE)&lt;6,"Muita barata",IF(VLOOKUP(BO194,Fundamentus!A:U,12,FALSE)&lt;6,"Barata",IF(VLOOKUP(BO194,Fundamentus!A:U,12,FALSE)&lt;8,"Atrativa",IF(VLOOKUP(BO194,Fundamentus!A:U,12,FALSE)&gt;8,"Supervalorizada","n/a")))))</f>
        <v>Atrativa</v>
      </c>
      <c r="EQ194" s="17" t="str">
        <f>IF(VLOOKUP(BO194,Fundamentus!A:U,17,FALSE)&lt;0.1,"Fraco retorno",IF(VLOOKUP(BO194,Fundamentus!A:U,17,FALSE)&gt;0.1,"Bom retorno","n/a"))</f>
        <v>Bom retorno</v>
      </c>
      <c r="ER194" s="17" t="str">
        <f>IF(VLOOKUP(BO194,Fundamentus!A:U,16,FALSE)&lt;0.1,"Ineficiente",IF(VLOOKUP(BO194,Fundamentus!A:U,16,FALSE)&gt;0.1,"Eficiente","n/a"))</f>
        <v>Eficiente</v>
      </c>
      <c r="ES194" s="33" t="str">
        <f>IF(VLOOKUP(BO194,Fundamentus!A:U,16,FALSE)&lt;0.1,"Oper. Ineficiente",IF(VLOOKUP(BO194,Fundamentus!A:U,16,FALSE)&gt;0.1,"Oper.Eficiente","n/a"))</f>
        <v>Oper.Eficiente</v>
      </c>
      <c r="ET194" s="34">
        <f>VLOOKUP(BO194,Fundamentus!A:U,14,FALSE)</f>
        <v>0.18629999999999999</v>
      </c>
      <c r="EU194" s="17" t="str">
        <f>IF(VLOOKUP(BO194,Fundamentus!A:U,21,FALSE)&lt;0,"Negativo",IF(VLOOKUP(BO194,Fundamentus!A:U,21,FALSE)&lt;0.05,"Fraco",IF(VLOOKUP(BO194,Fundamentus!A:U,21,FALSE)&lt;0.1,"Bom",IF(VLOOKUP(BO194,Fundamentus!A:U,21,FALSE)&gt;0.1,"Muito bom","n/a"))))</f>
        <v>Muito bom</v>
      </c>
      <c r="EW194" s="29" t="str">
        <f>IF(VLOOKUP(BO194,Fundamentus!A:U,15,FALSE)&gt;1,"Bom",IF(VLOOKUP(BO194,Fundamentus!A:U,15,FALSE)&lt;1,"Ruim","n/a"))</f>
        <v>Bom</v>
      </c>
      <c r="EX194" s="17" t="str">
        <f>IF(VLOOKUP(BO194,Fundamentus!A:U,20,FALSE)&lt;0.5,"Baixa",IF(VLOOKUP(BO194,Fundamentus!A:U,20,FALSE)&lt;1,"Moderada",IF(VLOOKUP(BO194,Fundamentus!A:U,20,FALSE)&lt;2,"Alerta",IF(VLOOKUP(BO194,Fundamentus!A:U,20,FALSE)&gt;2,"Alta","n/a"))))</f>
        <v>Baixa</v>
      </c>
      <c r="EY194" s="10"/>
    </row>
    <row r="195" spans="1:155" s="2" customFormat="1" ht="11.25"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5">
        <v>1.25</v>
      </c>
      <c r="BC195" s="52">
        <v>1.25</v>
      </c>
      <c r="BD195" s="52">
        <v>1.23</v>
      </c>
      <c r="BE195" s="52">
        <v>1.22</v>
      </c>
      <c r="BF195" s="52">
        <v>1.22</v>
      </c>
      <c r="BG195" s="67">
        <v>1.21</v>
      </c>
      <c r="BH195" s="52">
        <v>1.2</v>
      </c>
      <c r="BI195" s="52">
        <v>1.21</v>
      </c>
      <c r="BJ195" s="52">
        <v>1.2</v>
      </c>
      <c r="BK195" s="52">
        <v>1.19</v>
      </c>
      <c r="BL195" s="52">
        <v>1.1599999999999999</v>
      </c>
      <c r="BM195" s="52">
        <v>1.1599999999999999</v>
      </c>
      <c r="BN195" s="52" cm="1">
        <f t="array" aca="1" ref="BN195" ca="1">_FV(EB195,"Preço")</f>
        <v>1.1599999999999999</v>
      </c>
      <c r="BO195" s="69" t="s">
        <v>191</v>
      </c>
      <c r="BP195" s="36" cm="1">
        <f t="array" aca="1" ref="BP195" ca="1">_FV(EB195,"Média de volume",TRUE)</f>
        <v>34830</v>
      </c>
      <c r="BQ195" s="36">
        <v>17100</v>
      </c>
      <c r="BR195" s="36" cm="1">
        <f t="array" aca="1" ref="BR195" ca="1">_FV(EB195,"Volume")</f>
        <v>17100</v>
      </c>
      <c r="BS195" s="24" cm="1">
        <f t="array" aca="1" ref="BS195" ca="1">_FV(EB195,"Beta")</f>
        <v>1.8006</v>
      </c>
      <c r="BT195" s="71" cm="1">
        <f t="array" aca="1" ref="BT195" ca="1">_FV(EB195,"Variação (%)",TRUE)</f>
        <v>-1.6949000000000002E-2</v>
      </c>
      <c r="BV195" s="17" cm="1">
        <f t="array" aca="1" ref="BV195" ca="1">_FV(EB195,"Baixo")</f>
        <v>1.1599999999999999</v>
      </c>
      <c r="BW195" s="17" cm="1">
        <f t="array" aca="1" ref="BW195" ca="1">_FV(EB195,"Alto")</f>
        <v>1.19</v>
      </c>
      <c r="BX195" s="24"/>
      <c r="BY195" s="63" t="e">
        <f ca="1">SQRT(22.5*(BN195/VLOOKUP(BO195,Fundamentus!A:U,3,FALSE))*(BN195/VLOOKUP(BO195,Fundamentus!A:U,4,FALSE)))</f>
        <v>#NUM!</v>
      </c>
      <c r="CA195" s="62">
        <f t="shared" ca="1" si="168"/>
        <v>0</v>
      </c>
      <c r="CB195" s="8"/>
      <c r="CC195" s="61">
        <f t="shared" si="169"/>
        <v>1.1599999999999999</v>
      </c>
      <c r="CD195" s="61">
        <f t="shared" si="170"/>
        <v>1.79</v>
      </c>
      <c r="CE195" s="61">
        <f t="shared" si="171"/>
        <v>1.3792307692307693</v>
      </c>
      <c r="CF195" s="14"/>
      <c r="CG195" s="35">
        <f t="shared" si="154"/>
        <v>1.1042928578572722</v>
      </c>
      <c r="CH195" s="15">
        <f t="shared" si="172"/>
        <v>1.1399999999999864</v>
      </c>
      <c r="CI195" s="35">
        <f t="shared" si="155"/>
        <v>1.1757071421427006</v>
      </c>
      <c r="CK195" s="14"/>
      <c r="CL195" s="17">
        <f t="shared" si="156"/>
        <v>0.32000000000000006</v>
      </c>
      <c r="CM195" s="17">
        <f t="shared" si="157"/>
        <v>0.74</v>
      </c>
      <c r="CN195" s="17">
        <f t="shared" si="158"/>
        <v>0.95000000000000018</v>
      </c>
      <c r="CO195" s="38">
        <f t="shared" si="173"/>
        <v>1.37</v>
      </c>
      <c r="CP195" s="17">
        <f t="shared" si="159"/>
        <v>1.5800000000000003</v>
      </c>
      <c r="CQ195" s="17">
        <f t="shared" si="160"/>
        <v>2</v>
      </c>
      <c r="CR195" s="17">
        <f t="shared" si="161"/>
        <v>2.2100000000000004</v>
      </c>
      <c r="CS195" s="2" cm="1">
        <f t="array" aca="1" ref="CS195" ca="1">MAX(_xlfn._xlws.FILTER(CL195:CR195,CL195:CR195&lt;BN195))</f>
        <v>0.95000000000000018</v>
      </c>
      <c r="CT195" s="2" cm="1">
        <f t="array" aca="1" ref="CT195" ca="1">MIN(_xlfn._xlws.FILTER($CL195:$CR195,$CL195:$CR195&gt;BN195))</f>
        <v>1.37</v>
      </c>
      <c r="CU195" s="16">
        <f t="shared" ca="1" si="209"/>
        <v>0.44210526315789456</v>
      </c>
      <c r="CV195" s="20">
        <f t="shared" ca="1" si="210"/>
        <v>-0.22105263157894728</v>
      </c>
      <c r="CW195" s="20">
        <f t="shared" ca="1" si="211"/>
        <v>-0.14736842105263151</v>
      </c>
      <c r="CX195" s="20">
        <f t="shared" ca="1" si="212"/>
        <v>-8.8421052631578914E-2</v>
      </c>
      <c r="CY195" s="20">
        <f t="shared" ca="1" si="213"/>
        <v>-4.9122807017543839E-2</v>
      </c>
      <c r="CZ195" s="20">
        <f t="shared" ca="1" si="214"/>
        <v>-2.6006191950464386E-2</v>
      </c>
      <c r="DA195" s="20">
        <f t="shared" ca="1" si="215"/>
        <v>-1.3397129186602866E-2</v>
      </c>
      <c r="DB195" s="20">
        <f t="shared" ca="1" si="216"/>
        <v>-6.8016194331983774E-3</v>
      </c>
      <c r="DC195" s="21">
        <f t="shared" ca="1" si="217"/>
        <v>6.8016194331983774E-3</v>
      </c>
      <c r="DD195" s="21">
        <f t="shared" ca="1" si="218"/>
        <v>1.3397129186602866E-2</v>
      </c>
      <c r="DE195" s="21">
        <f t="shared" ca="1" si="219"/>
        <v>2.6006191950464386E-2</v>
      </c>
      <c r="DF195" s="21">
        <f t="shared" ca="1" si="220"/>
        <v>4.9122807017543839E-2</v>
      </c>
      <c r="DG195" s="21">
        <f t="shared" ca="1" si="221"/>
        <v>8.8421052631578914E-2</v>
      </c>
      <c r="DH195" s="21">
        <f t="shared" ca="1" si="222"/>
        <v>0.14736842105263151</v>
      </c>
      <c r="DI195" s="21">
        <f t="shared" ca="1" si="223"/>
        <v>0.22105263157894728</v>
      </c>
      <c r="DK195" s="16" cm="1">
        <f t="array" aca="1" ref="DK195" ca="1">MAX(_xlfn._xlws.FILTER(CV195:DI195,CV195:DI195&lt;BT195))</f>
        <v>-2.6006191950464386E-2</v>
      </c>
      <c r="DL195" s="16" cm="1">
        <f t="array" aca="1" ref="DL195" ca="1">MIN(_xlfn._xlws.FILTER(CV195:DI195,CV195:DI195&gt;BT195))</f>
        <v>-1.3397129186602866E-2</v>
      </c>
      <c r="DM195" s="2" cm="1">
        <f t="array" aca="1" ref="DM195" ca="1">_FV(EB195,"Fechamento anterior",TRUE)</f>
        <v>1.18</v>
      </c>
      <c r="DN195" s="28">
        <f t="shared" ca="1" si="162"/>
        <v>0.71829600484260947</v>
      </c>
      <c r="DO195" s="15">
        <f t="shared" ca="1" si="224"/>
        <v>1.1493126934984519</v>
      </c>
      <c r="DP195" s="15">
        <f t="shared" ca="1" si="225"/>
        <v>1.1641913875598087</v>
      </c>
      <c r="DQ195" s="9"/>
      <c r="DR195" s="9"/>
      <c r="DS195" s="9"/>
      <c r="DT195" s="89">
        <v>1.260906276386152E-2</v>
      </c>
      <c r="DU195" s="89">
        <f t="shared" ca="1" si="163"/>
        <v>1.260906276386152E-2</v>
      </c>
      <c r="DV195" s="72">
        <f t="shared" ca="1" si="164"/>
        <v>0.56011203361158457</v>
      </c>
      <c r="DW195" s="37"/>
      <c r="DX195" s="35">
        <f t="shared" si="174"/>
        <v>1.7853571071357141E-2</v>
      </c>
      <c r="DY195" s="56"/>
      <c r="DZ195" s="56"/>
      <c r="EB195" s="2" t="e" vm="197">
        <v>#VALUE!</v>
      </c>
      <c r="ED195" s="10" cm="1">
        <f t="array" aca="1" ref="ED195" ca="1">_FV(EB195,"Ações em circulação",TRUE)</f>
        <v>43716190</v>
      </c>
      <c r="EE195" s="18">
        <f>VLOOKUP(BO195,Fundamentus!A:U,5,FALSE)</f>
        <v>0.48</v>
      </c>
      <c r="EF195" s="2">
        <f t="shared" ca="1" si="165"/>
        <v>105647459.16666667</v>
      </c>
      <c r="EG195" s="17">
        <v>-35455287.296333335</v>
      </c>
      <c r="EH195" s="17">
        <f t="shared" ca="1" si="166"/>
        <v>-35455287.296333335</v>
      </c>
      <c r="EJ195" s="16">
        <f t="shared" ref="EJ195:EJ258" ca="1" si="226">(EH195/EG195)-1</f>
        <v>0</v>
      </c>
      <c r="EK195" s="32" t="str">
        <f>IF(VLOOKUP(BO195,Fundamentus!A:U,3,FALSE)&lt;15,"Bom",IF(VLOOKUP(BO195,Fundamentus!A:U,3,FALSE)&gt;15,"Ruim","n/a"))</f>
        <v>Bom</v>
      </c>
      <c r="EL195" s="28" t="str">
        <f>IF(VLOOKUP(BO195,Fundamentus!A:U,4,FALSE)&lt;1,"Baixo",IF(VLOOKUP(BO195,Fundamentus!A:U,4,FALSE)&lt;1.5,"Moderado",IF(VLOOKUP(BO195,Fundamentus!A:U,4,FALSE)&gt;1.5,"Alto","n/a")))</f>
        <v>Baixo</v>
      </c>
      <c r="EM195" s="17" t="str">
        <f>IF(VLOOKUP(BO195,Fundamentus!A:U,8,FALSE)&lt;0,"Risco elevado",IF(VLOOKUP(BO195,Fundamentus!A:U,8,FALSE)&lt;1,"Saudável",IF(VLOOKUP(BO195,Fundamentus!A:U,8,FALSE)&lt;3,"Estável",IF(VLOOKUP(BO195,Fundamentus!A:U,8,FALSE)&gt;3,"Alerta","n/a"))))</f>
        <v>Alerta</v>
      </c>
      <c r="EN195" s="28" t="str">
        <f t="shared" si="167"/>
        <v>Ruim</v>
      </c>
      <c r="EO195" s="17" t="str">
        <f>IF(VLOOKUP(BO195,Fundamentus!A:U,12,FALSE)&lt;2,"Subvalorizada",IF(VLOOKUP(BO195,Fundamentus!A:U,12,FALSE)&lt;6,"Muita barata",IF(VLOOKUP(BO195,Fundamentus!A:U,12,FALSE)&lt;6,"Barata",IF(VLOOKUP(BO195,Fundamentus!A:U,12,FALSE)&lt;8,"Atrativa",IF(VLOOKUP(BO195,Fundamentus!A:U,12,FALSE)&gt;8,"Supervalorizada","n/a")))))</f>
        <v>Subvalorizada</v>
      </c>
      <c r="EQ195" s="17" t="str">
        <f>IF(VLOOKUP(BO195,Fundamentus!A:U,17,FALSE)&lt;0.1,"Fraco retorno",IF(VLOOKUP(BO195,Fundamentus!A:U,17,FALSE)&gt;0.1,"Bom retorno","n/a"))</f>
        <v>Fraco retorno</v>
      </c>
      <c r="ER195" s="17" t="str">
        <f>IF(VLOOKUP(BO195,Fundamentus!A:U,16,FALSE)&lt;0.1,"Ineficiente",IF(VLOOKUP(BO195,Fundamentus!A:U,16,FALSE)&gt;0.1,"Eficiente","n/a"))</f>
        <v>Ineficiente</v>
      </c>
      <c r="ES195" s="33" t="str">
        <f>IF(VLOOKUP(BO195,Fundamentus!A:U,16,FALSE)&lt;0.1,"Oper. Ineficiente",IF(VLOOKUP(BO195,Fundamentus!A:U,16,FALSE)&gt;0.1,"Oper.Eficiente","n/a"))</f>
        <v>Oper. Ineficiente</v>
      </c>
      <c r="ET195" s="34">
        <f>VLOOKUP(BO195,Fundamentus!A:U,14,FALSE)</f>
        <v>-0.33560000000000001</v>
      </c>
      <c r="EU195" s="17" t="str">
        <f>IF(VLOOKUP(BO195,Fundamentus!A:U,21,FALSE)&lt;0,"Negativo",IF(VLOOKUP(BO195,Fundamentus!A:U,21,FALSE)&lt;0.05,"Fraco",IF(VLOOKUP(BO195,Fundamentus!A:U,21,FALSE)&lt;0.1,"Bom",IF(VLOOKUP(BO195,Fundamentus!A:U,21,FALSE)&gt;0.1,"Muito bom","n/a"))))</f>
        <v>Muito bom</v>
      </c>
      <c r="EW195" s="29" t="str">
        <f>IF(VLOOKUP(BO195,Fundamentus!A:U,15,FALSE)&gt;1,"Bom",IF(VLOOKUP(BO195,Fundamentus!A:U,15,FALSE)&lt;1,"Ruim","n/a"))</f>
        <v>Bom</v>
      </c>
      <c r="EX195" s="17" t="str">
        <f>IF(VLOOKUP(BO195,Fundamentus!A:U,20,FALSE)&lt;0.5,"Baixa",IF(VLOOKUP(BO195,Fundamentus!A:U,20,FALSE)&lt;1,"Moderada",IF(VLOOKUP(BO195,Fundamentus!A:U,20,FALSE)&lt;2,"Alerta",IF(VLOOKUP(BO195,Fundamentus!A:U,20,FALSE)&gt;2,"Alta","n/a"))))</f>
        <v>Alerta</v>
      </c>
      <c r="EY195" s="10"/>
    </row>
    <row r="196" spans="1:155" s="2" customFormat="1" ht="11.25"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5">
        <v>7.14</v>
      </c>
      <c r="BC196" s="52">
        <v>6.54</v>
      </c>
      <c r="BD196" s="52">
        <v>6.44</v>
      </c>
      <c r="BE196" s="52">
        <v>6.75</v>
      </c>
      <c r="BF196" s="52">
        <v>6.99</v>
      </c>
      <c r="BG196" s="67">
        <v>7.19</v>
      </c>
      <c r="BH196" s="52">
        <v>7.49</v>
      </c>
      <c r="BI196" s="52">
        <v>7.37</v>
      </c>
      <c r="BJ196" s="52">
        <v>7.37</v>
      </c>
      <c r="BK196" s="52">
        <v>6.91</v>
      </c>
      <c r="BL196" s="52">
        <v>6.79</v>
      </c>
      <c r="BM196" s="52">
        <v>6.75</v>
      </c>
      <c r="BN196" s="52" cm="1">
        <f t="array" aca="1" ref="BN196" ca="1">_FV(EB196,"Preço")</f>
        <v>6.75</v>
      </c>
      <c r="BO196" s="69" t="s">
        <v>192</v>
      </c>
      <c r="BP196" s="36" cm="1">
        <f t="array" aca="1" ref="BP196" ca="1">_FV(EB196,"Média de volume",TRUE)</f>
        <v>2216310</v>
      </c>
      <c r="BQ196" s="36">
        <v>1467400</v>
      </c>
      <c r="BR196" s="36" cm="1">
        <f t="array" aca="1" ref="BR196" ca="1">_FV(EB196,"Volume")</f>
        <v>1467400</v>
      </c>
      <c r="BS196" s="24" cm="1">
        <f t="array" aca="1" ref="BS196" ca="1">_FV(EB196,"Beta")</f>
        <v>1.623</v>
      </c>
      <c r="BT196" s="71" cm="1">
        <f t="array" aca="1" ref="BT196" ca="1">_FV(EB196,"Variação (%)",TRUE)</f>
        <v>1.3514E-2</v>
      </c>
      <c r="BV196" s="17" cm="1">
        <f t="array" aca="1" ref="BV196" ca="1">_FV(EB196,"Baixo")</f>
        <v>6.64</v>
      </c>
      <c r="BW196" s="17" cm="1">
        <f t="array" aca="1" ref="BW196" ca="1">_FV(EB196,"Alto")</f>
        <v>6.8</v>
      </c>
      <c r="BX196" s="24"/>
      <c r="BY196" s="63">
        <f ca="1">SQRT(22.5*(BN196/VLOOKUP(BO196,Fundamentus!A:U,3,FALSE))*(BN196/VLOOKUP(BO196,Fundamentus!A:U,4,FALSE)))</f>
        <v>11.611727210317085</v>
      </c>
      <c r="CA196" s="62">
        <f t="shared" ca="1" si="168"/>
        <v>0</v>
      </c>
      <c r="CB196" s="8"/>
      <c r="CC196" s="61">
        <f t="shared" si="169"/>
        <v>4.07</v>
      </c>
      <c r="CD196" s="61">
        <f t="shared" si="170"/>
        <v>7.99</v>
      </c>
      <c r="CE196" s="61">
        <f t="shared" si="171"/>
        <v>6.4428461538461539</v>
      </c>
      <c r="CF196" s="14"/>
      <c r="CG196" s="35">
        <f t="shared" si="154"/>
        <v>5.9665428083407956</v>
      </c>
      <c r="CH196" s="15">
        <f t="shared" si="172"/>
        <v>6.459999999999809</v>
      </c>
      <c r="CI196" s="35">
        <f t="shared" si="155"/>
        <v>6.9534571916588224</v>
      </c>
      <c r="CK196" s="14"/>
      <c r="CL196" s="17">
        <f t="shared" si="156"/>
        <v>0.65666666666666806</v>
      </c>
      <c r="CM196" s="17">
        <f t="shared" si="157"/>
        <v>2.3633333333333342</v>
      </c>
      <c r="CN196" s="17">
        <f t="shared" si="158"/>
        <v>4.576666666666668</v>
      </c>
      <c r="CO196" s="38">
        <f t="shared" si="173"/>
        <v>6.2833333333333341</v>
      </c>
      <c r="CP196" s="17">
        <f t="shared" si="159"/>
        <v>8.4966666666666679</v>
      </c>
      <c r="CQ196" s="17">
        <f t="shared" si="160"/>
        <v>10.203333333333333</v>
      </c>
      <c r="CR196" s="17">
        <f t="shared" si="161"/>
        <v>12.416666666666668</v>
      </c>
      <c r="CS196" s="2" cm="1">
        <f t="array" aca="1" ref="CS196" ca="1">MAX(_xlfn._xlws.FILTER(CL196:CR196,CL196:CR196&lt;BN196))</f>
        <v>6.2833333333333341</v>
      </c>
      <c r="CT196" s="2" cm="1">
        <f t="array" aca="1" ref="CT196" ca="1">MIN(_xlfn._xlws.FILTER($CL196:$CR196,$CL196:$CR196&gt;BN196))</f>
        <v>8.4966666666666679</v>
      </c>
      <c r="CU196" s="16">
        <f t="shared" ca="1" si="209"/>
        <v>0.35225464190981426</v>
      </c>
      <c r="CV196" s="20">
        <f t="shared" ca="1" si="210"/>
        <v>-0.17612732095490713</v>
      </c>
      <c r="CW196" s="20">
        <f t="shared" ca="1" si="211"/>
        <v>-0.11741821396993808</v>
      </c>
      <c r="CX196" s="20">
        <f t="shared" ca="1" si="212"/>
        <v>-7.0450928381962846E-2</v>
      </c>
      <c r="CY196" s="20">
        <f t="shared" ca="1" si="213"/>
        <v>-3.9139404656646032E-2</v>
      </c>
      <c r="CZ196" s="20">
        <f t="shared" ca="1" si="214"/>
        <v>-2.0720861288812602E-2</v>
      </c>
      <c r="DA196" s="20">
        <f t="shared" ca="1" si="215"/>
        <v>-1.0674383088176189E-2</v>
      </c>
      <c r="DB196" s="20">
        <f t="shared" ca="1" si="216"/>
        <v>-5.419302183227912E-3</v>
      </c>
      <c r="DC196" s="21">
        <f t="shared" ca="1" si="217"/>
        <v>5.419302183227912E-3</v>
      </c>
      <c r="DD196" s="21">
        <f t="shared" ca="1" si="218"/>
        <v>1.0674383088176189E-2</v>
      </c>
      <c r="DE196" s="21">
        <f t="shared" ca="1" si="219"/>
        <v>2.0720861288812602E-2</v>
      </c>
      <c r="DF196" s="21">
        <f t="shared" ca="1" si="220"/>
        <v>3.9139404656646032E-2</v>
      </c>
      <c r="DG196" s="21">
        <f t="shared" ca="1" si="221"/>
        <v>7.0450928381962846E-2</v>
      </c>
      <c r="DH196" s="21">
        <f t="shared" ca="1" si="222"/>
        <v>0.11741821396993808</v>
      </c>
      <c r="DI196" s="21">
        <f t="shared" ca="1" si="223"/>
        <v>0.17612732095490713</v>
      </c>
      <c r="DK196" s="16" cm="1">
        <f t="array" aca="1" ref="DK196" ca="1">MAX(_xlfn._xlws.FILTER(CV196:DI196,CV196:DI196&lt;BT196))</f>
        <v>1.0674383088176189E-2</v>
      </c>
      <c r="DL196" s="16" cm="1">
        <f t="array" aca="1" ref="DL196" ca="1">MIN(_xlfn._xlws.FILTER(CV196:DI196,CV196:DI196&gt;BT196))</f>
        <v>2.0720861288812602E-2</v>
      </c>
      <c r="DM196" s="2" cm="1">
        <f t="array" aca="1" ref="DM196" ca="1">_FV(EB196,"Fechamento anterior",TRUE)</f>
        <v>6.66</v>
      </c>
      <c r="DN196" s="28">
        <f t="shared" ca="1" si="162"/>
        <v>0.2825995705796171</v>
      </c>
      <c r="DO196" s="15">
        <f t="shared" ca="1" si="224"/>
        <v>6.7310913913672534</v>
      </c>
      <c r="DP196" s="15">
        <f t="shared" ca="1" si="225"/>
        <v>6.7980009361834917</v>
      </c>
      <c r="DQ196" s="9"/>
      <c r="DR196" s="9"/>
      <c r="DS196" s="9"/>
      <c r="DT196" s="89">
        <v>1.0046478200636413E-2</v>
      </c>
      <c r="DU196" s="89">
        <f t="shared" ca="1" si="163"/>
        <v>1.0046478200636413E-2</v>
      </c>
      <c r="DV196" s="72">
        <f t="shared" ca="1" si="164"/>
        <v>0.58769028986122374</v>
      </c>
      <c r="DW196" s="37"/>
      <c r="DX196" s="35">
        <f t="shared" si="174"/>
        <v>0.24672859582950657</v>
      </c>
      <c r="DY196" s="56"/>
      <c r="DZ196" s="56"/>
      <c r="EB196" s="2" t="e" vm="198">
        <v>#VALUE!</v>
      </c>
      <c r="ED196" s="10" cm="1">
        <f t="array" aca="1" ref="ED196" ca="1">_FV(EB196,"Ações em circulação",TRUE)</f>
        <v>696334200</v>
      </c>
      <c r="EE196" s="18">
        <f>VLOOKUP(BO196,Fundamentus!A:U,5,FALSE)</f>
        <v>0.46400000000000002</v>
      </c>
      <c r="EF196" s="2">
        <f t="shared" ca="1" si="165"/>
        <v>10129861745.689655</v>
      </c>
      <c r="EG196" s="17">
        <v>809375953.48060346</v>
      </c>
      <c r="EH196" s="17">
        <f t="shared" ca="1" si="166"/>
        <v>809375953.48060346</v>
      </c>
      <c r="EJ196" s="16">
        <f t="shared" ca="1" si="226"/>
        <v>0</v>
      </c>
      <c r="EK196" s="32" t="str">
        <f>IF(VLOOKUP(BO196,Fundamentus!A:U,3,FALSE)&lt;15,"Bom",IF(VLOOKUP(BO196,Fundamentus!A:U,3,FALSE)&gt;15,"Ruim","n/a"))</f>
        <v>Bom</v>
      </c>
      <c r="EL196" s="28" t="str">
        <f>IF(VLOOKUP(BO196,Fundamentus!A:U,4,FALSE)&lt;1,"Baixo",IF(VLOOKUP(BO196,Fundamentus!A:U,4,FALSE)&lt;1.5,"Moderado",IF(VLOOKUP(BO196,Fundamentus!A:U,4,FALSE)&gt;1.5,"Alto","n/a")))</f>
        <v>Moderado</v>
      </c>
      <c r="EM196" s="17" t="str">
        <f>IF(VLOOKUP(BO196,Fundamentus!A:U,8,FALSE)&lt;0,"Risco elevado",IF(VLOOKUP(BO196,Fundamentus!A:U,8,FALSE)&lt;1,"Saudável",IF(VLOOKUP(BO196,Fundamentus!A:U,8,FALSE)&lt;3,"Estável",IF(VLOOKUP(BO196,Fundamentus!A:U,8,FALSE)&gt;3,"Alerta","n/a"))))</f>
        <v>Risco elevado</v>
      </c>
      <c r="EN196" s="28" t="str">
        <f t="shared" si="167"/>
        <v>Ruim</v>
      </c>
      <c r="EO196" s="17" t="str">
        <f>IF(VLOOKUP(BO196,Fundamentus!A:U,12,FALSE)&lt;2,"Subvalorizada",IF(VLOOKUP(BO196,Fundamentus!A:U,12,FALSE)&lt;6,"Muita barata",IF(VLOOKUP(BO196,Fundamentus!A:U,12,FALSE)&lt;6,"Barata",IF(VLOOKUP(BO196,Fundamentus!A:U,12,FALSE)&lt;8,"Atrativa",IF(VLOOKUP(BO196,Fundamentus!A:U,12,FALSE)&gt;8,"Supervalorizada","n/a")))))</f>
        <v>Muita barata</v>
      </c>
      <c r="EQ196" s="17" t="str">
        <f>IF(VLOOKUP(BO196,Fundamentus!A:U,17,FALSE)&lt;0.1,"Fraco retorno",IF(VLOOKUP(BO196,Fundamentus!A:U,17,FALSE)&gt;0.1,"Bom retorno","n/a"))</f>
        <v>Bom retorno</v>
      </c>
      <c r="ER196" s="17" t="str">
        <f>IF(VLOOKUP(BO196,Fundamentus!A:U,16,FALSE)&lt;0.1,"Ineficiente",IF(VLOOKUP(BO196,Fundamentus!A:U,16,FALSE)&gt;0.1,"Eficiente","n/a"))</f>
        <v>Eficiente</v>
      </c>
      <c r="ES196" s="33" t="str">
        <f>IF(VLOOKUP(BO196,Fundamentus!A:U,16,FALSE)&lt;0.1,"Oper. Ineficiente",IF(VLOOKUP(BO196,Fundamentus!A:U,16,FALSE)&gt;0.1,"Oper.Eficiente","n/a"))</f>
        <v>Oper.Eficiente</v>
      </c>
      <c r="ET196" s="34">
        <f>VLOOKUP(BO196,Fundamentus!A:U,14,FALSE)</f>
        <v>7.9899999999999999E-2</v>
      </c>
      <c r="EU196" s="17" t="str">
        <f>IF(VLOOKUP(BO196,Fundamentus!A:U,21,FALSE)&lt;0,"Negativo",IF(VLOOKUP(BO196,Fundamentus!A:U,21,FALSE)&lt;0.05,"Fraco",IF(VLOOKUP(BO196,Fundamentus!A:U,21,FALSE)&lt;0.1,"Bom",IF(VLOOKUP(BO196,Fundamentus!A:U,21,FALSE)&gt;0.1,"Muito bom","n/a"))))</f>
        <v>Muito bom</v>
      </c>
      <c r="EW196" s="29" t="str">
        <f>IF(VLOOKUP(BO196,Fundamentus!A:U,15,FALSE)&gt;1,"Bom",IF(VLOOKUP(BO196,Fundamentus!A:U,15,FALSE)&lt;1,"Ruim","n/a"))</f>
        <v>Ruim</v>
      </c>
      <c r="EX196" s="17" t="str">
        <f>IF(VLOOKUP(BO196,Fundamentus!A:U,20,FALSE)&lt;0.5,"Baixa",IF(VLOOKUP(BO196,Fundamentus!A:U,20,FALSE)&lt;1,"Moderada",IF(VLOOKUP(BO196,Fundamentus!A:U,20,FALSE)&lt;2,"Alerta",IF(VLOOKUP(BO196,Fundamentus!A:U,20,FALSE)&gt;2,"Alta","n/a"))))</f>
        <v>Alta</v>
      </c>
      <c r="EY196" s="10"/>
    </row>
    <row r="197" spans="1:155" s="2" customFormat="1" ht="11.25"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5">
        <v>0.66</v>
      </c>
      <c r="BC197" s="52">
        <v>0.56999999999999995</v>
      </c>
      <c r="BD197" s="52">
        <v>0.42</v>
      </c>
      <c r="BE197" s="52">
        <v>0.34</v>
      </c>
      <c r="BF197" s="52">
        <v>0.27</v>
      </c>
      <c r="BG197" s="67">
        <v>0.3</v>
      </c>
      <c r="BH197" s="52">
        <v>0.27</v>
      </c>
      <c r="BI197" s="52">
        <v>0.3</v>
      </c>
      <c r="BJ197" s="52">
        <v>0.25</v>
      </c>
      <c r="BK197" s="52">
        <v>0.24</v>
      </c>
      <c r="BL197" s="52">
        <v>0.22</v>
      </c>
      <c r="BM197" s="52">
        <v>0.22</v>
      </c>
      <c r="BN197" s="52" cm="1">
        <f t="array" aca="1" ref="BN197" ca="1">_FV(EB197,"Preço")</f>
        <v>0.22</v>
      </c>
      <c r="BO197" s="69" t="s">
        <v>193</v>
      </c>
      <c r="BP197" s="36" cm="1">
        <f t="array" aca="1" ref="BP197" ca="1">_FV(EB197,"Média de volume",TRUE)</f>
        <v>652290</v>
      </c>
      <c r="BQ197" s="36">
        <v>142700</v>
      </c>
      <c r="BR197" s="36" cm="1">
        <f t="array" aca="1" ref="BR197" ca="1">_FV(EB197,"Volume")</f>
        <v>142700</v>
      </c>
      <c r="BS197" s="24" cm="1">
        <f t="array" aca="1" ref="BS197" ca="1">_FV(EB197,"Beta")</f>
        <v>1.7492000000000001</v>
      </c>
      <c r="BT197" s="71" cm="1">
        <f t="array" aca="1" ref="BT197" ca="1">_FV(EB197,"Variação (%)",TRUE)</f>
        <v>4.7618999999999995E-2</v>
      </c>
      <c r="BV197" s="17" cm="1">
        <f t="array" aca="1" ref="BV197" ca="1">_FV(EB197,"Baixo")</f>
        <v>0.21</v>
      </c>
      <c r="BW197" s="17" cm="1">
        <f t="array" aca="1" ref="BW197" ca="1">_FV(EB197,"Alto")</f>
        <v>0.22</v>
      </c>
      <c r="BX197" s="24"/>
      <c r="BY197" s="63" t="e">
        <f ca="1">SQRT(22.5*(BN197/VLOOKUP(BO197,Fundamentus!A:U,3,FALSE))*(BN197/VLOOKUP(BO197,Fundamentus!A:U,4,FALSE)))</f>
        <v>#DIV/0!</v>
      </c>
      <c r="CA197" s="62">
        <f t="shared" ca="1" si="168"/>
        <v>0</v>
      </c>
      <c r="CB197" s="8"/>
      <c r="CC197" s="61">
        <f t="shared" si="169"/>
        <v>0.01</v>
      </c>
      <c r="CD197" s="61">
        <f t="shared" si="170"/>
        <v>1.05</v>
      </c>
      <c r="CE197" s="61">
        <f t="shared" si="171"/>
        <v>0.25099999999999995</v>
      </c>
      <c r="CF197" s="14"/>
      <c r="CG197" s="35">
        <f t="shared" si="154"/>
        <v>0.17901923788647936</v>
      </c>
      <c r="CH197" s="15">
        <f t="shared" si="172"/>
        <v>0.20500000000001251</v>
      </c>
      <c r="CI197" s="35">
        <f t="shared" si="155"/>
        <v>0.23098076211354565</v>
      </c>
      <c r="CK197" s="14"/>
      <c r="CL197" s="17">
        <f t="shared" si="156"/>
        <v>-1.2366666666666666</v>
      </c>
      <c r="CM197" s="17">
        <f t="shared" si="157"/>
        <v>-0.61333333333333329</v>
      </c>
      <c r="CN197" s="17">
        <f t="shared" si="158"/>
        <v>-0.19666666666666666</v>
      </c>
      <c r="CO197" s="38">
        <f t="shared" si="173"/>
        <v>0.42666666666666669</v>
      </c>
      <c r="CP197" s="17">
        <f t="shared" si="159"/>
        <v>0.84333333333333338</v>
      </c>
      <c r="CQ197" s="17">
        <f t="shared" si="160"/>
        <v>1.4666666666666668</v>
      </c>
      <c r="CR197" s="17">
        <f t="shared" si="161"/>
        <v>1.8833333333333333</v>
      </c>
      <c r="CS197" s="2" cm="1">
        <f t="array" aca="1" ref="CS197" ca="1">MAX(_xlfn._xlws.FILTER(CL197:CR197,CL197:CR197&lt;BN197))</f>
        <v>-0.19666666666666666</v>
      </c>
      <c r="CT197" s="2" cm="1">
        <f t="array" aca="1" ref="CT197" ca="1">MIN(_xlfn._xlws.FILTER($CL197:$CR197,$CL197:$CR197&gt;BN197))</f>
        <v>0.42666666666666669</v>
      </c>
      <c r="CU197" s="16">
        <f t="shared" ca="1" si="209"/>
        <v>-3.1694915254237293</v>
      </c>
      <c r="CV197" s="20">
        <f t="shared" ca="1" si="210"/>
        <v>1.5847457627118646</v>
      </c>
      <c r="CW197" s="20">
        <f t="shared" ca="1" si="211"/>
        <v>1.0564971751412431</v>
      </c>
      <c r="CX197" s="20">
        <f t="shared" ca="1" si="212"/>
        <v>0.63389830508474587</v>
      </c>
      <c r="CY197" s="20">
        <f t="shared" ca="1" si="213"/>
        <v>0.35216572504708105</v>
      </c>
      <c r="CZ197" s="20">
        <f t="shared" ca="1" si="214"/>
        <v>0.18644067796610173</v>
      </c>
      <c r="DA197" s="20">
        <f t="shared" ca="1" si="215"/>
        <v>9.6045197740113011E-2</v>
      </c>
      <c r="DB197" s="20">
        <f t="shared" ca="1" si="216"/>
        <v>4.8761408083441989E-2</v>
      </c>
      <c r="DC197" s="21">
        <f t="shared" ca="1" si="217"/>
        <v>-4.8761408083441989E-2</v>
      </c>
      <c r="DD197" s="21">
        <f t="shared" ca="1" si="218"/>
        <v>-9.6045197740113011E-2</v>
      </c>
      <c r="DE197" s="21">
        <f t="shared" ca="1" si="219"/>
        <v>-0.18644067796610173</v>
      </c>
      <c r="DF197" s="21">
        <f t="shared" ca="1" si="220"/>
        <v>-0.35216572504708105</v>
      </c>
      <c r="DG197" s="21">
        <f t="shared" ca="1" si="221"/>
        <v>-0.63389830508474587</v>
      </c>
      <c r="DH197" s="21">
        <f t="shared" ca="1" si="222"/>
        <v>-1.0564971751412431</v>
      </c>
      <c r="DI197" s="21">
        <f t="shared" ca="1" si="223"/>
        <v>-1.5847457627118646</v>
      </c>
      <c r="DK197" s="16" cm="1">
        <f t="array" aca="1" ref="DK197" ca="1">MAX(_xlfn._xlws.FILTER(CV197:DI197,CV197:DI197&lt;BT197))</f>
        <v>-4.8761408083441989E-2</v>
      </c>
      <c r="DL197" s="16" cm="1">
        <f t="array" aca="1" ref="DL197" ca="1">MIN(_xlfn._xlws.FILTER(CV197:DI197,CV197:DI197&gt;BT197))</f>
        <v>4.8761408083441989E-2</v>
      </c>
      <c r="DM197" s="2" cm="1">
        <f t="array" aca="1" ref="DM197" ca="1">_FV(EB197,"Fechamento anterior",TRUE)</f>
        <v>0.21</v>
      </c>
      <c r="DN197" s="28">
        <f t="shared" ca="1" si="162"/>
        <v>0.98828622358034168</v>
      </c>
      <c r="DO197" s="15">
        <f t="shared" ca="1" si="224"/>
        <v>0.19976010430247718</v>
      </c>
      <c r="DP197" s="15">
        <f t="shared" ca="1" si="225"/>
        <v>0.22023989569752281</v>
      </c>
      <c r="DQ197" s="9"/>
      <c r="DR197" s="9"/>
      <c r="DS197" s="9"/>
      <c r="DT197" s="89">
        <v>9.7522816166883977E-2</v>
      </c>
      <c r="DU197" s="89">
        <f t="shared" ca="1" si="163"/>
        <v>9.7522816166883977E-2</v>
      </c>
      <c r="DV197" s="72">
        <f t="shared" ca="1" si="164"/>
        <v>0.57735026918914478</v>
      </c>
      <c r="DW197" s="37"/>
      <c r="DX197" s="35">
        <f t="shared" si="174"/>
        <v>1.2990381056766578E-2</v>
      </c>
      <c r="DY197" s="56"/>
      <c r="DZ197" s="56"/>
      <c r="EB197" s="2" t="e" vm="199">
        <v>#VALUE!</v>
      </c>
      <c r="ED197" s="10" cm="1">
        <f t="array" aca="1" ref="ED197" ca="1">_FV(EB197,"Ações em circulação",TRUE)</f>
        <v>29691030</v>
      </c>
      <c r="EE197" s="18">
        <f>VLOOKUP(BO197,Fundamentus!A:U,5,FALSE)</f>
        <v>4.7E-2</v>
      </c>
      <c r="EF197" s="2">
        <f t="shared" ca="1" si="165"/>
        <v>138979289.36170211</v>
      </c>
      <c r="EG197" s="17">
        <v>-467012106.04212761</v>
      </c>
      <c r="EH197" s="17">
        <f t="shared" ca="1" si="166"/>
        <v>-467012106.04212761</v>
      </c>
      <c r="EJ197" s="16">
        <f t="shared" ca="1" si="226"/>
        <v>0</v>
      </c>
      <c r="EK197" s="32" t="str">
        <f>IF(VLOOKUP(BO197,Fundamentus!A:U,3,FALSE)&lt;15,"Bom",IF(VLOOKUP(BO197,Fundamentus!A:U,3,FALSE)&gt;15,"Ruim","n/a"))</f>
        <v>Bom</v>
      </c>
      <c r="EL197" s="28" t="str">
        <f>IF(VLOOKUP(BO197,Fundamentus!A:U,4,FALSE)&lt;1,"Baixo",IF(VLOOKUP(BO197,Fundamentus!A:U,4,FALSE)&lt;1.5,"Moderado",IF(VLOOKUP(BO197,Fundamentus!A:U,4,FALSE)&gt;1.5,"Alto","n/a")))</f>
        <v>Baixo</v>
      </c>
      <c r="EM197" s="17" t="str">
        <f>IF(VLOOKUP(BO197,Fundamentus!A:U,8,FALSE)&lt;0,"Risco elevado",IF(VLOOKUP(BO197,Fundamentus!A:U,8,FALSE)&lt;1,"Saudável",IF(VLOOKUP(BO197,Fundamentus!A:U,8,FALSE)&lt;3,"Estável",IF(VLOOKUP(BO197,Fundamentus!A:U,8,FALSE)&gt;3,"Alerta","n/a"))))</f>
        <v>Risco elevado</v>
      </c>
      <c r="EN197" s="28" t="str">
        <f t="shared" si="167"/>
        <v>Ruim</v>
      </c>
      <c r="EO197" s="17" t="str">
        <f>IF(VLOOKUP(BO197,Fundamentus!A:U,12,FALSE)&lt;2,"Subvalorizada",IF(VLOOKUP(BO197,Fundamentus!A:U,12,FALSE)&lt;6,"Muita barata",IF(VLOOKUP(BO197,Fundamentus!A:U,12,FALSE)&lt;6,"Barata",IF(VLOOKUP(BO197,Fundamentus!A:U,12,FALSE)&lt;8,"Atrativa",IF(VLOOKUP(BO197,Fundamentus!A:U,12,FALSE)&gt;8,"Supervalorizada","n/a")))))</f>
        <v>Subvalorizada</v>
      </c>
      <c r="EQ197" s="17" t="str">
        <f>IF(VLOOKUP(BO197,Fundamentus!A:U,17,FALSE)&lt;0.1,"Fraco retorno",IF(VLOOKUP(BO197,Fundamentus!A:U,17,FALSE)&gt;0.1,"Bom retorno","n/a"))</f>
        <v>Bom retorno</v>
      </c>
      <c r="ER197" s="17" t="str">
        <f>IF(VLOOKUP(BO197,Fundamentus!A:U,16,FALSE)&lt;0.1,"Ineficiente",IF(VLOOKUP(BO197,Fundamentus!A:U,16,FALSE)&gt;0.1,"Eficiente","n/a"))</f>
        <v>Ineficiente</v>
      </c>
      <c r="ES197" s="33" t="str">
        <f>IF(VLOOKUP(BO197,Fundamentus!A:U,16,FALSE)&lt;0.1,"Oper. Ineficiente",IF(VLOOKUP(BO197,Fundamentus!A:U,16,FALSE)&gt;0.1,"Oper.Eficiente","n/a"))</f>
        <v>Oper. Ineficiente</v>
      </c>
      <c r="ET197" s="34">
        <f>VLOOKUP(BO197,Fundamentus!A:U,14,FALSE)</f>
        <v>-3.3603000000000001</v>
      </c>
      <c r="EU197" s="17" t="str">
        <f>IF(VLOOKUP(BO197,Fundamentus!A:U,21,FALSE)&lt;0,"Negativo",IF(VLOOKUP(BO197,Fundamentus!A:U,21,FALSE)&lt;0.05,"Fraco",IF(VLOOKUP(BO197,Fundamentus!A:U,21,FALSE)&lt;0.1,"Bom",IF(VLOOKUP(BO197,Fundamentus!A:U,21,FALSE)&gt;0.1,"Muito bom","n/a"))))</f>
        <v>Negativo</v>
      </c>
      <c r="EW197" s="29" t="str">
        <f>IF(VLOOKUP(BO197,Fundamentus!A:U,15,FALSE)&gt;1,"Bom",IF(VLOOKUP(BO197,Fundamentus!A:U,15,FALSE)&lt;1,"Ruim","n/a"))</f>
        <v>Ruim</v>
      </c>
      <c r="EX197" s="17" t="str">
        <f>IF(VLOOKUP(BO197,Fundamentus!A:U,20,FALSE)&lt;0.5,"Baixa",IF(VLOOKUP(BO197,Fundamentus!A:U,20,FALSE)&lt;1,"Moderada",IF(VLOOKUP(BO197,Fundamentus!A:U,20,FALSE)&lt;2,"Alerta",IF(VLOOKUP(BO197,Fundamentus!A:U,20,FALSE)&gt;2,"Alta","n/a"))))</f>
        <v>Baixa</v>
      </c>
      <c r="EY197" s="10"/>
    </row>
    <row r="198" spans="1:155" s="2" customFormat="1" ht="11.25"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5">
        <v>25.99</v>
      </c>
      <c r="BC198" s="52">
        <v>25.4</v>
      </c>
      <c r="BD198" s="52">
        <v>25.82</v>
      </c>
      <c r="BE198" s="52">
        <v>26.83</v>
      </c>
      <c r="BF198" s="52">
        <v>25.99</v>
      </c>
      <c r="BG198" s="67">
        <v>25.4</v>
      </c>
      <c r="BH198" s="52">
        <v>26.4</v>
      </c>
      <c r="BI198" s="52">
        <v>26.17</v>
      </c>
      <c r="BJ198" s="52">
        <v>28.11</v>
      </c>
      <c r="BK198" s="52">
        <v>26.82</v>
      </c>
      <c r="BL198" s="52">
        <v>27.76</v>
      </c>
      <c r="BM198" s="52">
        <v>27.7</v>
      </c>
      <c r="BN198" s="52" cm="1">
        <f t="array" aca="1" ref="BN198" ca="1">_FV(EB198,"Preço")</f>
        <v>27.7</v>
      </c>
      <c r="BO198" s="69" t="s">
        <v>194</v>
      </c>
      <c r="BP198" s="36" cm="1">
        <f t="array" aca="1" ref="BP198" ca="1">_FV(EB198,"Média de volume",TRUE)</f>
        <v>11020</v>
      </c>
      <c r="BQ198" s="36">
        <v>200</v>
      </c>
      <c r="BR198" s="36" cm="1">
        <f t="array" aca="1" ref="BR198" ca="1">_FV(EB198,"Volume")</f>
        <v>200</v>
      </c>
      <c r="BS198" s="24" cm="1">
        <f t="array" aca="1" ref="BS198" ca="1">_FV(EB198,"Beta")</f>
        <v>0.3306</v>
      </c>
      <c r="BT198" s="71" cm="1">
        <f t="array" aca="1" ref="BT198" ca="1">_FV(EB198,"Variação (%)",TRUE)</f>
        <v>5.8099999999999992E-3</v>
      </c>
      <c r="BV198" s="17" cm="1">
        <f t="array" aca="1" ref="BV198" ca="1">_FV(EB198,"Baixo")</f>
        <v>27.6</v>
      </c>
      <c r="BW198" s="17" cm="1">
        <f t="array" aca="1" ref="BW198" ca="1">_FV(EB198,"Alto")</f>
        <v>27.7</v>
      </c>
      <c r="BX198" s="24"/>
      <c r="BY198" s="63">
        <f ca="1">SQRT(22.5*(BN198/VLOOKUP(BO198,Fundamentus!A:U,3,FALSE))*(BN198/VLOOKUP(BO198,Fundamentus!A:U,4,FALSE)))</f>
        <v>76.458293082337434</v>
      </c>
      <c r="CA198" s="62">
        <f t="shared" ca="1" si="168"/>
        <v>0</v>
      </c>
      <c r="CB198" s="8"/>
      <c r="CC198" s="61">
        <f t="shared" si="169"/>
        <v>23.48</v>
      </c>
      <c r="CD198" s="61">
        <f t="shared" si="170"/>
        <v>37.15</v>
      </c>
      <c r="CE198" s="61">
        <f t="shared" si="171"/>
        <v>27.596692307692308</v>
      </c>
      <c r="CF198" s="14"/>
      <c r="CG198" s="35">
        <f t="shared" ref="CG198:CG261" si="227">CH198-DX198*2</f>
        <v>26.574171413976188</v>
      </c>
      <c r="CH198" s="15">
        <f t="shared" si="172"/>
        <v>27.524999999999977</v>
      </c>
      <c r="CI198" s="35">
        <f t="shared" ref="CI198:CI261" si="228">CH198+DX198*2</f>
        <v>28.475828586023766</v>
      </c>
      <c r="CK198" s="14"/>
      <c r="CL198" s="17">
        <f t="shared" ref="CL198:CL261" si="229">CC198-2*(CD198-CO198)</f>
        <v>8.1066666666666727</v>
      </c>
      <c r="CM198" s="17">
        <f t="shared" ref="CM198:CM261" si="230">CO198-(CD198-CC198)</f>
        <v>15.793333333333337</v>
      </c>
      <c r="CN198" s="17">
        <f t="shared" ref="CN198:CN261" si="231">2*CO198-CD198</f>
        <v>21.776666666666671</v>
      </c>
      <c r="CO198" s="38">
        <f t="shared" si="173"/>
        <v>29.463333333333335</v>
      </c>
      <c r="CP198" s="17">
        <f t="shared" ref="CP198:CP261" si="232">2*CO198-CC198</f>
        <v>35.446666666666673</v>
      </c>
      <c r="CQ198" s="17">
        <f t="shared" ref="CQ198:CQ261" si="233">CO198+(CD198-CC198)</f>
        <v>43.133333333333333</v>
      </c>
      <c r="CR198" s="17">
        <f t="shared" ref="CR198:CR261" si="234">CD198+2*(CO198-CC198)</f>
        <v>49.116666666666667</v>
      </c>
      <c r="CS198" s="2" cm="1">
        <f t="array" aca="1" ref="CS198" ca="1">MAX(_xlfn._xlws.FILTER(CL198:CR198,CL198:CR198&lt;BN198))</f>
        <v>21.776666666666671</v>
      </c>
      <c r="CT198" s="2" cm="1">
        <f t="array" aca="1" ref="CT198" ca="1">MIN(_xlfn._xlws.FILTER($CL198:$CR198,$CL198:$CR198&gt;BN198))</f>
        <v>29.463333333333335</v>
      </c>
      <c r="CU198" s="16">
        <f t="shared" ca="1" si="209"/>
        <v>0.35297719271391381</v>
      </c>
      <c r="CV198" s="20">
        <f t="shared" ca="1" si="210"/>
        <v>-0.17648859635695691</v>
      </c>
      <c r="CW198" s="20">
        <f t="shared" ca="1" si="211"/>
        <v>-0.11765906423797128</v>
      </c>
      <c r="CX198" s="20">
        <f t="shared" ca="1" si="212"/>
        <v>-7.059543854278276E-2</v>
      </c>
      <c r="CY198" s="20">
        <f t="shared" ca="1" si="213"/>
        <v>-3.9219688079323758E-2</v>
      </c>
      <c r="CZ198" s="20">
        <f t="shared" ca="1" si="214"/>
        <v>-2.0763364277289049E-2</v>
      </c>
      <c r="DA198" s="20">
        <f t="shared" ca="1" si="215"/>
        <v>-1.0696278567088296E-2</v>
      </c>
      <c r="DB198" s="20">
        <f t="shared" ca="1" si="216"/>
        <v>-5.4304183494448275E-3</v>
      </c>
      <c r="DC198" s="21">
        <f t="shared" ca="1" si="217"/>
        <v>5.4304183494448275E-3</v>
      </c>
      <c r="DD198" s="21">
        <f t="shared" ca="1" si="218"/>
        <v>1.0696278567088296E-2</v>
      </c>
      <c r="DE198" s="21">
        <f t="shared" ca="1" si="219"/>
        <v>2.0763364277289049E-2</v>
      </c>
      <c r="DF198" s="21">
        <f t="shared" ca="1" si="220"/>
        <v>3.9219688079323758E-2</v>
      </c>
      <c r="DG198" s="21">
        <f t="shared" ca="1" si="221"/>
        <v>7.059543854278276E-2</v>
      </c>
      <c r="DH198" s="21">
        <f t="shared" ca="1" si="222"/>
        <v>0.11765906423797128</v>
      </c>
      <c r="DI198" s="21">
        <f t="shared" ca="1" si="223"/>
        <v>0.17648859635695691</v>
      </c>
      <c r="DK198" s="16" cm="1">
        <f t="array" aca="1" ref="DK198" ca="1">MAX(_xlfn._xlws.FILTER(CV198:DI198,CV198:DI198&lt;BT198))</f>
        <v>5.4304183494448275E-3</v>
      </c>
      <c r="DL198" s="16" cm="1">
        <f t="array" aca="1" ref="DL198" ca="1">MIN(_xlfn._xlws.FILTER(CV198:DI198,CV198:DI198&gt;BT198))</f>
        <v>1.0696278567088296E-2</v>
      </c>
      <c r="DM198" s="2" cm="1">
        <f t="array" aca="1" ref="DM198" ca="1">_FV(EB198,"Fechamento anterior",TRUE)</f>
        <v>27.54</v>
      </c>
      <c r="DN198" s="28">
        <f t="shared" ref="DN198:DN261" ca="1" si="235">(BN198-DO198)/(DP198-DO198)</f>
        <v>7.2032476139726478E-2</v>
      </c>
      <c r="DO198" s="15">
        <f t="shared" ca="1" si="224"/>
        <v>27.68955372134371</v>
      </c>
      <c r="DP198" s="15">
        <f t="shared" ca="1" si="225"/>
        <v>27.834575511737611</v>
      </c>
      <c r="DQ198" s="9"/>
      <c r="DR198" s="9"/>
      <c r="DS198" s="9"/>
      <c r="DT198" s="89">
        <v>5.265860217643469E-3</v>
      </c>
      <c r="DU198" s="89">
        <f t="shared" ref="DU198:DU261" ca="1" si="236">DL198-DK198</f>
        <v>5.265860217643469E-3</v>
      </c>
      <c r="DV198" s="72">
        <f t="shared" ref="DV198:DV261" ca="1" si="237">(BN198-CH198)/(CH198-CG198)</f>
        <v>0.18404999867730487</v>
      </c>
      <c r="DW198" s="37"/>
      <c r="DX198" s="35">
        <f t="shared" si="174"/>
        <v>0.47541429301189486</v>
      </c>
      <c r="DY198" s="56"/>
      <c r="DZ198" s="56"/>
      <c r="EB198" s="2" t="e" vm="200">
        <v>#VALUE!</v>
      </c>
      <c r="ED198" s="10" cm="1">
        <f t="array" aca="1" ref="ED198" ca="1">_FV(EB198,"Ações em circulação",TRUE)</f>
        <v>86302020</v>
      </c>
      <c r="EE198" s="18">
        <f>VLOOKUP(BO198,Fundamentus!A:U,5,FALSE)</f>
        <v>0.28299999999999997</v>
      </c>
      <c r="EF198" s="2">
        <f t="shared" ref="EF198:EF261" ca="1" si="238">(BN198*ED198)/EE198</f>
        <v>8447229519.4346294</v>
      </c>
      <c r="EG198" s="17">
        <v>371678098.8551237</v>
      </c>
      <c r="EH198" s="17">
        <f t="shared" ref="EH198:EH261" ca="1" si="239">EF198*ET198</f>
        <v>371678098.8551237</v>
      </c>
      <c r="EJ198" s="16">
        <f t="shared" ca="1" si="226"/>
        <v>0</v>
      </c>
      <c r="EK198" s="32" t="str">
        <f>IF(VLOOKUP(BO198,Fundamentus!A:U,3,FALSE)&lt;15,"Bom",IF(VLOOKUP(BO198,Fundamentus!A:U,3,FALSE)&gt;15,"Ruim","n/a"))</f>
        <v>Bom</v>
      </c>
      <c r="EL198" s="28" t="str">
        <f>IF(VLOOKUP(BO198,Fundamentus!A:U,4,FALSE)&lt;1,"Baixo",IF(VLOOKUP(BO198,Fundamentus!A:U,4,FALSE)&lt;1.5,"Moderado",IF(VLOOKUP(BO198,Fundamentus!A:U,4,FALSE)&gt;1.5,"Alto","n/a")))</f>
        <v>Baixo</v>
      </c>
      <c r="EM198" s="17" t="str">
        <f>IF(VLOOKUP(BO198,Fundamentus!A:U,8,FALSE)&lt;0,"Risco elevado",IF(VLOOKUP(BO198,Fundamentus!A:U,8,FALSE)&lt;1,"Saudável",IF(VLOOKUP(BO198,Fundamentus!A:U,8,FALSE)&lt;3,"Estável",IF(VLOOKUP(BO198,Fundamentus!A:U,8,FALSE)&gt;3,"Alerta","n/a"))))</f>
        <v>Risco elevado</v>
      </c>
      <c r="EN198" s="28" t="str">
        <f t="shared" ref="EN198:EN261" si="240">IF(EE198&gt;1,"Bom","Ruim")</f>
        <v>Ruim</v>
      </c>
      <c r="EO198" s="17" t="str">
        <f>IF(VLOOKUP(BO198,Fundamentus!A:U,12,FALSE)&lt;2,"Subvalorizada",IF(VLOOKUP(BO198,Fundamentus!A:U,12,FALSE)&lt;6,"Muita barata",IF(VLOOKUP(BO198,Fundamentus!A:U,12,FALSE)&lt;6,"Barata",IF(VLOOKUP(BO198,Fundamentus!A:U,12,FALSE)&lt;8,"Atrativa",IF(VLOOKUP(BO198,Fundamentus!A:U,12,FALSE)&gt;8,"Supervalorizada","n/a")))))</f>
        <v>Muita barata</v>
      </c>
      <c r="EQ198" s="17" t="str">
        <f>IF(VLOOKUP(BO198,Fundamentus!A:U,17,FALSE)&lt;0.1,"Fraco retorno",IF(VLOOKUP(BO198,Fundamentus!A:U,17,FALSE)&gt;0.1,"Bom retorno","n/a"))</f>
        <v>Fraco retorno</v>
      </c>
      <c r="ER198" s="17" t="str">
        <f>IF(VLOOKUP(BO198,Fundamentus!A:U,16,FALSE)&lt;0.1,"Ineficiente",IF(VLOOKUP(BO198,Fundamentus!A:U,16,FALSE)&gt;0.1,"Eficiente","n/a"))</f>
        <v>Ineficiente</v>
      </c>
      <c r="ES198" s="33" t="str">
        <f>IF(VLOOKUP(BO198,Fundamentus!A:U,16,FALSE)&lt;0.1,"Oper. Ineficiente",IF(VLOOKUP(BO198,Fundamentus!A:U,16,FALSE)&gt;0.1,"Oper.Eficiente","n/a"))</f>
        <v>Oper. Ineficiente</v>
      </c>
      <c r="ET198" s="34">
        <f>VLOOKUP(BO198,Fundamentus!A:U,14,FALSE)</f>
        <v>4.3999999999999997E-2</v>
      </c>
      <c r="EU198" s="17" t="str">
        <f>IF(VLOOKUP(BO198,Fundamentus!A:U,21,FALSE)&lt;0,"Negativo",IF(VLOOKUP(BO198,Fundamentus!A:U,21,FALSE)&lt;0.05,"Fraco",IF(VLOOKUP(BO198,Fundamentus!A:U,21,FALSE)&lt;0.1,"Bom",IF(VLOOKUP(BO198,Fundamentus!A:U,21,FALSE)&gt;0.1,"Muito bom","n/a"))))</f>
        <v>Bom</v>
      </c>
      <c r="EW198" s="29" t="str">
        <f>IF(VLOOKUP(BO198,Fundamentus!A:U,15,FALSE)&gt;1,"Bom",IF(VLOOKUP(BO198,Fundamentus!A:U,15,FALSE)&lt;1,"Ruim","n/a"))</f>
        <v>Ruim</v>
      </c>
      <c r="EX198" s="17" t="str">
        <f>IF(VLOOKUP(BO198,Fundamentus!A:U,20,FALSE)&lt;0.5,"Baixa",IF(VLOOKUP(BO198,Fundamentus!A:U,20,FALSE)&lt;1,"Moderada",IF(VLOOKUP(BO198,Fundamentus!A:U,20,FALSE)&lt;2,"Alerta",IF(VLOOKUP(BO198,Fundamentus!A:U,20,FALSE)&gt;2,"Alta","n/a"))))</f>
        <v>Alerta</v>
      </c>
      <c r="EY198" s="10"/>
    </row>
    <row r="199" spans="1:155" s="2" customFormat="1" ht="11.25"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5">
        <v>14.6</v>
      </c>
      <c r="BC199" s="52">
        <v>16.5</v>
      </c>
      <c r="BD199" s="52">
        <v>17.059999999999999</v>
      </c>
      <c r="BE199" s="52">
        <v>17.829999999999998</v>
      </c>
      <c r="BF199" s="52">
        <v>17.100000000000001</v>
      </c>
      <c r="BG199" s="67">
        <v>16.649999999999999</v>
      </c>
      <c r="BH199" s="52">
        <v>16.89</v>
      </c>
      <c r="BI199" s="52">
        <v>19.940000000000001</v>
      </c>
      <c r="BJ199" s="52">
        <v>19.73</v>
      </c>
      <c r="BK199" s="52">
        <v>17.649999999999999</v>
      </c>
      <c r="BL199" s="52">
        <v>16.53</v>
      </c>
      <c r="BM199" s="52">
        <v>15.96</v>
      </c>
      <c r="BN199" s="52" cm="1">
        <f t="array" aca="1" ref="BN199" ca="1">_FV(EB199,"Preço")</f>
        <v>15.96</v>
      </c>
      <c r="BO199" s="69" t="s">
        <v>195</v>
      </c>
      <c r="BP199" s="36" cm="1">
        <f t="array" aca="1" ref="BP199" ca="1">_FV(EB199,"Média de volume",TRUE)</f>
        <v>2913970</v>
      </c>
      <c r="BQ199" s="36">
        <v>2191200</v>
      </c>
      <c r="BR199" s="36" cm="1">
        <f t="array" aca="1" ref="BR199" ca="1">_FV(EB199,"Volume")</f>
        <v>2191200</v>
      </c>
      <c r="BS199" s="24" cm="1">
        <f t="array" aca="1" ref="BS199" ca="1">_FV(EB199,"Beta")</f>
        <v>2.0444</v>
      </c>
      <c r="BT199" s="71" cm="1">
        <f t="array" aca="1" ref="BT199" ca="1">_FV(EB199,"Variação (%)",TRUE)</f>
        <v>-4.7732999999999998E-2</v>
      </c>
      <c r="BV199" s="17" cm="1">
        <f t="array" aca="1" ref="BV199" ca="1">_FV(EB199,"Baixo")</f>
        <v>15.81</v>
      </c>
      <c r="BW199" s="17" cm="1">
        <f t="array" aca="1" ref="BW199" ca="1">_FV(EB199,"Alto")</f>
        <v>16.96</v>
      </c>
      <c r="BX199" s="24"/>
      <c r="BY199" s="63">
        <f ca="1">SQRT(22.5*(BN199/VLOOKUP(BO199,Fundamentus!A:U,3,FALSE))*(BN199/VLOOKUP(BO199,Fundamentus!A:U,4,FALSE)))</f>
        <v>15.962128425694599</v>
      </c>
      <c r="CA199" s="62">
        <f t="shared" ref="CA199:CA262" ca="1" si="241">(BN199 - BM199) / BM199</f>
        <v>0</v>
      </c>
      <c r="CB199" s="8"/>
      <c r="CC199" s="61">
        <f t="shared" ref="CC199:CC262" si="242">MIN(A199:BM199)</f>
        <v>7.44</v>
      </c>
      <c r="CD199" s="61">
        <f t="shared" ref="CD199:CD262" si="243">MAX(A199:BM199)</f>
        <v>19.940000000000001</v>
      </c>
      <c r="CE199" s="61">
        <f t="shared" ref="CE199:CE262" si="244">AVERAGE(A199:BM199)</f>
        <v>11.625769230769233</v>
      </c>
      <c r="CF199" s="14"/>
      <c r="CG199" s="35">
        <f t="shared" si="227"/>
        <v>11.478390206845853</v>
      </c>
      <c r="CH199" s="15">
        <f t="shared" ref="CH199:CH262" si="245">FORECAST("01/08/2025", BJ199:BM199, $BJ$5:$BM$5)</f>
        <v>14.359999999999673</v>
      </c>
      <c r="CI199" s="35">
        <f t="shared" si="228"/>
        <v>17.241609793153494</v>
      </c>
      <c r="CK199" s="14"/>
      <c r="CL199" s="17">
        <f t="shared" si="229"/>
        <v>-3.1666666666666652</v>
      </c>
      <c r="CM199" s="17">
        <f t="shared" si="230"/>
        <v>2.1366666666666685</v>
      </c>
      <c r="CN199" s="17">
        <f t="shared" si="231"/>
        <v>9.3333333333333357</v>
      </c>
      <c r="CO199" s="38">
        <f t="shared" ref="CO199:CO262" si="246">(CD199+CC199+BL199)/3</f>
        <v>14.636666666666668</v>
      </c>
      <c r="CP199" s="17">
        <f t="shared" si="232"/>
        <v>21.833333333333336</v>
      </c>
      <c r="CQ199" s="17">
        <f t="shared" si="233"/>
        <v>27.13666666666667</v>
      </c>
      <c r="CR199" s="17">
        <f t="shared" si="234"/>
        <v>34.333333333333336</v>
      </c>
      <c r="CS199" s="2" cm="1">
        <f t="array" aca="1" ref="CS199" ca="1">MAX(_xlfn._xlws.FILTER(CL199:CR199,CL199:CR199&lt;BN199))</f>
        <v>14.636666666666668</v>
      </c>
      <c r="CT199" s="2" cm="1">
        <f t="array" aca="1" ref="CT199" ca="1">MIN(_xlfn._xlws.FILTER($CL199:$CR199,$CL199:$CR199&gt;BN199))</f>
        <v>21.833333333333336</v>
      </c>
      <c r="CU199" s="16">
        <f t="shared" ca="1" si="209"/>
        <v>0.49168754270097925</v>
      </c>
      <c r="CV199" s="20">
        <f t="shared" ca="1" si="210"/>
        <v>-0.24584377135048963</v>
      </c>
      <c r="CW199" s="20">
        <f t="shared" ca="1" si="211"/>
        <v>-0.16389584756699307</v>
      </c>
      <c r="CX199" s="20">
        <f t="shared" ca="1" si="212"/>
        <v>-9.833750854019585E-2</v>
      </c>
      <c r="CY199" s="20">
        <f t="shared" ca="1" si="213"/>
        <v>-5.4631949188997692E-2</v>
      </c>
      <c r="CZ199" s="20">
        <f t="shared" ca="1" si="214"/>
        <v>-2.8922796629469366E-2</v>
      </c>
      <c r="DA199" s="20">
        <f t="shared" ca="1" si="215"/>
        <v>-1.489962250609028E-2</v>
      </c>
      <c r="DB199" s="20">
        <f t="shared" ca="1" si="216"/>
        <v>-7.564423733861219E-3</v>
      </c>
      <c r="DC199" s="21">
        <f t="shared" ca="1" si="217"/>
        <v>7.564423733861219E-3</v>
      </c>
      <c r="DD199" s="21">
        <f t="shared" ca="1" si="218"/>
        <v>1.489962250609028E-2</v>
      </c>
      <c r="DE199" s="21">
        <f t="shared" ca="1" si="219"/>
        <v>2.8922796629469366E-2</v>
      </c>
      <c r="DF199" s="21">
        <f t="shared" ca="1" si="220"/>
        <v>5.4631949188997692E-2</v>
      </c>
      <c r="DG199" s="21">
        <f t="shared" ca="1" si="221"/>
        <v>9.833750854019585E-2</v>
      </c>
      <c r="DH199" s="21">
        <f t="shared" ca="1" si="222"/>
        <v>0.16389584756699307</v>
      </c>
      <c r="DI199" s="21">
        <f t="shared" ca="1" si="223"/>
        <v>0.24584377135048963</v>
      </c>
      <c r="DK199" s="16" cm="1">
        <f t="array" aca="1" ref="DK199" ca="1">MAX(_xlfn._xlws.FILTER(CV199:DI199,CV199:DI199&lt;BT199))</f>
        <v>-5.4631949188997692E-2</v>
      </c>
      <c r="DL199" s="16" cm="1">
        <f t="array" aca="1" ref="DL199" ca="1">MIN(_xlfn._xlws.FILTER(CV199:DI199,CV199:DI199&gt;BT199))</f>
        <v>-2.8922796629469366E-2</v>
      </c>
      <c r="DM199" s="2" cm="1">
        <f t="array" aca="1" ref="DM199" ca="1">_FV(EB199,"Fechamento anterior",TRUE)</f>
        <v>16.760000000000002</v>
      </c>
      <c r="DN199" s="28">
        <f t="shared" ca="1" si="235"/>
        <v>0.26835782609512643</v>
      </c>
      <c r="DO199" s="15">
        <f t="shared" ca="1" si="224"/>
        <v>15.8443685315924</v>
      </c>
      <c r="DP199" s="15">
        <f t="shared" ca="1" si="225"/>
        <v>16.275253928490095</v>
      </c>
      <c r="DQ199" s="9"/>
      <c r="DR199" s="9"/>
      <c r="DS199" s="9"/>
      <c r="DT199" s="89">
        <v>2.5709152559528325E-2</v>
      </c>
      <c r="DU199" s="89">
        <f t="shared" ca="1" si="236"/>
        <v>2.5709152559528325E-2</v>
      </c>
      <c r="DV199" s="72">
        <f t="shared" ca="1" si="237"/>
        <v>0.55524519794513372</v>
      </c>
      <c r="DW199" s="37"/>
      <c r="DX199" s="35">
        <f t="shared" ref="DX199:DX262" si="247">_xlfn.STDEV.P(BJ199:BM199)</f>
        <v>1.4408048965769096</v>
      </c>
      <c r="DY199" s="56"/>
      <c r="DZ199" s="56"/>
      <c r="EB199" s="2" t="e" vm="201">
        <v>#VALUE!</v>
      </c>
      <c r="ED199" s="10" cm="1">
        <f t="array" aca="1" ref="ED199" ca="1">_FV(EB199,"Ações em circulação",TRUE)</f>
        <v>308245100</v>
      </c>
      <c r="EE199" s="18">
        <f>VLOOKUP(BO199,Fundamentus!A:U,5,FALSE)</f>
        <v>0.68300000000000005</v>
      </c>
      <c r="EF199" s="2">
        <f t="shared" ca="1" si="238"/>
        <v>7202916245.9736452</v>
      </c>
      <c r="EG199" s="17">
        <v>356544354.17569548</v>
      </c>
      <c r="EH199" s="17">
        <f t="shared" ca="1" si="239"/>
        <v>356544354.17569548</v>
      </c>
      <c r="EJ199" s="16">
        <f t="shared" ca="1" si="226"/>
        <v>0</v>
      </c>
      <c r="EK199" s="32" t="str">
        <f>IF(VLOOKUP(BO199,Fundamentus!A:U,3,FALSE)&lt;15,"Bom",IF(VLOOKUP(BO199,Fundamentus!A:U,3,FALSE)&gt;15,"Ruim","n/a"))</f>
        <v>Bom</v>
      </c>
      <c r="EL199" s="28" t="str">
        <f>IF(VLOOKUP(BO199,Fundamentus!A:U,4,FALSE)&lt;1,"Baixo",IF(VLOOKUP(BO199,Fundamentus!A:U,4,FALSE)&lt;1.5,"Moderado",IF(VLOOKUP(BO199,Fundamentus!A:U,4,FALSE)&gt;1.5,"Alto","n/a")))</f>
        <v>Alto</v>
      </c>
      <c r="EM199" s="17" t="str">
        <f>IF(VLOOKUP(BO199,Fundamentus!A:U,8,FALSE)&lt;0,"Risco elevado",IF(VLOOKUP(BO199,Fundamentus!A:U,8,FALSE)&lt;1,"Saudável",IF(VLOOKUP(BO199,Fundamentus!A:U,8,FALSE)&lt;3,"Estável",IF(VLOOKUP(BO199,Fundamentus!A:U,8,FALSE)&gt;3,"Alerta","n/a"))))</f>
        <v>Alerta</v>
      </c>
      <c r="EN199" s="28" t="str">
        <f t="shared" si="240"/>
        <v>Ruim</v>
      </c>
      <c r="EO199" s="17" t="str">
        <f>IF(VLOOKUP(BO199,Fundamentus!A:U,12,FALSE)&lt;2,"Subvalorizada",IF(VLOOKUP(BO199,Fundamentus!A:U,12,FALSE)&lt;6,"Muita barata",IF(VLOOKUP(BO199,Fundamentus!A:U,12,FALSE)&lt;6,"Barata",IF(VLOOKUP(BO199,Fundamentus!A:U,12,FALSE)&lt;8,"Atrativa",IF(VLOOKUP(BO199,Fundamentus!A:U,12,FALSE)&gt;8,"Supervalorizada","n/a")))))</f>
        <v>Muita barata</v>
      </c>
      <c r="EQ199" s="17" t="str">
        <f>IF(VLOOKUP(BO199,Fundamentus!A:U,17,FALSE)&lt;0.1,"Fraco retorno",IF(VLOOKUP(BO199,Fundamentus!A:U,17,FALSE)&gt;0.1,"Bom retorno","n/a"))</f>
        <v>Bom retorno</v>
      </c>
      <c r="ER199" s="17" t="str">
        <f>IF(VLOOKUP(BO199,Fundamentus!A:U,16,FALSE)&lt;0.1,"Ineficiente",IF(VLOOKUP(BO199,Fundamentus!A:U,16,FALSE)&gt;0.1,"Eficiente","n/a"))</f>
        <v>Eficiente</v>
      </c>
      <c r="ES199" s="33" t="str">
        <f>IF(VLOOKUP(BO199,Fundamentus!A:U,16,FALSE)&lt;0.1,"Oper. Ineficiente",IF(VLOOKUP(BO199,Fundamentus!A:U,16,FALSE)&gt;0.1,"Oper.Eficiente","n/a"))</f>
        <v>Oper.Eficiente</v>
      </c>
      <c r="ET199" s="34">
        <f>VLOOKUP(BO199,Fundamentus!A:U,14,FALSE)</f>
        <v>4.9500000000000002E-2</v>
      </c>
      <c r="EU199" s="17" t="str">
        <f>IF(VLOOKUP(BO199,Fundamentus!A:U,21,FALSE)&lt;0,"Negativo",IF(VLOOKUP(BO199,Fundamentus!A:U,21,FALSE)&lt;0.05,"Fraco",IF(VLOOKUP(BO199,Fundamentus!A:U,21,FALSE)&lt;0.1,"Bom",IF(VLOOKUP(BO199,Fundamentus!A:U,21,FALSE)&gt;0.1,"Muito bom","n/a"))))</f>
        <v>Muito bom</v>
      </c>
      <c r="EW199" s="29" t="str">
        <f>IF(VLOOKUP(BO199,Fundamentus!A:U,15,FALSE)&gt;1,"Bom",IF(VLOOKUP(BO199,Fundamentus!A:U,15,FALSE)&lt;1,"Ruim","n/a"))</f>
        <v>Bom</v>
      </c>
      <c r="EX199" s="17" t="str">
        <f>IF(VLOOKUP(BO199,Fundamentus!A:U,20,FALSE)&lt;0.5,"Baixa",IF(VLOOKUP(BO199,Fundamentus!A:U,20,FALSE)&lt;1,"Moderada",IF(VLOOKUP(BO199,Fundamentus!A:U,20,FALSE)&lt;2,"Alerta",IF(VLOOKUP(BO199,Fundamentus!A:U,20,FALSE)&gt;2,"Alta","n/a"))))</f>
        <v>Baixa</v>
      </c>
      <c r="EY199" s="10"/>
    </row>
    <row r="200" spans="1:155" s="2" customFormat="1" ht="11.25"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5">
        <v>120.01</v>
      </c>
      <c r="BC200" s="52">
        <v>125.01</v>
      </c>
      <c r="BD200" s="52">
        <v>130.66999999999999</v>
      </c>
      <c r="BE200" s="52">
        <v>192</v>
      </c>
      <c r="BF200" s="52">
        <v>178.01</v>
      </c>
      <c r="BG200" s="67">
        <v>169.82</v>
      </c>
      <c r="BH200" s="52">
        <v>172.18</v>
      </c>
      <c r="BI200" s="52">
        <v>159.75</v>
      </c>
      <c r="BJ200" s="52">
        <v>161.49</v>
      </c>
      <c r="BK200" s="52">
        <v>162.13999999999999</v>
      </c>
      <c r="BL200" s="52">
        <v>141.79</v>
      </c>
      <c r="BM200" s="52">
        <v>132.54</v>
      </c>
      <c r="BN200" s="52" cm="1">
        <f t="array" aca="1" ref="BN200" ca="1">_FV(EB200,"Preço")</f>
        <v>132.54</v>
      </c>
      <c r="BO200" s="69" t="s">
        <v>196</v>
      </c>
      <c r="BP200" s="36" cm="1">
        <f t="array" aca="1" ref="BP200" ca="1">_FV(EB200,"Média de volume",TRUE)</f>
        <v>53840</v>
      </c>
      <c r="BQ200" s="36">
        <v>41800</v>
      </c>
      <c r="BR200" s="36" cm="1">
        <f t="array" aca="1" ref="BR200" ca="1">_FV(EB200,"Volume")</f>
        <v>41800</v>
      </c>
      <c r="BS200" s="24" cm="1">
        <f t="array" aca="1" ref="BS200" ca="1">_FV(EB200,"Beta")</f>
        <v>1.5846</v>
      </c>
      <c r="BT200" s="71" cm="1">
        <f t="array" aca="1" ref="BT200" ca="1">_FV(EB200,"Variação (%)",TRUE)</f>
        <v>-3.9565000000000003E-2</v>
      </c>
      <c r="BV200" s="17" cm="1">
        <f t="array" aca="1" ref="BV200" ca="1">_FV(EB200,"Baixo")</f>
        <v>129.97</v>
      </c>
      <c r="BW200" s="17" cm="1">
        <f t="array" aca="1" ref="BW200" ca="1">_FV(EB200,"Alto")</f>
        <v>140.21</v>
      </c>
      <c r="BX200" s="24"/>
      <c r="BY200" s="63" t="e">
        <f ca="1">SQRT(22.5*(BN200/VLOOKUP(BO200,Fundamentus!A:U,3,FALSE))*(BN200/VLOOKUP(BO200,Fundamentus!A:U,4,FALSE)))</f>
        <v>#NUM!</v>
      </c>
      <c r="CA200" s="62">
        <f t="shared" ca="1" si="241"/>
        <v>0</v>
      </c>
      <c r="CB200" s="8"/>
      <c r="CC200" s="61">
        <f t="shared" si="242"/>
        <v>8.08</v>
      </c>
      <c r="CD200" s="61">
        <f t="shared" si="243"/>
        <v>268.51</v>
      </c>
      <c r="CE200" s="61">
        <f t="shared" si="244"/>
        <v>108.56684615384616</v>
      </c>
      <c r="CF200" s="14"/>
      <c r="CG200" s="35">
        <f t="shared" si="227"/>
        <v>97.182844141302596</v>
      </c>
      <c r="CH200" s="15">
        <f t="shared" si="245"/>
        <v>122.69000000000233</v>
      </c>
      <c r="CI200" s="35">
        <f t="shared" si="228"/>
        <v>148.19715585870208</v>
      </c>
      <c r="CK200" s="14"/>
      <c r="CL200" s="17">
        <f t="shared" si="229"/>
        <v>-250.01999999999995</v>
      </c>
      <c r="CM200" s="17">
        <f t="shared" si="230"/>
        <v>-120.97</v>
      </c>
      <c r="CN200" s="17">
        <f t="shared" si="231"/>
        <v>10.410000000000025</v>
      </c>
      <c r="CO200" s="38">
        <f t="shared" si="246"/>
        <v>139.46</v>
      </c>
      <c r="CP200" s="17">
        <f t="shared" si="232"/>
        <v>270.84000000000003</v>
      </c>
      <c r="CQ200" s="17">
        <f t="shared" si="233"/>
        <v>399.89</v>
      </c>
      <c r="CR200" s="17">
        <f t="shared" si="234"/>
        <v>531.27</v>
      </c>
      <c r="CS200" s="2" cm="1">
        <f t="array" aca="1" ref="CS200" ca="1">MAX(_xlfn._xlws.FILTER(CL200:CR200,CL200:CR200&lt;BN200))</f>
        <v>10.410000000000025</v>
      </c>
      <c r="CT200" s="2" cm="1">
        <f t="array" aca="1" ref="CT200" ca="1">MIN(_xlfn._xlws.FILTER($CL200:$CR200,$CL200:$CR200&gt;BN200))</f>
        <v>139.46</v>
      </c>
      <c r="CU200" s="16">
        <f t="shared" ca="1" si="209"/>
        <v>12.396733909702178</v>
      </c>
      <c r="CV200" s="20">
        <f t="shared" ca="1" si="210"/>
        <v>-6.1983669548510889</v>
      </c>
      <c r="CW200" s="20">
        <f t="shared" ca="1" si="211"/>
        <v>-4.1322446365673926</v>
      </c>
      <c r="CX200" s="20">
        <f t="shared" ca="1" si="212"/>
        <v>-2.4793467819404356</v>
      </c>
      <c r="CY200" s="20">
        <f t="shared" ca="1" si="213"/>
        <v>-1.3774148788557976</v>
      </c>
      <c r="CZ200" s="20">
        <f t="shared" ca="1" si="214"/>
        <v>-0.7292196417471869</v>
      </c>
      <c r="DA200" s="20">
        <f t="shared" ca="1" si="215"/>
        <v>-0.37565860332430839</v>
      </c>
      <c r="DB200" s="20">
        <f t="shared" ca="1" si="216"/>
        <v>-0.19071898322618736</v>
      </c>
      <c r="DC200" s="21">
        <f t="shared" ca="1" si="217"/>
        <v>0.19071898322618736</v>
      </c>
      <c r="DD200" s="21">
        <f t="shared" ca="1" si="218"/>
        <v>0.37565860332430839</v>
      </c>
      <c r="DE200" s="21">
        <f t="shared" ca="1" si="219"/>
        <v>0.7292196417471869</v>
      </c>
      <c r="DF200" s="21">
        <f t="shared" ca="1" si="220"/>
        <v>1.3774148788557976</v>
      </c>
      <c r="DG200" s="21">
        <f t="shared" ca="1" si="221"/>
        <v>2.4793467819404356</v>
      </c>
      <c r="DH200" s="21">
        <f t="shared" ca="1" si="222"/>
        <v>4.1322446365673926</v>
      </c>
      <c r="DI200" s="21">
        <f t="shared" ca="1" si="223"/>
        <v>6.1983669548510889</v>
      </c>
      <c r="DK200" s="16" cm="1">
        <f t="array" aca="1" ref="DK200" ca="1">MAX(_xlfn._xlws.FILTER(CV200:DI200,CV200:DI200&lt;BT200))</f>
        <v>-0.19071898322618736</v>
      </c>
      <c r="DL200" s="16" cm="1">
        <f t="array" aca="1" ref="DL200" ca="1">MIN(_xlfn._xlws.FILTER(CV200:DI200,CV200:DI200&gt;BT200))</f>
        <v>0.19071898322618736</v>
      </c>
      <c r="DM200" s="2" cm="1">
        <f t="array" aca="1" ref="DM200" ca="1">_FV(EB200,"Fechamento anterior",TRUE)</f>
        <v>138</v>
      </c>
      <c r="DN200" s="28">
        <f t="shared" ca="1" si="235"/>
        <v>0.39627352054309883</v>
      </c>
      <c r="DO200" s="15">
        <f t="shared" ca="1" si="224"/>
        <v>111.68078031478615</v>
      </c>
      <c r="DP200" s="15">
        <f t="shared" ca="1" si="225"/>
        <v>164.31921968521385</v>
      </c>
      <c r="DQ200" s="9"/>
      <c r="DR200" s="9"/>
      <c r="DS200" s="9"/>
      <c r="DT200" s="89">
        <v>0.38143796645237471</v>
      </c>
      <c r="DU200" s="89">
        <f t="shared" ca="1" si="236"/>
        <v>0.38143796645237471</v>
      </c>
      <c r="DV200" s="72">
        <f t="shared" ca="1" si="237"/>
        <v>0.38616614312324915</v>
      </c>
      <c r="DW200" s="37"/>
      <c r="DX200" s="35">
        <f t="shared" si="247"/>
        <v>12.753577929349868</v>
      </c>
      <c r="DY200" s="56"/>
      <c r="DZ200" s="56"/>
      <c r="EB200" s="2" t="e" vm="202">
        <v>#VALUE!</v>
      </c>
      <c r="ED200" s="10" cm="1">
        <f t="array" aca="1" ref="ED200" ca="1">_FV(EB200,"Ações em circulação",TRUE)</f>
        <v>167041900</v>
      </c>
      <c r="EE200" s="18">
        <f>VLOOKUP(BO200,Fundamentus!A:U,5,FALSE)</f>
        <v>3.4649999999999999</v>
      </c>
      <c r="EF200" s="2">
        <f t="shared" ca="1" si="238"/>
        <v>6389533456.2770567</v>
      </c>
      <c r="EG200" s="17">
        <v>-125873809.088658</v>
      </c>
      <c r="EH200" s="17">
        <f t="shared" ca="1" si="239"/>
        <v>-125873809.088658</v>
      </c>
      <c r="EJ200" s="16">
        <f t="shared" ca="1" si="226"/>
        <v>0</v>
      </c>
      <c r="EK200" s="32" t="str">
        <f>IF(VLOOKUP(BO200,Fundamentus!A:U,3,FALSE)&lt;15,"Bom",IF(VLOOKUP(BO200,Fundamentus!A:U,3,FALSE)&gt;15,"Ruim","n/a"))</f>
        <v>Bom</v>
      </c>
      <c r="EL200" s="28" t="str">
        <f>IF(VLOOKUP(BO200,Fundamentus!A:U,4,FALSE)&lt;1,"Baixo",IF(VLOOKUP(BO200,Fundamentus!A:U,4,FALSE)&lt;1.5,"Moderado",IF(VLOOKUP(BO200,Fundamentus!A:U,4,FALSE)&gt;1.5,"Alto","n/a")))</f>
        <v>Alto</v>
      </c>
      <c r="EM200" s="17" t="str">
        <f>IF(VLOOKUP(BO200,Fundamentus!A:U,8,FALSE)&lt;0,"Risco elevado",IF(VLOOKUP(BO200,Fundamentus!A:U,8,FALSE)&lt;1,"Saudável",IF(VLOOKUP(BO200,Fundamentus!A:U,8,FALSE)&lt;3,"Estável",IF(VLOOKUP(BO200,Fundamentus!A:U,8,FALSE)&gt;3,"Alerta","n/a"))))</f>
        <v>Alerta</v>
      </c>
      <c r="EN200" s="28" t="str">
        <f t="shared" si="240"/>
        <v>Bom</v>
      </c>
      <c r="EO200" s="17" t="str">
        <f>IF(VLOOKUP(BO200,Fundamentus!A:U,12,FALSE)&lt;2,"Subvalorizada",IF(VLOOKUP(BO200,Fundamentus!A:U,12,FALSE)&lt;6,"Muita barata",IF(VLOOKUP(BO200,Fundamentus!A:U,12,FALSE)&lt;6,"Barata",IF(VLOOKUP(BO200,Fundamentus!A:U,12,FALSE)&lt;8,"Atrativa",IF(VLOOKUP(BO200,Fundamentus!A:U,12,FALSE)&gt;8,"Supervalorizada","n/a")))))</f>
        <v>Supervalorizada</v>
      </c>
      <c r="EQ200" s="17" t="str">
        <f>IF(VLOOKUP(BO200,Fundamentus!A:U,17,FALSE)&lt;0.1,"Fraco retorno",IF(VLOOKUP(BO200,Fundamentus!A:U,17,FALSE)&gt;0.1,"Bom retorno","n/a"))</f>
        <v>Fraco retorno</v>
      </c>
      <c r="ER200" s="17" t="str">
        <f>IF(VLOOKUP(BO200,Fundamentus!A:U,16,FALSE)&lt;0.1,"Ineficiente",IF(VLOOKUP(BO200,Fundamentus!A:U,16,FALSE)&gt;0.1,"Eficiente","n/a"))</f>
        <v>Ineficiente</v>
      </c>
      <c r="ES200" s="33" t="str">
        <f>IF(VLOOKUP(BO200,Fundamentus!A:U,16,FALSE)&lt;0.1,"Oper. Ineficiente",IF(VLOOKUP(BO200,Fundamentus!A:U,16,FALSE)&gt;0.1,"Oper.Eficiente","n/a"))</f>
        <v>Oper. Ineficiente</v>
      </c>
      <c r="ET200" s="34">
        <f>VLOOKUP(BO200,Fundamentus!A:U,14,FALSE)</f>
        <v>-1.9699999999999999E-2</v>
      </c>
      <c r="EU200" s="17" t="str">
        <f>IF(VLOOKUP(BO200,Fundamentus!A:U,21,FALSE)&lt;0,"Negativo",IF(VLOOKUP(BO200,Fundamentus!A:U,21,FALSE)&lt;0.05,"Fraco",IF(VLOOKUP(BO200,Fundamentus!A:U,21,FALSE)&lt;0.1,"Bom",IF(VLOOKUP(BO200,Fundamentus!A:U,21,FALSE)&gt;0.1,"Muito bom","n/a"))))</f>
        <v>Muito bom</v>
      </c>
      <c r="EW200" s="29" t="str">
        <f>IF(VLOOKUP(BO200,Fundamentus!A:U,15,FALSE)&gt;1,"Bom",IF(VLOOKUP(BO200,Fundamentus!A:U,15,FALSE)&lt;1,"Ruim","n/a"))</f>
        <v>Bom</v>
      </c>
      <c r="EX200" s="17" t="str">
        <f>IF(VLOOKUP(BO200,Fundamentus!A:U,20,FALSE)&lt;0.5,"Baixa",IF(VLOOKUP(BO200,Fundamentus!A:U,20,FALSE)&lt;1,"Moderada",IF(VLOOKUP(BO200,Fundamentus!A:U,20,FALSE)&lt;2,"Alerta",IF(VLOOKUP(BO200,Fundamentus!A:U,20,FALSE)&gt;2,"Alta","n/a"))))</f>
        <v>Alta</v>
      </c>
      <c r="EY200" s="10"/>
    </row>
    <row r="201" spans="1:155" s="2" customFormat="1" ht="11.25"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5">
        <v>20.190000000000001</v>
      </c>
      <c r="BC201" s="52">
        <v>20.21</v>
      </c>
      <c r="BD201" s="52">
        <v>26.36</v>
      </c>
      <c r="BE201" s="52">
        <v>26</v>
      </c>
      <c r="BF201" s="52">
        <v>26.41</v>
      </c>
      <c r="BG201" s="67">
        <v>26.56</v>
      </c>
      <c r="BH201" s="52">
        <v>26.5</v>
      </c>
      <c r="BI201" s="52">
        <v>26</v>
      </c>
      <c r="BJ201" s="52">
        <v>25.5</v>
      </c>
      <c r="BK201" s="52">
        <v>24.48</v>
      </c>
      <c r="BL201" s="52">
        <v>25</v>
      </c>
      <c r="BM201" s="52">
        <v>25.6</v>
      </c>
      <c r="BN201" s="52" cm="1">
        <f t="array" aca="1" ref="BN201" ca="1">_FV(EB201,"Preço")</f>
        <v>25.6</v>
      </c>
      <c r="BO201" s="69" t="s">
        <v>197</v>
      </c>
      <c r="BP201" s="36" cm="1">
        <f t="array" aca="1" ref="BP201" ca="1">_FV(EB201,"Média de volume",TRUE)</f>
        <v>10020</v>
      </c>
      <c r="BQ201" s="36">
        <v>10700</v>
      </c>
      <c r="BR201" s="36" cm="1">
        <f t="array" aca="1" ref="BR201" ca="1">_FV(EB201,"Volume")</f>
        <v>10700</v>
      </c>
      <c r="BS201" s="24" cm="1">
        <f t="array" aca="1" ref="BS201" ca="1">_FV(EB201,"Beta")</f>
        <v>1.0592999999999999</v>
      </c>
      <c r="BT201" s="71" cm="1">
        <f t="array" aca="1" ref="BT201" ca="1">_FV(EB201,"Variação (%)",TRUE)</f>
        <v>-1.9907999999999999E-2</v>
      </c>
      <c r="BV201" s="17" cm="1">
        <f t="array" aca="1" ref="BV201" ca="1">_FV(EB201,"Baixo")</f>
        <v>25.59</v>
      </c>
      <c r="BW201" s="17" cm="1">
        <f t="array" aca="1" ref="BW201" ca="1">_FV(EB201,"Alto")</f>
        <v>26.17</v>
      </c>
      <c r="BX201" s="24"/>
      <c r="BY201" s="63" t="e">
        <f ca="1">SQRT(22.5*(BN201/VLOOKUP(BO201,Fundamentus!A:U,3,FALSE))*(BN201/VLOOKUP(BO201,Fundamentus!A:U,4,FALSE)))</f>
        <v>#NUM!</v>
      </c>
      <c r="CA201" s="62">
        <f t="shared" ca="1" si="241"/>
        <v>0</v>
      </c>
      <c r="CB201" s="8"/>
      <c r="CC201" s="61">
        <f t="shared" si="242"/>
        <v>0.79</v>
      </c>
      <c r="CD201" s="61">
        <f t="shared" si="243"/>
        <v>31.5</v>
      </c>
      <c r="CE201" s="61">
        <f t="shared" si="244"/>
        <v>15.706307692307691</v>
      </c>
      <c r="CF201" s="14"/>
      <c r="CG201" s="35">
        <f t="shared" si="227"/>
        <v>24.457643568970244</v>
      </c>
      <c r="CH201" s="15">
        <f t="shared" si="245"/>
        <v>25.349999999999909</v>
      </c>
      <c r="CI201" s="35">
        <f t="shared" si="228"/>
        <v>26.242356431029574</v>
      </c>
      <c r="CK201" s="14"/>
      <c r="CL201" s="17">
        <f t="shared" si="229"/>
        <v>-24.016666666666666</v>
      </c>
      <c r="CM201" s="17">
        <f t="shared" si="230"/>
        <v>-11.613333333333333</v>
      </c>
      <c r="CN201" s="17">
        <f t="shared" si="231"/>
        <v>6.6933333333333351</v>
      </c>
      <c r="CO201" s="38">
        <f t="shared" si="246"/>
        <v>19.096666666666668</v>
      </c>
      <c r="CP201" s="17">
        <f t="shared" si="232"/>
        <v>37.403333333333336</v>
      </c>
      <c r="CQ201" s="17">
        <f t="shared" si="233"/>
        <v>49.806666666666672</v>
      </c>
      <c r="CR201" s="17">
        <f t="shared" si="234"/>
        <v>68.113333333333344</v>
      </c>
      <c r="CS201" s="2" cm="1">
        <f t="array" aca="1" ref="CS201" ca="1">MAX(_xlfn._xlws.FILTER(CL201:CR201,CL201:CR201&lt;BN201))</f>
        <v>19.096666666666668</v>
      </c>
      <c r="CT201" s="2" cm="1">
        <f t="array" aca="1" ref="CT201" ca="1">MIN(_xlfn._xlws.FILTER($CL201:$CR201,$CL201:$CR201&gt;BN201))</f>
        <v>37.403333333333336</v>
      </c>
      <c r="CU201" s="16">
        <f t="shared" ca="1" si="209"/>
        <v>0.9586315238261478</v>
      </c>
      <c r="CV201" s="20">
        <f t="shared" ca="1" si="210"/>
        <v>-0.4793157619130739</v>
      </c>
      <c r="CW201" s="20">
        <f t="shared" ca="1" si="211"/>
        <v>-0.3195438412753826</v>
      </c>
      <c r="CX201" s="20">
        <f t="shared" ca="1" si="212"/>
        <v>-0.19172630476522956</v>
      </c>
      <c r="CY201" s="20">
        <f t="shared" ca="1" si="213"/>
        <v>-0.10651461375846087</v>
      </c>
      <c r="CZ201" s="20">
        <f t="shared" ca="1" si="214"/>
        <v>-5.6390089636832223E-2</v>
      </c>
      <c r="DA201" s="20">
        <f t="shared" ca="1" si="215"/>
        <v>-2.9049440115943872E-2</v>
      </c>
      <c r="DB201" s="20">
        <f t="shared" ca="1" si="216"/>
        <v>-1.4748177289633043E-2</v>
      </c>
      <c r="DC201" s="21">
        <f t="shared" ca="1" si="217"/>
        <v>1.4748177289633043E-2</v>
      </c>
      <c r="DD201" s="21">
        <f t="shared" ca="1" si="218"/>
        <v>2.9049440115943872E-2</v>
      </c>
      <c r="DE201" s="21">
        <f t="shared" ca="1" si="219"/>
        <v>5.6390089636832223E-2</v>
      </c>
      <c r="DF201" s="21">
        <f t="shared" ca="1" si="220"/>
        <v>0.10651461375846087</v>
      </c>
      <c r="DG201" s="21">
        <f t="shared" ca="1" si="221"/>
        <v>0.19172630476522956</v>
      </c>
      <c r="DH201" s="21">
        <f t="shared" ca="1" si="222"/>
        <v>0.3195438412753826</v>
      </c>
      <c r="DI201" s="21">
        <f t="shared" ca="1" si="223"/>
        <v>0.4793157619130739</v>
      </c>
      <c r="DK201" s="16" cm="1">
        <f t="array" aca="1" ref="DK201" ca="1">MAX(_xlfn._xlws.FILTER(CV201:DI201,CV201:DI201&lt;BT201))</f>
        <v>-2.9049440115943872E-2</v>
      </c>
      <c r="DL201" s="16" cm="1">
        <f t="array" aca="1" ref="DL201" ca="1">MIN(_xlfn._xlws.FILTER(CV201:DI201,CV201:DI201&gt;BT201))</f>
        <v>-1.4748177289633043E-2</v>
      </c>
      <c r="DM201" s="2" cm="1">
        <f t="array" aca="1" ref="DM201" ca="1">_FV(EB201,"Fechamento anterior",TRUE)</f>
        <v>26.12</v>
      </c>
      <c r="DN201" s="28">
        <f t="shared" ca="1" si="235"/>
        <v>0.63919696051001318</v>
      </c>
      <c r="DO201" s="15">
        <f t="shared" ca="1" si="224"/>
        <v>25.361228624171545</v>
      </c>
      <c r="DP201" s="15">
        <f t="shared" ca="1" si="225"/>
        <v>25.734777609194786</v>
      </c>
      <c r="DQ201" s="9"/>
      <c r="DR201" s="9"/>
      <c r="DS201" s="9"/>
      <c r="DT201" s="89">
        <v>1.4301262826310829E-2</v>
      </c>
      <c r="DU201" s="89">
        <f t="shared" ca="1" si="236"/>
        <v>1.4301262826310829E-2</v>
      </c>
      <c r="DV201" s="72">
        <f t="shared" ca="1" si="237"/>
        <v>0.28015711133680571</v>
      </c>
      <c r="DW201" s="37"/>
      <c r="DX201" s="35">
        <f t="shared" si="247"/>
        <v>0.44617821551483239</v>
      </c>
      <c r="DY201" s="56"/>
      <c r="DZ201" s="56"/>
      <c r="EB201" s="2" t="e" vm="203">
        <v>#VALUE!</v>
      </c>
      <c r="ED201" s="10" cm="1">
        <f t="array" aca="1" ref="ED201" ca="1">_FV(EB201,"Ações em circulação",TRUE)</f>
        <v>9140940</v>
      </c>
      <c r="EE201" s="18">
        <f>VLOOKUP(BO201,Fundamentus!A:U,5,FALSE)</f>
        <v>0.85299999999999998</v>
      </c>
      <c r="EF201" s="2">
        <f t="shared" ca="1" si="238"/>
        <v>274335362.25087923</v>
      </c>
      <c r="EG201" s="17">
        <v>-31027329.470574442</v>
      </c>
      <c r="EH201" s="17">
        <f t="shared" ca="1" si="239"/>
        <v>-31027329.470574442</v>
      </c>
      <c r="EJ201" s="16">
        <f t="shared" ca="1" si="226"/>
        <v>0</v>
      </c>
      <c r="EK201" s="32" t="str">
        <f>IF(VLOOKUP(BO201,Fundamentus!A:U,3,FALSE)&lt;15,"Bom",IF(VLOOKUP(BO201,Fundamentus!A:U,3,FALSE)&gt;15,"Ruim","n/a"))</f>
        <v>Bom</v>
      </c>
      <c r="EL201" s="28" t="str">
        <f>IF(VLOOKUP(BO201,Fundamentus!A:U,4,FALSE)&lt;1,"Baixo",IF(VLOOKUP(BO201,Fundamentus!A:U,4,FALSE)&lt;1.5,"Moderado",IF(VLOOKUP(BO201,Fundamentus!A:U,4,FALSE)&gt;1.5,"Alto","n/a")))</f>
        <v>Baixo</v>
      </c>
      <c r="EM201" s="17" t="str">
        <f>IF(VLOOKUP(BO201,Fundamentus!A:U,8,FALSE)&lt;0,"Risco elevado",IF(VLOOKUP(BO201,Fundamentus!A:U,8,FALSE)&lt;1,"Saudável",IF(VLOOKUP(BO201,Fundamentus!A:U,8,FALSE)&lt;3,"Estável",IF(VLOOKUP(BO201,Fundamentus!A:U,8,FALSE)&gt;3,"Alerta","n/a"))))</f>
        <v>Estável</v>
      </c>
      <c r="EN201" s="28" t="str">
        <f t="shared" si="240"/>
        <v>Ruim</v>
      </c>
      <c r="EO201" s="17" t="str">
        <f>IF(VLOOKUP(BO201,Fundamentus!A:U,12,FALSE)&lt;2,"Subvalorizada",IF(VLOOKUP(BO201,Fundamentus!A:U,12,FALSE)&lt;6,"Muita barata",IF(VLOOKUP(BO201,Fundamentus!A:U,12,FALSE)&lt;6,"Barata",IF(VLOOKUP(BO201,Fundamentus!A:U,12,FALSE)&lt;8,"Atrativa",IF(VLOOKUP(BO201,Fundamentus!A:U,12,FALSE)&gt;8,"Supervalorizada","n/a")))))</f>
        <v>Muita barata</v>
      </c>
      <c r="EQ201" s="17" t="str">
        <f>IF(VLOOKUP(BO201,Fundamentus!A:U,17,FALSE)&lt;0.1,"Fraco retorno",IF(VLOOKUP(BO201,Fundamentus!A:U,17,FALSE)&gt;0.1,"Bom retorno","n/a"))</f>
        <v>Fraco retorno</v>
      </c>
      <c r="ER201" s="17" t="str">
        <f>IF(VLOOKUP(BO201,Fundamentus!A:U,16,FALSE)&lt;0.1,"Ineficiente",IF(VLOOKUP(BO201,Fundamentus!A:U,16,FALSE)&gt;0.1,"Eficiente","n/a"))</f>
        <v>Ineficiente</v>
      </c>
      <c r="ES201" s="33" t="str">
        <f>IF(VLOOKUP(BO201,Fundamentus!A:U,16,FALSE)&lt;0.1,"Oper. Ineficiente",IF(VLOOKUP(BO201,Fundamentus!A:U,16,FALSE)&gt;0.1,"Oper.Eficiente","n/a"))</f>
        <v>Oper. Ineficiente</v>
      </c>
      <c r="ET201" s="34">
        <f>VLOOKUP(BO201,Fundamentus!A:U,14,FALSE)</f>
        <v>-0.11310000000000001</v>
      </c>
      <c r="EU201" s="17" t="str">
        <f>IF(VLOOKUP(BO201,Fundamentus!A:U,21,FALSE)&lt;0,"Negativo",IF(VLOOKUP(BO201,Fundamentus!A:U,21,FALSE)&lt;0.05,"Fraco",IF(VLOOKUP(BO201,Fundamentus!A:U,21,FALSE)&lt;0.1,"Bom",IF(VLOOKUP(BO201,Fundamentus!A:U,21,FALSE)&gt;0.1,"Muito bom","n/a"))))</f>
        <v>Bom</v>
      </c>
      <c r="EW201" s="29" t="str">
        <f>IF(VLOOKUP(BO201,Fundamentus!A:U,15,FALSE)&gt;1,"Bom",IF(VLOOKUP(BO201,Fundamentus!A:U,15,FALSE)&lt;1,"Ruim","n/a"))</f>
        <v>Bom</v>
      </c>
      <c r="EX201" s="17" t="str">
        <f>IF(VLOOKUP(BO201,Fundamentus!A:U,20,FALSE)&lt;0.5,"Baixa",IF(VLOOKUP(BO201,Fundamentus!A:U,20,FALSE)&lt;1,"Moderada",IF(VLOOKUP(BO201,Fundamentus!A:U,20,FALSE)&lt;2,"Alerta",IF(VLOOKUP(BO201,Fundamentus!A:U,20,FALSE)&gt;2,"Alta","n/a"))))</f>
        <v>Baixa</v>
      </c>
      <c r="EY201" s="10"/>
    </row>
    <row r="202" spans="1:155" s="2" customFormat="1" ht="11.25"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5">
        <v>4.4400000000000004</v>
      </c>
      <c r="BC202" s="52">
        <v>5.0199999999999996</v>
      </c>
      <c r="BD202" s="52">
        <v>4.82</v>
      </c>
      <c r="BE202" s="52">
        <v>4.75</v>
      </c>
      <c r="BF202" s="52">
        <v>4.76</v>
      </c>
      <c r="BG202" s="67">
        <v>5.0599999999999996</v>
      </c>
      <c r="BH202" s="52">
        <v>5.0599999999999996</v>
      </c>
      <c r="BI202" s="52">
        <v>5.04</v>
      </c>
      <c r="BJ202" s="52">
        <v>5.31</v>
      </c>
      <c r="BK202" s="52">
        <v>5.14</v>
      </c>
      <c r="BL202" s="52">
        <v>4.9800000000000004</v>
      </c>
      <c r="BM202" s="52">
        <v>4.84</v>
      </c>
      <c r="BN202" s="52" cm="1">
        <f t="array" aca="1" ref="BN202" ca="1">_FV(EB202,"Preço")</f>
        <v>4.84</v>
      </c>
      <c r="BO202" s="69" t="s">
        <v>251</v>
      </c>
      <c r="BP202" s="36" cm="1">
        <f t="array" aca="1" ref="BP202" ca="1">_FV(EB202,"Média de volume",TRUE)</f>
        <v>1687590</v>
      </c>
      <c r="BQ202" s="36">
        <v>1758900</v>
      </c>
      <c r="BR202" s="36" cm="1">
        <f t="array" aca="1" ref="BR202" ca="1">_FV(EB202,"Volume")</f>
        <v>1758900</v>
      </c>
      <c r="BS202" s="24" cm="1">
        <f t="array" aca="1" ref="BS202" ca="1">_FV(EB202,"Beta")</f>
        <v>0.3674</v>
      </c>
      <c r="BT202" s="71" cm="1">
        <f t="array" aca="1" ref="BT202" ca="1">_FV(EB202,"Variação (%)",TRUE)</f>
        <v>-2.062E-3</v>
      </c>
      <c r="BV202" s="17" cm="1">
        <f t="array" aca="1" ref="BV202" ca="1">_FV(EB202,"Baixo")</f>
        <v>4.8</v>
      </c>
      <c r="BW202" s="17" cm="1">
        <f t="array" aca="1" ref="BW202" ca="1">_FV(EB202,"Alto")</f>
        <v>4.8899999999999997</v>
      </c>
      <c r="BX202" s="24"/>
      <c r="BY202" s="63">
        <f ca="1">SQRT(22.5*(BN202/VLOOKUP(BO202,Fundamentus!A:U,3,FALSE))*(BN202/VLOOKUP(BO202,Fundamentus!A:U,4,FALSE)))</f>
        <v>11.289308924202231</v>
      </c>
      <c r="CA202" s="62">
        <f t="shared" ca="1" si="241"/>
        <v>0</v>
      </c>
      <c r="CB202" s="8"/>
      <c r="CC202" s="61">
        <f t="shared" si="242"/>
        <v>3.55</v>
      </c>
      <c r="CD202" s="61">
        <f t="shared" si="243"/>
        <v>10</v>
      </c>
      <c r="CE202" s="61">
        <f t="shared" si="244"/>
        <v>6.7056153846153865</v>
      </c>
      <c r="CF202" s="14"/>
      <c r="CG202" s="35">
        <f t="shared" si="227"/>
        <v>4.3236099033839004</v>
      </c>
      <c r="CH202" s="15">
        <f t="shared" si="245"/>
        <v>4.6750000000001819</v>
      </c>
      <c r="CI202" s="35">
        <f t="shared" si="228"/>
        <v>5.0263900966164634</v>
      </c>
      <c r="CK202" s="14"/>
      <c r="CL202" s="17">
        <f t="shared" si="229"/>
        <v>-4.0966666666666667</v>
      </c>
      <c r="CM202" s="17">
        <f t="shared" si="230"/>
        <v>-0.27333333333333343</v>
      </c>
      <c r="CN202" s="17">
        <f t="shared" si="231"/>
        <v>2.3533333333333335</v>
      </c>
      <c r="CO202" s="38">
        <f t="shared" si="246"/>
        <v>6.1766666666666667</v>
      </c>
      <c r="CP202" s="17">
        <f t="shared" si="232"/>
        <v>8.8033333333333346</v>
      </c>
      <c r="CQ202" s="17">
        <f t="shared" si="233"/>
        <v>12.626666666666667</v>
      </c>
      <c r="CR202" s="17">
        <f t="shared" si="234"/>
        <v>15.253333333333334</v>
      </c>
      <c r="CS202" s="2" cm="1">
        <f t="array" aca="1" ref="CS202" ca="1">MAX(_xlfn._xlws.FILTER(CL202:CR202,CL202:CR202&lt;BN202))</f>
        <v>2.3533333333333335</v>
      </c>
      <c r="CT202" s="2" cm="1">
        <f t="array" aca="1" ref="CT202" ca="1">MIN(_xlfn._xlws.FILTER($CL202:$CR202,$CL202:$CR202&gt;BN202))</f>
        <v>6.1766666666666667</v>
      </c>
      <c r="CU202" s="16">
        <f t="shared" ca="1" si="209"/>
        <v>1.6246458923512748</v>
      </c>
      <c r="CV202" s="20">
        <f t="shared" ca="1" si="210"/>
        <v>-0.81232294617563738</v>
      </c>
      <c r="CW202" s="20">
        <f t="shared" ca="1" si="211"/>
        <v>-0.54154863078375826</v>
      </c>
      <c r="CX202" s="20">
        <f t="shared" ca="1" si="212"/>
        <v>-0.32492917847025493</v>
      </c>
      <c r="CY202" s="20">
        <f t="shared" ca="1" si="213"/>
        <v>-0.18051621026125275</v>
      </c>
      <c r="CZ202" s="20">
        <f t="shared" ca="1" si="214"/>
        <v>-9.5567405432427921E-2</v>
      </c>
      <c r="DA202" s="20">
        <f t="shared" ca="1" si="215"/>
        <v>-4.9231693707614384E-2</v>
      </c>
      <c r="DB202" s="20">
        <f t="shared" ca="1" si="216"/>
        <v>-2.4994552190019611E-2</v>
      </c>
      <c r="DC202" s="21">
        <f t="shared" ca="1" si="217"/>
        <v>2.4994552190019611E-2</v>
      </c>
      <c r="DD202" s="21">
        <f t="shared" ca="1" si="218"/>
        <v>4.9231693707614384E-2</v>
      </c>
      <c r="DE202" s="21">
        <f t="shared" ca="1" si="219"/>
        <v>9.5567405432427921E-2</v>
      </c>
      <c r="DF202" s="21">
        <f t="shared" ca="1" si="220"/>
        <v>0.18051621026125275</v>
      </c>
      <c r="DG202" s="21">
        <f t="shared" ca="1" si="221"/>
        <v>0.32492917847025493</v>
      </c>
      <c r="DH202" s="21">
        <f t="shared" ca="1" si="222"/>
        <v>0.54154863078375826</v>
      </c>
      <c r="DI202" s="21">
        <f t="shared" ca="1" si="223"/>
        <v>0.81232294617563738</v>
      </c>
      <c r="DK202" s="16" cm="1">
        <f t="array" aca="1" ref="DK202" ca="1">MAX(_xlfn._xlws.FILTER(CV202:DI202,CV202:DI202&lt;BT202))</f>
        <v>-2.4994552190019611E-2</v>
      </c>
      <c r="DL202" s="16" cm="1">
        <f t="array" aca="1" ref="DL202" ca="1">MIN(_xlfn._xlws.FILTER(CV202:DI202,CV202:DI202&gt;BT202))</f>
        <v>2.4994552190019611E-2</v>
      </c>
      <c r="DM202" s="2" cm="1">
        <f t="array" aca="1" ref="DM202" ca="1">_FV(EB202,"Fechamento anterior",TRUE)</f>
        <v>4.8499999999999996</v>
      </c>
      <c r="DN202" s="28">
        <f t="shared" ca="1" si="235"/>
        <v>0.458753898561016</v>
      </c>
      <c r="DO202" s="15">
        <f t="shared" ca="1" si="224"/>
        <v>4.728776421878405</v>
      </c>
      <c r="DP202" s="15">
        <f t="shared" ca="1" si="225"/>
        <v>4.9712235781215943</v>
      </c>
      <c r="DQ202" s="9"/>
      <c r="DR202" s="9"/>
      <c r="DS202" s="9"/>
      <c r="DT202" s="89">
        <v>4.9989104380039222E-2</v>
      </c>
      <c r="DU202" s="89">
        <f t="shared" ca="1" si="236"/>
        <v>4.9989104380039222E-2</v>
      </c>
      <c r="DV202" s="72">
        <f t="shared" ca="1" si="237"/>
        <v>0.46956360349562781</v>
      </c>
      <c r="DW202" s="37"/>
      <c r="DX202" s="35">
        <f t="shared" si="247"/>
        <v>0.17569504830814081</v>
      </c>
      <c r="DY202" s="56"/>
      <c r="DZ202" s="56"/>
      <c r="EB202" s="2" t="e" vm="204">
        <v>#VALUE!</v>
      </c>
      <c r="ED202" s="10" cm="1">
        <f t="array" aca="1" ref="ED202" ca="1">_FV(EB202,"Ações em circulação",TRUE)</f>
        <v>350000000</v>
      </c>
      <c r="EE202" s="18">
        <f>VLOOKUP(BO202,Fundamentus!A:U,5,FALSE)</f>
        <v>0.14299999999999999</v>
      </c>
      <c r="EF202" s="2">
        <f t="shared" ca="1" si="238"/>
        <v>11846153846.153847</v>
      </c>
      <c r="EG202" s="17">
        <v>201384615.38461542</v>
      </c>
      <c r="EH202" s="17">
        <f t="shared" ca="1" si="239"/>
        <v>201384615.38461542</v>
      </c>
      <c r="EJ202" s="16">
        <f t="shared" ca="1" si="226"/>
        <v>0</v>
      </c>
      <c r="EK202" s="32" t="str">
        <f>IF(VLOOKUP(BO202,Fundamentus!A:U,3,FALSE)&lt;15,"Bom",IF(VLOOKUP(BO202,Fundamentus!A:U,3,FALSE)&gt;15,"Ruim","n/a"))</f>
        <v>Bom</v>
      </c>
      <c r="EL202" s="28" t="str">
        <f>IF(VLOOKUP(BO202,Fundamentus!A:U,4,FALSE)&lt;1,"Baixo",IF(VLOOKUP(BO202,Fundamentus!A:U,4,FALSE)&lt;1.5,"Moderado",IF(VLOOKUP(BO202,Fundamentus!A:U,4,FALSE)&gt;1.5,"Alto","n/a")))</f>
        <v>Baixo</v>
      </c>
      <c r="EM202" s="17" t="str">
        <f>IF(VLOOKUP(BO202,Fundamentus!A:U,8,FALSE)&lt;0,"Risco elevado",IF(VLOOKUP(BO202,Fundamentus!A:U,8,FALSE)&lt;1,"Saudável",IF(VLOOKUP(BO202,Fundamentus!A:U,8,FALSE)&lt;3,"Estável",IF(VLOOKUP(BO202,Fundamentus!A:U,8,FALSE)&gt;3,"Alerta","n/a"))))</f>
        <v>Saudável</v>
      </c>
      <c r="EN202" s="28" t="str">
        <f t="shared" si="240"/>
        <v>Ruim</v>
      </c>
      <c r="EO202" s="17" t="str">
        <f>IF(VLOOKUP(BO202,Fundamentus!A:U,12,FALSE)&lt;2,"Subvalorizada",IF(VLOOKUP(BO202,Fundamentus!A:U,12,FALSE)&lt;6,"Muita barata",IF(VLOOKUP(BO202,Fundamentus!A:U,12,FALSE)&lt;6,"Barata",IF(VLOOKUP(BO202,Fundamentus!A:U,12,FALSE)&lt;8,"Atrativa",IF(VLOOKUP(BO202,Fundamentus!A:U,12,FALSE)&gt;8,"Supervalorizada","n/a")))))</f>
        <v>Atrativa</v>
      </c>
      <c r="EQ202" s="17" t="str">
        <f>IF(VLOOKUP(BO202,Fundamentus!A:U,17,FALSE)&lt;0.1,"Fraco retorno",IF(VLOOKUP(BO202,Fundamentus!A:U,17,FALSE)&gt;0.1,"Bom retorno","n/a"))</f>
        <v>Fraco retorno</v>
      </c>
      <c r="ER202" s="17" t="str">
        <f>IF(VLOOKUP(BO202,Fundamentus!A:U,16,FALSE)&lt;0.1,"Ineficiente",IF(VLOOKUP(BO202,Fundamentus!A:U,16,FALSE)&gt;0.1,"Eficiente","n/a"))</f>
        <v>Ineficiente</v>
      </c>
      <c r="ES202" s="33" t="str">
        <f>IF(VLOOKUP(BO202,Fundamentus!A:U,16,FALSE)&lt;0.1,"Oper. Ineficiente",IF(VLOOKUP(BO202,Fundamentus!A:U,16,FALSE)&gt;0.1,"Oper.Eficiente","n/a"))</f>
        <v>Oper. Ineficiente</v>
      </c>
      <c r="ET202" s="34">
        <f>VLOOKUP(BO202,Fundamentus!A:U,14,FALSE)</f>
        <v>1.7000000000000001E-2</v>
      </c>
      <c r="EU202" s="17" t="str">
        <f>IF(VLOOKUP(BO202,Fundamentus!A:U,21,FALSE)&lt;0,"Negativo",IF(VLOOKUP(BO202,Fundamentus!A:U,21,FALSE)&lt;0.05,"Fraco",IF(VLOOKUP(BO202,Fundamentus!A:U,21,FALSE)&lt;0.1,"Bom",IF(VLOOKUP(BO202,Fundamentus!A:U,21,FALSE)&gt;0.1,"Muito bom","n/a"))))</f>
        <v>Muito bom</v>
      </c>
      <c r="EW202" s="29" t="str">
        <f>IF(VLOOKUP(BO202,Fundamentus!A:U,15,FALSE)&gt;1,"Bom",IF(VLOOKUP(BO202,Fundamentus!A:U,15,FALSE)&lt;1,"Ruim","n/a"))</f>
        <v>Bom</v>
      </c>
      <c r="EX202" s="17" t="str">
        <f>IF(VLOOKUP(BO202,Fundamentus!A:U,20,FALSE)&lt;0.5,"Baixa",IF(VLOOKUP(BO202,Fundamentus!A:U,20,FALSE)&lt;1,"Moderada",IF(VLOOKUP(BO202,Fundamentus!A:U,20,FALSE)&lt;2,"Alerta",IF(VLOOKUP(BO202,Fundamentus!A:U,20,FALSE)&gt;2,"Alta","n/a"))))</f>
        <v>Alerta</v>
      </c>
      <c r="EY202" s="10"/>
    </row>
    <row r="203" spans="1:155" s="2" customFormat="1" ht="11.25"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5">
        <v>8</v>
      </c>
      <c r="BC203" s="52">
        <v>8.1300000000000008</v>
      </c>
      <c r="BD203" s="52">
        <v>8.0299999999999994</v>
      </c>
      <c r="BE203" s="52">
        <v>7.95</v>
      </c>
      <c r="BF203" s="52">
        <v>7.66</v>
      </c>
      <c r="BG203" s="67">
        <v>7.75</v>
      </c>
      <c r="BH203" s="52">
        <v>7.63</v>
      </c>
      <c r="BI203" s="52">
        <v>7.15</v>
      </c>
      <c r="BJ203" s="52">
        <v>7.35</v>
      </c>
      <c r="BK203" s="52">
        <v>7.12</v>
      </c>
      <c r="BL203" s="52">
        <v>6.75</v>
      </c>
      <c r="BM203" s="52">
        <v>6.22</v>
      </c>
      <c r="BN203" s="52" cm="1">
        <f t="array" aca="1" ref="BN203" ca="1">_FV(EB203,"Preço")</f>
        <v>6.22</v>
      </c>
      <c r="BO203" s="69" t="s">
        <v>199</v>
      </c>
      <c r="BP203" s="36" cm="1">
        <f t="array" aca="1" ref="BP203" ca="1">_FV(EB203,"Média de volume",TRUE)</f>
        <v>455580</v>
      </c>
      <c r="BQ203" s="36">
        <v>9000</v>
      </c>
      <c r="BR203" s="36" cm="1">
        <f t="array" aca="1" ref="BR203" ca="1">_FV(EB203,"Volume")</f>
        <v>9000</v>
      </c>
      <c r="BS203" s="24" cm="1">
        <f t="array" aca="1" ref="BS203" ca="1">_FV(EB203,"Beta")</f>
        <v>1.2166999999999999</v>
      </c>
      <c r="BT203" s="71" cm="1">
        <f t="array" aca="1" ref="BT203" ca="1">_FV(EB203,"Variação (%)",TRUE)</f>
        <v>-1.2698000000000001E-2</v>
      </c>
      <c r="BV203" s="17" cm="1">
        <f t="array" aca="1" ref="BV203" ca="1">_FV(EB203,"Baixo")</f>
        <v>6.19</v>
      </c>
      <c r="BW203" s="17" cm="1">
        <f t="array" aca="1" ref="BW203" ca="1">_FV(EB203,"Alto")</f>
        <v>6.41</v>
      </c>
      <c r="BX203" s="24"/>
      <c r="BY203" s="63">
        <f ca="1">SQRT(22.5*(BN203/VLOOKUP(BO203,Fundamentus!A:U,3,FALSE))*(BN203/VLOOKUP(BO203,Fundamentus!A:U,4,FALSE)))</f>
        <v>10.322792455001771</v>
      </c>
      <c r="CA203" s="62">
        <f t="shared" ca="1" si="241"/>
        <v>0</v>
      </c>
      <c r="CB203" s="8"/>
      <c r="CC203" s="61">
        <f t="shared" si="242"/>
        <v>6.22</v>
      </c>
      <c r="CD203" s="61">
        <f t="shared" si="243"/>
        <v>12.71</v>
      </c>
      <c r="CE203" s="61">
        <f t="shared" si="244"/>
        <v>9.569230769230769</v>
      </c>
      <c r="CF203" s="14"/>
      <c r="CG203" s="35">
        <f t="shared" si="227"/>
        <v>5.0659508210882258</v>
      </c>
      <c r="CH203" s="15">
        <f t="shared" si="245"/>
        <v>5.9200000000000728</v>
      </c>
      <c r="CI203" s="35">
        <f t="shared" si="228"/>
        <v>6.7740491789119197</v>
      </c>
      <c r="CK203" s="14"/>
      <c r="CL203" s="17">
        <f t="shared" si="229"/>
        <v>-2.080000000000001</v>
      </c>
      <c r="CM203" s="17">
        <f t="shared" si="230"/>
        <v>2.0699999999999994</v>
      </c>
      <c r="CN203" s="17">
        <f t="shared" si="231"/>
        <v>4.41</v>
      </c>
      <c r="CO203" s="38">
        <f t="shared" si="246"/>
        <v>8.56</v>
      </c>
      <c r="CP203" s="17">
        <f t="shared" si="232"/>
        <v>10.900000000000002</v>
      </c>
      <c r="CQ203" s="17">
        <f t="shared" si="233"/>
        <v>15.05</v>
      </c>
      <c r="CR203" s="17">
        <f t="shared" si="234"/>
        <v>17.39</v>
      </c>
      <c r="CS203" s="2" cm="1">
        <f t="array" aca="1" ref="CS203" ca="1">MAX(_xlfn._xlws.FILTER(CL203:CR203,CL203:CR203&lt;BN203))</f>
        <v>4.41</v>
      </c>
      <c r="CT203" s="2" cm="1">
        <f t="array" aca="1" ref="CT203" ca="1">MIN(_xlfn._xlws.FILTER($CL203:$CR203,$CL203:$CR203&gt;BN203))</f>
        <v>8.56</v>
      </c>
      <c r="CU203" s="16">
        <f t="shared" ca="1" si="209"/>
        <v>0.94104308390022684</v>
      </c>
      <c r="CV203" s="20">
        <f t="shared" ca="1" si="210"/>
        <v>-0.47052154195011342</v>
      </c>
      <c r="CW203" s="20">
        <f t="shared" ca="1" si="211"/>
        <v>-0.3136810279667423</v>
      </c>
      <c r="CX203" s="20">
        <f t="shared" ca="1" si="212"/>
        <v>-0.18820861678004536</v>
      </c>
      <c r="CY203" s="20">
        <f t="shared" ca="1" si="213"/>
        <v>-0.10456034265558076</v>
      </c>
      <c r="CZ203" s="20">
        <f t="shared" ca="1" si="214"/>
        <v>-5.5355475523542752E-2</v>
      </c>
      <c r="DA203" s="20">
        <f t="shared" ca="1" si="215"/>
        <v>-2.8516457087885663E-2</v>
      </c>
      <c r="DB203" s="20">
        <f t="shared" ca="1" si="216"/>
        <v>-1.4477585906157336E-2</v>
      </c>
      <c r="DC203" s="21">
        <f t="shared" ca="1" si="217"/>
        <v>1.4477585906157336E-2</v>
      </c>
      <c r="DD203" s="21">
        <f t="shared" ca="1" si="218"/>
        <v>2.8516457087885663E-2</v>
      </c>
      <c r="DE203" s="21">
        <f t="shared" ca="1" si="219"/>
        <v>5.5355475523542752E-2</v>
      </c>
      <c r="DF203" s="21">
        <f t="shared" ca="1" si="220"/>
        <v>0.10456034265558076</v>
      </c>
      <c r="DG203" s="21">
        <f t="shared" ca="1" si="221"/>
        <v>0.18820861678004536</v>
      </c>
      <c r="DH203" s="21">
        <f t="shared" ca="1" si="222"/>
        <v>0.3136810279667423</v>
      </c>
      <c r="DI203" s="21">
        <f t="shared" ca="1" si="223"/>
        <v>0.47052154195011342</v>
      </c>
      <c r="DK203" s="16" cm="1">
        <f t="array" aca="1" ref="DK203" ca="1">MAX(_xlfn._xlws.FILTER(CV203:DI203,CV203:DI203&lt;BT203))</f>
        <v>-1.4477585906157336E-2</v>
      </c>
      <c r="DL203" s="16" cm="1">
        <f t="array" aca="1" ref="DL203" ca="1">MIN(_xlfn._xlws.FILTER(CV203:DI203,CV203:DI203&gt;BT203))</f>
        <v>1.4477585906157336E-2</v>
      </c>
      <c r="DM203" s="2" cm="1">
        <f t="array" aca="1" ref="DM203" ca="1">_FV(EB203,"Fechamento anterior",TRUE)</f>
        <v>6.3</v>
      </c>
      <c r="DN203" s="28">
        <f t="shared" ca="1" si="235"/>
        <v>6.1445783132528173E-2</v>
      </c>
      <c r="DO203" s="15">
        <f t="shared" ca="1" si="224"/>
        <v>6.2087912087912089</v>
      </c>
      <c r="DP203" s="15">
        <f t="shared" ca="1" si="225"/>
        <v>6.3912087912087907</v>
      </c>
      <c r="DQ203" s="9"/>
      <c r="DR203" s="9"/>
      <c r="DS203" s="9"/>
      <c r="DT203" s="89">
        <v>2.8955171812314672E-2</v>
      </c>
      <c r="DU203" s="89">
        <f t="shared" ca="1" si="236"/>
        <v>2.8955171812314672E-2</v>
      </c>
      <c r="DV203" s="72">
        <f t="shared" ca="1" si="237"/>
        <v>0.35126782790443067</v>
      </c>
      <c r="DW203" s="37"/>
      <c r="DX203" s="35">
        <f t="shared" si="247"/>
        <v>0.42702458945592348</v>
      </c>
      <c r="DY203" s="56"/>
      <c r="DZ203" s="56"/>
      <c r="EB203" s="2" t="e" vm="205">
        <v>#VALUE!</v>
      </c>
      <c r="ED203" s="10" cm="1">
        <f t="array" aca="1" ref="ED203" ca="1">_FV(EB203,"Ações em circulação",TRUE)</f>
        <v>139297900</v>
      </c>
      <c r="EE203" s="18">
        <f>VLOOKUP(BO203,Fundamentus!A:U,5,FALSE)</f>
        <v>0.56599999999999995</v>
      </c>
      <c r="EF203" s="2">
        <f t="shared" ca="1" si="238"/>
        <v>1530800243.8162546</v>
      </c>
      <c r="EG203" s="17">
        <v>74243811.825088352</v>
      </c>
      <c r="EH203" s="17">
        <f t="shared" ca="1" si="239"/>
        <v>74243811.825088352</v>
      </c>
      <c r="EJ203" s="16">
        <f t="shared" ca="1" si="226"/>
        <v>0</v>
      </c>
      <c r="EK203" s="32" t="str">
        <f>IF(VLOOKUP(BO203,Fundamentus!A:U,3,FALSE)&lt;15,"Bom",IF(VLOOKUP(BO203,Fundamentus!A:U,3,FALSE)&gt;15,"Ruim","n/a"))</f>
        <v>Bom</v>
      </c>
      <c r="EL203" s="28" t="str">
        <f>IF(VLOOKUP(BO203,Fundamentus!A:U,4,FALSE)&lt;1,"Baixo",IF(VLOOKUP(BO203,Fundamentus!A:U,4,FALSE)&lt;1.5,"Moderado",IF(VLOOKUP(BO203,Fundamentus!A:U,4,FALSE)&gt;1.5,"Alto","n/a")))</f>
        <v>Baixo</v>
      </c>
      <c r="EM203" s="17" t="str">
        <f>IF(VLOOKUP(BO203,Fundamentus!A:U,8,FALSE)&lt;0,"Risco elevado",IF(VLOOKUP(BO203,Fundamentus!A:U,8,FALSE)&lt;1,"Saudável",IF(VLOOKUP(BO203,Fundamentus!A:U,8,FALSE)&lt;3,"Estável",IF(VLOOKUP(BO203,Fundamentus!A:U,8,FALSE)&gt;3,"Alerta","n/a"))))</f>
        <v>Estável</v>
      </c>
      <c r="EN203" s="28" t="str">
        <f t="shared" si="240"/>
        <v>Ruim</v>
      </c>
      <c r="EO203" s="17" t="str">
        <f>IF(VLOOKUP(BO203,Fundamentus!A:U,12,FALSE)&lt;2,"Subvalorizada",IF(VLOOKUP(BO203,Fundamentus!A:U,12,FALSE)&lt;6,"Muita barata",IF(VLOOKUP(BO203,Fundamentus!A:U,12,FALSE)&lt;6,"Barata",IF(VLOOKUP(BO203,Fundamentus!A:U,12,FALSE)&lt;8,"Atrativa",IF(VLOOKUP(BO203,Fundamentus!A:U,12,FALSE)&gt;8,"Supervalorizada","n/a")))))</f>
        <v>Supervalorizada</v>
      </c>
      <c r="EQ203" s="17" t="str">
        <f>IF(VLOOKUP(BO203,Fundamentus!A:U,17,FALSE)&lt;0.1,"Fraco retorno",IF(VLOOKUP(BO203,Fundamentus!A:U,17,FALSE)&gt;0.1,"Bom retorno","n/a"))</f>
        <v>Fraco retorno</v>
      </c>
      <c r="ER203" s="17" t="str">
        <f>IF(VLOOKUP(BO203,Fundamentus!A:U,16,FALSE)&lt;0.1,"Ineficiente",IF(VLOOKUP(BO203,Fundamentus!A:U,16,FALSE)&gt;0.1,"Eficiente","n/a"))</f>
        <v>Ineficiente</v>
      </c>
      <c r="ES203" s="33" t="str">
        <f>IF(VLOOKUP(BO203,Fundamentus!A:U,16,FALSE)&lt;0.1,"Oper. Ineficiente",IF(VLOOKUP(BO203,Fundamentus!A:U,16,FALSE)&gt;0.1,"Oper.Eficiente","n/a"))</f>
        <v>Oper. Ineficiente</v>
      </c>
      <c r="ET203" s="34">
        <f>VLOOKUP(BO203,Fundamentus!A:U,14,FALSE)</f>
        <v>4.8500000000000001E-2</v>
      </c>
      <c r="EU203" s="17" t="str">
        <f>IF(VLOOKUP(BO203,Fundamentus!A:U,21,FALSE)&lt;0,"Negativo",IF(VLOOKUP(BO203,Fundamentus!A:U,21,FALSE)&lt;0.05,"Fraco",IF(VLOOKUP(BO203,Fundamentus!A:U,21,FALSE)&lt;0.1,"Bom",IF(VLOOKUP(BO203,Fundamentus!A:U,21,FALSE)&gt;0.1,"Muito bom","n/a"))))</f>
        <v>Negativo</v>
      </c>
      <c r="EW203" s="29" t="str">
        <f>IF(VLOOKUP(BO203,Fundamentus!A:U,15,FALSE)&gt;1,"Bom",IF(VLOOKUP(BO203,Fundamentus!A:U,15,FALSE)&lt;1,"Ruim","n/a"))</f>
        <v>Bom</v>
      </c>
      <c r="EX203" s="17" t="str">
        <f>IF(VLOOKUP(BO203,Fundamentus!A:U,20,FALSE)&lt;0.5,"Baixa",IF(VLOOKUP(BO203,Fundamentus!A:U,20,FALSE)&lt;1,"Moderada",IF(VLOOKUP(BO203,Fundamentus!A:U,20,FALSE)&lt;2,"Alerta",IF(VLOOKUP(BO203,Fundamentus!A:U,20,FALSE)&gt;2,"Alta","n/a"))))</f>
        <v>Moderada</v>
      </c>
      <c r="EY203" s="10"/>
    </row>
    <row r="204" spans="1:155" s="5" customFormat="1" ht="11.25"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5">
        <v>11.43</v>
      </c>
      <c r="BC204" s="52">
        <v>10.98</v>
      </c>
      <c r="BD204" s="52">
        <v>11.04</v>
      </c>
      <c r="BE204" s="52">
        <v>12.29</v>
      </c>
      <c r="BF204" s="52">
        <v>11.47</v>
      </c>
      <c r="BG204" s="67">
        <v>11.8</v>
      </c>
      <c r="BH204" s="52">
        <v>11.6</v>
      </c>
      <c r="BI204" s="52">
        <v>11.79</v>
      </c>
      <c r="BJ204" s="52">
        <v>12.65</v>
      </c>
      <c r="BK204" s="52">
        <v>12</v>
      </c>
      <c r="BL204" s="52">
        <v>11.92</v>
      </c>
      <c r="BM204" s="52">
        <v>12.2</v>
      </c>
      <c r="BN204" s="52" cm="1">
        <f t="array" aca="1" ref="BN204" ca="1">_FV(EB204,"Preço")</f>
        <v>12.2</v>
      </c>
      <c r="BO204" s="69" t="s">
        <v>200</v>
      </c>
      <c r="BP204" s="36" cm="1">
        <f t="array" aca="1" ref="BP204" ca="1">_FV(EB204,"Média de volume",TRUE)</f>
        <v>1342050</v>
      </c>
      <c r="BQ204" s="36">
        <v>626100</v>
      </c>
      <c r="BR204" s="36" cm="1">
        <f t="array" aca="1" ref="BR204" ca="1">_FV(EB204,"Volume")</f>
        <v>626100</v>
      </c>
      <c r="BS204" s="24" cm="1">
        <f t="array" aca="1" ref="BS204" ca="1">_FV(EB204,"Beta")</f>
        <v>2.1787999999999998</v>
      </c>
      <c r="BT204" s="71" cm="1">
        <f t="array" aca="1" ref="BT204" ca="1">_FV(EB204,"Variação (%)",TRUE)</f>
        <v>4.1149999999999997E-3</v>
      </c>
      <c r="BV204" s="17" cm="1">
        <f t="array" aca="1" ref="BV204" ca="1">_FV(EB204,"Baixo")</f>
        <v>12.1</v>
      </c>
      <c r="BW204" s="17" cm="1">
        <f t="array" aca="1" ref="BW204" ca="1">_FV(EB204,"Alto")</f>
        <v>12.29</v>
      </c>
      <c r="BX204" s="24"/>
      <c r="BY204" s="63">
        <f ca="1">SQRT(22.5*(BN204/VLOOKUP(BO204,Fundamentus!A:U,3,FALSE))*(BN204/VLOOKUP(BO204,Fundamentus!A:U,4,FALSE)))</f>
        <v>25.031412685160578</v>
      </c>
      <c r="CA204" s="62">
        <f t="shared" ca="1" si="241"/>
        <v>0</v>
      </c>
      <c r="CB204" s="8"/>
      <c r="CC204" s="61">
        <f t="shared" si="242"/>
        <v>9.84</v>
      </c>
      <c r="CD204" s="61">
        <f t="shared" si="243"/>
        <v>18.170000000000002</v>
      </c>
      <c r="CE204" s="61">
        <f t="shared" si="244"/>
        <v>12.648153846153848</v>
      </c>
      <c r="CF204" s="14"/>
      <c r="CG204" s="35">
        <f t="shared" si="227"/>
        <v>11.268718267997317</v>
      </c>
      <c r="CH204" s="15">
        <f t="shared" si="245"/>
        <v>11.835000000000036</v>
      </c>
      <c r="CI204" s="35">
        <f t="shared" si="228"/>
        <v>12.401281732002756</v>
      </c>
      <c r="CK204" s="14"/>
      <c r="CL204" s="17">
        <f t="shared" si="229"/>
        <v>0.11999999999999744</v>
      </c>
      <c r="CM204" s="17">
        <f t="shared" si="230"/>
        <v>4.9799999999999986</v>
      </c>
      <c r="CN204" s="17">
        <f t="shared" si="231"/>
        <v>8.4499999999999993</v>
      </c>
      <c r="CO204" s="38">
        <f t="shared" si="246"/>
        <v>13.31</v>
      </c>
      <c r="CP204" s="17">
        <f t="shared" si="232"/>
        <v>16.78</v>
      </c>
      <c r="CQ204" s="17">
        <f t="shared" si="233"/>
        <v>21.64</v>
      </c>
      <c r="CR204" s="17">
        <f t="shared" si="234"/>
        <v>25.110000000000003</v>
      </c>
      <c r="CS204" s="2" cm="1">
        <f t="array" aca="1" ref="CS204" ca="1">MAX(_xlfn._xlws.FILTER(CL204:CR204,CL204:CR204&lt;BN204))</f>
        <v>8.4499999999999993</v>
      </c>
      <c r="CT204" s="2" cm="1">
        <f t="array" aca="1" ref="CT204" ca="1">MIN(_xlfn._xlws.FILTER($CL204:$CR204,$CL204:$CR204&gt;BN204))</f>
        <v>13.31</v>
      </c>
      <c r="CU204" s="16">
        <f t="shared" ca="1" si="209"/>
        <v>0.57514792899408307</v>
      </c>
      <c r="CV204" s="20">
        <f t="shared" ca="1" si="210"/>
        <v>-0.28757396449704153</v>
      </c>
      <c r="CW204" s="20">
        <f t="shared" ca="1" si="211"/>
        <v>-0.19171597633136103</v>
      </c>
      <c r="CX204" s="20">
        <f t="shared" ca="1" si="212"/>
        <v>-0.11502958579881661</v>
      </c>
      <c r="CY204" s="20">
        <f t="shared" ca="1" si="213"/>
        <v>-6.3905325443787006E-2</v>
      </c>
      <c r="CZ204" s="20">
        <f t="shared" ca="1" si="214"/>
        <v>-3.3832231117299001E-2</v>
      </c>
      <c r="DA204" s="20">
        <f t="shared" ca="1" si="215"/>
        <v>-1.7428725121032822E-2</v>
      </c>
      <c r="DB204" s="20">
        <f t="shared" ca="1" si="216"/>
        <v>-8.8484296768320467E-3</v>
      </c>
      <c r="DC204" s="21">
        <f t="shared" ca="1" si="217"/>
        <v>8.8484296768320467E-3</v>
      </c>
      <c r="DD204" s="21">
        <f t="shared" ca="1" si="218"/>
        <v>1.7428725121032822E-2</v>
      </c>
      <c r="DE204" s="21">
        <f t="shared" ca="1" si="219"/>
        <v>3.3832231117299001E-2</v>
      </c>
      <c r="DF204" s="21">
        <f t="shared" ca="1" si="220"/>
        <v>6.3905325443787006E-2</v>
      </c>
      <c r="DG204" s="21">
        <f t="shared" ca="1" si="221"/>
        <v>0.11502958579881661</v>
      </c>
      <c r="DH204" s="21">
        <f t="shared" ca="1" si="222"/>
        <v>0.19171597633136103</v>
      </c>
      <c r="DI204" s="21">
        <f t="shared" ca="1" si="223"/>
        <v>0.28757396449704153</v>
      </c>
      <c r="DK204" s="16" cm="1">
        <f t="array" aca="1" ref="DK204" ca="1">MAX(_xlfn._xlws.FILTER(CV204:DI204,CV204:DI204&lt;BT204))</f>
        <v>-8.8484296768320467E-3</v>
      </c>
      <c r="DL204" s="16" cm="1">
        <f t="array" aca="1" ref="DL204" ca="1">MIN(_xlfn._xlws.FILTER(CV204:DI204,CV204:DI204&gt;BT204))</f>
        <v>8.8484296768320467E-3</v>
      </c>
      <c r="DM204" s="2" cm="1">
        <f t="array" aca="1" ref="DM204" ca="1">_FV(EB204,"Fechamento anterior",TRUE)</f>
        <v>12.15</v>
      </c>
      <c r="DN204" s="28">
        <f t="shared" ca="1" si="235"/>
        <v>0.732539924469503</v>
      </c>
      <c r="DO204" s="15">
        <f t="shared" ca="1" si="224"/>
        <v>12.042491579426491</v>
      </c>
      <c r="DP204" s="15">
        <f t="shared" ca="1" si="225"/>
        <v>12.25750842057351</v>
      </c>
      <c r="DQ204" s="9"/>
      <c r="DR204" s="9"/>
      <c r="DS204" s="9"/>
      <c r="DT204" s="89">
        <v>1.7696859353664093E-2</v>
      </c>
      <c r="DU204" s="89">
        <f t="shared" ca="1" si="236"/>
        <v>1.7696859353664093E-2</v>
      </c>
      <c r="DV204" s="72">
        <f t="shared" ca="1" si="237"/>
        <v>0.64455549132602041</v>
      </c>
      <c r="DW204" s="37"/>
      <c r="DX204" s="35">
        <f t="shared" si="247"/>
        <v>0.28314086600136001</v>
      </c>
      <c r="DY204" s="56"/>
      <c r="DZ204" s="56"/>
      <c r="EB204" s="5" t="e" vm="206">
        <v>#VALUE!</v>
      </c>
      <c r="ED204" s="10" cm="1">
        <f t="array" aca="1" ref="ED204" ca="1">_FV(EB204,"Ações em circulação",TRUE)</f>
        <v>244013000</v>
      </c>
      <c r="EE204" s="18">
        <f>VLOOKUP(BO204,Fundamentus!A:U,5,FALSE)</f>
        <v>0.41099999999999998</v>
      </c>
      <c r="EF204" s="2">
        <f t="shared" ca="1" si="238"/>
        <v>7243208272.5060835</v>
      </c>
      <c r="EG204" s="17">
        <v>567867528.56447697</v>
      </c>
      <c r="EH204" s="17">
        <f t="shared" ca="1" si="239"/>
        <v>567867528.56447697</v>
      </c>
      <c r="EI204" s="2"/>
      <c r="EJ204" s="16">
        <f t="shared" ca="1" si="226"/>
        <v>0</v>
      </c>
      <c r="EK204" s="32" t="str">
        <f>IF(VLOOKUP(BO204,Fundamentus!A:U,3,FALSE)&lt;15,"Bom",IF(VLOOKUP(BO204,Fundamentus!A:U,3,FALSE)&gt;15,"Ruim","n/a"))</f>
        <v>Bom</v>
      </c>
      <c r="EL204" s="28" t="str">
        <f>IF(VLOOKUP(BO204,Fundamentus!A:U,4,FALSE)&lt;1,"Baixo",IF(VLOOKUP(BO204,Fundamentus!A:U,4,FALSE)&lt;1.5,"Moderado",IF(VLOOKUP(BO204,Fundamentus!A:U,4,FALSE)&gt;1.5,"Alto","n/a")))</f>
        <v>Moderado</v>
      </c>
      <c r="EM204" s="17" t="str">
        <f>IF(VLOOKUP(BO204,Fundamentus!A:U,8,FALSE)&lt;0,"Risco elevado",IF(VLOOKUP(BO204,Fundamentus!A:U,8,FALSE)&lt;1,"Saudável",IF(VLOOKUP(BO204,Fundamentus!A:U,8,FALSE)&lt;3,"Estável",IF(VLOOKUP(BO204,Fundamentus!A:U,8,FALSE)&gt;3,"Alerta","n/a"))))</f>
        <v>Estável</v>
      </c>
      <c r="EN204" s="28" t="str">
        <f t="shared" si="240"/>
        <v>Ruim</v>
      </c>
      <c r="EO204" s="17" t="str">
        <f>IF(VLOOKUP(BO204,Fundamentus!A:U,12,FALSE)&lt;2,"Subvalorizada",IF(VLOOKUP(BO204,Fundamentus!A:U,12,FALSE)&lt;6,"Muita barata",IF(VLOOKUP(BO204,Fundamentus!A:U,12,FALSE)&lt;6,"Barata",IF(VLOOKUP(BO204,Fundamentus!A:U,12,FALSE)&lt;8,"Atrativa",IF(VLOOKUP(BO204,Fundamentus!A:U,12,FALSE)&gt;8,"Supervalorizada","n/a")))))</f>
        <v>Muita barata</v>
      </c>
      <c r="EP204" s="2"/>
      <c r="EQ204" s="17" t="str">
        <f>IF(VLOOKUP(BO204,Fundamentus!A:U,17,FALSE)&lt;0.1,"Fraco retorno",IF(VLOOKUP(BO204,Fundamentus!A:U,17,FALSE)&gt;0.1,"Bom retorno","n/a"))</f>
        <v>Bom retorno</v>
      </c>
      <c r="ER204" s="17" t="str">
        <f>IF(VLOOKUP(BO204,Fundamentus!A:U,16,FALSE)&lt;0.1,"Ineficiente",IF(VLOOKUP(BO204,Fundamentus!A:U,16,FALSE)&gt;0.1,"Eficiente","n/a"))</f>
        <v>Ineficiente</v>
      </c>
      <c r="ES204" s="33" t="str">
        <f>IF(VLOOKUP(BO204,Fundamentus!A:U,16,FALSE)&lt;0.1,"Oper. Ineficiente",IF(VLOOKUP(BO204,Fundamentus!A:U,16,FALSE)&gt;0.1,"Oper.Eficiente","n/a"))</f>
        <v>Oper. Ineficiente</v>
      </c>
      <c r="ET204" s="34">
        <f>VLOOKUP(BO204,Fundamentus!A:U,14,FALSE)</f>
        <v>7.8399999999999997E-2</v>
      </c>
      <c r="EU204" s="17" t="str">
        <f>IF(VLOOKUP(BO204,Fundamentus!A:U,21,FALSE)&lt;0,"Negativo",IF(VLOOKUP(BO204,Fundamentus!A:U,21,FALSE)&lt;0.05,"Fraco",IF(VLOOKUP(BO204,Fundamentus!A:U,21,FALSE)&lt;0.1,"Bom",IF(VLOOKUP(BO204,Fundamentus!A:U,21,FALSE)&gt;0.1,"Muito bom","n/a"))))</f>
        <v>Muito bom</v>
      </c>
      <c r="EW204" s="29" t="str">
        <f>IF(VLOOKUP(BO204,Fundamentus!A:U,15,FALSE)&gt;1,"Bom",IF(VLOOKUP(BO204,Fundamentus!A:U,15,FALSE)&lt;1,"Ruim","n/a"))</f>
        <v>Bom</v>
      </c>
      <c r="EX204" s="17" t="str">
        <f>IF(VLOOKUP(BO204,Fundamentus!A:U,20,FALSE)&lt;0.5,"Baixa",IF(VLOOKUP(BO204,Fundamentus!A:U,20,FALSE)&lt;1,"Moderada",IF(VLOOKUP(BO204,Fundamentus!A:U,20,FALSE)&lt;2,"Alerta",IF(VLOOKUP(BO204,Fundamentus!A:U,20,FALSE)&gt;2,"Alta","n/a"))))</f>
        <v>Moderada</v>
      </c>
      <c r="EY204" s="10"/>
    </row>
    <row r="205" spans="1:155" s="2" customFormat="1" ht="11.25"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5">
        <v>5.76</v>
      </c>
      <c r="BC205" s="52">
        <v>5.99</v>
      </c>
      <c r="BD205" s="52">
        <v>6.21</v>
      </c>
      <c r="BE205" s="52">
        <v>6.39</v>
      </c>
      <c r="BF205" s="52">
        <v>6.55</v>
      </c>
      <c r="BG205" s="67">
        <v>6.87</v>
      </c>
      <c r="BH205" s="52">
        <v>6.8</v>
      </c>
      <c r="BI205" s="52">
        <v>7.13</v>
      </c>
      <c r="BJ205" s="52">
        <v>6.6</v>
      </c>
      <c r="BK205" s="52">
        <v>6.36</v>
      </c>
      <c r="BL205" s="52">
        <v>6.36</v>
      </c>
      <c r="BM205" s="52">
        <v>6.21</v>
      </c>
      <c r="BN205" s="52" cm="1">
        <f t="array" aca="1" ref="BN205" ca="1">_FV(EB205,"Preço")</f>
        <v>6.21</v>
      </c>
      <c r="BO205" s="70" t="s">
        <v>201</v>
      </c>
      <c r="BP205" s="36" cm="1">
        <f t="array" aca="1" ref="BP205" ca="1">_FV(EB205,"Média de volume",TRUE)</f>
        <v>63700</v>
      </c>
      <c r="BQ205" s="36">
        <v>41500</v>
      </c>
      <c r="BR205" s="36" cm="1">
        <f t="array" aca="1" ref="BR205" ca="1">_FV(EB205,"Volume")</f>
        <v>41500</v>
      </c>
      <c r="BS205" s="24" cm="1">
        <f t="array" aca="1" ref="BS205" ca="1">_FV(EB205,"Beta")</f>
        <v>0.8921</v>
      </c>
      <c r="BT205" s="71" cm="1">
        <f t="array" aca="1" ref="BT205" ca="1">_FV(EB205,"Variação (%)",TRUE)</f>
        <v>-2.0504999999999999E-2</v>
      </c>
      <c r="BV205" s="17" cm="1">
        <f t="array" aca="1" ref="BV205" ca="1">_FV(EB205,"Baixo")</f>
        <v>6.21</v>
      </c>
      <c r="BW205" s="17" cm="1">
        <f t="array" aca="1" ref="BW205" ca="1">_FV(EB205,"Alto")</f>
        <v>6.39</v>
      </c>
      <c r="BX205" s="24"/>
      <c r="BY205" s="63">
        <f ca="1">SQRT(22.5*(BN205/VLOOKUP(BO205,Fundamentus!A:U,3,FALSE))*(BN205/VLOOKUP(BO205,Fundamentus!A:U,4,FALSE)))</f>
        <v>12.122988266603045</v>
      </c>
      <c r="CA205" s="62">
        <f t="shared" ca="1" si="241"/>
        <v>0</v>
      </c>
      <c r="CB205" s="8"/>
      <c r="CC205" s="61">
        <f t="shared" si="242"/>
        <v>3.95</v>
      </c>
      <c r="CD205" s="61">
        <f t="shared" si="243"/>
        <v>7.13</v>
      </c>
      <c r="CE205" s="61">
        <f t="shared" si="244"/>
        <v>5.5378461538461536</v>
      </c>
      <c r="CF205" s="14"/>
      <c r="CG205" s="35">
        <f t="shared" si="227"/>
        <v>5.8105809598471883</v>
      </c>
      <c r="CH205" s="15">
        <f t="shared" si="245"/>
        <v>6.0900000000001455</v>
      </c>
      <c r="CI205" s="35">
        <f t="shared" si="228"/>
        <v>6.3694190401531028</v>
      </c>
      <c r="CK205" s="14"/>
      <c r="CL205" s="17">
        <f t="shared" si="229"/>
        <v>1.3166666666666673</v>
      </c>
      <c r="CM205" s="17">
        <f t="shared" si="230"/>
        <v>2.6333333333333337</v>
      </c>
      <c r="CN205" s="17">
        <f t="shared" si="231"/>
        <v>4.496666666666667</v>
      </c>
      <c r="CO205" s="38">
        <f t="shared" si="246"/>
        <v>5.8133333333333335</v>
      </c>
      <c r="CP205" s="17">
        <f t="shared" si="232"/>
        <v>7.6766666666666667</v>
      </c>
      <c r="CQ205" s="17">
        <f t="shared" si="233"/>
        <v>8.9933333333333323</v>
      </c>
      <c r="CR205" s="17">
        <f t="shared" si="234"/>
        <v>10.856666666666666</v>
      </c>
      <c r="CS205" s="2" cm="1">
        <f t="array" aca="1" ref="CS205" ca="1">MAX(_xlfn._xlws.FILTER(CL205:CR205,CL205:CR205&lt;BN205))</f>
        <v>5.8133333333333335</v>
      </c>
      <c r="CT205" s="2" cm="1">
        <f t="array" aca="1" ref="CT205" ca="1">MIN(_xlfn._xlws.FILTER($CL205:$CR205,$CL205:$CR205&gt;BN205))</f>
        <v>7.6766666666666667</v>
      </c>
      <c r="CU205" s="16">
        <f t="shared" ca="1" si="209"/>
        <v>0.3205275229357798</v>
      </c>
      <c r="CV205" s="20">
        <f t="shared" ca="1" si="210"/>
        <v>-0.1602637614678899</v>
      </c>
      <c r="CW205" s="20">
        <f t="shared" ca="1" si="211"/>
        <v>-0.10684250764525993</v>
      </c>
      <c r="CX205" s="20">
        <f t="shared" ca="1" si="212"/>
        <v>-6.4105504587155956E-2</v>
      </c>
      <c r="CY205" s="20">
        <f t="shared" ca="1" si="213"/>
        <v>-3.5614169215086644E-2</v>
      </c>
      <c r="CZ205" s="20">
        <f t="shared" ca="1" si="214"/>
        <v>-1.8854560172692929E-2</v>
      </c>
      <c r="DA205" s="20">
        <f t="shared" ca="1" si="215"/>
        <v>-9.7129552404781761E-3</v>
      </c>
      <c r="DB205" s="20">
        <f t="shared" ca="1" si="216"/>
        <v>-4.9311926605504581E-3</v>
      </c>
      <c r="DC205" s="21">
        <f t="shared" ca="1" si="217"/>
        <v>4.9311926605504581E-3</v>
      </c>
      <c r="DD205" s="21">
        <f t="shared" ca="1" si="218"/>
        <v>9.7129552404781761E-3</v>
      </c>
      <c r="DE205" s="21">
        <f t="shared" ca="1" si="219"/>
        <v>1.8854560172692929E-2</v>
      </c>
      <c r="DF205" s="21">
        <f t="shared" ca="1" si="220"/>
        <v>3.5614169215086644E-2</v>
      </c>
      <c r="DG205" s="21">
        <f t="shared" ca="1" si="221"/>
        <v>6.4105504587155956E-2</v>
      </c>
      <c r="DH205" s="21">
        <f t="shared" ca="1" si="222"/>
        <v>0.10684250764525993</v>
      </c>
      <c r="DI205" s="21">
        <f t="shared" ca="1" si="223"/>
        <v>0.1602637614678899</v>
      </c>
      <c r="DK205" s="16" cm="1">
        <f t="array" aca="1" ref="DK205" ca="1">MAX(_xlfn._xlws.FILTER(CV205:DI205,CV205:DI205&lt;BT205))</f>
        <v>-3.5614169215086644E-2</v>
      </c>
      <c r="DL205" s="16" cm="1">
        <f t="array" aca="1" ref="DL205" ca="1">MIN(_xlfn._xlws.FILTER(CV205:DI205,CV205:DI205&gt;BT205))</f>
        <v>-1.8854560172692929E-2</v>
      </c>
      <c r="DM205" s="2" cm="1">
        <f t="array" aca="1" ref="DM205" ca="1">_FV(EB205,"Fechamento anterior",TRUE)</f>
        <v>6.34</v>
      </c>
      <c r="DN205" s="28">
        <f t="shared" ca="1" si="235"/>
        <v>0.90153877191695864</v>
      </c>
      <c r="DO205" s="15">
        <f t="shared" ca="1" si="224"/>
        <v>6.1142061671763503</v>
      </c>
      <c r="DP205" s="15">
        <f t="shared" ca="1" si="225"/>
        <v>6.2204620885051263</v>
      </c>
      <c r="DQ205" s="9"/>
      <c r="DR205" s="9"/>
      <c r="DS205" s="9"/>
      <c r="DT205" s="89">
        <v>1.6759609042393715E-2</v>
      </c>
      <c r="DU205" s="89">
        <f t="shared" ca="1" si="236"/>
        <v>1.6759609042393715E-2</v>
      </c>
      <c r="DV205" s="72">
        <f t="shared" ca="1" si="237"/>
        <v>0.42946250167549438</v>
      </c>
      <c r="DW205" s="37"/>
      <c r="DX205" s="35">
        <f t="shared" si="247"/>
        <v>0.13970952007647855</v>
      </c>
      <c r="DY205" s="56"/>
      <c r="DZ205" s="56"/>
      <c r="EB205" s="2" t="e" vm="207">
        <v>#VALUE!</v>
      </c>
      <c r="ED205" s="10" cm="1">
        <f t="array" aca="1" ref="ED205" ca="1">_FV(EB205,"Ações em circulação",TRUE)</f>
        <v>61856210</v>
      </c>
      <c r="EE205" s="18">
        <f>VLOOKUP(BO205,Fundamentus!A:U,5,FALSE)</f>
        <v>0.93300000000000005</v>
      </c>
      <c r="EF205" s="2">
        <f t="shared" ca="1" si="238"/>
        <v>411711751.44694537</v>
      </c>
      <c r="EG205" s="17">
        <v>62456672.694501616</v>
      </c>
      <c r="EH205" s="17">
        <f t="shared" ca="1" si="239"/>
        <v>62456672.694501616</v>
      </c>
      <c r="EJ205" s="16">
        <f t="shared" ca="1" si="226"/>
        <v>0</v>
      </c>
      <c r="EK205" s="32" t="str">
        <f>IF(VLOOKUP(BO205,Fundamentus!A:U,3,FALSE)&lt;15,"Bom",IF(VLOOKUP(BO205,Fundamentus!A:U,3,FALSE)&gt;15,"Ruim","n/a"))</f>
        <v>Bom</v>
      </c>
      <c r="EL205" s="28" t="str">
        <f>IF(VLOOKUP(BO205,Fundamentus!A:U,4,FALSE)&lt;1,"Baixo",IF(VLOOKUP(BO205,Fundamentus!A:U,4,FALSE)&lt;1.5,"Moderado",IF(VLOOKUP(BO205,Fundamentus!A:U,4,FALSE)&gt;1.5,"Alto","n/a")))</f>
        <v>Baixo</v>
      </c>
      <c r="EM205" s="17" t="str">
        <f>IF(VLOOKUP(BO205,Fundamentus!A:U,8,FALSE)&lt;0,"Risco elevado",IF(VLOOKUP(BO205,Fundamentus!A:U,8,FALSE)&lt;1,"Saudável",IF(VLOOKUP(BO205,Fundamentus!A:U,8,FALSE)&lt;3,"Estável",IF(VLOOKUP(BO205,Fundamentus!A:U,8,FALSE)&gt;3,"Alerta","n/a"))))</f>
        <v>Estável</v>
      </c>
      <c r="EN205" s="28" t="str">
        <f t="shared" si="240"/>
        <v>Ruim</v>
      </c>
      <c r="EO205" s="17" t="str">
        <f>IF(VLOOKUP(BO205,Fundamentus!A:U,12,FALSE)&lt;2,"Subvalorizada",IF(VLOOKUP(BO205,Fundamentus!A:U,12,FALSE)&lt;6,"Muita barata",IF(VLOOKUP(BO205,Fundamentus!A:U,12,FALSE)&lt;6,"Barata",IF(VLOOKUP(BO205,Fundamentus!A:U,12,FALSE)&lt;8,"Atrativa",IF(VLOOKUP(BO205,Fundamentus!A:U,12,FALSE)&gt;8,"Supervalorizada","n/a")))))</f>
        <v>Muita barata</v>
      </c>
      <c r="EQ205" s="17" t="str">
        <f>IF(VLOOKUP(BO205,Fundamentus!A:U,17,FALSE)&lt;0.1,"Fraco retorno",IF(VLOOKUP(BO205,Fundamentus!A:U,17,FALSE)&gt;0.1,"Bom retorno","n/a"))</f>
        <v>Bom retorno</v>
      </c>
      <c r="ER205" s="17" t="str">
        <f>IF(VLOOKUP(BO205,Fundamentus!A:U,16,FALSE)&lt;0.1,"Ineficiente",IF(VLOOKUP(BO205,Fundamentus!A:U,16,FALSE)&gt;0.1,"Eficiente","n/a"))</f>
        <v>Eficiente</v>
      </c>
      <c r="ES205" s="33" t="str">
        <f>IF(VLOOKUP(BO205,Fundamentus!A:U,16,FALSE)&lt;0.1,"Oper. Ineficiente",IF(VLOOKUP(BO205,Fundamentus!A:U,16,FALSE)&gt;0.1,"Oper.Eficiente","n/a"))</f>
        <v>Oper.Eficiente</v>
      </c>
      <c r="ET205" s="34">
        <f>VLOOKUP(BO205,Fundamentus!A:U,14,FALSE)</f>
        <v>0.1517</v>
      </c>
      <c r="EU205" s="17" t="str">
        <f>IF(VLOOKUP(BO205,Fundamentus!A:U,21,FALSE)&lt;0,"Negativo",IF(VLOOKUP(BO205,Fundamentus!A:U,21,FALSE)&lt;0.05,"Fraco",IF(VLOOKUP(BO205,Fundamentus!A:U,21,FALSE)&lt;0.1,"Bom",IF(VLOOKUP(BO205,Fundamentus!A:U,21,FALSE)&gt;0.1,"Muito bom","n/a"))))</f>
        <v>Muito bom</v>
      </c>
      <c r="EW205" s="29" t="str">
        <f>IF(VLOOKUP(BO205,Fundamentus!A:U,15,FALSE)&gt;1,"Bom",IF(VLOOKUP(BO205,Fundamentus!A:U,15,FALSE)&lt;1,"Ruim","n/a"))</f>
        <v>Bom</v>
      </c>
      <c r="EX205" s="17" t="str">
        <f>IF(VLOOKUP(BO205,Fundamentus!A:U,20,FALSE)&lt;0.5,"Baixa",IF(VLOOKUP(BO205,Fundamentus!A:U,20,FALSE)&lt;1,"Moderada",IF(VLOOKUP(BO205,Fundamentus!A:U,20,FALSE)&lt;2,"Alerta",IF(VLOOKUP(BO205,Fundamentus!A:U,20,FALSE)&gt;2,"Alta","n/a"))))</f>
        <v>Baixa</v>
      </c>
      <c r="EY205" s="10"/>
    </row>
    <row r="206" spans="1:155" s="2" customFormat="1" ht="11.25"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5">
        <v>19.29</v>
      </c>
      <c r="BC206" s="52">
        <v>20.07</v>
      </c>
      <c r="BD206" s="52">
        <v>20.97</v>
      </c>
      <c r="BE206" s="52">
        <v>21.16</v>
      </c>
      <c r="BF206" s="52">
        <v>19.95</v>
      </c>
      <c r="BG206" s="67">
        <v>20.18</v>
      </c>
      <c r="BH206" s="52">
        <v>19.5</v>
      </c>
      <c r="BI206" s="52">
        <v>17.670000000000002</v>
      </c>
      <c r="BJ206" s="52">
        <v>17.850000000000001</v>
      </c>
      <c r="BK206" s="52">
        <v>17.13</v>
      </c>
      <c r="BL206" s="52">
        <v>17.78</v>
      </c>
      <c r="BM206" s="52">
        <v>17.72</v>
      </c>
      <c r="BN206" s="52" cm="1">
        <f t="array" aca="1" ref="BN206" ca="1">_FV(EB206,"Preço")</f>
        <v>17.72</v>
      </c>
      <c r="BO206" s="69" t="s">
        <v>202</v>
      </c>
      <c r="BP206" s="36" cm="1">
        <f t="array" aca="1" ref="BP206" ca="1">_FV(EB206,"Média de volume",TRUE)</f>
        <v>1547490</v>
      </c>
      <c r="BQ206" s="36">
        <v>1637400</v>
      </c>
      <c r="BR206" s="36" cm="1">
        <f t="array" aca="1" ref="BR206" ca="1">_FV(EB206,"Volume")</f>
        <v>1637400</v>
      </c>
      <c r="BS206" s="24" cm="1">
        <f t="array" aca="1" ref="BS206" ca="1">_FV(EB206,"Beta")</f>
        <v>0.34310000000000002</v>
      </c>
      <c r="BT206" s="71" cm="1">
        <f t="array" aca="1" ref="BT206" ca="1">_FV(EB206,"Variação (%)",TRUE)</f>
        <v>6.8179999999999994E-3</v>
      </c>
      <c r="BV206" s="17" cm="1">
        <f t="array" aca="1" ref="BV206" ca="1">_FV(EB206,"Baixo")</f>
        <v>17.5</v>
      </c>
      <c r="BW206" s="17" cm="1">
        <f t="array" aca="1" ref="BW206" ca="1">_FV(EB206,"Alto")</f>
        <v>17.78</v>
      </c>
      <c r="BX206" s="24"/>
      <c r="BY206" s="63">
        <f ca="1">SQRT(22.5*(BN206/VLOOKUP(BO206,Fundamentus!A:U,3,FALSE))*(BN206/VLOOKUP(BO206,Fundamentus!A:U,4,FALSE)))</f>
        <v>27.250289513232456</v>
      </c>
      <c r="CA206" s="62">
        <f t="shared" ca="1" si="241"/>
        <v>0</v>
      </c>
      <c r="CB206" s="8"/>
      <c r="CC206" s="61">
        <f t="shared" si="242"/>
        <v>17.13</v>
      </c>
      <c r="CD206" s="61">
        <f t="shared" si="243"/>
        <v>32.630000000000003</v>
      </c>
      <c r="CE206" s="61">
        <f t="shared" si="244"/>
        <v>24.484769230769242</v>
      </c>
      <c r="CF206" s="14"/>
      <c r="CG206" s="35">
        <f t="shared" si="227"/>
        <v>17.111763574081341</v>
      </c>
      <c r="CH206" s="15">
        <f t="shared" si="245"/>
        <v>17.685000000000002</v>
      </c>
      <c r="CI206" s="35">
        <f t="shared" si="228"/>
        <v>18.258236425918664</v>
      </c>
      <c r="CK206" s="14"/>
      <c r="CL206" s="17">
        <f t="shared" si="229"/>
        <v>-3.1033333333333353</v>
      </c>
      <c r="CM206" s="17">
        <f t="shared" si="230"/>
        <v>7.0133333333333319</v>
      </c>
      <c r="CN206" s="17">
        <f t="shared" si="231"/>
        <v>12.396666666666668</v>
      </c>
      <c r="CO206" s="38">
        <f t="shared" si="246"/>
        <v>22.513333333333335</v>
      </c>
      <c r="CP206" s="17">
        <f t="shared" si="232"/>
        <v>27.896666666666672</v>
      </c>
      <c r="CQ206" s="17">
        <f t="shared" si="233"/>
        <v>38.013333333333335</v>
      </c>
      <c r="CR206" s="17">
        <f t="shared" si="234"/>
        <v>43.396666666666675</v>
      </c>
      <c r="CS206" s="2" cm="1">
        <f t="array" aca="1" ref="CS206" ca="1">MAX(_xlfn._xlws.FILTER(CL206:CR206,CL206:CR206&lt;BN206))</f>
        <v>12.396666666666668</v>
      </c>
      <c r="CT206" s="2" cm="1">
        <f t="array" aca="1" ref="CT206" ca="1">MIN(_xlfn._xlws.FILTER($CL206:$CR206,$CL206:$CR206&gt;BN206))</f>
        <v>22.513333333333335</v>
      </c>
      <c r="CU206" s="16">
        <f t="shared" ref="CU206:CU255" ca="1" si="248">(CT206/CS206)-1</f>
        <v>0.81607959128798058</v>
      </c>
      <c r="CV206" s="20">
        <f t="shared" ref="CV206:CV255" ca="1" si="249">-$CU206/2</f>
        <v>-0.40803979564399029</v>
      </c>
      <c r="CW206" s="20">
        <f t="shared" ref="CW206:CW255" ca="1" si="250">-$CU206/3</f>
        <v>-0.27202653042932684</v>
      </c>
      <c r="CX206" s="20">
        <f t="shared" ref="CX206:CX255" ca="1" si="251">-$CU206/5</f>
        <v>-0.16321591825759613</v>
      </c>
      <c r="CY206" s="20">
        <f t="shared" ref="CY206:CY255" ca="1" si="252">-$CU206/9</f>
        <v>-9.0675510143108956E-2</v>
      </c>
      <c r="CZ206" s="20">
        <f t="shared" ref="CZ206:CZ255" ca="1" si="253">-$CU206/17</f>
        <v>-4.8004681840469444E-2</v>
      </c>
      <c r="DA206" s="20">
        <f t="shared" ref="DA206:DA255" ca="1" si="254">-$CU206/33</f>
        <v>-2.4729684584484261E-2</v>
      </c>
      <c r="DB206" s="20">
        <f t="shared" ref="DB206:DB255" ca="1" si="255">-$CU206/65</f>
        <v>-1.2555070635199702E-2</v>
      </c>
      <c r="DC206" s="21">
        <f t="shared" ref="DC206:DC255" ca="1" si="256">-$CU206/65*-1</f>
        <v>1.2555070635199702E-2</v>
      </c>
      <c r="DD206" s="21">
        <f t="shared" ref="DD206:DD255" ca="1" si="257">-$CU206/33*-1</f>
        <v>2.4729684584484261E-2</v>
      </c>
      <c r="DE206" s="21">
        <f t="shared" ref="DE206:DE255" ca="1" si="258">-$CU206/17*-1</f>
        <v>4.8004681840469444E-2</v>
      </c>
      <c r="DF206" s="21">
        <f t="shared" ref="DF206:DF255" ca="1" si="259">-$CU206/9*-1</f>
        <v>9.0675510143108956E-2</v>
      </c>
      <c r="DG206" s="21">
        <f t="shared" ref="DG206:DG255" ca="1" si="260">-$CU206/5*-1</f>
        <v>0.16321591825759613</v>
      </c>
      <c r="DH206" s="21">
        <f t="shared" ref="DH206:DH255" ca="1" si="261">-$CU206/3*-1</f>
        <v>0.27202653042932684</v>
      </c>
      <c r="DI206" s="21">
        <f t="shared" ref="DI206:DI255" ca="1" si="262">-$CU206/2*-1</f>
        <v>0.40803979564399029</v>
      </c>
      <c r="DK206" s="16" cm="1">
        <f t="array" aca="1" ref="DK206" ca="1">MAX(_xlfn._xlws.FILTER(CV206:DI206,CV206:DI206&lt;BT206))</f>
        <v>-1.2555070635199702E-2</v>
      </c>
      <c r="DL206" s="16" cm="1">
        <f t="array" aca="1" ref="DL206" ca="1">MIN(_xlfn._xlws.FILTER(CV206:DI206,CV206:DI206&gt;BT206))</f>
        <v>1.2555070635199702E-2</v>
      </c>
      <c r="DM206" s="2" cm="1">
        <f t="array" aca="1" ref="DM206" ca="1">_FV(EB206,"Fechamento anterior",TRUE)</f>
        <v>17.600000000000001</v>
      </c>
      <c r="DN206" s="28">
        <f t="shared" ca="1" si="235"/>
        <v>0.77153100194697721</v>
      </c>
      <c r="DO206" s="15">
        <f t="shared" ref="DO206:DO255" ca="1" si="263">DM206+(DM206*DK206)</f>
        <v>17.379030756820487</v>
      </c>
      <c r="DP206" s="15">
        <f t="shared" ref="DP206:DP255" ca="1" si="264">DM206+(DM206*DL206)</f>
        <v>17.820969243179515</v>
      </c>
      <c r="DQ206" s="9"/>
      <c r="DR206" s="9"/>
      <c r="DS206" s="9"/>
      <c r="DT206" s="89">
        <v>2.5110141270399403E-2</v>
      </c>
      <c r="DU206" s="89">
        <f t="shared" ca="1" si="236"/>
        <v>2.5110141270399403E-2</v>
      </c>
      <c r="DV206" s="72">
        <f t="shared" ca="1" si="237"/>
        <v>6.1056831732048455E-2</v>
      </c>
      <c r="DW206" s="37"/>
      <c r="DX206" s="35">
        <f t="shared" si="247"/>
        <v>0.28661821295933104</v>
      </c>
      <c r="DY206" s="56"/>
      <c r="DZ206" s="56"/>
      <c r="EB206" s="2" t="e" vm="208">
        <v>#VALUE!</v>
      </c>
      <c r="ED206" s="10" cm="1">
        <f t="array" aca="1" ref="ED206" ca="1">_FV(EB206,"Ações em circulação",TRUE)</f>
        <v>332435400</v>
      </c>
      <c r="EE206" s="18">
        <f>VLOOKUP(BO206,Fundamentus!A:U,5,FALSE)</f>
        <v>0.83099999999999996</v>
      </c>
      <c r="EF206" s="2">
        <f t="shared" ca="1" si="238"/>
        <v>7088754859.2057762</v>
      </c>
      <c r="EG206" s="17">
        <v>550796252.56028891</v>
      </c>
      <c r="EH206" s="17">
        <f t="shared" ca="1" si="239"/>
        <v>550796252.56028891</v>
      </c>
      <c r="EJ206" s="16">
        <f t="shared" ca="1" si="226"/>
        <v>0</v>
      </c>
      <c r="EK206" s="32" t="str">
        <f>IF(VLOOKUP(BO206,Fundamentus!A:U,3,FALSE)&lt;15,"Bom",IF(VLOOKUP(BO206,Fundamentus!A:U,3,FALSE)&gt;15,"Ruim","n/a"))</f>
        <v>Bom</v>
      </c>
      <c r="EL206" s="28" t="str">
        <f>IF(VLOOKUP(BO206,Fundamentus!A:U,4,FALSE)&lt;1,"Baixo",IF(VLOOKUP(BO206,Fundamentus!A:U,4,FALSE)&lt;1.5,"Moderado",IF(VLOOKUP(BO206,Fundamentus!A:U,4,FALSE)&gt;1.5,"Alto","n/a")))</f>
        <v>Baixo</v>
      </c>
      <c r="EM206" s="17" t="str">
        <f>IF(VLOOKUP(BO206,Fundamentus!A:U,8,FALSE)&lt;0,"Risco elevado",IF(VLOOKUP(BO206,Fundamentus!A:U,8,FALSE)&lt;1,"Saudável",IF(VLOOKUP(BO206,Fundamentus!A:U,8,FALSE)&lt;3,"Estável",IF(VLOOKUP(BO206,Fundamentus!A:U,8,FALSE)&gt;3,"Alerta","n/a"))))</f>
        <v>Estável</v>
      </c>
      <c r="EN206" s="28" t="str">
        <f t="shared" si="240"/>
        <v>Ruim</v>
      </c>
      <c r="EO206" s="17" t="str">
        <f>IF(VLOOKUP(BO206,Fundamentus!A:U,12,FALSE)&lt;2,"Subvalorizada",IF(VLOOKUP(BO206,Fundamentus!A:U,12,FALSE)&lt;6,"Muita barata",IF(VLOOKUP(BO206,Fundamentus!A:U,12,FALSE)&lt;6,"Barata",IF(VLOOKUP(BO206,Fundamentus!A:U,12,FALSE)&lt;8,"Atrativa",IF(VLOOKUP(BO206,Fundamentus!A:U,12,FALSE)&gt;8,"Supervalorizada","n/a")))))</f>
        <v>Muita barata</v>
      </c>
      <c r="EQ206" s="17" t="str">
        <f>IF(VLOOKUP(BO206,Fundamentus!A:U,17,FALSE)&lt;0.1,"Fraco retorno",IF(VLOOKUP(BO206,Fundamentus!A:U,17,FALSE)&gt;0.1,"Bom retorno","n/a"))</f>
        <v>Fraco retorno</v>
      </c>
      <c r="ER206" s="17" t="str">
        <f>IF(VLOOKUP(BO206,Fundamentus!A:U,16,FALSE)&lt;0.1,"Ineficiente",IF(VLOOKUP(BO206,Fundamentus!A:U,16,FALSE)&gt;0.1,"Eficiente","n/a"))</f>
        <v>Ineficiente</v>
      </c>
      <c r="ES206" s="33" t="str">
        <f>IF(VLOOKUP(BO206,Fundamentus!A:U,16,FALSE)&lt;0.1,"Oper. Ineficiente",IF(VLOOKUP(BO206,Fundamentus!A:U,16,FALSE)&gt;0.1,"Oper.Eficiente","n/a"))</f>
        <v>Oper. Ineficiente</v>
      </c>
      <c r="ET206" s="34">
        <f>VLOOKUP(BO206,Fundamentus!A:U,14,FALSE)</f>
        <v>7.7700000000000005E-2</v>
      </c>
      <c r="EU206" s="17" t="str">
        <f>IF(VLOOKUP(BO206,Fundamentus!A:U,21,FALSE)&lt;0,"Negativo",IF(VLOOKUP(BO206,Fundamentus!A:U,21,FALSE)&lt;0.05,"Fraco",IF(VLOOKUP(BO206,Fundamentus!A:U,21,FALSE)&lt;0.1,"Bom",IF(VLOOKUP(BO206,Fundamentus!A:U,21,FALSE)&gt;0.1,"Muito bom","n/a"))))</f>
        <v>Muito bom</v>
      </c>
      <c r="EW206" s="29" t="str">
        <f>IF(VLOOKUP(BO206,Fundamentus!A:U,15,FALSE)&gt;1,"Bom",IF(VLOOKUP(BO206,Fundamentus!A:U,15,FALSE)&lt;1,"Ruim","n/a"))</f>
        <v>Bom</v>
      </c>
      <c r="EX206" s="17" t="str">
        <f>IF(VLOOKUP(BO206,Fundamentus!A:U,20,FALSE)&lt;0.5,"Baixa",IF(VLOOKUP(BO206,Fundamentus!A:U,20,FALSE)&lt;1,"Moderada",IF(VLOOKUP(BO206,Fundamentus!A:U,20,FALSE)&lt;2,"Alerta",IF(VLOOKUP(BO206,Fundamentus!A:U,20,FALSE)&gt;2,"Alta","n/a"))))</f>
        <v>Alerta</v>
      </c>
      <c r="EY206" s="10"/>
    </row>
    <row r="207" spans="1:155" s="2" customFormat="1" ht="11.25"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5">
        <v>8.0500000000000007</v>
      </c>
      <c r="BC207" s="52">
        <v>8.1</v>
      </c>
      <c r="BD207" s="52">
        <v>7.63</v>
      </c>
      <c r="BE207" s="52">
        <v>7.47</v>
      </c>
      <c r="BF207" s="52">
        <v>7.64</v>
      </c>
      <c r="BG207" s="67">
        <v>7.56</v>
      </c>
      <c r="BH207" s="52">
        <v>7.44</v>
      </c>
      <c r="BI207" s="52">
        <v>7.33</v>
      </c>
      <c r="BJ207" s="52">
        <v>7.58</v>
      </c>
      <c r="BK207" s="52">
        <v>7.3</v>
      </c>
      <c r="BL207" s="52">
        <v>7.12</v>
      </c>
      <c r="BM207" s="52">
        <v>7.27</v>
      </c>
      <c r="BN207" s="52" cm="1">
        <f t="array" aca="1" ref="BN207" ca="1">_FV(EB207,"Preço")</f>
        <v>7.27</v>
      </c>
      <c r="BO207" s="69" t="s">
        <v>203</v>
      </c>
      <c r="BP207" s="36" cm="1">
        <f t="array" aca="1" ref="BP207" ca="1">_FV(EB207,"Média de volume",TRUE)</f>
        <v>475690</v>
      </c>
      <c r="BQ207" s="36">
        <v>225700</v>
      </c>
      <c r="BR207" s="36" cm="1">
        <f t="array" aca="1" ref="BR207" ca="1">_FV(EB207,"Volume")</f>
        <v>225700</v>
      </c>
      <c r="BS207" s="24" cm="1">
        <f t="array" aca="1" ref="BS207" ca="1">_FV(EB207,"Beta")</f>
        <v>0.59130000000000005</v>
      </c>
      <c r="BT207" s="71" cm="1">
        <f t="array" aca="1" ref="BT207" ca="1">_FV(EB207,"Variação (%)",TRUE)</f>
        <v>6.9249999999999997E-3</v>
      </c>
      <c r="BV207" s="17" cm="1">
        <f t="array" aca="1" ref="BV207" ca="1">_FV(EB207,"Baixo")</f>
        <v>7.19</v>
      </c>
      <c r="BW207" s="17" cm="1">
        <f t="array" aca="1" ref="BW207" ca="1">_FV(EB207,"Alto")</f>
        <v>7.27</v>
      </c>
      <c r="BX207" s="24"/>
      <c r="BY207" s="63">
        <f ca="1">SQRT(22.5*(BN207/VLOOKUP(BO207,Fundamentus!A:U,3,FALSE))*(BN207/VLOOKUP(BO207,Fundamentus!A:U,4,FALSE)))</f>
        <v>13.393026606466666</v>
      </c>
      <c r="CA207" s="62">
        <f t="shared" ca="1" si="241"/>
        <v>0</v>
      </c>
      <c r="CB207" s="8"/>
      <c r="CC207" s="61">
        <f t="shared" si="242"/>
        <v>6.46</v>
      </c>
      <c r="CD207" s="61">
        <f t="shared" si="243"/>
        <v>9.09</v>
      </c>
      <c r="CE207" s="61">
        <f t="shared" si="244"/>
        <v>7.6607692307692314</v>
      </c>
      <c r="CF207" s="14"/>
      <c r="CG207" s="35">
        <f t="shared" si="227"/>
        <v>6.7076222029075581</v>
      </c>
      <c r="CH207" s="15">
        <f t="shared" si="245"/>
        <v>7.0399999999999636</v>
      </c>
      <c r="CI207" s="35">
        <f t="shared" si="228"/>
        <v>7.3723777970923692</v>
      </c>
      <c r="CK207" s="14"/>
      <c r="CL207" s="17">
        <f t="shared" si="229"/>
        <v>3.3933333333333353</v>
      </c>
      <c r="CM207" s="17">
        <f t="shared" si="230"/>
        <v>4.9266666666666676</v>
      </c>
      <c r="CN207" s="17">
        <f t="shared" si="231"/>
        <v>6.0233333333333352</v>
      </c>
      <c r="CO207" s="38">
        <f t="shared" si="246"/>
        <v>7.5566666666666675</v>
      </c>
      <c r="CP207" s="17">
        <f t="shared" si="232"/>
        <v>8.653333333333336</v>
      </c>
      <c r="CQ207" s="17">
        <f t="shared" si="233"/>
        <v>10.186666666666667</v>
      </c>
      <c r="CR207" s="17">
        <f t="shared" si="234"/>
        <v>11.283333333333335</v>
      </c>
      <c r="CS207" s="2" cm="1">
        <f t="array" aca="1" ref="CS207" ca="1">MAX(_xlfn._xlws.FILTER(CL207:CR207,CL207:CR207&lt;BN207))</f>
        <v>6.0233333333333352</v>
      </c>
      <c r="CT207" s="2" cm="1">
        <f t="array" aca="1" ref="CT207" ca="1">MIN(_xlfn._xlws.FILTER($CL207:$CR207,$CL207:$CR207&gt;BN207))</f>
        <v>7.5566666666666675</v>
      </c>
      <c r="CU207" s="16">
        <f t="shared" ca="1" si="248"/>
        <v>0.25456557830658522</v>
      </c>
      <c r="CV207" s="20">
        <f t="shared" ca="1" si="249"/>
        <v>-0.12728278915329261</v>
      </c>
      <c r="CW207" s="20">
        <f t="shared" ca="1" si="250"/>
        <v>-8.4855192768861734E-2</v>
      </c>
      <c r="CX207" s="20">
        <f t="shared" ca="1" si="251"/>
        <v>-5.0913115661317045E-2</v>
      </c>
      <c r="CY207" s="20">
        <f t="shared" ca="1" si="252"/>
        <v>-2.8285064256287247E-2</v>
      </c>
      <c r="CZ207" s="20">
        <f t="shared" ca="1" si="253"/>
        <v>-1.4974445782740306E-2</v>
      </c>
      <c r="DA207" s="20">
        <f t="shared" ca="1" si="254"/>
        <v>-7.7141084335328857E-3</v>
      </c>
      <c r="DB207" s="20">
        <f t="shared" ca="1" si="255"/>
        <v>-3.916393512409003E-3</v>
      </c>
      <c r="DC207" s="21">
        <f t="shared" ca="1" si="256"/>
        <v>3.916393512409003E-3</v>
      </c>
      <c r="DD207" s="21">
        <f t="shared" ca="1" si="257"/>
        <v>7.7141084335328857E-3</v>
      </c>
      <c r="DE207" s="21">
        <f t="shared" ca="1" si="258"/>
        <v>1.4974445782740306E-2</v>
      </c>
      <c r="DF207" s="21">
        <f t="shared" ca="1" si="259"/>
        <v>2.8285064256287247E-2</v>
      </c>
      <c r="DG207" s="21">
        <f t="shared" ca="1" si="260"/>
        <v>5.0913115661317045E-2</v>
      </c>
      <c r="DH207" s="21">
        <f t="shared" ca="1" si="261"/>
        <v>8.4855192768861734E-2</v>
      </c>
      <c r="DI207" s="21">
        <f t="shared" ca="1" si="262"/>
        <v>0.12728278915329261</v>
      </c>
      <c r="DK207" s="16" cm="1">
        <f t="array" aca="1" ref="DK207" ca="1">MAX(_xlfn._xlws.FILTER(CV207:DI207,CV207:DI207&lt;BT207))</f>
        <v>3.916393512409003E-3</v>
      </c>
      <c r="DL207" s="16" cm="1">
        <f t="array" aca="1" ref="DL207" ca="1">MIN(_xlfn._xlws.FILTER(CV207:DI207,CV207:DI207&gt;BT207))</f>
        <v>7.7141084335328857E-3</v>
      </c>
      <c r="DM207" s="2" cm="1">
        <f t="array" aca="1" ref="DM207" ca="1">_FV(EB207,"Fechamento anterior",TRUE)</f>
        <v>7.22</v>
      </c>
      <c r="DN207" s="28">
        <f t="shared" ca="1" si="235"/>
        <v>0.79226964274959277</v>
      </c>
      <c r="DO207" s="15">
        <f t="shared" ca="1" si="263"/>
        <v>7.2482763611595926</v>
      </c>
      <c r="DP207" s="15">
        <f t="shared" ca="1" si="264"/>
        <v>7.2756958628901076</v>
      </c>
      <c r="DQ207" s="9"/>
      <c r="DR207" s="9"/>
      <c r="DS207" s="9"/>
      <c r="DT207" s="89">
        <v>3.7977149211238827E-3</v>
      </c>
      <c r="DU207" s="89">
        <f t="shared" ca="1" si="236"/>
        <v>3.7977149211238827E-3</v>
      </c>
      <c r="DV207" s="72">
        <f t="shared" ca="1" si="237"/>
        <v>0.69198364635677756</v>
      </c>
      <c r="DW207" s="37"/>
      <c r="DX207" s="35">
        <f t="shared" si="247"/>
        <v>0.16618889854620258</v>
      </c>
      <c r="DY207" s="56"/>
      <c r="DZ207" s="56"/>
      <c r="EB207" s="2" t="e" vm="209">
        <v>#VALUE!</v>
      </c>
      <c r="ED207" s="10" cm="1">
        <f t="array" aca="1" ref="ED207" ca="1">_FV(EB207,"Ações em circulação",TRUE)</f>
        <v>239829900</v>
      </c>
      <c r="EE207" s="18">
        <f>VLOOKUP(BO207,Fundamentus!A:U,5,FALSE)</f>
        <v>1.0429999999999999</v>
      </c>
      <c r="EF207" s="2">
        <f t="shared" ca="1" si="238"/>
        <v>1671681086.2895496</v>
      </c>
      <c r="EG207" s="17">
        <v>323470290.19702786</v>
      </c>
      <c r="EH207" s="17">
        <f t="shared" ca="1" si="239"/>
        <v>323470290.19702786</v>
      </c>
      <c r="EJ207" s="16">
        <f t="shared" ca="1" si="226"/>
        <v>0</v>
      </c>
      <c r="EK207" s="32" t="str">
        <f>IF(VLOOKUP(BO207,Fundamentus!A:U,3,FALSE)&lt;15,"Bom",IF(VLOOKUP(BO207,Fundamentus!A:U,3,FALSE)&gt;15,"Ruim","n/a"))</f>
        <v>Bom</v>
      </c>
      <c r="EL207" s="28" t="str">
        <f>IF(VLOOKUP(BO207,Fundamentus!A:U,4,FALSE)&lt;1,"Baixo",IF(VLOOKUP(BO207,Fundamentus!A:U,4,FALSE)&lt;1.5,"Moderado",IF(VLOOKUP(BO207,Fundamentus!A:U,4,FALSE)&gt;1.5,"Alto","n/a")))</f>
        <v>Moderado</v>
      </c>
      <c r="EM207" s="17" t="str">
        <f>IF(VLOOKUP(BO207,Fundamentus!A:U,8,FALSE)&lt;0,"Risco elevado",IF(VLOOKUP(BO207,Fundamentus!A:U,8,FALSE)&lt;1,"Saudável",IF(VLOOKUP(BO207,Fundamentus!A:U,8,FALSE)&lt;3,"Estável",IF(VLOOKUP(BO207,Fundamentus!A:U,8,FALSE)&gt;3,"Alerta","n/a"))))</f>
        <v>Estável</v>
      </c>
      <c r="EN207" s="28" t="str">
        <f t="shared" si="240"/>
        <v>Bom</v>
      </c>
      <c r="EO207" s="17" t="str">
        <f>IF(VLOOKUP(BO207,Fundamentus!A:U,12,FALSE)&lt;2,"Subvalorizada",IF(VLOOKUP(BO207,Fundamentus!A:U,12,FALSE)&lt;6,"Muita barata",IF(VLOOKUP(BO207,Fundamentus!A:U,12,FALSE)&lt;6,"Barata",IF(VLOOKUP(BO207,Fundamentus!A:U,12,FALSE)&lt;8,"Atrativa",IF(VLOOKUP(BO207,Fundamentus!A:U,12,FALSE)&gt;8,"Supervalorizada","n/a")))))</f>
        <v>Muita barata</v>
      </c>
      <c r="EQ207" s="17" t="str">
        <f>IF(VLOOKUP(BO207,Fundamentus!A:U,17,FALSE)&lt;0.1,"Fraco retorno",IF(VLOOKUP(BO207,Fundamentus!A:U,17,FALSE)&gt;0.1,"Bom retorno","n/a"))</f>
        <v>Bom retorno</v>
      </c>
      <c r="ER207" s="17" t="str">
        <f>IF(VLOOKUP(BO207,Fundamentus!A:U,16,FALSE)&lt;0.1,"Ineficiente",IF(VLOOKUP(BO207,Fundamentus!A:U,16,FALSE)&gt;0.1,"Eficiente","n/a"))</f>
        <v>Eficiente</v>
      </c>
      <c r="ES207" s="33" t="str">
        <f>IF(VLOOKUP(BO207,Fundamentus!A:U,16,FALSE)&lt;0.1,"Oper. Ineficiente",IF(VLOOKUP(BO207,Fundamentus!A:U,16,FALSE)&gt;0.1,"Oper.Eficiente","n/a"))</f>
        <v>Oper.Eficiente</v>
      </c>
      <c r="ET207" s="34">
        <f>VLOOKUP(BO207,Fundamentus!A:U,14,FALSE)</f>
        <v>0.19350000000000001</v>
      </c>
      <c r="EU207" s="17" t="str">
        <f>IF(VLOOKUP(BO207,Fundamentus!A:U,21,FALSE)&lt;0,"Negativo",IF(VLOOKUP(BO207,Fundamentus!A:U,21,FALSE)&lt;0.05,"Fraco",IF(VLOOKUP(BO207,Fundamentus!A:U,21,FALSE)&lt;0.1,"Bom",IF(VLOOKUP(BO207,Fundamentus!A:U,21,FALSE)&gt;0.1,"Muito bom","n/a"))))</f>
        <v>Bom</v>
      </c>
      <c r="EW207" s="29" t="str">
        <f>IF(VLOOKUP(BO207,Fundamentus!A:U,15,FALSE)&gt;1,"Bom",IF(VLOOKUP(BO207,Fundamentus!A:U,15,FALSE)&lt;1,"Ruim","n/a"))</f>
        <v>Bom</v>
      </c>
      <c r="EX207" s="17" t="str">
        <f>IF(VLOOKUP(BO207,Fundamentus!A:U,20,FALSE)&lt;0.5,"Baixa",IF(VLOOKUP(BO207,Fundamentus!A:U,20,FALSE)&lt;1,"Moderada",IF(VLOOKUP(BO207,Fundamentus!A:U,20,FALSE)&lt;2,"Alerta",IF(VLOOKUP(BO207,Fundamentus!A:U,20,FALSE)&gt;2,"Alta","n/a"))))</f>
        <v>Alerta</v>
      </c>
      <c r="EY207" s="10"/>
    </row>
    <row r="208" spans="1:155" s="2" customFormat="1" ht="11.25"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5">
        <v>4.43</v>
      </c>
      <c r="BC208" s="52">
        <v>4.18</v>
      </c>
      <c r="BD208" s="52">
        <v>4.4800000000000004</v>
      </c>
      <c r="BE208" s="52">
        <v>4.32</v>
      </c>
      <c r="BF208" s="52">
        <v>4.2</v>
      </c>
      <c r="BG208" s="67">
        <v>4.16</v>
      </c>
      <c r="BH208" s="52">
        <v>4.0199999999999996</v>
      </c>
      <c r="BI208" s="52">
        <v>3.97</v>
      </c>
      <c r="BJ208" s="52">
        <v>3.86</v>
      </c>
      <c r="BK208" s="52">
        <v>3.65</v>
      </c>
      <c r="BL208" s="52">
        <v>3.95</v>
      </c>
      <c r="BM208" s="52">
        <v>3.99</v>
      </c>
      <c r="BN208" s="52" cm="1">
        <f t="array" aca="1" ref="BN208" ca="1">_FV(EB208,"Preço")</f>
        <v>3.99</v>
      </c>
      <c r="BO208" s="69" t="s">
        <v>204</v>
      </c>
      <c r="BP208" s="36" cm="1">
        <f t="array" aca="1" ref="BP208" ca="1">_FV(EB208,"Média de volume",TRUE)</f>
        <v>8068930</v>
      </c>
      <c r="BQ208" s="36">
        <v>3395800</v>
      </c>
      <c r="BR208" s="36" cm="1">
        <f t="array" aca="1" ref="BR208" ca="1">_FV(EB208,"Volume")</f>
        <v>3395800</v>
      </c>
      <c r="BS208" s="24" cm="1">
        <f t="array" aca="1" ref="BS208" ca="1">_FV(EB208,"Beta")</f>
        <v>1.1665000000000001</v>
      </c>
      <c r="BT208" s="71" cm="1">
        <f t="array" aca="1" ref="BT208" ca="1">_FV(EB208,"Variação (%)",TRUE)</f>
        <v>-9.9260000000000008E-3</v>
      </c>
      <c r="BV208" s="17" cm="1">
        <f t="array" aca="1" ref="BV208" ca="1">_FV(EB208,"Baixo")</f>
        <v>3.96</v>
      </c>
      <c r="BW208" s="17" cm="1">
        <f t="array" aca="1" ref="BW208" ca="1">_FV(EB208,"Alto")</f>
        <v>4.07</v>
      </c>
      <c r="BX208" s="24"/>
      <c r="BY208" s="63" t="e">
        <f ca="1">SQRT(22.5*(BN208/VLOOKUP(BO208,Fundamentus!A:U,3,FALSE))*(BN208/VLOOKUP(BO208,Fundamentus!A:U,4,FALSE)))</f>
        <v>#NUM!</v>
      </c>
      <c r="CA208" s="62">
        <f t="shared" ca="1" si="241"/>
        <v>0</v>
      </c>
      <c r="CB208" s="8"/>
      <c r="CC208" s="61">
        <f t="shared" si="242"/>
        <v>3.45</v>
      </c>
      <c r="CD208" s="61">
        <f t="shared" si="243"/>
        <v>5.25</v>
      </c>
      <c r="CE208" s="61">
        <f t="shared" si="244"/>
        <v>4.2628461538461533</v>
      </c>
      <c r="CF208" s="14"/>
      <c r="CG208" s="35">
        <f t="shared" si="227"/>
        <v>3.7721787679809964</v>
      </c>
      <c r="CH208" s="15">
        <f t="shared" si="245"/>
        <v>4.035000000000025</v>
      </c>
      <c r="CI208" s="35">
        <f t="shared" si="228"/>
        <v>4.2978212320190536</v>
      </c>
      <c r="CK208" s="14"/>
      <c r="CL208" s="17">
        <f t="shared" si="229"/>
        <v>1.383333333333332</v>
      </c>
      <c r="CM208" s="17">
        <f t="shared" si="230"/>
        <v>2.4166666666666661</v>
      </c>
      <c r="CN208" s="17">
        <f t="shared" si="231"/>
        <v>3.1833333333333318</v>
      </c>
      <c r="CO208" s="38">
        <f t="shared" si="246"/>
        <v>4.2166666666666659</v>
      </c>
      <c r="CP208" s="17">
        <f t="shared" si="232"/>
        <v>4.9833333333333316</v>
      </c>
      <c r="CQ208" s="17">
        <f t="shared" si="233"/>
        <v>6.0166666666666657</v>
      </c>
      <c r="CR208" s="17">
        <f t="shared" si="234"/>
        <v>6.7833333333333314</v>
      </c>
      <c r="CS208" s="2" cm="1">
        <f t="array" aca="1" ref="CS208" ca="1">MAX(_xlfn._xlws.FILTER(CL208:CR208,CL208:CR208&lt;BN208))</f>
        <v>3.1833333333333318</v>
      </c>
      <c r="CT208" s="2" cm="1">
        <f t="array" aca="1" ref="CT208" ca="1">MIN(_xlfn._xlws.FILTER($CL208:$CR208,$CL208:$CR208&gt;BN208))</f>
        <v>4.2166666666666659</v>
      </c>
      <c r="CU208" s="16">
        <f t="shared" ca="1" si="248"/>
        <v>0.32460732984293239</v>
      </c>
      <c r="CV208" s="20">
        <f t="shared" ca="1" si="249"/>
        <v>-0.1623036649214662</v>
      </c>
      <c r="CW208" s="20">
        <f t="shared" ca="1" si="250"/>
        <v>-0.10820244328097746</v>
      </c>
      <c r="CX208" s="20">
        <f t="shared" ca="1" si="251"/>
        <v>-6.4921465968586473E-2</v>
      </c>
      <c r="CY208" s="20">
        <f t="shared" ca="1" si="252"/>
        <v>-3.6067481093659155E-2</v>
      </c>
      <c r="CZ208" s="20">
        <f t="shared" ca="1" si="253"/>
        <v>-1.9094548814290142E-2</v>
      </c>
      <c r="DA208" s="20">
        <f t="shared" ca="1" si="254"/>
        <v>-9.8365857528161325E-3</v>
      </c>
      <c r="DB208" s="20">
        <f t="shared" ca="1" si="255"/>
        <v>-4.9939589206604981E-3</v>
      </c>
      <c r="DC208" s="21">
        <f t="shared" ca="1" si="256"/>
        <v>4.9939589206604981E-3</v>
      </c>
      <c r="DD208" s="21">
        <f t="shared" ca="1" si="257"/>
        <v>9.8365857528161325E-3</v>
      </c>
      <c r="DE208" s="21">
        <f t="shared" ca="1" si="258"/>
        <v>1.9094548814290142E-2</v>
      </c>
      <c r="DF208" s="21">
        <f t="shared" ca="1" si="259"/>
        <v>3.6067481093659155E-2</v>
      </c>
      <c r="DG208" s="21">
        <f t="shared" ca="1" si="260"/>
        <v>6.4921465968586473E-2</v>
      </c>
      <c r="DH208" s="21">
        <f t="shared" ca="1" si="261"/>
        <v>0.10820244328097746</v>
      </c>
      <c r="DI208" s="21">
        <f t="shared" ca="1" si="262"/>
        <v>0.1623036649214662</v>
      </c>
      <c r="DK208" s="16" cm="1">
        <f t="array" aca="1" ref="DK208" ca="1">MAX(_xlfn._xlws.FILTER(CV208:DI208,CV208:DI208&lt;BT208))</f>
        <v>-1.9094548814290142E-2</v>
      </c>
      <c r="DL208" s="16" cm="1">
        <f t="array" aca="1" ref="DL208" ca="1">MIN(_xlfn._xlws.FILTER(CV208:DI208,CV208:DI208&gt;BT208))</f>
        <v>-9.8365857528161325E-3</v>
      </c>
      <c r="DM208" s="2" cm="1">
        <f t="array" aca="1" ref="DM208" ca="1">_FV(EB208,"Fechamento anterior",TRUE)</f>
        <v>4.03</v>
      </c>
      <c r="DN208" s="28">
        <f t="shared" ca="1" si="235"/>
        <v>0.99038961818618421</v>
      </c>
      <c r="DO208" s="15">
        <f t="shared" ca="1" si="263"/>
        <v>3.9530489682784111</v>
      </c>
      <c r="DP208" s="15">
        <f t="shared" ca="1" si="264"/>
        <v>3.9903585594161513</v>
      </c>
      <c r="DQ208" s="9"/>
      <c r="DR208" s="9"/>
      <c r="DS208" s="9"/>
      <c r="DT208" s="89">
        <v>9.2579630614740092E-3</v>
      </c>
      <c r="DU208" s="89">
        <f t="shared" ca="1" si="236"/>
        <v>9.2579630614740092E-3</v>
      </c>
      <c r="DV208" s="72">
        <f t="shared" ca="1" si="237"/>
        <v>-0.17121904366069912</v>
      </c>
      <c r="DW208" s="37"/>
      <c r="DX208" s="35">
        <f t="shared" si="247"/>
        <v>0.13141061600951434</v>
      </c>
      <c r="DY208" s="56"/>
      <c r="DZ208" s="56"/>
      <c r="EB208" s="2" t="e" vm="210">
        <v>#VALUE!</v>
      </c>
      <c r="ED208" s="10" cm="1">
        <f t="array" aca="1" ref="ED208" ca="1">_FV(EB208,"Ações em circulação",TRUE)</f>
        <v>462739900</v>
      </c>
      <c r="EE208" s="18">
        <f>VLOOKUP(BO208,Fundamentus!A:U,5,FALSE)</f>
        <v>0.54600000000000004</v>
      </c>
      <c r="EF208" s="2">
        <f t="shared" ca="1" si="238"/>
        <v>3381560807.6923075</v>
      </c>
      <c r="EG208" s="17">
        <v>-40578729.692307688</v>
      </c>
      <c r="EH208" s="17">
        <f t="shared" ca="1" si="239"/>
        <v>-40578729.692307688</v>
      </c>
      <c r="EJ208" s="16">
        <f t="shared" ca="1" si="226"/>
        <v>0</v>
      </c>
      <c r="EK208" s="32" t="str">
        <f>IF(VLOOKUP(BO208,Fundamentus!A:U,3,FALSE)&lt;15,"Bom",IF(VLOOKUP(BO208,Fundamentus!A:U,3,FALSE)&gt;15,"Ruim","n/a"))</f>
        <v>Bom</v>
      </c>
      <c r="EL208" s="28" t="str">
        <f>IF(VLOOKUP(BO208,Fundamentus!A:U,4,FALSE)&lt;1,"Baixo",IF(VLOOKUP(BO208,Fundamentus!A:U,4,FALSE)&lt;1.5,"Moderado",IF(VLOOKUP(BO208,Fundamentus!A:U,4,FALSE)&gt;1.5,"Alto","n/a")))</f>
        <v>Moderado</v>
      </c>
      <c r="EM208" s="17" t="str">
        <f>IF(VLOOKUP(BO208,Fundamentus!A:U,8,FALSE)&lt;0,"Risco elevado",IF(VLOOKUP(BO208,Fundamentus!A:U,8,FALSE)&lt;1,"Saudável",IF(VLOOKUP(BO208,Fundamentus!A:U,8,FALSE)&lt;3,"Estável",IF(VLOOKUP(BO208,Fundamentus!A:U,8,FALSE)&gt;3,"Alerta","n/a"))))</f>
        <v>Alerta</v>
      </c>
      <c r="EN208" s="28" t="str">
        <f t="shared" si="240"/>
        <v>Ruim</v>
      </c>
      <c r="EO208" s="17" t="str">
        <f>IF(VLOOKUP(BO208,Fundamentus!A:U,12,FALSE)&lt;2,"Subvalorizada",IF(VLOOKUP(BO208,Fundamentus!A:U,12,FALSE)&lt;6,"Muita barata",IF(VLOOKUP(BO208,Fundamentus!A:U,12,FALSE)&lt;6,"Barata",IF(VLOOKUP(BO208,Fundamentus!A:U,12,FALSE)&lt;8,"Atrativa",IF(VLOOKUP(BO208,Fundamentus!A:U,12,FALSE)&gt;8,"Supervalorizada","n/a")))))</f>
        <v>Muita barata</v>
      </c>
      <c r="EQ208" s="17" t="str">
        <f>IF(VLOOKUP(BO208,Fundamentus!A:U,17,FALSE)&lt;0.1,"Fraco retorno",IF(VLOOKUP(BO208,Fundamentus!A:U,17,FALSE)&gt;0.1,"Bom retorno","n/a"))</f>
        <v>Fraco retorno</v>
      </c>
      <c r="ER208" s="17" t="str">
        <f>IF(VLOOKUP(BO208,Fundamentus!A:U,16,FALSE)&lt;0.1,"Ineficiente",IF(VLOOKUP(BO208,Fundamentus!A:U,16,FALSE)&gt;0.1,"Eficiente","n/a"))</f>
        <v>Ineficiente</v>
      </c>
      <c r="ES208" s="33" t="str">
        <f>IF(VLOOKUP(BO208,Fundamentus!A:U,16,FALSE)&lt;0.1,"Oper. Ineficiente",IF(VLOOKUP(BO208,Fundamentus!A:U,16,FALSE)&gt;0.1,"Oper.Eficiente","n/a"))</f>
        <v>Oper. Ineficiente</v>
      </c>
      <c r="ET208" s="34">
        <f>VLOOKUP(BO208,Fundamentus!A:U,14,FALSE)</f>
        <v>-1.2E-2</v>
      </c>
      <c r="EU208" s="17" t="str">
        <f>IF(VLOOKUP(BO208,Fundamentus!A:U,21,FALSE)&lt;0,"Negativo",IF(VLOOKUP(BO208,Fundamentus!A:U,21,FALSE)&lt;0.05,"Fraco",IF(VLOOKUP(BO208,Fundamentus!A:U,21,FALSE)&lt;0.1,"Bom",IF(VLOOKUP(BO208,Fundamentus!A:U,21,FALSE)&gt;0.1,"Muito bom","n/a"))))</f>
        <v>Muito bom</v>
      </c>
      <c r="EW208" s="29" t="str">
        <f>IF(VLOOKUP(BO208,Fundamentus!A:U,15,FALSE)&gt;1,"Bom",IF(VLOOKUP(BO208,Fundamentus!A:U,15,FALSE)&lt;1,"Ruim","n/a"))</f>
        <v>Bom</v>
      </c>
      <c r="EX208" s="17" t="str">
        <f>IF(VLOOKUP(BO208,Fundamentus!A:U,20,FALSE)&lt;0.5,"Baixa",IF(VLOOKUP(BO208,Fundamentus!A:U,20,FALSE)&lt;1,"Moderada",IF(VLOOKUP(BO208,Fundamentus!A:U,20,FALSE)&lt;2,"Alerta",IF(VLOOKUP(BO208,Fundamentus!A:U,20,FALSE)&gt;2,"Alta","n/a"))))</f>
        <v>Baixa</v>
      </c>
      <c r="EY208" s="10"/>
    </row>
    <row r="209" spans="1:155" s="2" customFormat="1" ht="11.25"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5">
        <v>38.020000000000003</v>
      </c>
      <c r="BC209" s="52">
        <v>40.67</v>
      </c>
      <c r="BD209" s="52">
        <v>42.5</v>
      </c>
      <c r="BE209" s="52">
        <v>42.21</v>
      </c>
      <c r="BF209" s="52">
        <v>40.98</v>
      </c>
      <c r="BG209" s="67">
        <v>41.04</v>
      </c>
      <c r="BH209" s="52">
        <v>40.89</v>
      </c>
      <c r="BI209" s="52">
        <v>41.52</v>
      </c>
      <c r="BJ209" s="52">
        <v>43.11</v>
      </c>
      <c r="BK209" s="52">
        <v>41.09</v>
      </c>
      <c r="BL209" s="52">
        <v>41.7</v>
      </c>
      <c r="BM209" s="52">
        <v>43</v>
      </c>
      <c r="BN209" s="52" cm="1">
        <f t="array" aca="1" ref="BN209" ca="1">_FV(EB209,"Preço")</f>
        <v>43</v>
      </c>
      <c r="BO209" s="69" t="s">
        <v>32</v>
      </c>
      <c r="BP209" s="36" cm="1">
        <f t="array" aca="1" ref="BP209" ca="1">_FV(EB209,"Média de volume",TRUE)</f>
        <v>3674530</v>
      </c>
      <c r="BQ209" s="36">
        <v>2517700</v>
      </c>
      <c r="BR209" s="36" cm="1">
        <f t="array" aca="1" ref="BR209" ca="1">_FV(EB209,"Volume")</f>
        <v>2517700</v>
      </c>
      <c r="BS209" s="24" cm="1">
        <f t="array" aca="1" ref="BS209" ca="1">_FV(EB209,"Beta")</f>
        <v>0.94579999999999997</v>
      </c>
      <c r="BT209" s="71" cm="1">
        <f t="array" aca="1" ref="BT209" ca="1">_FV(EB209,"Variação (%)",TRUE)</f>
        <v>-4.6489999999999997E-4</v>
      </c>
      <c r="BV209" s="17" cm="1">
        <f t="array" aca="1" ref="BV209" ca="1">_FV(EB209,"Baixo")</f>
        <v>43</v>
      </c>
      <c r="BW209" s="17" cm="1">
        <f t="array" aca="1" ref="BW209" ca="1">_FV(EB209,"Alto")</f>
        <v>43.63</v>
      </c>
      <c r="BX209" s="24"/>
      <c r="BY209" s="63">
        <f ca="1">SQRT(22.5*(BN209/VLOOKUP(BO209,Fundamentus!A:U,3,FALSE))*(BN209/VLOOKUP(BO209,Fundamentus!A:U,4,FALSE)))</f>
        <v>15.418515139905878</v>
      </c>
      <c r="CA209" s="62">
        <f t="shared" ca="1" si="241"/>
        <v>0</v>
      </c>
      <c r="CB209" s="8"/>
      <c r="CC209" s="61">
        <f t="shared" si="242"/>
        <v>26.14</v>
      </c>
      <c r="CD209" s="61">
        <f t="shared" si="243"/>
        <v>43.11</v>
      </c>
      <c r="CE209" s="61">
        <f t="shared" si="244"/>
        <v>32.49023076923077</v>
      </c>
      <c r="CF209" s="14"/>
      <c r="CG209" s="35">
        <f t="shared" si="227"/>
        <v>40.578113282711982</v>
      </c>
      <c r="CH209" s="15">
        <f t="shared" si="245"/>
        <v>42.294999999999987</v>
      </c>
      <c r="CI209" s="35">
        <f t="shared" si="228"/>
        <v>44.011886717287993</v>
      </c>
      <c r="CK209" s="14"/>
      <c r="CL209" s="17">
        <f t="shared" si="229"/>
        <v>13.88666666666667</v>
      </c>
      <c r="CM209" s="17">
        <f t="shared" si="230"/>
        <v>20.013333333333335</v>
      </c>
      <c r="CN209" s="17">
        <f t="shared" si="231"/>
        <v>30.856666666666669</v>
      </c>
      <c r="CO209" s="38">
        <f t="shared" si="246"/>
        <v>36.983333333333334</v>
      </c>
      <c r="CP209" s="17">
        <f t="shared" si="232"/>
        <v>47.826666666666668</v>
      </c>
      <c r="CQ209" s="17">
        <f t="shared" si="233"/>
        <v>53.953333333333333</v>
      </c>
      <c r="CR209" s="17">
        <f t="shared" si="234"/>
        <v>64.796666666666667</v>
      </c>
      <c r="CS209" s="2" cm="1">
        <f t="array" aca="1" ref="CS209" ca="1">MAX(_xlfn._xlws.FILTER(CL209:CR209,CL209:CR209&lt;BN209))</f>
        <v>36.983333333333334</v>
      </c>
      <c r="CT209" s="2" cm="1">
        <f t="array" aca="1" ref="CT209" ca="1">MIN(_xlfn._xlws.FILTER($CL209:$CR209,$CL209:$CR209&gt;BN209))</f>
        <v>47.826666666666668</v>
      </c>
      <c r="CU209" s="16">
        <f t="shared" ca="1" si="248"/>
        <v>0.29319513294276711</v>
      </c>
      <c r="CV209" s="20">
        <f t="shared" ca="1" si="249"/>
        <v>-0.14659756647138356</v>
      </c>
      <c r="CW209" s="20">
        <f t="shared" ca="1" si="250"/>
        <v>-9.7731710980922371E-2</v>
      </c>
      <c r="CX209" s="20">
        <f t="shared" ca="1" si="251"/>
        <v>-5.8639026588553425E-2</v>
      </c>
      <c r="CY209" s="20">
        <f t="shared" ca="1" si="252"/>
        <v>-3.257723699364079E-2</v>
      </c>
      <c r="CZ209" s="20">
        <f t="shared" ca="1" si="253"/>
        <v>-1.7246772526045125E-2</v>
      </c>
      <c r="DA209" s="20">
        <f t="shared" ca="1" si="254"/>
        <v>-8.8847009982656704E-3</v>
      </c>
      <c r="DB209" s="20">
        <f t="shared" ca="1" si="255"/>
        <v>-4.510694352965648E-3</v>
      </c>
      <c r="DC209" s="21">
        <f t="shared" ca="1" si="256"/>
        <v>4.510694352965648E-3</v>
      </c>
      <c r="DD209" s="21">
        <f t="shared" ca="1" si="257"/>
        <v>8.8847009982656704E-3</v>
      </c>
      <c r="DE209" s="21">
        <f t="shared" ca="1" si="258"/>
        <v>1.7246772526045125E-2</v>
      </c>
      <c r="DF209" s="21">
        <f t="shared" ca="1" si="259"/>
        <v>3.257723699364079E-2</v>
      </c>
      <c r="DG209" s="21">
        <f t="shared" ca="1" si="260"/>
        <v>5.8639026588553425E-2</v>
      </c>
      <c r="DH209" s="21">
        <f t="shared" ca="1" si="261"/>
        <v>9.7731710980922371E-2</v>
      </c>
      <c r="DI209" s="21">
        <f t="shared" ca="1" si="262"/>
        <v>0.14659756647138356</v>
      </c>
      <c r="DK209" s="16" cm="1">
        <f t="array" aca="1" ref="DK209" ca="1">MAX(_xlfn._xlws.FILTER(CV209:DI209,CV209:DI209&lt;BT209))</f>
        <v>-4.510694352965648E-3</v>
      </c>
      <c r="DL209" s="16" cm="1">
        <f t="array" aca="1" ref="DL209" ca="1">MIN(_xlfn._xlws.FILTER(CV209:DI209,CV209:DI209&gt;BT209))</f>
        <v>4.510694352965648E-3</v>
      </c>
      <c r="DM209" s="2" cm="1">
        <f t="array" aca="1" ref="DM209" ca="1">_FV(EB209,"Fechamento anterior",TRUE)</f>
        <v>43.02</v>
      </c>
      <c r="DN209" s="28">
        <f t="shared" ca="1" si="235"/>
        <v>0.44846690884914175</v>
      </c>
      <c r="DO209" s="15">
        <f t="shared" ca="1" si="263"/>
        <v>42.825949928935422</v>
      </c>
      <c r="DP209" s="15">
        <f t="shared" ca="1" si="264"/>
        <v>43.214050071064584</v>
      </c>
      <c r="DQ209" s="9"/>
      <c r="DR209" s="9"/>
      <c r="DS209" s="9"/>
      <c r="DT209" s="89">
        <v>9.021388705931296E-3</v>
      </c>
      <c r="DU209" s="89">
        <f t="shared" ca="1" si="236"/>
        <v>9.021388705931296E-3</v>
      </c>
      <c r="DV209" s="72">
        <f t="shared" ca="1" si="237"/>
        <v>0.41062697550228039</v>
      </c>
      <c r="DW209" s="37"/>
      <c r="DX209" s="35">
        <f t="shared" si="247"/>
        <v>0.85844335864400345</v>
      </c>
      <c r="DY209" s="56"/>
      <c r="DZ209" s="56"/>
      <c r="EB209" s="2" t="e" vm="211">
        <v>#VALUE!</v>
      </c>
      <c r="ED209" s="10" cm="1">
        <f t="array" aca="1" ref="ED209" ca="1">_FV(EB209,"Ações em circulação",TRUE)</f>
        <v>599401600</v>
      </c>
      <c r="EE209" s="18">
        <f>VLOOKUP(BO209,Fundamentus!A:U,5,FALSE)</f>
        <v>4.7249999999999996</v>
      </c>
      <c r="EF209" s="2">
        <f t="shared" ca="1" si="238"/>
        <v>5454871703.7037039</v>
      </c>
      <c r="EG209" s="17">
        <v>808957473.6592592</v>
      </c>
      <c r="EH209" s="17">
        <f t="shared" ca="1" si="239"/>
        <v>808957473.6592592</v>
      </c>
      <c r="EJ209" s="16">
        <f t="shared" ca="1" si="226"/>
        <v>0</v>
      </c>
      <c r="EK209" s="32" t="str">
        <f>IF(VLOOKUP(BO209,Fundamentus!A:U,3,FALSE)&lt;15,"Bom",IF(VLOOKUP(BO209,Fundamentus!A:U,3,FALSE)&gt;15,"Ruim","n/a"))</f>
        <v>Ruim</v>
      </c>
      <c r="EL209" s="28" t="str">
        <f>IF(VLOOKUP(BO209,Fundamentus!A:U,4,FALSE)&lt;1,"Baixo",IF(VLOOKUP(BO209,Fundamentus!A:U,4,FALSE)&lt;1.5,"Moderado",IF(VLOOKUP(BO209,Fundamentus!A:U,4,FALSE)&gt;1.5,"Alto","n/a")))</f>
        <v>Alto</v>
      </c>
      <c r="EM209" s="17" t="str">
        <f>IF(VLOOKUP(BO209,Fundamentus!A:U,8,FALSE)&lt;0,"Risco elevado",IF(VLOOKUP(BO209,Fundamentus!A:U,8,FALSE)&lt;1,"Saudável",IF(VLOOKUP(BO209,Fundamentus!A:U,8,FALSE)&lt;3,"Estável",IF(VLOOKUP(BO209,Fundamentus!A:U,8,FALSE)&gt;3,"Alerta","n/a"))))</f>
        <v>Alerta</v>
      </c>
      <c r="EN209" s="28" t="str">
        <f t="shared" si="240"/>
        <v>Bom</v>
      </c>
      <c r="EO209" s="17" t="str">
        <f>IF(VLOOKUP(BO209,Fundamentus!A:U,12,FALSE)&lt;2,"Subvalorizada",IF(VLOOKUP(BO209,Fundamentus!A:U,12,FALSE)&lt;6,"Muita barata",IF(VLOOKUP(BO209,Fundamentus!A:U,12,FALSE)&lt;6,"Barata",IF(VLOOKUP(BO209,Fundamentus!A:U,12,FALSE)&lt;8,"Atrativa",IF(VLOOKUP(BO209,Fundamentus!A:U,12,FALSE)&gt;8,"Supervalorizada","n/a")))))</f>
        <v>Supervalorizada</v>
      </c>
      <c r="EQ209" s="17" t="str">
        <f>IF(VLOOKUP(BO209,Fundamentus!A:U,17,FALSE)&lt;0.1,"Fraco retorno",IF(VLOOKUP(BO209,Fundamentus!A:U,17,FALSE)&gt;0.1,"Bom retorno","n/a"))</f>
        <v>Bom retorno</v>
      </c>
      <c r="ER209" s="17" t="str">
        <f>IF(VLOOKUP(BO209,Fundamentus!A:U,16,FALSE)&lt;0.1,"Ineficiente",IF(VLOOKUP(BO209,Fundamentus!A:U,16,FALSE)&gt;0.1,"Eficiente","n/a"))</f>
        <v>Eficiente</v>
      </c>
      <c r="ES209" s="33" t="str">
        <f>IF(VLOOKUP(BO209,Fundamentus!A:U,16,FALSE)&lt;0.1,"Oper. Ineficiente",IF(VLOOKUP(BO209,Fundamentus!A:U,16,FALSE)&gt;0.1,"Oper.Eficiente","n/a"))</f>
        <v>Oper.Eficiente</v>
      </c>
      <c r="ET209" s="34">
        <f>VLOOKUP(BO209,Fundamentus!A:U,14,FALSE)</f>
        <v>0.14829999999999999</v>
      </c>
      <c r="EU209" s="17" t="str">
        <f>IF(VLOOKUP(BO209,Fundamentus!A:U,21,FALSE)&lt;0,"Negativo",IF(VLOOKUP(BO209,Fundamentus!A:U,21,FALSE)&lt;0.05,"Fraco",IF(VLOOKUP(BO209,Fundamentus!A:U,21,FALSE)&lt;0.1,"Bom",IF(VLOOKUP(BO209,Fundamentus!A:U,21,FALSE)&gt;0.1,"Muito bom","n/a"))))</f>
        <v>Muito bom</v>
      </c>
      <c r="EW209" s="29" t="str">
        <f>IF(VLOOKUP(BO209,Fundamentus!A:U,15,FALSE)&gt;1,"Bom",IF(VLOOKUP(BO209,Fundamentus!A:U,15,FALSE)&lt;1,"Ruim","n/a"))</f>
        <v>Bom</v>
      </c>
      <c r="EX209" s="17" t="str">
        <f>IF(VLOOKUP(BO209,Fundamentus!A:U,20,FALSE)&lt;0.5,"Baixa",IF(VLOOKUP(BO209,Fundamentus!A:U,20,FALSE)&lt;1,"Moderada",IF(VLOOKUP(BO209,Fundamentus!A:U,20,FALSE)&lt;2,"Alerta",IF(VLOOKUP(BO209,Fundamentus!A:U,20,FALSE)&gt;2,"Alta","n/a"))))</f>
        <v>Baixa</v>
      </c>
      <c r="EY209" s="10">
        <v>4</v>
      </c>
    </row>
    <row r="210" spans="1:155" s="2" customFormat="1" ht="11.25"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5">
        <v>15.7</v>
      </c>
      <c r="BC210" s="52">
        <v>15.97</v>
      </c>
      <c r="BD210" s="52">
        <v>15.54</v>
      </c>
      <c r="BE210" s="52">
        <v>15.85</v>
      </c>
      <c r="BF210" s="52">
        <v>17.07</v>
      </c>
      <c r="BG210" s="67">
        <v>16.53</v>
      </c>
      <c r="BH210" s="52">
        <v>16.54</v>
      </c>
      <c r="BI210" s="52">
        <v>16.18</v>
      </c>
      <c r="BJ210" s="52">
        <v>16.329999999999998</v>
      </c>
      <c r="BK210" s="52">
        <v>13.88</v>
      </c>
      <c r="BL210" s="52">
        <v>13.3</v>
      </c>
      <c r="BM210" s="52">
        <v>12.39</v>
      </c>
      <c r="BN210" s="52" cm="1">
        <f t="array" aca="1" ref="BN210" ca="1">_FV(EB210,"Preço")</f>
        <v>12.39</v>
      </c>
      <c r="BO210" s="69" t="s">
        <v>206</v>
      </c>
      <c r="BP210" s="36" cm="1">
        <f t="array" aca="1" ref="BP210" ca="1">_FV(EB210,"Média de volume",TRUE)</f>
        <v>4633250</v>
      </c>
      <c r="BQ210" s="36">
        <v>4617500</v>
      </c>
      <c r="BR210" s="36" cm="1">
        <f t="array" aca="1" ref="BR210" ca="1">_FV(EB210,"Volume")</f>
        <v>4617500</v>
      </c>
      <c r="BS210" s="24" cm="1">
        <f t="array" aca="1" ref="BS210" ca="1">_FV(EB210,"Beta")</f>
        <v>2.0891000000000002</v>
      </c>
      <c r="BT210" s="71" cm="1">
        <f t="array" aca="1" ref="BT210" ca="1">_FV(EB210,"Variação (%)",TRUE)</f>
        <v>-4.6923000000000006E-2</v>
      </c>
      <c r="BV210" s="17" cm="1">
        <f t="array" aca="1" ref="BV210" ca="1">_FV(EB210,"Baixo")</f>
        <v>12.35</v>
      </c>
      <c r="BW210" s="17" cm="1">
        <f t="array" aca="1" ref="BW210" ca="1">_FV(EB210,"Alto")</f>
        <v>12.99</v>
      </c>
      <c r="BX210" s="24"/>
      <c r="BY210" s="63">
        <f ca="1">SQRT(22.5*(BN210/VLOOKUP(BO210,Fundamentus!A:U,3,FALSE))*(BN210/VLOOKUP(BO210,Fundamentus!A:U,4,FALSE)))</f>
        <v>16.405200702770351</v>
      </c>
      <c r="CA210" s="62">
        <f t="shared" ca="1" si="241"/>
        <v>0</v>
      </c>
      <c r="CB210" s="8"/>
      <c r="CC210" s="61">
        <f t="shared" si="242"/>
        <v>8.0399999999999991</v>
      </c>
      <c r="CD210" s="61">
        <f t="shared" si="243"/>
        <v>17.07</v>
      </c>
      <c r="CE210" s="61">
        <f t="shared" si="244"/>
        <v>11.786615384615386</v>
      </c>
      <c r="CF210" s="14"/>
      <c r="CG210" s="35">
        <f t="shared" si="227"/>
        <v>7.9555993765843267</v>
      </c>
      <c r="CH210" s="15">
        <f t="shared" si="245"/>
        <v>10.875</v>
      </c>
      <c r="CI210" s="35">
        <f t="shared" si="228"/>
        <v>13.794400623415672</v>
      </c>
      <c r="CK210" s="14"/>
      <c r="CL210" s="17">
        <f t="shared" si="229"/>
        <v>-0.49333333333333584</v>
      </c>
      <c r="CM210" s="17">
        <f t="shared" si="230"/>
        <v>3.7733333333333317</v>
      </c>
      <c r="CN210" s="17">
        <f t="shared" si="231"/>
        <v>8.5366666666666653</v>
      </c>
      <c r="CO210" s="38">
        <f t="shared" si="246"/>
        <v>12.803333333333333</v>
      </c>
      <c r="CP210" s="17">
        <f t="shared" si="232"/>
        <v>17.566666666666666</v>
      </c>
      <c r="CQ210" s="17">
        <f t="shared" si="233"/>
        <v>21.833333333333336</v>
      </c>
      <c r="CR210" s="17">
        <f t="shared" si="234"/>
        <v>26.596666666666668</v>
      </c>
      <c r="CS210" s="2" cm="1">
        <f t="array" aca="1" ref="CS210" ca="1">MAX(_xlfn._xlws.FILTER(CL210:CR210,CL210:CR210&lt;BN210))</f>
        <v>8.5366666666666653</v>
      </c>
      <c r="CT210" s="2" cm="1">
        <f t="array" aca="1" ref="CT210" ca="1">MIN(_xlfn._xlws.FILTER($CL210:$CR210,$CL210:$CR210&gt;BN210))</f>
        <v>12.803333333333333</v>
      </c>
      <c r="CU210" s="16">
        <f t="shared" ca="1" si="248"/>
        <v>0.49980476376415472</v>
      </c>
      <c r="CV210" s="20">
        <f t="shared" ca="1" si="249"/>
        <v>-0.24990238188207736</v>
      </c>
      <c r="CW210" s="20">
        <f t="shared" ca="1" si="250"/>
        <v>-0.16660158792138491</v>
      </c>
      <c r="CX210" s="20">
        <f t="shared" ca="1" si="251"/>
        <v>-9.9960952752830942E-2</v>
      </c>
      <c r="CY210" s="20">
        <f t="shared" ca="1" si="252"/>
        <v>-5.5533862640461638E-2</v>
      </c>
      <c r="CZ210" s="20">
        <f t="shared" ca="1" si="253"/>
        <v>-2.9400280221420865E-2</v>
      </c>
      <c r="DA210" s="20">
        <f t="shared" ca="1" si="254"/>
        <v>-1.5145598901944083E-2</v>
      </c>
      <c r="DB210" s="20">
        <f t="shared" ca="1" si="255"/>
        <v>-7.6893040579100727E-3</v>
      </c>
      <c r="DC210" s="21">
        <f t="shared" ca="1" si="256"/>
        <v>7.6893040579100727E-3</v>
      </c>
      <c r="DD210" s="21">
        <f t="shared" ca="1" si="257"/>
        <v>1.5145598901944083E-2</v>
      </c>
      <c r="DE210" s="21">
        <f t="shared" ca="1" si="258"/>
        <v>2.9400280221420865E-2</v>
      </c>
      <c r="DF210" s="21">
        <f t="shared" ca="1" si="259"/>
        <v>5.5533862640461638E-2</v>
      </c>
      <c r="DG210" s="21">
        <f t="shared" ca="1" si="260"/>
        <v>9.9960952752830942E-2</v>
      </c>
      <c r="DH210" s="21">
        <f t="shared" ca="1" si="261"/>
        <v>0.16660158792138491</v>
      </c>
      <c r="DI210" s="21">
        <f t="shared" ca="1" si="262"/>
        <v>0.24990238188207736</v>
      </c>
      <c r="DK210" s="16" cm="1">
        <f t="array" aca="1" ref="DK210" ca="1">MAX(_xlfn._xlws.FILTER(CV210:DI210,CV210:DI210&lt;BT210))</f>
        <v>-5.5533862640461638E-2</v>
      </c>
      <c r="DL210" s="16" cm="1">
        <f t="array" aca="1" ref="DL210" ca="1">MIN(_xlfn._xlws.FILTER(CV210:DI210,CV210:DI210&gt;BT210))</f>
        <v>-2.9400280221420865E-2</v>
      </c>
      <c r="DM210" s="2" cm="1">
        <f t="array" aca="1" ref="DM210" ca="1">_FV(EB210,"Fechamento anterior",TRUE)</f>
        <v>13</v>
      </c>
      <c r="DN210" s="28">
        <f t="shared" ca="1" si="235"/>
        <v>0.32949121093750028</v>
      </c>
      <c r="DO210" s="15">
        <f t="shared" ca="1" si="263"/>
        <v>12.278059785673999</v>
      </c>
      <c r="DP210" s="15">
        <f t="shared" ca="1" si="264"/>
        <v>12.617796357121529</v>
      </c>
      <c r="DQ210" s="9"/>
      <c r="DR210" s="9"/>
      <c r="DS210" s="9"/>
      <c r="DT210" s="89">
        <v>2.6133582419040773E-2</v>
      </c>
      <c r="DU210" s="89">
        <f t="shared" ca="1" si="236"/>
        <v>2.6133582419040773E-2</v>
      </c>
      <c r="DV210" s="72">
        <f t="shared" ca="1" si="237"/>
        <v>0.51894213759105923</v>
      </c>
      <c r="DW210" s="37"/>
      <c r="DX210" s="35">
        <f t="shared" si="247"/>
        <v>1.4597003117078367</v>
      </c>
      <c r="DY210" s="56"/>
      <c r="DZ210" s="56"/>
      <c r="EB210" s="2" t="e" vm="212">
        <v>#VALUE!</v>
      </c>
      <c r="ED210" s="10" cm="1">
        <f t="array" aca="1" ref="ED210" ca="1">_FV(EB210,"Ações em circulação",TRUE)</f>
        <v>274088800</v>
      </c>
      <c r="EE210" s="18">
        <f>VLOOKUP(BO210,Fundamentus!A:U,5,FALSE)</f>
        <v>0.66300000000000003</v>
      </c>
      <c r="EF210" s="2">
        <f t="shared" ca="1" si="238"/>
        <v>5122111963.8009043</v>
      </c>
      <c r="EG210" s="17">
        <v>304253450.64977372</v>
      </c>
      <c r="EH210" s="17">
        <f t="shared" ca="1" si="239"/>
        <v>304253450.64977372</v>
      </c>
      <c r="EJ210" s="16">
        <f t="shared" ca="1" si="226"/>
        <v>0</v>
      </c>
      <c r="EK210" s="32" t="str">
        <f>IF(VLOOKUP(BO210,Fundamentus!A:U,3,FALSE)&lt;15,"Bom",IF(VLOOKUP(BO210,Fundamentus!A:U,3,FALSE)&gt;15,"Ruim","n/a"))</f>
        <v>Bom</v>
      </c>
      <c r="EL210" s="28" t="str">
        <f>IF(VLOOKUP(BO210,Fundamentus!A:U,4,FALSE)&lt;1,"Baixo",IF(VLOOKUP(BO210,Fundamentus!A:U,4,FALSE)&lt;1.5,"Moderado",IF(VLOOKUP(BO210,Fundamentus!A:U,4,FALSE)&gt;1.5,"Alto","n/a")))</f>
        <v>Moderado</v>
      </c>
      <c r="EM210" s="17" t="str">
        <f>IF(VLOOKUP(BO210,Fundamentus!A:U,8,FALSE)&lt;0,"Risco elevado",IF(VLOOKUP(BO210,Fundamentus!A:U,8,FALSE)&lt;1,"Saudável",IF(VLOOKUP(BO210,Fundamentus!A:U,8,FALSE)&lt;3,"Estável",IF(VLOOKUP(BO210,Fundamentus!A:U,8,FALSE)&gt;3,"Alerta","n/a"))))</f>
        <v>Alerta</v>
      </c>
      <c r="EN210" s="28" t="str">
        <f t="shared" si="240"/>
        <v>Ruim</v>
      </c>
      <c r="EO210" s="17" t="str">
        <f>IF(VLOOKUP(BO210,Fundamentus!A:U,12,FALSE)&lt;2,"Subvalorizada",IF(VLOOKUP(BO210,Fundamentus!A:U,12,FALSE)&lt;6,"Muita barata",IF(VLOOKUP(BO210,Fundamentus!A:U,12,FALSE)&lt;6,"Barata",IF(VLOOKUP(BO210,Fundamentus!A:U,12,FALSE)&lt;8,"Atrativa",IF(VLOOKUP(BO210,Fundamentus!A:U,12,FALSE)&gt;8,"Supervalorizada","n/a")))))</f>
        <v>Muita barata</v>
      </c>
      <c r="EQ210" s="17" t="str">
        <f>IF(VLOOKUP(BO210,Fundamentus!A:U,17,FALSE)&lt;0.1,"Fraco retorno",IF(VLOOKUP(BO210,Fundamentus!A:U,17,FALSE)&gt;0.1,"Bom retorno","n/a"))</f>
        <v>Bom retorno</v>
      </c>
      <c r="ER210" s="17" t="str">
        <f>IF(VLOOKUP(BO210,Fundamentus!A:U,16,FALSE)&lt;0.1,"Ineficiente",IF(VLOOKUP(BO210,Fundamentus!A:U,16,FALSE)&gt;0.1,"Eficiente","n/a"))</f>
        <v>Eficiente</v>
      </c>
      <c r="ES210" s="33" t="str">
        <f>IF(VLOOKUP(BO210,Fundamentus!A:U,16,FALSE)&lt;0.1,"Oper. Ineficiente",IF(VLOOKUP(BO210,Fundamentus!A:U,16,FALSE)&gt;0.1,"Oper.Eficiente","n/a"))</f>
        <v>Oper.Eficiente</v>
      </c>
      <c r="ET210" s="34">
        <f>VLOOKUP(BO210,Fundamentus!A:U,14,FALSE)</f>
        <v>5.9400000000000001E-2</v>
      </c>
      <c r="EU210" s="17" t="str">
        <f>IF(VLOOKUP(BO210,Fundamentus!A:U,21,FALSE)&lt;0,"Negativo",IF(VLOOKUP(BO210,Fundamentus!A:U,21,FALSE)&lt;0.05,"Fraco",IF(VLOOKUP(BO210,Fundamentus!A:U,21,FALSE)&lt;0.1,"Bom",IF(VLOOKUP(BO210,Fundamentus!A:U,21,FALSE)&gt;0.1,"Muito bom","n/a"))))</f>
        <v>Bom</v>
      </c>
      <c r="EW210" s="29" t="str">
        <f>IF(VLOOKUP(BO210,Fundamentus!A:U,15,FALSE)&gt;1,"Bom",IF(VLOOKUP(BO210,Fundamentus!A:U,15,FALSE)&lt;1,"Ruim","n/a"))</f>
        <v>Bom</v>
      </c>
      <c r="EX210" s="17" t="str">
        <f>IF(VLOOKUP(BO210,Fundamentus!A:U,20,FALSE)&lt;0.5,"Baixa",IF(VLOOKUP(BO210,Fundamentus!A:U,20,FALSE)&lt;1,"Moderada",IF(VLOOKUP(BO210,Fundamentus!A:U,20,FALSE)&lt;2,"Alerta",IF(VLOOKUP(BO210,Fundamentus!A:U,20,FALSE)&gt;2,"Alta","n/a"))))</f>
        <v>Alerta</v>
      </c>
    </row>
    <row r="211" spans="1:155" s="2" customFormat="1" ht="11.25"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5">
        <v>6.67</v>
      </c>
      <c r="BC211" s="52">
        <v>6.59</v>
      </c>
      <c r="BD211" s="52">
        <v>6.32</v>
      </c>
      <c r="BE211" s="52">
        <v>6.22</v>
      </c>
      <c r="BF211" s="52">
        <v>5.83</v>
      </c>
      <c r="BG211" s="67">
        <v>6.02</v>
      </c>
      <c r="BH211" s="52">
        <v>6.2</v>
      </c>
      <c r="BI211" s="52">
        <v>5.85</v>
      </c>
      <c r="BJ211" s="52">
        <v>5.99</v>
      </c>
      <c r="BK211" s="52">
        <v>5.6</v>
      </c>
      <c r="BL211" s="52">
        <v>5.2</v>
      </c>
      <c r="BM211" s="52">
        <v>5.39</v>
      </c>
      <c r="BN211" s="52" cm="1">
        <f t="array" aca="1" ref="BN211" ca="1">_FV(EB211,"Preço")</f>
        <v>5.39</v>
      </c>
      <c r="BO211" s="69" t="s">
        <v>207</v>
      </c>
      <c r="BP211" s="36" cm="1">
        <f t="array" aca="1" ref="BP211" ca="1">_FV(EB211,"Média de volume",TRUE)</f>
        <v>389770</v>
      </c>
      <c r="BQ211" s="36">
        <v>263100</v>
      </c>
      <c r="BR211" s="36" cm="1">
        <f t="array" aca="1" ref="BR211" ca="1">_FV(EB211,"Volume")</f>
        <v>263100</v>
      </c>
      <c r="BS211" s="24" cm="1">
        <f t="array" aca="1" ref="BS211" ca="1">_FV(EB211,"Beta")</f>
        <v>1.4704999999999999</v>
      </c>
      <c r="BT211" s="71" cm="1">
        <f t="array" aca="1" ref="BT211" ca="1">_FV(EB211,"Variação (%)",TRUE)</f>
        <v>0</v>
      </c>
      <c r="BV211" s="17" cm="1">
        <f t="array" aca="1" ref="BV211" ca="1">_FV(EB211,"Baixo")</f>
        <v>5.33</v>
      </c>
      <c r="BW211" s="17" cm="1">
        <f t="array" aca="1" ref="BW211" ca="1">_FV(EB211,"Alto")</f>
        <v>5.46</v>
      </c>
      <c r="BX211" s="24"/>
      <c r="BY211" s="63">
        <f ca="1">SQRT(22.5*(BN211/VLOOKUP(BO211,Fundamentus!A:U,3,FALSE))*(BN211/VLOOKUP(BO211,Fundamentus!A:U,4,FALSE)))</f>
        <v>10.073720332570256</v>
      </c>
      <c r="CA211" s="62">
        <f t="shared" ca="1" si="241"/>
        <v>0</v>
      </c>
      <c r="CB211" s="8"/>
      <c r="CC211" s="61">
        <f t="shared" si="242"/>
        <v>5.17</v>
      </c>
      <c r="CD211" s="61">
        <f t="shared" si="243"/>
        <v>12.01</v>
      </c>
      <c r="CE211" s="61">
        <f t="shared" si="244"/>
        <v>7.4123076923076914</v>
      </c>
      <c r="CF211" s="14"/>
      <c r="CG211" s="35">
        <f t="shared" si="227"/>
        <v>4.4083996249576192</v>
      </c>
      <c r="CH211" s="15">
        <f t="shared" si="245"/>
        <v>4.9950000000001182</v>
      </c>
      <c r="CI211" s="35">
        <f t="shared" si="228"/>
        <v>5.5816003750426173</v>
      </c>
      <c r="CK211" s="14"/>
      <c r="CL211" s="17">
        <f t="shared" si="229"/>
        <v>-3.9299999999999997</v>
      </c>
      <c r="CM211" s="17">
        <f t="shared" si="230"/>
        <v>0.62000000000000011</v>
      </c>
      <c r="CN211" s="17">
        <f t="shared" si="231"/>
        <v>2.91</v>
      </c>
      <c r="CO211" s="38">
        <f t="shared" si="246"/>
        <v>7.46</v>
      </c>
      <c r="CP211" s="17">
        <f t="shared" si="232"/>
        <v>9.75</v>
      </c>
      <c r="CQ211" s="17">
        <f t="shared" si="233"/>
        <v>14.3</v>
      </c>
      <c r="CR211" s="17">
        <f t="shared" si="234"/>
        <v>16.59</v>
      </c>
      <c r="CS211" s="2" cm="1">
        <f t="array" aca="1" ref="CS211" ca="1">MAX(_xlfn._xlws.FILTER(CL211:CR211,CL211:CR211&lt;BN211))</f>
        <v>2.91</v>
      </c>
      <c r="CT211" s="2" cm="1">
        <f t="array" aca="1" ref="CT211" ca="1">MIN(_xlfn._xlws.FILTER($CL211:$CR211,$CL211:$CR211&gt;BN211))</f>
        <v>7.46</v>
      </c>
      <c r="CU211" s="16">
        <f t="shared" ca="1" si="248"/>
        <v>1.5635738831615118</v>
      </c>
      <c r="CV211" s="20">
        <f t="shared" ca="1" si="249"/>
        <v>-0.7817869415807559</v>
      </c>
      <c r="CW211" s="20">
        <f t="shared" ca="1" si="250"/>
        <v>-0.5211912943871706</v>
      </c>
      <c r="CX211" s="20">
        <f t="shared" ca="1" si="251"/>
        <v>-0.31271477663230235</v>
      </c>
      <c r="CY211" s="20">
        <f t="shared" ca="1" si="252"/>
        <v>-0.1737304314623902</v>
      </c>
      <c r="CZ211" s="20">
        <f t="shared" ca="1" si="253"/>
        <v>-9.1974934303618347E-2</v>
      </c>
      <c r="DA211" s="20">
        <f t="shared" ca="1" si="254"/>
        <v>-4.7381026762470052E-2</v>
      </c>
      <c r="DB211" s="20">
        <f t="shared" ca="1" si="255"/>
        <v>-2.4054982817869414E-2</v>
      </c>
      <c r="DC211" s="21">
        <f t="shared" ca="1" si="256"/>
        <v>2.4054982817869414E-2</v>
      </c>
      <c r="DD211" s="21">
        <f t="shared" ca="1" si="257"/>
        <v>4.7381026762470052E-2</v>
      </c>
      <c r="DE211" s="21">
        <f t="shared" ca="1" si="258"/>
        <v>9.1974934303618347E-2</v>
      </c>
      <c r="DF211" s="21">
        <f t="shared" ca="1" si="259"/>
        <v>0.1737304314623902</v>
      </c>
      <c r="DG211" s="21">
        <f t="shared" ca="1" si="260"/>
        <v>0.31271477663230235</v>
      </c>
      <c r="DH211" s="21">
        <f t="shared" ca="1" si="261"/>
        <v>0.5211912943871706</v>
      </c>
      <c r="DI211" s="21">
        <f t="shared" ca="1" si="262"/>
        <v>0.7817869415807559</v>
      </c>
      <c r="DK211" s="16" cm="1">
        <f t="array" aca="1" ref="DK211" ca="1">MAX(_xlfn._xlws.FILTER(CV211:DI211,CV211:DI211&lt;BT211))</f>
        <v>-2.4054982817869414E-2</v>
      </c>
      <c r="DL211" s="16" cm="1">
        <f t="array" aca="1" ref="DL211" ca="1">MIN(_xlfn._xlws.FILTER(CV211:DI211,CV211:DI211&gt;BT211))</f>
        <v>2.4054982817869414E-2</v>
      </c>
      <c r="DM211" s="2" cm="1">
        <f t="array" aca="1" ref="DM211" ca="1">_FV(EB211,"Fechamento anterior",TRUE)</f>
        <v>5.39</v>
      </c>
      <c r="DN211" s="28">
        <f t="shared" ca="1" si="235"/>
        <v>0.5</v>
      </c>
      <c r="DO211" s="15">
        <f t="shared" ca="1" si="263"/>
        <v>5.2603436426116836</v>
      </c>
      <c r="DP211" s="15">
        <f t="shared" ca="1" si="264"/>
        <v>5.5196563573883157</v>
      </c>
      <c r="DQ211" s="9"/>
      <c r="DR211" s="9"/>
      <c r="DS211" s="9"/>
      <c r="DT211" s="89">
        <v>4.8109965635738827E-2</v>
      </c>
      <c r="DU211" s="89">
        <f t="shared" ca="1" si="236"/>
        <v>4.8109965635738827E-2</v>
      </c>
      <c r="DV211" s="72">
        <f t="shared" ca="1" si="237"/>
        <v>0.67337154356790818</v>
      </c>
      <c r="DW211" s="37"/>
      <c r="DX211" s="35">
        <f t="shared" si="247"/>
        <v>0.29330018752124937</v>
      </c>
      <c r="DY211" s="56"/>
      <c r="DZ211" s="56"/>
      <c r="EB211" s="2" t="e" vm="213">
        <v>#VALUE!</v>
      </c>
      <c r="ED211" s="10" cm="1">
        <f t="array" aca="1" ref="ED211" ca="1">_FV(EB211,"Ações em circulação",TRUE)</f>
        <v>286431100</v>
      </c>
      <c r="EE211" s="18">
        <f>VLOOKUP(BO211,Fundamentus!A:U,5,FALSE)</f>
        <v>0.16600000000000001</v>
      </c>
      <c r="EF211" s="2">
        <f t="shared" ca="1" si="238"/>
        <v>9300383307.2289143</v>
      </c>
      <c r="EG211" s="17">
        <v>205538471.08975902</v>
      </c>
      <c r="EH211" s="17">
        <f t="shared" ca="1" si="239"/>
        <v>205538471.08975902</v>
      </c>
      <c r="EJ211" s="16">
        <f t="shared" ca="1" si="226"/>
        <v>0</v>
      </c>
      <c r="EK211" s="32" t="str">
        <f>IF(VLOOKUP(BO211,Fundamentus!A:U,3,FALSE)&lt;15,"Bom",IF(VLOOKUP(BO211,Fundamentus!A:U,3,FALSE)&gt;15,"Ruim","n/a"))</f>
        <v>Bom</v>
      </c>
      <c r="EL211" s="28" t="str">
        <f>IF(VLOOKUP(BO211,Fundamentus!A:U,4,FALSE)&lt;1,"Baixo",IF(VLOOKUP(BO211,Fundamentus!A:U,4,FALSE)&lt;1.5,"Moderado",IF(VLOOKUP(BO211,Fundamentus!A:U,4,FALSE)&gt;1.5,"Alto","n/a")))</f>
        <v>Baixo</v>
      </c>
      <c r="EM211" s="17" t="str">
        <f>IF(VLOOKUP(BO211,Fundamentus!A:U,8,FALSE)&lt;0,"Risco elevado",IF(VLOOKUP(BO211,Fundamentus!A:U,8,FALSE)&lt;1,"Saudável",IF(VLOOKUP(BO211,Fundamentus!A:U,8,FALSE)&lt;3,"Estável",IF(VLOOKUP(BO211,Fundamentus!A:U,8,FALSE)&gt;3,"Alerta","n/a"))))</f>
        <v>Saudável</v>
      </c>
      <c r="EN211" s="28" t="str">
        <f t="shared" si="240"/>
        <v>Ruim</v>
      </c>
      <c r="EO211" s="17" t="str">
        <f>IF(VLOOKUP(BO211,Fundamentus!A:U,12,FALSE)&lt;2,"Subvalorizada",IF(VLOOKUP(BO211,Fundamentus!A:U,12,FALSE)&lt;6,"Muita barata",IF(VLOOKUP(BO211,Fundamentus!A:U,12,FALSE)&lt;6,"Barata",IF(VLOOKUP(BO211,Fundamentus!A:U,12,FALSE)&lt;8,"Atrativa",IF(VLOOKUP(BO211,Fundamentus!A:U,12,FALSE)&gt;8,"Supervalorizada","n/a")))))</f>
        <v>Muita barata</v>
      </c>
      <c r="EQ211" s="17" t="str">
        <f>IF(VLOOKUP(BO211,Fundamentus!A:U,17,FALSE)&lt;0.1,"Fraco retorno",IF(VLOOKUP(BO211,Fundamentus!A:U,17,FALSE)&gt;0.1,"Bom retorno","n/a"))</f>
        <v>Bom retorno</v>
      </c>
      <c r="ER211" s="17" t="str">
        <f>IF(VLOOKUP(BO211,Fundamentus!A:U,16,FALSE)&lt;0.1,"Ineficiente",IF(VLOOKUP(BO211,Fundamentus!A:U,16,FALSE)&gt;0.1,"Eficiente","n/a"))</f>
        <v>Eficiente</v>
      </c>
      <c r="ES211" s="33" t="str">
        <f>IF(VLOOKUP(BO211,Fundamentus!A:U,16,FALSE)&lt;0.1,"Oper. Ineficiente",IF(VLOOKUP(BO211,Fundamentus!A:U,16,FALSE)&gt;0.1,"Oper.Eficiente","n/a"))</f>
        <v>Oper.Eficiente</v>
      </c>
      <c r="ET211" s="34">
        <f>VLOOKUP(BO211,Fundamentus!A:U,14,FALSE)</f>
        <v>2.2100000000000002E-2</v>
      </c>
      <c r="EU211" s="17" t="str">
        <f>IF(VLOOKUP(BO211,Fundamentus!A:U,21,FALSE)&lt;0,"Negativo",IF(VLOOKUP(BO211,Fundamentus!A:U,21,FALSE)&lt;0.05,"Fraco",IF(VLOOKUP(BO211,Fundamentus!A:U,21,FALSE)&lt;0.1,"Bom",IF(VLOOKUP(BO211,Fundamentus!A:U,21,FALSE)&gt;0.1,"Muito bom","n/a"))))</f>
        <v>Muito bom</v>
      </c>
      <c r="EW211" s="29" t="str">
        <f>IF(VLOOKUP(BO211,Fundamentus!A:U,15,FALSE)&gt;1,"Bom",IF(VLOOKUP(BO211,Fundamentus!A:U,15,FALSE)&lt;1,"Ruim","n/a"))</f>
        <v>Bom</v>
      </c>
      <c r="EX211" s="17" t="str">
        <f>IF(VLOOKUP(BO211,Fundamentus!A:U,20,FALSE)&lt;0.5,"Baixa",IF(VLOOKUP(BO211,Fundamentus!A:U,20,FALSE)&lt;1,"Moderada",IF(VLOOKUP(BO211,Fundamentus!A:U,20,FALSE)&lt;2,"Alerta",IF(VLOOKUP(BO211,Fundamentus!A:U,20,FALSE)&gt;2,"Alta","n/a"))))</f>
        <v>Alta</v>
      </c>
    </row>
    <row r="212" spans="1:155" s="2" customFormat="1" ht="11.25"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5">
        <v>5.36</v>
      </c>
      <c r="BC212" s="52">
        <v>4.78</v>
      </c>
      <c r="BD212" s="52">
        <v>5.2</v>
      </c>
      <c r="BE212" s="52">
        <v>5.04</v>
      </c>
      <c r="BF212" s="52">
        <v>4.62</v>
      </c>
      <c r="BG212" s="67">
        <v>4.5999999999999996</v>
      </c>
      <c r="BH212" s="52">
        <v>4.5</v>
      </c>
      <c r="BI212" s="52">
        <v>5.08</v>
      </c>
      <c r="BJ212" s="52">
        <v>4.9800000000000004</v>
      </c>
      <c r="BK212" s="52">
        <v>5.36</v>
      </c>
      <c r="BL212" s="52">
        <v>5.47</v>
      </c>
      <c r="BM212" s="52">
        <v>5.44</v>
      </c>
      <c r="BN212" s="52" cm="1">
        <f t="array" aca="1" ref="BN212" ca="1">_FV(EB212,"Preço")</f>
        <v>5.44</v>
      </c>
      <c r="BO212" s="69" t="s">
        <v>208</v>
      </c>
      <c r="BP212" s="36" cm="1">
        <f t="array" aca="1" ref="BP212" ca="1">_FV(EB212,"Média de volume",TRUE)</f>
        <v>1147500</v>
      </c>
      <c r="BQ212" s="36">
        <v>643200</v>
      </c>
      <c r="BR212" s="36" cm="1">
        <f t="array" aca="1" ref="BR212" ca="1">_FV(EB212,"Volume")</f>
        <v>643200</v>
      </c>
      <c r="BS212" s="24" cm="1">
        <f t="array" aca="1" ref="BS212" ca="1">_FV(EB212,"Beta")</f>
        <v>1.3581000000000001</v>
      </c>
      <c r="BT212" s="71" cm="1">
        <f t="array" aca="1" ref="BT212" ca="1">_FV(EB212,"Variação (%)",TRUE)</f>
        <v>-5.4840000000000002E-3</v>
      </c>
      <c r="BV212" s="17" cm="1">
        <f t="array" aca="1" ref="BV212" ca="1">_FV(EB212,"Baixo")</f>
        <v>5.36</v>
      </c>
      <c r="BW212" s="17" cm="1">
        <f t="array" aca="1" ref="BW212" ca="1">_FV(EB212,"Alto")</f>
        <v>5.51</v>
      </c>
      <c r="BX212" s="24"/>
      <c r="BY212" s="63" t="e">
        <f ca="1">SQRT(22.5*(BN212/VLOOKUP(BO212,Fundamentus!A:U,3,FALSE))*(BN212/VLOOKUP(BO212,Fundamentus!A:U,4,FALSE)))</f>
        <v>#NUM!</v>
      </c>
      <c r="CA212" s="62">
        <f t="shared" ca="1" si="241"/>
        <v>0</v>
      </c>
      <c r="CB212" s="8"/>
      <c r="CC212" s="61">
        <f t="shared" si="242"/>
        <v>1.95</v>
      </c>
      <c r="CD212" s="61">
        <f t="shared" si="243"/>
        <v>9.08</v>
      </c>
      <c r="CE212" s="61">
        <f t="shared" si="244"/>
        <v>5.0709230769230782</v>
      </c>
      <c r="CF212" s="14"/>
      <c r="CG212" s="35">
        <f t="shared" si="227"/>
        <v>5.2927309596718679</v>
      </c>
      <c r="CH212" s="15">
        <f t="shared" si="245"/>
        <v>5.6850000000000591</v>
      </c>
      <c r="CI212" s="35">
        <f t="shared" si="228"/>
        <v>6.0772690403282503</v>
      </c>
      <c r="CK212" s="14"/>
      <c r="CL212" s="17">
        <f t="shared" si="229"/>
        <v>-5.21</v>
      </c>
      <c r="CM212" s="17">
        <f t="shared" si="230"/>
        <v>-1.63</v>
      </c>
      <c r="CN212" s="17">
        <f t="shared" si="231"/>
        <v>1.92</v>
      </c>
      <c r="CO212" s="38">
        <f t="shared" si="246"/>
        <v>5.5</v>
      </c>
      <c r="CP212" s="17">
        <f t="shared" si="232"/>
        <v>9.0500000000000007</v>
      </c>
      <c r="CQ212" s="17">
        <f t="shared" si="233"/>
        <v>12.629999999999999</v>
      </c>
      <c r="CR212" s="17">
        <f t="shared" si="234"/>
        <v>16.18</v>
      </c>
      <c r="CS212" s="2" cm="1">
        <f t="array" aca="1" ref="CS212" ca="1">MAX(_xlfn._xlws.FILTER(CL212:CR212,CL212:CR212&lt;BN212))</f>
        <v>1.92</v>
      </c>
      <c r="CT212" s="2" cm="1">
        <f t="array" aca="1" ref="CT212" ca="1">MIN(_xlfn._xlws.FILTER($CL212:$CR212,$CL212:$CR212&gt;BN212))</f>
        <v>5.5</v>
      </c>
      <c r="CU212" s="16">
        <f t="shared" ca="1" si="248"/>
        <v>1.8645833333333335</v>
      </c>
      <c r="CV212" s="20">
        <f t="shared" ca="1" si="249"/>
        <v>-0.93229166666666674</v>
      </c>
      <c r="CW212" s="20">
        <f t="shared" ca="1" si="250"/>
        <v>-0.62152777777777779</v>
      </c>
      <c r="CX212" s="20">
        <f t="shared" ca="1" si="251"/>
        <v>-0.37291666666666667</v>
      </c>
      <c r="CY212" s="20">
        <f t="shared" ca="1" si="252"/>
        <v>-0.20717592592592593</v>
      </c>
      <c r="CZ212" s="20">
        <f t="shared" ca="1" si="253"/>
        <v>-0.10968137254901962</v>
      </c>
      <c r="DA212" s="20">
        <f t="shared" ca="1" si="254"/>
        <v>-5.6502525252525256E-2</v>
      </c>
      <c r="DB212" s="20">
        <f t="shared" ca="1" si="255"/>
        <v>-2.8685897435897438E-2</v>
      </c>
      <c r="DC212" s="21">
        <f t="shared" ca="1" si="256"/>
        <v>2.8685897435897438E-2</v>
      </c>
      <c r="DD212" s="21">
        <f t="shared" ca="1" si="257"/>
        <v>5.6502525252525256E-2</v>
      </c>
      <c r="DE212" s="21">
        <f t="shared" ca="1" si="258"/>
        <v>0.10968137254901962</v>
      </c>
      <c r="DF212" s="21">
        <f t="shared" ca="1" si="259"/>
        <v>0.20717592592592593</v>
      </c>
      <c r="DG212" s="21">
        <f t="shared" ca="1" si="260"/>
        <v>0.37291666666666667</v>
      </c>
      <c r="DH212" s="21">
        <f t="shared" ca="1" si="261"/>
        <v>0.62152777777777779</v>
      </c>
      <c r="DI212" s="21">
        <f t="shared" ca="1" si="262"/>
        <v>0.93229166666666674</v>
      </c>
      <c r="DK212" s="16" cm="1">
        <f t="array" aca="1" ref="DK212" ca="1">MAX(_xlfn._xlws.FILTER(CV212:DI212,CV212:DI212&lt;BT212))</f>
        <v>-2.8685897435897438E-2</v>
      </c>
      <c r="DL212" s="16" cm="1">
        <f t="array" aca="1" ref="DL212" ca="1">MIN(_xlfn._xlws.FILTER(CV212:DI212,CV212:DI212&gt;BT212))</f>
        <v>2.8685897435897438E-2</v>
      </c>
      <c r="DM212" s="2" cm="1">
        <f t="array" aca="1" ref="DM212" ca="1">_FV(EB212,"Fechamento anterior",TRUE)</f>
        <v>5.47</v>
      </c>
      <c r="DN212" s="28">
        <f t="shared" ca="1" si="235"/>
        <v>0.40440493090805324</v>
      </c>
      <c r="DO212" s="15">
        <f t="shared" ca="1" si="263"/>
        <v>5.3130881410256405</v>
      </c>
      <c r="DP212" s="15">
        <f t="shared" ca="1" si="264"/>
        <v>5.626911858974359</v>
      </c>
      <c r="DQ212" s="9"/>
      <c r="DR212" s="9"/>
      <c r="DS212" s="9"/>
      <c r="DT212" s="89">
        <v>5.7371794871794876E-2</v>
      </c>
      <c r="DU212" s="89">
        <f t="shared" ca="1" si="236"/>
        <v>5.7371794871794876E-2</v>
      </c>
      <c r="DV212" s="72">
        <f t="shared" ca="1" si="237"/>
        <v>-0.62457133959661948</v>
      </c>
      <c r="DW212" s="37"/>
      <c r="DX212" s="35">
        <f t="shared" si="247"/>
        <v>0.19613452016409541</v>
      </c>
      <c r="DY212" s="56"/>
      <c r="DZ212" s="56"/>
      <c r="EB212" s="2" t="e" vm="214">
        <v>#VALUE!</v>
      </c>
      <c r="ED212" s="10" cm="1">
        <f t="array" aca="1" ref="ED212" ca="1">_FV(EB212,"Ações em circulação",TRUE)</f>
        <v>651756300</v>
      </c>
      <c r="EE212" s="18">
        <f>VLOOKUP(BO212,Fundamentus!A:U,5,FALSE)</f>
        <v>0.56699999999999995</v>
      </c>
      <c r="EF212" s="2">
        <f t="shared" ca="1" si="238"/>
        <v>6253182137.5661392</v>
      </c>
      <c r="EG212" s="17">
        <v>-867941680.69418013</v>
      </c>
      <c r="EH212" s="17">
        <f t="shared" ca="1" si="239"/>
        <v>-867941680.69418013</v>
      </c>
      <c r="EJ212" s="16">
        <f t="shared" ca="1" si="226"/>
        <v>0</v>
      </c>
      <c r="EK212" s="32" t="str">
        <f>IF(VLOOKUP(BO212,Fundamentus!A:U,3,FALSE)&lt;15,"Bom",IF(VLOOKUP(BO212,Fundamentus!A:U,3,FALSE)&gt;15,"Ruim","n/a"))</f>
        <v>Bom</v>
      </c>
      <c r="EL212" s="28" t="str">
        <f>IF(VLOOKUP(BO212,Fundamentus!A:U,4,FALSE)&lt;1,"Baixo",IF(VLOOKUP(BO212,Fundamentus!A:U,4,FALSE)&lt;1.5,"Moderado",IF(VLOOKUP(BO212,Fundamentus!A:U,4,FALSE)&gt;1.5,"Alto","n/a")))</f>
        <v>Moderado</v>
      </c>
      <c r="EM212" s="17" t="str">
        <f>IF(VLOOKUP(BO212,Fundamentus!A:U,8,FALSE)&lt;0,"Risco elevado",IF(VLOOKUP(BO212,Fundamentus!A:U,8,FALSE)&lt;1,"Saudável",IF(VLOOKUP(BO212,Fundamentus!A:U,8,FALSE)&lt;3,"Estável",IF(VLOOKUP(BO212,Fundamentus!A:U,8,FALSE)&gt;3,"Alerta","n/a"))))</f>
        <v>Estável</v>
      </c>
      <c r="EN212" s="28" t="str">
        <f t="shared" si="240"/>
        <v>Ruim</v>
      </c>
      <c r="EO212" s="17" t="str">
        <f>IF(VLOOKUP(BO212,Fundamentus!A:U,12,FALSE)&lt;2,"Subvalorizada",IF(VLOOKUP(BO212,Fundamentus!A:U,12,FALSE)&lt;6,"Muita barata",IF(VLOOKUP(BO212,Fundamentus!A:U,12,FALSE)&lt;6,"Barata",IF(VLOOKUP(BO212,Fundamentus!A:U,12,FALSE)&lt;8,"Atrativa",IF(VLOOKUP(BO212,Fundamentus!A:U,12,FALSE)&gt;8,"Supervalorizada","n/a")))))</f>
        <v>Supervalorizada</v>
      </c>
      <c r="EQ212" s="17" t="str">
        <f>IF(VLOOKUP(BO212,Fundamentus!A:U,17,FALSE)&lt;0.1,"Fraco retorno",IF(VLOOKUP(BO212,Fundamentus!A:U,17,FALSE)&gt;0.1,"Bom retorno","n/a"))</f>
        <v>Fraco retorno</v>
      </c>
      <c r="ER212" s="17" t="str">
        <f>IF(VLOOKUP(BO212,Fundamentus!A:U,16,FALSE)&lt;0.1,"Ineficiente",IF(VLOOKUP(BO212,Fundamentus!A:U,16,FALSE)&gt;0.1,"Eficiente","n/a"))</f>
        <v>Ineficiente</v>
      </c>
      <c r="ES212" s="33" t="str">
        <f>IF(VLOOKUP(BO212,Fundamentus!A:U,16,FALSE)&lt;0.1,"Oper. Ineficiente",IF(VLOOKUP(BO212,Fundamentus!A:U,16,FALSE)&gt;0.1,"Oper.Eficiente","n/a"))</f>
        <v>Oper. Ineficiente</v>
      </c>
      <c r="ET212" s="34">
        <f>VLOOKUP(BO212,Fundamentus!A:U,14,FALSE)</f>
        <v>-0.13880000000000001</v>
      </c>
      <c r="EU212" s="17" t="str">
        <f>IF(VLOOKUP(BO212,Fundamentus!A:U,21,FALSE)&lt;0,"Negativo",IF(VLOOKUP(BO212,Fundamentus!A:U,21,FALSE)&lt;0.05,"Fraco",IF(VLOOKUP(BO212,Fundamentus!A:U,21,FALSE)&lt;0.1,"Bom",IF(VLOOKUP(BO212,Fundamentus!A:U,21,FALSE)&gt;0.1,"Muito bom","n/a"))))</f>
        <v>Muito bom</v>
      </c>
      <c r="EW212" s="29" t="str">
        <f>IF(VLOOKUP(BO212,Fundamentus!A:U,15,FALSE)&gt;1,"Bom",IF(VLOOKUP(BO212,Fundamentus!A:U,15,FALSE)&lt;1,"Ruim","n/a"))</f>
        <v>Bom</v>
      </c>
      <c r="EX212" s="17" t="str">
        <f>IF(VLOOKUP(BO212,Fundamentus!A:U,20,FALSE)&lt;0.5,"Baixa",IF(VLOOKUP(BO212,Fundamentus!A:U,20,FALSE)&lt;1,"Moderada",IF(VLOOKUP(BO212,Fundamentus!A:U,20,FALSE)&lt;2,"Alerta",IF(VLOOKUP(BO212,Fundamentus!A:U,20,FALSE)&gt;2,"Alta","n/a"))))</f>
        <v>Alerta</v>
      </c>
    </row>
    <row r="213" spans="1:155" s="2" customFormat="1" ht="11.25"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5">
        <v>5.55</v>
      </c>
      <c r="BC213" s="52">
        <v>5.97</v>
      </c>
      <c r="BD213" s="52">
        <v>5.83</v>
      </c>
      <c r="BE213" s="52">
        <v>6.09</v>
      </c>
      <c r="BF213" s="52">
        <v>5.41</v>
      </c>
      <c r="BG213" s="67">
        <v>4.9800000000000004</v>
      </c>
      <c r="BH213" s="52">
        <v>5</v>
      </c>
      <c r="BI213" s="52">
        <v>4.92</v>
      </c>
      <c r="BJ213" s="52">
        <v>3.92</v>
      </c>
      <c r="BK213" s="52">
        <v>4.9000000000000004</v>
      </c>
      <c r="BL213" s="52">
        <v>5.07</v>
      </c>
      <c r="BM213" s="52">
        <v>4.84</v>
      </c>
      <c r="BN213" s="52" cm="1">
        <f t="array" aca="1" ref="BN213" ca="1">_FV(EB213,"Preço")</f>
        <v>4.84</v>
      </c>
      <c r="BO213" s="69" t="s">
        <v>209</v>
      </c>
      <c r="BP213" s="36" cm="1">
        <f t="array" aca="1" ref="BP213" ca="1">_FV(EB213,"Média de volume",TRUE)</f>
        <v>68610</v>
      </c>
      <c r="BQ213" s="36">
        <v>11600</v>
      </c>
      <c r="BR213" s="36" cm="1">
        <f t="array" aca="1" ref="BR213" ca="1">_FV(EB213,"Volume")</f>
        <v>11600</v>
      </c>
      <c r="BS213" s="24" cm="1">
        <f t="array" aca="1" ref="BS213" ca="1">_FV(EB213,"Beta")</f>
        <v>0.87409999999999999</v>
      </c>
      <c r="BT213" s="71" cm="1">
        <f t="array" aca="1" ref="BT213" ca="1">_FV(EB213,"Variação (%)",TRUE)</f>
        <v>8.3330000000000001E-3</v>
      </c>
      <c r="BV213" s="17" cm="1">
        <f t="array" aca="1" ref="BV213" ca="1">_FV(EB213,"Baixo")</f>
        <v>4.74</v>
      </c>
      <c r="BW213" s="17" cm="1">
        <f t="array" aca="1" ref="BW213" ca="1">_FV(EB213,"Alto")</f>
        <v>4.88</v>
      </c>
      <c r="BX213" s="24"/>
      <c r="BY213" s="63" t="e">
        <f ca="1">SQRT(22.5*(BN213/VLOOKUP(BO213,Fundamentus!A:U,3,FALSE))*(BN213/VLOOKUP(BO213,Fundamentus!A:U,4,FALSE)))</f>
        <v>#NUM!</v>
      </c>
      <c r="CA213" s="62">
        <f t="shared" ca="1" si="241"/>
        <v>0</v>
      </c>
      <c r="CB213" s="8"/>
      <c r="CC213" s="61">
        <f t="shared" si="242"/>
        <v>3.92</v>
      </c>
      <c r="CD213" s="61">
        <f t="shared" si="243"/>
        <v>16.13</v>
      </c>
      <c r="CE213" s="61">
        <f t="shared" si="244"/>
        <v>10.250538461538465</v>
      </c>
      <c r="CF213" s="14"/>
      <c r="CG213" s="35">
        <f t="shared" si="227"/>
        <v>4.5185207754777217</v>
      </c>
      <c r="CH213" s="15">
        <f t="shared" si="245"/>
        <v>5.4149999999999636</v>
      </c>
      <c r="CI213" s="35">
        <f t="shared" si="228"/>
        <v>6.3114792245222056</v>
      </c>
      <c r="CK213" s="14"/>
      <c r="CL213" s="17">
        <f t="shared" si="229"/>
        <v>-11.593333333333332</v>
      </c>
      <c r="CM213" s="17">
        <f t="shared" si="230"/>
        <v>-3.836666666666666</v>
      </c>
      <c r="CN213" s="17">
        <f t="shared" si="231"/>
        <v>0.61666666666666714</v>
      </c>
      <c r="CO213" s="38">
        <f t="shared" si="246"/>
        <v>8.3733333333333331</v>
      </c>
      <c r="CP213" s="17">
        <f t="shared" si="232"/>
        <v>12.826666666666666</v>
      </c>
      <c r="CQ213" s="17">
        <f t="shared" si="233"/>
        <v>20.583333333333332</v>
      </c>
      <c r="CR213" s="17">
        <f t="shared" si="234"/>
        <v>25.036666666666665</v>
      </c>
      <c r="CS213" s="2" cm="1">
        <f t="array" aca="1" ref="CS213" ca="1">MAX(_xlfn._xlws.FILTER(CL213:CR213,CL213:CR213&lt;BN213))</f>
        <v>0.61666666666666714</v>
      </c>
      <c r="CT213" s="2" cm="1">
        <f t="array" aca="1" ref="CT213" ca="1">MIN(_xlfn._xlws.FILTER($CL213:$CR213,$CL213:$CR213&gt;BN213))</f>
        <v>8.3733333333333331</v>
      </c>
      <c r="CU213" s="16">
        <f t="shared" ca="1" si="248"/>
        <v>12.578378378378368</v>
      </c>
      <c r="CV213" s="20">
        <f t="shared" ca="1" si="249"/>
        <v>-6.2891891891891838</v>
      </c>
      <c r="CW213" s="20">
        <f t="shared" ca="1" si="250"/>
        <v>-4.1927927927927895</v>
      </c>
      <c r="CX213" s="20">
        <f t="shared" ca="1" si="251"/>
        <v>-2.5156756756756735</v>
      </c>
      <c r="CY213" s="20">
        <f t="shared" ca="1" si="252"/>
        <v>-1.3975975975975965</v>
      </c>
      <c r="CZ213" s="20">
        <f t="shared" ca="1" si="253"/>
        <v>-0.73990461049284517</v>
      </c>
      <c r="DA213" s="20">
        <f t="shared" ca="1" si="254"/>
        <v>-0.38116298116298086</v>
      </c>
      <c r="DB213" s="20">
        <f t="shared" ca="1" si="255"/>
        <v>-0.19351351351351334</v>
      </c>
      <c r="DC213" s="21">
        <f t="shared" ca="1" si="256"/>
        <v>0.19351351351351334</v>
      </c>
      <c r="DD213" s="21">
        <f t="shared" ca="1" si="257"/>
        <v>0.38116298116298086</v>
      </c>
      <c r="DE213" s="21">
        <f t="shared" ca="1" si="258"/>
        <v>0.73990461049284517</v>
      </c>
      <c r="DF213" s="21">
        <f t="shared" ca="1" si="259"/>
        <v>1.3975975975975965</v>
      </c>
      <c r="DG213" s="21">
        <f t="shared" ca="1" si="260"/>
        <v>2.5156756756756735</v>
      </c>
      <c r="DH213" s="21">
        <f t="shared" ca="1" si="261"/>
        <v>4.1927927927927895</v>
      </c>
      <c r="DI213" s="21">
        <f t="shared" ca="1" si="262"/>
        <v>6.2891891891891838</v>
      </c>
      <c r="DK213" s="16" cm="1">
        <f t="array" aca="1" ref="DK213" ca="1">MAX(_xlfn._xlws.FILTER(CV213:DI213,CV213:DI213&lt;BT213))</f>
        <v>-0.19351351351351334</v>
      </c>
      <c r="DL213" s="16" cm="1">
        <f t="array" aca="1" ref="DL213" ca="1">MIN(_xlfn._xlws.FILTER(CV213:DI213,CV213:DI213&gt;BT213))</f>
        <v>0.19351351351351334</v>
      </c>
      <c r="DM213" s="2" cm="1">
        <f t="array" aca="1" ref="DM213" ca="1">_FV(EB213,"Fechamento anterior",TRUE)</f>
        <v>4.8</v>
      </c>
      <c r="DN213" s="28">
        <f t="shared" ca="1" si="235"/>
        <v>0.52153165735567975</v>
      </c>
      <c r="DO213" s="15">
        <f t="shared" ca="1" si="263"/>
        <v>3.8711351351351357</v>
      </c>
      <c r="DP213" s="15">
        <f t="shared" ca="1" si="264"/>
        <v>5.7288648648648639</v>
      </c>
      <c r="DQ213" s="9"/>
      <c r="DR213" s="9"/>
      <c r="DS213" s="9"/>
      <c r="DT213" s="89">
        <v>0.38702702702702668</v>
      </c>
      <c r="DU213" s="89">
        <f t="shared" ca="1" si="236"/>
        <v>0.38702702702702668</v>
      </c>
      <c r="DV213" s="72">
        <f t="shared" ca="1" si="237"/>
        <v>-0.64139802046879202</v>
      </c>
      <c r="DW213" s="37"/>
      <c r="DX213" s="35">
        <f t="shared" si="247"/>
        <v>0.44823961226112097</v>
      </c>
      <c r="DY213" s="56"/>
      <c r="DZ213" s="56"/>
      <c r="EB213" s="2" t="e" vm="215">
        <v>#VALUE!</v>
      </c>
      <c r="ED213" s="10" cm="1">
        <f t="array" aca="1" ref="ED213" ca="1">_FV(EB213,"Ações em circulação",TRUE)</f>
        <v>152359500</v>
      </c>
      <c r="EE213" s="18">
        <f>VLOOKUP(BO213,Fundamentus!A:U,5,FALSE)</f>
        <v>0.61099999999999999</v>
      </c>
      <c r="EF213" s="2">
        <f t="shared" ca="1" si="238"/>
        <v>1206906677.5777414</v>
      </c>
      <c r="EG213" s="17">
        <v>-59741880.540098198</v>
      </c>
      <c r="EH213" s="17">
        <f t="shared" ca="1" si="239"/>
        <v>-59741880.540098198</v>
      </c>
      <c r="EJ213" s="16">
        <f t="shared" ca="1" si="226"/>
        <v>0</v>
      </c>
      <c r="EK213" s="32" t="str">
        <f>IF(VLOOKUP(BO213,Fundamentus!A:U,3,FALSE)&lt;15,"Bom",IF(VLOOKUP(BO213,Fundamentus!A:U,3,FALSE)&gt;15,"Ruim","n/a"))</f>
        <v>Bom</v>
      </c>
      <c r="EL213" s="28" t="str">
        <f>IF(VLOOKUP(BO213,Fundamentus!A:U,4,FALSE)&lt;1,"Baixo",IF(VLOOKUP(BO213,Fundamentus!A:U,4,FALSE)&lt;1.5,"Moderado",IF(VLOOKUP(BO213,Fundamentus!A:U,4,FALSE)&gt;1.5,"Alto","n/a")))</f>
        <v>Baixo</v>
      </c>
      <c r="EM213" s="17" t="str">
        <f>IF(VLOOKUP(BO213,Fundamentus!A:U,8,FALSE)&lt;0,"Risco elevado",IF(VLOOKUP(BO213,Fundamentus!A:U,8,FALSE)&lt;1,"Saudável",IF(VLOOKUP(BO213,Fundamentus!A:U,8,FALSE)&lt;3,"Estável",IF(VLOOKUP(BO213,Fundamentus!A:U,8,FALSE)&gt;3,"Alerta","n/a"))))</f>
        <v>Risco elevado</v>
      </c>
      <c r="EN213" s="28" t="str">
        <f t="shared" si="240"/>
        <v>Ruim</v>
      </c>
      <c r="EO213" s="17" t="str">
        <f>IF(VLOOKUP(BO213,Fundamentus!A:U,12,FALSE)&lt;2,"Subvalorizada",IF(VLOOKUP(BO213,Fundamentus!A:U,12,FALSE)&lt;6,"Muita barata",IF(VLOOKUP(BO213,Fundamentus!A:U,12,FALSE)&lt;6,"Barata",IF(VLOOKUP(BO213,Fundamentus!A:U,12,FALSE)&lt;8,"Atrativa",IF(VLOOKUP(BO213,Fundamentus!A:U,12,FALSE)&gt;8,"Supervalorizada","n/a")))))</f>
        <v>Muita barata</v>
      </c>
      <c r="EQ213" s="17" t="str">
        <f>IF(VLOOKUP(BO213,Fundamentus!A:U,17,FALSE)&lt;0.1,"Fraco retorno",IF(VLOOKUP(BO213,Fundamentus!A:U,17,FALSE)&gt;0.1,"Bom retorno","n/a"))</f>
        <v>Fraco retorno</v>
      </c>
      <c r="ER213" s="17" t="str">
        <f>IF(VLOOKUP(BO213,Fundamentus!A:U,16,FALSE)&lt;0.1,"Ineficiente",IF(VLOOKUP(BO213,Fundamentus!A:U,16,FALSE)&gt;0.1,"Eficiente","n/a"))</f>
        <v>Ineficiente</v>
      </c>
      <c r="ES213" s="33" t="str">
        <f>IF(VLOOKUP(BO213,Fundamentus!A:U,16,FALSE)&lt;0.1,"Oper. Ineficiente",IF(VLOOKUP(BO213,Fundamentus!A:U,16,FALSE)&gt;0.1,"Oper.Eficiente","n/a"))</f>
        <v>Oper. Ineficiente</v>
      </c>
      <c r="ET213" s="34">
        <f>VLOOKUP(BO213,Fundamentus!A:U,14,FALSE)</f>
        <v>-4.9500000000000002E-2</v>
      </c>
      <c r="EU213" s="17" t="str">
        <f>IF(VLOOKUP(BO213,Fundamentus!A:U,21,FALSE)&lt;0,"Negativo",IF(VLOOKUP(BO213,Fundamentus!A:U,21,FALSE)&lt;0.05,"Fraco",IF(VLOOKUP(BO213,Fundamentus!A:U,21,FALSE)&lt;0.1,"Bom",IF(VLOOKUP(BO213,Fundamentus!A:U,21,FALSE)&gt;0.1,"Muito bom","n/a"))))</f>
        <v>Bom</v>
      </c>
      <c r="EW213" s="29" t="str">
        <f>IF(VLOOKUP(BO213,Fundamentus!A:U,15,FALSE)&gt;1,"Bom",IF(VLOOKUP(BO213,Fundamentus!A:U,15,FALSE)&lt;1,"Ruim","n/a"))</f>
        <v>Ruim</v>
      </c>
      <c r="EX213" s="17" t="str">
        <f>IF(VLOOKUP(BO213,Fundamentus!A:U,20,FALSE)&lt;0.5,"Baixa",IF(VLOOKUP(BO213,Fundamentus!A:U,20,FALSE)&lt;1,"Moderada",IF(VLOOKUP(BO213,Fundamentus!A:U,20,FALSE)&lt;2,"Alerta",IF(VLOOKUP(BO213,Fundamentus!A:U,20,FALSE)&gt;2,"Alta","n/a"))))</f>
        <v>Moderada</v>
      </c>
    </row>
    <row r="214" spans="1:155" s="2" customFormat="1" ht="11.25"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5">
        <v>2.38</v>
      </c>
      <c r="BC214" s="52">
        <v>2.34</v>
      </c>
      <c r="BD214" s="52">
        <v>2.46</v>
      </c>
      <c r="BE214" s="52">
        <v>2.5499999999999998</v>
      </c>
      <c r="BF214" s="52">
        <v>2.78</v>
      </c>
      <c r="BG214" s="67">
        <v>2.79</v>
      </c>
      <c r="BH214" s="52">
        <v>2.76</v>
      </c>
      <c r="BI214" s="52">
        <v>2.4900000000000002</v>
      </c>
      <c r="BJ214" s="52">
        <v>2.29</v>
      </c>
      <c r="BK214" s="52">
        <v>2.23</v>
      </c>
      <c r="BL214" s="52">
        <v>2.2200000000000002</v>
      </c>
      <c r="BM214" s="52">
        <v>2.83</v>
      </c>
      <c r="BN214" s="52" cm="1">
        <f t="array" aca="1" ref="BN214" ca="1">_FV(EB214,"Preço")</f>
        <v>2.83</v>
      </c>
      <c r="BO214" s="69" t="s">
        <v>210</v>
      </c>
      <c r="BP214" s="36" cm="1">
        <f t="array" aca="1" ref="BP214" ca="1">_FV(EB214,"Média de volume",TRUE)</f>
        <v>2063500</v>
      </c>
      <c r="BQ214" s="36">
        <v>3062400</v>
      </c>
      <c r="BR214" s="36" cm="1">
        <f t="array" aca="1" ref="BR214" ca="1">_FV(EB214,"Volume")</f>
        <v>3062400</v>
      </c>
      <c r="BS214" s="24" cm="1">
        <f t="array" aca="1" ref="BS214" ca="1">_FV(EB214,"Beta")</f>
        <v>2.0476999999999999</v>
      </c>
      <c r="BT214" s="71" cm="1">
        <f t="array" aca="1" ref="BT214" ca="1">_FV(EB214,"Variação (%)",TRUE)</f>
        <v>0.13200000000000001</v>
      </c>
      <c r="BV214" s="17" cm="1">
        <f t="array" aca="1" ref="BV214" ca="1">_FV(EB214,"Baixo")</f>
        <v>2.5</v>
      </c>
      <c r="BW214" s="17" cm="1">
        <f t="array" aca="1" ref="BW214" ca="1">_FV(EB214,"Alto")</f>
        <v>2.83</v>
      </c>
      <c r="BX214" s="24"/>
      <c r="BY214" s="63">
        <f ca="1">SQRT(22.5*(BN214/VLOOKUP(BO214,Fundamentus!A:U,3,FALSE))*(BN214/VLOOKUP(BO214,Fundamentus!A:U,4,FALSE)))</f>
        <v>11.582634526434827</v>
      </c>
      <c r="CA214" s="62">
        <f t="shared" ca="1" si="241"/>
        <v>0</v>
      </c>
      <c r="CB214" s="8"/>
      <c r="CC214" s="61">
        <f t="shared" si="242"/>
        <v>1.35</v>
      </c>
      <c r="CD214" s="61">
        <f t="shared" si="243"/>
        <v>2.87</v>
      </c>
      <c r="CE214" s="61">
        <f t="shared" si="244"/>
        <v>2.0221538461538455</v>
      </c>
      <c r="CF214" s="14"/>
      <c r="CG214" s="35">
        <f t="shared" si="227"/>
        <v>2.286989173343561</v>
      </c>
      <c r="CH214" s="15">
        <f t="shared" si="245"/>
        <v>2.7949999999998454</v>
      </c>
      <c r="CI214" s="35">
        <f t="shared" si="228"/>
        <v>3.3030108266561298</v>
      </c>
      <c r="CK214" s="14"/>
      <c r="CL214" s="17">
        <f t="shared" si="229"/>
        <v>-9.6666666666666234E-2</v>
      </c>
      <c r="CM214" s="17">
        <f t="shared" si="230"/>
        <v>0.62666666666666693</v>
      </c>
      <c r="CN214" s="17">
        <f t="shared" si="231"/>
        <v>1.4233333333333338</v>
      </c>
      <c r="CO214" s="38">
        <f t="shared" si="246"/>
        <v>2.1466666666666669</v>
      </c>
      <c r="CP214" s="17">
        <f t="shared" si="232"/>
        <v>2.9433333333333338</v>
      </c>
      <c r="CQ214" s="17">
        <f t="shared" si="233"/>
        <v>3.666666666666667</v>
      </c>
      <c r="CR214" s="17">
        <f t="shared" si="234"/>
        <v>4.4633333333333338</v>
      </c>
      <c r="CS214" s="2" cm="1">
        <f t="array" aca="1" ref="CS214" ca="1">MAX(_xlfn._xlws.FILTER(CL214:CR214,CL214:CR214&lt;BN214))</f>
        <v>2.1466666666666669</v>
      </c>
      <c r="CT214" s="2" cm="1">
        <f t="array" aca="1" ref="CT214" ca="1">MIN(_xlfn._xlws.FILTER($CL214:$CR214,$CL214:$CR214&gt;BN214))</f>
        <v>2.9433333333333338</v>
      </c>
      <c r="CU214" s="16">
        <f t="shared" ca="1" si="248"/>
        <v>0.37111801242236031</v>
      </c>
      <c r="CV214" s="20">
        <f t="shared" ca="1" si="249"/>
        <v>-0.18555900621118016</v>
      </c>
      <c r="CW214" s="20">
        <f t="shared" ca="1" si="250"/>
        <v>-0.12370600414078677</v>
      </c>
      <c r="CX214" s="20">
        <f t="shared" ca="1" si="251"/>
        <v>-7.4223602484472059E-2</v>
      </c>
      <c r="CY214" s="20">
        <f t="shared" ca="1" si="252"/>
        <v>-4.1235334713595591E-2</v>
      </c>
      <c r="CZ214" s="20">
        <f t="shared" ca="1" si="253"/>
        <v>-2.1830471318962371E-2</v>
      </c>
      <c r="DA214" s="20">
        <f t="shared" ca="1" si="254"/>
        <v>-1.1246000376435162E-2</v>
      </c>
      <c r="DB214" s="20">
        <f t="shared" ca="1" si="255"/>
        <v>-5.7095078834209275E-3</v>
      </c>
      <c r="DC214" s="21">
        <f t="shared" ca="1" si="256"/>
        <v>5.7095078834209275E-3</v>
      </c>
      <c r="DD214" s="21">
        <f t="shared" ca="1" si="257"/>
        <v>1.1246000376435162E-2</v>
      </c>
      <c r="DE214" s="21">
        <f t="shared" ca="1" si="258"/>
        <v>2.1830471318962371E-2</v>
      </c>
      <c r="DF214" s="21">
        <f t="shared" ca="1" si="259"/>
        <v>4.1235334713595591E-2</v>
      </c>
      <c r="DG214" s="21">
        <f t="shared" ca="1" si="260"/>
        <v>7.4223602484472059E-2</v>
      </c>
      <c r="DH214" s="21">
        <f t="shared" ca="1" si="261"/>
        <v>0.12370600414078677</v>
      </c>
      <c r="DI214" s="21">
        <f t="shared" ca="1" si="262"/>
        <v>0.18555900621118016</v>
      </c>
      <c r="DK214" s="16" cm="1">
        <f t="array" aca="1" ref="DK214" ca="1">MAX(_xlfn._xlws.FILTER(CV214:DI214,CV214:DI214&lt;BT214))</f>
        <v>0.12370600414078677</v>
      </c>
      <c r="DL214" s="16" cm="1">
        <f t="array" aca="1" ref="DL214" ca="1">MIN(_xlfn._xlws.FILTER(CV214:DI214,CV214:DI214&gt;BT214))</f>
        <v>0.18555900621118016</v>
      </c>
      <c r="DM214" s="2" cm="1">
        <f t="array" aca="1" ref="DM214" ca="1">_FV(EB214,"Fechamento anterior",TRUE)</f>
        <v>2.5</v>
      </c>
      <c r="DN214" s="28">
        <f t="shared" ca="1" si="235"/>
        <v>0.1340920502092062</v>
      </c>
      <c r="DO214" s="15">
        <f t="shared" ca="1" si="263"/>
        <v>2.8092650103519667</v>
      </c>
      <c r="DP214" s="15">
        <f t="shared" ca="1" si="264"/>
        <v>2.9638975155279503</v>
      </c>
      <c r="DQ214" s="9"/>
      <c r="DR214" s="9"/>
      <c r="DS214" s="9"/>
      <c r="DT214" s="89">
        <v>6.185300207039339E-2</v>
      </c>
      <c r="DU214" s="89">
        <f t="shared" ca="1" si="236"/>
        <v>6.185300207039339E-2</v>
      </c>
      <c r="DV214" s="72">
        <f t="shared" ca="1" si="237"/>
        <v>6.8896169458678436E-2</v>
      </c>
      <c r="DW214" s="37"/>
      <c r="DX214" s="35">
        <f t="shared" si="247"/>
        <v>0.2540054133281423</v>
      </c>
      <c r="DY214" s="56"/>
      <c r="DZ214" s="56"/>
      <c r="EB214" s="2" t="e" vm="216">
        <v>#VALUE!</v>
      </c>
      <c r="ED214" s="10" cm="1">
        <f t="array" aca="1" ref="ED214" ca="1">_FV(EB214,"Ações em circulação",TRUE)</f>
        <v>133851100</v>
      </c>
      <c r="EE214" s="18">
        <f>VLOOKUP(BO214,Fundamentus!A:U,5,FALSE)</f>
        <v>0.26200000000000001</v>
      </c>
      <c r="EF214" s="2">
        <f t="shared" ca="1" si="238"/>
        <v>1445796232.8244274</v>
      </c>
      <c r="EG214" s="17">
        <v>187808930.64389309</v>
      </c>
      <c r="EH214" s="17">
        <f t="shared" ca="1" si="239"/>
        <v>187808930.64389309</v>
      </c>
      <c r="EJ214" s="16">
        <f t="shared" ca="1" si="226"/>
        <v>0</v>
      </c>
      <c r="EK214" s="32" t="str">
        <f>IF(VLOOKUP(BO214,Fundamentus!A:U,3,FALSE)&lt;15,"Bom",IF(VLOOKUP(BO214,Fundamentus!A:U,3,FALSE)&gt;15,"Ruim","n/a"))</f>
        <v>Bom</v>
      </c>
      <c r="EL214" s="28" t="str">
        <f>IF(VLOOKUP(BO214,Fundamentus!A:U,4,FALSE)&lt;1,"Baixo",IF(VLOOKUP(BO214,Fundamentus!A:U,4,FALSE)&lt;1.5,"Moderado",IF(VLOOKUP(BO214,Fundamentus!A:U,4,FALSE)&gt;1.5,"Alto","n/a")))</f>
        <v>Baixo</v>
      </c>
      <c r="EM214" s="17" t="str">
        <f>IF(VLOOKUP(BO214,Fundamentus!A:U,8,FALSE)&lt;0,"Risco elevado",IF(VLOOKUP(BO214,Fundamentus!A:U,8,FALSE)&lt;1,"Saudável",IF(VLOOKUP(BO214,Fundamentus!A:U,8,FALSE)&lt;3,"Estável",IF(VLOOKUP(BO214,Fundamentus!A:U,8,FALSE)&gt;3,"Alerta","n/a"))))</f>
        <v>Saudável</v>
      </c>
      <c r="EN214" s="28" t="str">
        <f t="shared" si="240"/>
        <v>Ruim</v>
      </c>
      <c r="EO214" s="17" t="str">
        <f>IF(VLOOKUP(BO214,Fundamentus!A:U,12,FALSE)&lt;2,"Subvalorizada",IF(VLOOKUP(BO214,Fundamentus!A:U,12,FALSE)&lt;6,"Muita barata",IF(VLOOKUP(BO214,Fundamentus!A:U,12,FALSE)&lt;6,"Barata",IF(VLOOKUP(BO214,Fundamentus!A:U,12,FALSE)&lt;8,"Atrativa",IF(VLOOKUP(BO214,Fundamentus!A:U,12,FALSE)&gt;8,"Supervalorizada","n/a")))))</f>
        <v>Atrativa</v>
      </c>
      <c r="EQ214" s="17" t="str">
        <f>IF(VLOOKUP(BO214,Fundamentus!A:U,17,FALSE)&lt;0.1,"Fraco retorno",IF(VLOOKUP(BO214,Fundamentus!A:U,17,FALSE)&gt;0.1,"Bom retorno","n/a"))</f>
        <v>Fraco retorno</v>
      </c>
      <c r="ER214" s="17" t="str">
        <f>IF(VLOOKUP(BO214,Fundamentus!A:U,16,FALSE)&lt;0.1,"Ineficiente",IF(VLOOKUP(BO214,Fundamentus!A:U,16,FALSE)&gt;0.1,"Eficiente","n/a"))</f>
        <v>Ineficiente</v>
      </c>
      <c r="ES214" s="33" t="str">
        <f>IF(VLOOKUP(BO214,Fundamentus!A:U,16,FALSE)&lt;0.1,"Oper. Ineficiente",IF(VLOOKUP(BO214,Fundamentus!A:U,16,FALSE)&gt;0.1,"Oper.Eficiente","n/a"))</f>
        <v>Oper. Ineficiente</v>
      </c>
      <c r="ET214" s="34">
        <f>VLOOKUP(BO214,Fundamentus!A:U,14,FALSE)</f>
        <v>0.12989999999999999</v>
      </c>
      <c r="EU214" s="17" t="str">
        <f>IF(VLOOKUP(BO214,Fundamentus!A:U,21,FALSE)&lt;0,"Negativo",IF(VLOOKUP(BO214,Fundamentus!A:U,21,FALSE)&lt;0.05,"Fraco",IF(VLOOKUP(BO214,Fundamentus!A:U,21,FALSE)&lt;0.1,"Bom",IF(VLOOKUP(BO214,Fundamentus!A:U,21,FALSE)&gt;0.1,"Muito bom","n/a"))))</f>
        <v>Bom</v>
      </c>
      <c r="EW214" s="29" t="str">
        <f>IF(VLOOKUP(BO214,Fundamentus!A:U,15,FALSE)&gt;1,"Bom",IF(VLOOKUP(BO214,Fundamentus!A:U,15,FALSE)&lt;1,"Ruim","n/a"))</f>
        <v>Bom</v>
      </c>
      <c r="EX214" s="17" t="str">
        <f>IF(VLOOKUP(BO214,Fundamentus!A:U,20,FALSE)&lt;0.5,"Baixa",IF(VLOOKUP(BO214,Fundamentus!A:U,20,FALSE)&lt;1,"Moderada",IF(VLOOKUP(BO214,Fundamentus!A:U,20,FALSE)&lt;2,"Alerta",IF(VLOOKUP(BO214,Fundamentus!A:U,20,FALSE)&gt;2,"Alta","n/a"))))</f>
        <v>Alerta</v>
      </c>
    </row>
    <row r="215" spans="1:155" s="2" customFormat="1" ht="11.25"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5">
        <v>20.97</v>
      </c>
      <c r="BC215" s="52">
        <v>21.05</v>
      </c>
      <c r="BD215" s="52">
        <v>20.69</v>
      </c>
      <c r="BE215" s="52">
        <v>21.99</v>
      </c>
      <c r="BF215" s="52">
        <v>20.59</v>
      </c>
      <c r="BG215" s="67">
        <v>19.14</v>
      </c>
      <c r="BH215" s="52">
        <v>18.98</v>
      </c>
      <c r="BI215" s="52">
        <v>17.510000000000002</v>
      </c>
      <c r="BJ215" s="52">
        <v>16.170000000000002</v>
      </c>
      <c r="BK215" s="52">
        <v>16.059999999999999</v>
      </c>
      <c r="BL215" s="52">
        <v>16</v>
      </c>
      <c r="BM215" s="52">
        <v>16.079999999999998</v>
      </c>
      <c r="BN215" s="52" cm="1">
        <f t="array" aca="1" ref="BN215" ca="1">_FV(EB215,"Preço")</f>
        <v>16.079999999999998</v>
      </c>
      <c r="BO215" s="69" t="s">
        <v>211</v>
      </c>
      <c r="BP215" s="36" cm="1">
        <f t="array" aca="1" ref="BP215" ca="1">_FV(EB215,"Média de volume",TRUE)</f>
        <v>1060</v>
      </c>
      <c r="BQ215" s="36">
        <v>600</v>
      </c>
      <c r="BR215" s="36" cm="1">
        <f t="array" aca="1" ref="BR215" ca="1">_FV(EB215,"Volume")</f>
        <v>600</v>
      </c>
      <c r="BS215" s="24" cm="1">
        <f t="array" aca="1" ref="BS215" ca="1">_FV(EB215,"Beta")</f>
        <v>0.8246</v>
      </c>
      <c r="BT215" s="71" cm="1">
        <f t="array" aca="1" ref="BT215" ca="1">_FV(EB215,"Variação (%)",TRUE)</f>
        <v>6.888E-3</v>
      </c>
      <c r="BV215" s="17" cm="1">
        <f t="array" aca="1" ref="BV215" ca="1">_FV(EB215,"Baixo")</f>
        <v>15.95</v>
      </c>
      <c r="BW215" s="17" cm="1">
        <f t="array" aca="1" ref="BW215" ca="1">_FV(EB215,"Alto")</f>
        <v>16.170000000000002</v>
      </c>
      <c r="BX215" s="24"/>
      <c r="BY215" s="63" t="e">
        <f ca="1">SQRT(22.5*(BN215/VLOOKUP(BO215,Fundamentus!A:U,3,FALSE))*(BN215/VLOOKUP(BO215,Fundamentus!A:U,4,FALSE)))</f>
        <v>#NUM!</v>
      </c>
      <c r="CA215" s="62">
        <f t="shared" ca="1" si="241"/>
        <v>0</v>
      </c>
      <c r="CB215" s="8"/>
      <c r="CC215" s="61">
        <f t="shared" si="242"/>
        <v>16</v>
      </c>
      <c r="CD215" s="61">
        <f t="shared" si="243"/>
        <v>32.47</v>
      </c>
      <c r="CE215" s="61">
        <f t="shared" si="244"/>
        <v>23.487769230769235</v>
      </c>
      <c r="CF215" s="14"/>
      <c r="CG215" s="35">
        <f t="shared" si="227"/>
        <v>15.873036890823498</v>
      </c>
      <c r="CH215" s="15">
        <f t="shared" si="245"/>
        <v>15.995000000000005</v>
      </c>
      <c r="CI215" s="35">
        <f t="shared" si="228"/>
        <v>16.11696310917651</v>
      </c>
      <c r="CK215" s="14"/>
      <c r="CL215" s="17">
        <f t="shared" si="229"/>
        <v>-5.9600000000000009</v>
      </c>
      <c r="CM215" s="17">
        <f t="shared" si="230"/>
        <v>5.0199999999999996</v>
      </c>
      <c r="CN215" s="17">
        <f t="shared" si="231"/>
        <v>10.509999999999998</v>
      </c>
      <c r="CO215" s="38">
        <f t="shared" si="246"/>
        <v>21.49</v>
      </c>
      <c r="CP215" s="17">
        <f t="shared" si="232"/>
        <v>26.979999999999997</v>
      </c>
      <c r="CQ215" s="17">
        <f t="shared" si="233"/>
        <v>37.959999999999994</v>
      </c>
      <c r="CR215" s="17">
        <f t="shared" si="234"/>
        <v>43.449999999999996</v>
      </c>
      <c r="CS215" s="2" cm="1">
        <f t="array" aca="1" ref="CS215" ca="1">MAX(_xlfn._xlws.FILTER(CL215:CR215,CL215:CR215&lt;BN215))</f>
        <v>10.509999999999998</v>
      </c>
      <c r="CT215" s="2" cm="1">
        <f t="array" aca="1" ref="CT215" ca="1">MIN(_xlfn._xlws.FILTER($CL215:$CR215,$CL215:$CR215&gt;BN215))</f>
        <v>21.49</v>
      </c>
      <c r="CU215" s="16">
        <f t="shared" ca="1" si="248"/>
        <v>1.0447193149381544</v>
      </c>
      <c r="CV215" s="20">
        <f t="shared" ca="1" si="249"/>
        <v>-0.5223596574690772</v>
      </c>
      <c r="CW215" s="20">
        <f t="shared" ca="1" si="250"/>
        <v>-0.34823977164605147</v>
      </c>
      <c r="CX215" s="20">
        <f t="shared" ca="1" si="251"/>
        <v>-0.20894386298763087</v>
      </c>
      <c r="CY215" s="20">
        <f t="shared" ca="1" si="252"/>
        <v>-0.11607992388201716</v>
      </c>
      <c r="CZ215" s="20">
        <f t="shared" ca="1" si="253"/>
        <v>-6.14540773493032E-2</v>
      </c>
      <c r="DA215" s="20">
        <f t="shared" ca="1" si="254"/>
        <v>-3.1658161058731954E-2</v>
      </c>
      <c r="DB215" s="20">
        <f t="shared" ca="1" si="255"/>
        <v>-1.6072604845202374E-2</v>
      </c>
      <c r="DC215" s="21">
        <f t="shared" ca="1" si="256"/>
        <v>1.6072604845202374E-2</v>
      </c>
      <c r="DD215" s="21">
        <f t="shared" ca="1" si="257"/>
        <v>3.1658161058731954E-2</v>
      </c>
      <c r="DE215" s="21">
        <f t="shared" ca="1" si="258"/>
        <v>6.14540773493032E-2</v>
      </c>
      <c r="DF215" s="21">
        <f t="shared" ca="1" si="259"/>
        <v>0.11607992388201716</v>
      </c>
      <c r="DG215" s="21">
        <f t="shared" ca="1" si="260"/>
        <v>0.20894386298763087</v>
      </c>
      <c r="DH215" s="21">
        <f t="shared" ca="1" si="261"/>
        <v>0.34823977164605147</v>
      </c>
      <c r="DI215" s="21">
        <f t="shared" ca="1" si="262"/>
        <v>0.5223596574690772</v>
      </c>
      <c r="DK215" s="16" cm="1">
        <f t="array" aca="1" ref="DK215" ca="1">MAX(_xlfn._xlws.FILTER(CV215:DI215,CV215:DI215&lt;BT215))</f>
        <v>-1.6072604845202374E-2</v>
      </c>
      <c r="DL215" s="16" cm="1">
        <f t="array" aca="1" ref="DL215" ca="1">MIN(_xlfn._xlws.FILTER(CV215:DI215,CV215:DI215&gt;BT215))</f>
        <v>1.6072604845202374E-2</v>
      </c>
      <c r="DM215" s="2" cm="1">
        <f t="array" aca="1" ref="DM215" ca="1">_FV(EB215,"Fechamento anterior",TRUE)</f>
        <v>15.97</v>
      </c>
      <c r="DN215" s="28">
        <f t="shared" ca="1" si="235"/>
        <v>0.71427500105502251</v>
      </c>
      <c r="DO215" s="15">
        <f t="shared" ca="1" si="263"/>
        <v>15.713320500622119</v>
      </c>
      <c r="DP215" s="15">
        <f t="shared" ca="1" si="264"/>
        <v>16.226679499377884</v>
      </c>
      <c r="DQ215" s="9"/>
      <c r="DR215" s="9"/>
      <c r="DS215" s="9"/>
      <c r="DT215" s="89">
        <v>3.2145209690404748E-2</v>
      </c>
      <c r="DU215" s="89">
        <f t="shared" ca="1" si="236"/>
        <v>3.2145209690404748E-2</v>
      </c>
      <c r="DV215" s="72">
        <f t="shared" ca="1" si="237"/>
        <v>0.6969320524371051</v>
      </c>
      <c r="DW215" s="37"/>
      <c r="DX215" s="35">
        <f t="shared" si="247"/>
        <v>6.0981554588253058E-2</v>
      </c>
      <c r="DY215" s="56"/>
      <c r="DZ215" s="56"/>
      <c r="EB215" s="2" t="e" vm="217">
        <v>#VALUE!</v>
      </c>
      <c r="ED215" s="10" cm="1">
        <f t="array" aca="1" ref="ED215" ca="1">_FV(EB215,"Ações em circulação",TRUE)</f>
        <v>29018750</v>
      </c>
      <c r="EE215" s="18">
        <f>VLOOKUP(BO215,Fundamentus!A:U,5,FALSE)</f>
        <v>0.66100000000000003</v>
      </c>
      <c r="EF215" s="2">
        <f t="shared" ca="1" si="238"/>
        <v>705932677.76096809</v>
      </c>
      <c r="EG215" s="17">
        <v>-116549485.09833583</v>
      </c>
      <c r="EH215" s="17">
        <f t="shared" ca="1" si="239"/>
        <v>-116549485.09833583</v>
      </c>
      <c r="EJ215" s="16">
        <f t="shared" ca="1" si="226"/>
        <v>0</v>
      </c>
      <c r="EK215" s="32" t="str">
        <f>IF(VLOOKUP(BO215,Fundamentus!A:U,3,FALSE)&lt;15,"Bom",IF(VLOOKUP(BO215,Fundamentus!A:U,3,FALSE)&gt;15,"Ruim","n/a"))</f>
        <v>Bom</v>
      </c>
      <c r="EL215" s="28" t="str">
        <f>IF(VLOOKUP(BO215,Fundamentus!A:U,4,FALSE)&lt;1,"Baixo",IF(VLOOKUP(BO215,Fundamentus!A:U,4,FALSE)&lt;1.5,"Moderado",IF(VLOOKUP(BO215,Fundamentus!A:U,4,FALSE)&gt;1.5,"Alto","n/a")))</f>
        <v>Baixo</v>
      </c>
      <c r="EM215" s="17" t="str">
        <f>IF(VLOOKUP(BO215,Fundamentus!A:U,8,FALSE)&lt;0,"Risco elevado",IF(VLOOKUP(BO215,Fundamentus!A:U,8,FALSE)&lt;1,"Saudável",IF(VLOOKUP(BO215,Fundamentus!A:U,8,FALSE)&lt;3,"Estável",IF(VLOOKUP(BO215,Fundamentus!A:U,8,FALSE)&gt;3,"Alerta","n/a"))))</f>
        <v>Estável</v>
      </c>
      <c r="EN215" s="28" t="str">
        <f t="shared" si="240"/>
        <v>Ruim</v>
      </c>
      <c r="EO215" s="17" t="str">
        <f>IF(VLOOKUP(BO215,Fundamentus!A:U,12,FALSE)&lt;2,"Subvalorizada",IF(VLOOKUP(BO215,Fundamentus!A:U,12,FALSE)&lt;6,"Muita barata",IF(VLOOKUP(BO215,Fundamentus!A:U,12,FALSE)&lt;6,"Barata",IF(VLOOKUP(BO215,Fundamentus!A:U,12,FALSE)&lt;8,"Atrativa",IF(VLOOKUP(BO215,Fundamentus!A:U,12,FALSE)&gt;8,"Supervalorizada","n/a")))))</f>
        <v>Subvalorizada</v>
      </c>
      <c r="EQ215" s="17" t="str">
        <f>IF(VLOOKUP(BO215,Fundamentus!A:U,17,FALSE)&lt;0.1,"Fraco retorno",IF(VLOOKUP(BO215,Fundamentus!A:U,17,FALSE)&gt;0.1,"Bom retorno","n/a"))</f>
        <v>Fraco retorno</v>
      </c>
      <c r="ER215" s="17" t="str">
        <f>IF(VLOOKUP(BO215,Fundamentus!A:U,16,FALSE)&lt;0.1,"Ineficiente",IF(VLOOKUP(BO215,Fundamentus!A:U,16,FALSE)&gt;0.1,"Eficiente","n/a"))</f>
        <v>Ineficiente</v>
      </c>
      <c r="ES215" s="33" t="str">
        <f>IF(VLOOKUP(BO215,Fundamentus!A:U,16,FALSE)&lt;0.1,"Oper. Ineficiente",IF(VLOOKUP(BO215,Fundamentus!A:U,16,FALSE)&gt;0.1,"Oper.Eficiente","n/a"))</f>
        <v>Oper. Ineficiente</v>
      </c>
      <c r="ET215" s="34">
        <f>VLOOKUP(BO215,Fundamentus!A:U,14,FALSE)</f>
        <v>-0.1651</v>
      </c>
      <c r="EU215" s="17" t="str">
        <f>IF(VLOOKUP(BO215,Fundamentus!A:U,21,FALSE)&lt;0,"Negativo",IF(VLOOKUP(BO215,Fundamentus!A:U,21,FALSE)&lt;0.05,"Fraco",IF(VLOOKUP(BO215,Fundamentus!A:U,21,FALSE)&lt;0.1,"Bom",IF(VLOOKUP(BO215,Fundamentus!A:U,21,FALSE)&gt;0.1,"Muito bom","n/a"))))</f>
        <v>Negativo</v>
      </c>
      <c r="EW215" s="29" t="str">
        <f>IF(VLOOKUP(BO215,Fundamentus!A:U,15,FALSE)&gt;1,"Bom",IF(VLOOKUP(BO215,Fundamentus!A:U,15,FALSE)&lt;1,"Ruim","n/a"))</f>
        <v>Bom</v>
      </c>
      <c r="EX215" s="17" t="str">
        <f>IF(VLOOKUP(BO215,Fundamentus!A:U,20,FALSE)&lt;0.5,"Baixa",IF(VLOOKUP(BO215,Fundamentus!A:U,20,FALSE)&lt;1,"Moderada",IF(VLOOKUP(BO215,Fundamentus!A:U,20,FALSE)&lt;2,"Alerta",IF(VLOOKUP(BO215,Fundamentus!A:U,20,FALSE)&gt;2,"Alta","n/a"))))</f>
        <v>Baixa</v>
      </c>
    </row>
    <row r="216" spans="1:155" s="2" customFormat="1" ht="11.25"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5">
        <v>22.61</v>
      </c>
      <c r="BC216" s="52">
        <v>24.7</v>
      </c>
      <c r="BD216" s="52">
        <v>24.7</v>
      </c>
      <c r="BE216" s="52">
        <v>25.55</v>
      </c>
      <c r="BF216" s="52">
        <v>25.45</v>
      </c>
      <c r="BG216" s="67">
        <v>25.51</v>
      </c>
      <c r="BH216" s="52">
        <v>25.5</v>
      </c>
      <c r="BI216" s="52">
        <v>25.4</v>
      </c>
      <c r="BJ216" s="52">
        <v>26</v>
      </c>
      <c r="BK216" s="52">
        <v>25.85</v>
      </c>
      <c r="BL216" s="52">
        <v>26.17</v>
      </c>
      <c r="BM216" s="52">
        <v>24.75</v>
      </c>
      <c r="BN216" s="52" cm="1">
        <f t="array" aca="1" ref="BN216" ca="1">_FV(EB216,"Preço")</f>
        <v>24.75</v>
      </c>
      <c r="BO216" s="69" t="s">
        <v>212</v>
      </c>
      <c r="BP216" s="36" cm="1">
        <f t="array" aca="1" ref="BP216" ca="1">_FV(EB216,"Média de volume",TRUE)</f>
        <v>17670</v>
      </c>
      <c r="BQ216" s="36">
        <v>6000</v>
      </c>
      <c r="BR216" s="36" cm="1">
        <f t="array" aca="1" ref="BR216" ca="1">_FV(EB216,"Volume")</f>
        <v>6000</v>
      </c>
      <c r="BS216" s="24" cm="1">
        <f t="array" aca="1" ref="BS216" ca="1">_FV(EB216,"Beta")</f>
        <v>0.92979999999999996</v>
      </c>
      <c r="BT216" s="71" cm="1">
        <f t="array" aca="1" ref="BT216" ca="1">_FV(EB216,"Variação (%)",TRUE)</f>
        <v>0</v>
      </c>
      <c r="BV216" s="17" cm="1">
        <f t="array" aca="1" ref="BV216" ca="1">_FV(EB216,"Baixo")</f>
        <v>24.56</v>
      </c>
      <c r="BW216" s="17" cm="1">
        <f t="array" aca="1" ref="BW216" ca="1">_FV(EB216,"Alto")</f>
        <v>24.77</v>
      </c>
      <c r="BX216" s="24"/>
      <c r="BY216" s="63">
        <f ca="1">SQRT(22.5*(BN216/VLOOKUP(BO216,Fundamentus!A:U,3,FALSE))*(BN216/VLOOKUP(BO216,Fundamentus!A:U,4,FALSE)))</f>
        <v>11.794126804438754</v>
      </c>
      <c r="CA216" s="62">
        <f t="shared" ca="1" si="241"/>
        <v>0</v>
      </c>
      <c r="CB216" s="8"/>
      <c r="CC216" s="61">
        <f t="shared" si="242"/>
        <v>19.96</v>
      </c>
      <c r="CD216" s="61">
        <f t="shared" si="243"/>
        <v>41.69</v>
      </c>
      <c r="CE216" s="61">
        <f t="shared" si="244"/>
        <v>28.013307692307698</v>
      </c>
      <c r="CF216" s="14"/>
      <c r="CG216" s="35">
        <f t="shared" si="227"/>
        <v>23.723390806083398</v>
      </c>
      <c r="CH216" s="15">
        <f t="shared" si="245"/>
        <v>24.835000000000036</v>
      </c>
      <c r="CI216" s="35">
        <f t="shared" si="228"/>
        <v>25.946609193916675</v>
      </c>
      <c r="CK216" s="14"/>
      <c r="CL216" s="17">
        <f t="shared" si="229"/>
        <v>-4.8733333333333348</v>
      </c>
      <c r="CM216" s="17">
        <f t="shared" si="230"/>
        <v>7.543333333333333</v>
      </c>
      <c r="CN216" s="17">
        <f t="shared" si="231"/>
        <v>16.856666666666662</v>
      </c>
      <c r="CO216" s="38">
        <f t="shared" si="246"/>
        <v>29.27333333333333</v>
      </c>
      <c r="CP216" s="17">
        <f t="shared" si="232"/>
        <v>38.586666666666659</v>
      </c>
      <c r="CQ216" s="17">
        <f t="shared" si="233"/>
        <v>51.00333333333333</v>
      </c>
      <c r="CR216" s="17">
        <f t="shared" si="234"/>
        <v>60.316666666666656</v>
      </c>
      <c r="CS216" s="2" cm="1">
        <f t="array" aca="1" ref="CS216" ca="1">MAX(_xlfn._xlws.FILTER(CL216:CR216,CL216:CR216&lt;BN216))</f>
        <v>16.856666666666662</v>
      </c>
      <c r="CT216" s="2" cm="1">
        <f t="array" aca="1" ref="CT216" ca="1">MIN(_xlfn._xlws.FILTER($CL216:$CR216,$CL216:$CR216&gt;BN216))</f>
        <v>29.27333333333333</v>
      </c>
      <c r="CU216" s="16">
        <f t="shared" ca="1" si="248"/>
        <v>0.73660272889064693</v>
      </c>
      <c r="CV216" s="20">
        <f t="shared" ca="1" si="249"/>
        <v>-0.36830136444532346</v>
      </c>
      <c r="CW216" s="20">
        <f t="shared" ca="1" si="250"/>
        <v>-0.24553424296354898</v>
      </c>
      <c r="CX216" s="20">
        <f t="shared" ca="1" si="251"/>
        <v>-0.14732054577812939</v>
      </c>
      <c r="CY216" s="20">
        <f t="shared" ca="1" si="252"/>
        <v>-8.1844747654516325E-2</v>
      </c>
      <c r="CZ216" s="20">
        <f t="shared" ca="1" si="253"/>
        <v>-4.3329572287685116E-2</v>
      </c>
      <c r="DA216" s="20">
        <f t="shared" ca="1" si="254"/>
        <v>-2.2321294814868088E-2</v>
      </c>
      <c r="DB216" s="20">
        <f t="shared" ca="1" si="255"/>
        <v>-1.1332349675240721E-2</v>
      </c>
      <c r="DC216" s="21">
        <f t="shared" ca="1" si="256"/>
        <v>1.1332349675240721E-2</v>
      </c>
      <c r="DD216" s="21">
        <f t="shared" ca="1" si="257"/>
        <v>2.2321294814868088E-2</v>
      </c>
      <c r="DE216" s="21">
        <f t="shared" ca="1" si="258"/>
        <v>4.3329572287685116E-2</v>
      </c>
      <c r="DF216" s="21">
        <f t="shared" ca="1" si="259"/>
        <v>8.1844747654516325E-2</v>
      </c>
      <c r="DG216" s="21">
        <f t="shared" ca="1" si="260"/>
        <v>0.14732054577812939</v>
      </c>
      <c r="DH216" s="21">
        <f t="shared" ca="1" si="261"/>
        <v>0.24553424296354898</v>
      </c>
      <c r="DI216" s="21">
        <f t="shared" ca="1" si="262"/>
        <v>0.36830136444532346</v>
      </c>
      <c r="DK216" s="16" cm="1">
        <f t="array" aca="1" ref="DK216" ca="1">MAX(_xlfn._xlws.FILTER(CV216:DI216,CV216:DI216&lt;BT216))</f>
        <v>-1.1332349675240721E-2</v>
      </c>
      <c r="DL216" s="16" cm="1">
        <f t="array" aca="1" ref="DL216" ca="1">MIN(_xlfn._xlws.FILTER(CV216:DI216,CV216:DI216&gt;BT216))</f>
        <v>1.1332349675240721E-2</v>
      </c>
      <c r="DM216" s="2" cm="1">
        <f t="array" aca="1" ref="DM216" ca="1">_FV(EB216,"Fechamento anterior",TRUE)</f>
        <v>24.75</v>
      </c>
      <c r="DN216" s="28">
        <f t="shared" ca="1" si="235"/>
        <v>0.5</v>
      </c>
      <c r="DO216" s="15">
        <f t="shared" ca="1" si="263"/>
        <v>24.469524345537792</v>
      </c>
      <c r="DP216" s="15">
        <f t="shared" ca="1" si="264"/>
        <v>25.030475654462208</v>
      </c>
      <c r="DQ216" s="9"/>
      <c r="DR216" s="9"/>
      <c r="DS216" s="9"/>
      <c r="DT216" s="89">
        <v>2.2664699350481442E-2</v>
      </c>
      <c r="DU216" s="89">
        <f t="shared" ca="1" si="236"/>
        <v>2.2664699350481442E-2</v>
      </c>
      <c r="DV216" s="72">
        <f t="shared" ca="1" si="237"/>
        <v>-7.6465722364662855E-2</v>
      </c>
      <c r="DW216" s="37"/>
      <c r="DX216" s="35">
        <f t="shared" si="247"/>
        <v>0.55580459695831996</v>
      </c>
      <c r="DY216" s="56"/>
      <c r="DZ216" s="56"/>
      <c r="EB216" s="2" t="e" vm="218">
        <v>#VALUE!</v>
      </c>
      <c r="ED216" s="10" cm="1">
        <f t="array" aca="1" ref="ED216" ca="1">_FV(EB216,"Ações em circulação",TRUE)</f>
        <v>107306500</v>
      </c>
      <c r="EE216" s="18">
        <f>VLOOKUP(BO216,Fundamentus!A:U,5,FALSE)</f>
        <v>0.93899999999999995</v>
      </c>
      <c r="EF216" s="2">
        <f t="shared" ca="1" si="238"/>
        <v>2828366214.057508</v>
      </c>
      <c r="EG216" s="17">
        <v>70991991.972843453</v>
      </c>
      <c r="EH216" s="17">
        <f t="shared" ca="1" si="239"/>
        <v>70991991.972843453</v>
      </c>
      <c r="EJ216" s="16">
        <f t="shared" ca="1" si="226"/>
        <v>0</v>
      </c>
      <c r="EK216" s="32" t="str">
        <f>IF(VLOOKUP(BO216,Fundamentus!A:U,3,FALSE)&lt;15,"Bom",IF(VLOOKUP(BO216,Fundamentus!A:U,3,FALSE)&gt;15,"Ruim","n/a"))</f>
        <v>Ruim</v>
      </c>
      <c r="EL216" s="28" t="str">
        <f>IF(VLOOKUP(BO216,Fundamentus!A:U,4,FALSE)&lt;1,"Baixo",IF(VLOOKUP(BO216,Fundamentus!A:U,4,FALSE)&lt;1.5,"Moderado",IF(VLOOKUP(BO216,Fundamentus!A:U,4,FALSE)&gt;1.5,"Alto","n/a")))</f>
        <v>Alto</v>
      </c>
      <c r="EM216" s="17" t="str">
        <f>IF(VLOOKUP(BO216,Fundamentus!A:U,8,FALSE)&lt;0,"Risco elevado",IF(VLOOKUP(BO216,Fundamentus!A:U,8,FALSE)&lt;1,"Saudável",IF(VLOOKUP(BO216,Fundamentus!A:U,8,FALSE)&lt;3,"Estável",IF(VLOOKUP(BO216,Fundamentus!A:U,8,FALSE)&gt;3,"Alerta","n/a"))))</f>
        <v>Alerta</v>
      </c>
      <c r="EN216" s="28" t="str">
        <f t="shared" si="240"/>
        <v>Ruim</v>
      </c>
      <c r="EO216" s="17" t="str">
        <f>IF(VLOOKUP(BO216,Fundamentus!A:U,12,FALSE)&lt;2,"Subvalorizada",IF(VLOOKUP(BO216,Fundamentus!A:U,12,FALSE)&lt;6,"Muita barata",IF(VLOOKUP(BO216,Fundamentus!A:U,12,FALSE)&lt;6,"Barata",IF(VLOOKUP(BO216,Fundamentus!A:U,12,FALSE)&lt;8,"Atrativa",IF(VLOOKUP(BO216,Fundamentus!A:U,12,FALSE)&gt;8,"Supervalorizada","n/a")))))</f>
        <v>Atrativa</v>
      </c>
      <c r="EQ216" s="17" t="str">
        <f>IF(VLOOKUP(BO216,Fundamentus!A:U,17,FALSE)&lt;0.1,"Fraco retorno",IF(VLOOKUP(BO216,Fundamentus!A:U,17,FALSE)&gt;0.1,"Bom retorno","n/a"))</f>
        <v>Fraco retorno</v>
      </c>
      <c r="ER216" s="17" t="str">
        <f>IF(VLOOKUP(BO216,Fundamentus!A:U,16,FALSE)&lt;0.1,"Ineficiente",IF(VLOOKUP(BO216,Fundamentus!A:U,16,FALSE)&gt;0.1,"Eficiente","n/a"))</f>
        <v>Ineficiente</v>
      </c>
      <c r="ES216" s="33" t="str">
        <f>IF(VLOOKUP(BO216,Fundamentus!A:U,16,FALSE)&lt;0.1,"Oper. Ineficiente",IF(VLOOKUP(BO216,Fundamentus!A:U,16,FALSE)&gt;0.1,"Oper.Eficiente","n/a"))</f>
        <v>Oper. Ineficiente</v>
      </c>
      <c r="ET216" s="34">
        <f>VLOOKUP(BO216,Fundamentus!A:U,14,FALSE)</f>
        <v>2.5100000000000001E-2</v>
      </c>
      <c r="EU216" s="17" t="str">
        <f>IF(VLOOKUP(BO216,Fundamentus!A:U,21,FALSE)&lt;0,"Negativo",IF(VLOOKUP(BO216,Fundamentus!A:U,21,FALSE)&lt;0.05,"Fraco",IF(VLOOKUP(BO216,Fundamentus!A:U,21,FALSE)&lt;0.1,"Bom",IF(VLOOKUP(BO216,Fundamentus!A:U,21,FALSE)&gt;0.1,"Muito bom","n/a"))))</f>
        <v>Muito bom</v>
      </c>
      <c r="EW216" s="29" t="str">
        <f>IF(VLOOKUP(BO216,Fundamentus!A:U,15,FALSE)&gt;1,"Bom",IF(VLOOKUP(BO216,Fundamentus!A:U,15,FALSE)&lt;1,"Ruim","n/a"))</f>
        <v>Bom</v>
      </c>
      <c r="EX216" s="17" t="str">
        <f>IF(VLOOKUP(BO216,Fundamentus!A:U,20,FALSE)&lt;0.5,"Baixa",IF(VLOOKUP(BO216,Fundamentus!A:U,20,FALSE)&lt;1,"Moderada",IF(VLOOKUP(BO216,Fundamentus!A:U,20,FALSE)&lt;2,"Alerta",IF(VLOOKUP(BO216,Fundamentus!A:U,20,FALSE)&gt;2,"Alta","n/a"))))</f>
        <v>Alerta</v>
      </c>
    </row>
    <row r="217" spans="1:155" s="2" customFormat="1" ht="11.25"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5">
        <v>4.55</v>
      </c>
      <c r="BC217" s="52">
        <v>4.34</v>
      </c>
      <c r="BD217" s="52">
        <v>4.12</v>
      </c>
      <c r="BE217" s="52">
        <v>4.97</v>
      </c>
      <c r="BF217" s="52">
        <v>4.53</v>
      </c>
      <c r="BG217" s="67">
        <v>4.6399999999999997</v>
      </c>
      <c r="BH217" s="52">
        <v>4.4800000000000004</v>
      </c>
      <c r="BI217" s="52">
        <v>4.13</v>
      </c>
      <c r="BJ217" s="52">
        <v>3.97</v>
      </c>
      <c r="BK217" s="52">
        <v>3.91</v>
      </c>
      <c r="BL217" s="52">
        <v>3.84</v>
      </c>
      <c r="BM217" s="52">
        <v>4</v>
      </c>
      <c r="BN217" s="52" cm="1">
        <f t="array" aca="1" ref="BN217" ca="1">_FV(EB217,"Preço")</f>
        <v>4</v>
      </c>
      <c r="BO217" s="69" t="s">
        <v>213</v>
      </c>
      <c r="BP217" s="36" cm="1">
        <f t="array" aca="1" ref="BP217" ca="1">_FV(EB217,"Média de volume",TRUE)</f>
        <v>11387430</v>
      </c>
      <c r="BQ217" s="36">
        <v>13358500</v>
      </c>
      <c r="BR217" s="36" cm="1">
        <f t="array" aca="1" ref="BR217" ca="1">_FV(EB217,"Volume")</f>
        <v>13358500</v>
      </c>
      <c r="BS217" s="24" cm="1">
        <f t="array" aca="1" ref="BS217" ca="1">_FV(EB217,"Beta")</f>
        <v>1.2655000000000001</v>
      </c>
      <c r="BT217" s="71" cm="1">
        <f t="array" aca="1" ref="BT217" ca="1">_FV(EB217,"Variação (%)",TRUE)</f>
        <v>2.3018E-2</v>
      </c>
      <c r="BV217" s="17" cm="1">
        <f t="array" aca="1" ref="BV217" ca="1">_FV(EB217,"Baixo")</f>
        <v>3.93</v>
      </c>
      <c r="BW217" s="17" cm="1">
        <f t="array" aca="1" ref="BW217" ca="1">_FV(EB217,"Alto")</f>
        <v>4.03</v>
      </c>
      <c r="BX217" s="24"/>
      <c r="BY217" s="63">
        <f ca="1">SQRT(22.5*(BN217/VLOOKUP(BO217,Fundamentus!A:U,3,FALSE))*(BN217/VLOOKUP(BO217,Fundamentus!A:U,4,FALSE)))</f>
        <v>3.9360132250266542</v>
      </c>
      <c r="CA217" s="62">
        <f t="shared" ca="1" si="241"/>
        <v>0</v>
      </c>
      <c r="CB217" s="8"/>
      <c r="CC217" s="61">
        <f t="shared" si="242"/>
        <v>3.81</v>
      </c>
      <c r="CD217" s="61">
        <f t="shared" si="243"/>
        <v>9.15</v>
      </c>
      <c r="CE217" s="61">
        <f t="shared" si="244"/>
        <v>5.880307692307694</v>
      </c>
      <c r="CF217" s="14"/>
      <c r="CG217" s="35">
        <f t="shared" si="227"/>
        <v>3.8125255128608395</v>
      </c>
      <c r="CH217" s="15">
        <f t="shared" si="245"/>
        <v>3.9349999999999987</v>
      </c>
      <c r="CI217" s="35">
        <f t="shared" si="228"/>
        <v>4.0574744871391575</v>
      </c>
      <c r="CK217" s="14"/>
      <c r="CL217" s="17">
        <f t="shared" si="229"/>
        <v>-3.2899999999999996</v>
      </c>
      <c r="CM217" s="17">
        <f t="shared" si="230"/>
        <v>0.26000000000000068</v>
      </c>
      <c r="CN217" s="17">
        <f t="shared" si="231"/>
        <v>2.0500000000000007</v>
      </c>
      <c r="CO217" s="38">
        <f t="shared" si="246"/>
        <v>5.6000000000000005</v>
      </c>
      <c r="CP217" s="17">
        <f t="shared" si="232"/>
        <v>7.3900000000000006</v>
      </c>
      <c r="CQ217" s="17">
        <f t="shared" si="233"/>
        <v>10.940000000000001</v>
      </c>
      <c r="CR217" s="17">
        <f t="shared" si="234"/>
        <v>12.73</v>
      </c>
      <c r="CS217" s="2" cm="1">
        <f t="array" aca="1" ref="CS217" ca="1">MAX(_xlfn._xlws.FILTER(CL217:CR217,CL217:CR217&lt;BN217))</f>
        <v>2.0500000000000007</v>
      </c>
      <c r="CT217" s="2" cm="1">
        <f t="array" aca="1" ref="CT217" ca="1">MIN(_xlfn._xlws.FILTER($CL217:$CR217,$CL217:$CR217&gt;BN217))</f>
        <v>5.6000000000000005</v>
      </c>
      <c r="CU217" s="16">
        <f t="shared" ca="1" si="248"/>
        <v>1.73170731707317</v>
      </c>
      <c r="CV217" s="20">
        <f t="shared" ca="1" si="249"/>
        <v>-0.86585365853658502</v>
      </c>
      <c r="CW217" s="20">
        <f t="shared" ca="1" si="250"/>
        <v>-0.57723577235772339</v>
      </c>
      <c r="CX217" s="20">
        <f t="shared" ca="1" si="251"/>
        <v>-0.34634146341463401</v>
      </c>
      <c r="CY217" s="20">
        <f t="shared" ca="1" si="252"/>
        <v>-0.19241192411924113</v>
      </c>
      <c r="CZ217" s="20">
        <f t="shared" ca="1" si="253"/>
        <v>-0.10186513629842177</v>
      </c>
      <c r="DA217" s="20">
        <f t="shared" ca="1" si="254"/>
        <v>-5.2475979305247576E-2</v>
      </c>
      <c r="DB217" s="20">
        <f t="shared" ca="1" si="255"/>
        <v>-2.6641651031894923E-2</v>
      </c>
      <c r="DC217" s="21">
        <f t="shared" ca="1" si="256"/>
        <v>2.6641651031894923E-2</v>
      </c>
      <c r="DD217" s="21">
        <f t="shared" ca="1" si="257"/>
        <v>5.2475979305247576E-2</v>
      </c>
      <c r="DE217" s="21">
        <f t="shared" ca="1" si="258"/>
        <v>0.10186513629842177</v>
      </c>
      <c r="DF217" s="21">
        <f t="shared" ca="1" si="259"/>
        <v>0.19241192411924113</v>
      </c>
      <c r="DG217" s="21">
        <f t="shared" ca="1" si="260"/>
        <v>0.34634146341463401</v>
      </c>
      <c r="DH217" s="21">
        <f t="shared" ca="1" si="261"/>
        <v>0.57723577235772339</v>
      </c>
      <c r="DI217" s="21">
        <f t="shared" ca="1" si="262"/>
        <v>0.86585365853658502</v>
      </c>
      <c r="DK217" s="16" cm="1">
        <f t="array" aca="1" ref="DK217" ca="1">MAX(_xlfn._xlws.FILTER(CV217:DI217,CV217:DI217&lt;BT217))</f>
        <v>-2.6641651031894923E-2</v>
      </c>
      <c r="DL217" s="16" cm="1">
        <f t="array" aca="1" ref="DL217" ca="1">MIN(_xlfn._xlws.FILTER(CV217:DI217,CV217:DI217&gt;BT217))</f>
        <v>2.6641651031894923E-2</v>
      </c>
      <c r="DM217" s="2" cm="1">
        <f t="array" aca="1" ref="DM217" ca="1">_FV(EB217,"Fechamento anterior",TRUE)</f>
        <v>3.91</v>
      </c>
      <c r="DN217" s="28">
        <f t="shared" ca="1" si="235"/>
        <v>0.93199092251719906</v>
      </c>
      <c r="DO217" s="15">
        <f t="shared" ca="1" si="263"/>
        <v>3.8058311444652908</v>
      </c>
      <c r="DP217" s="15">
        <f t="shared" ca="1" si="264"/>
        <v>4.0141688555347095</v>
      </c>
      <c r="DQ217" s="9"/>
      <c r="DR217" s="9"/>
      <c r="DS217" s="9"/>
      <c r="DT217" s="89">
        <v>5.3283302063789846E-2</v>
      </c>
      <c r="DU217" s="89">
        <f t="shared" ca="1" si="236"/>
        <v>5.3283302063789846E-2</v>
      </c>
      <c r="DV217" s="72">
        <f t="shared" ca="1" si="237"/>
        <v>0.5307227776030311</v>
      </c>
      <c r="DW217" s="37"/>
      <c r="DX217" s="35">
        <f t="shared" si="247"/>
        <v>6.1237243569579526E-2</v>
      </c>
      <c r="DY217" s="56"/>
      <c r="DZ217" s="56"/>
      <c r="EB217" s="2" t="e" vm="219">
        <v>#VALUE!</v>
      </c>
      <c r="ED217" s="10" cm="1">
        <f t="array" aca="1" ref="ED217" ca="1">_FV(EB217,"Ações em circulação",TRUE)</f>
        <v>1081033000</v>
      </c>
      <c r="EE217" s="18">
        <f>VLOOKUP(BO217,Fundamentus!A:U,5,FALSE)</f>
        <v>0.97699999999999998</v>
      </c>
      <c r="EF217" s="2">
        <f t="shared" ca="1" si="238"/>
        <v>4425928352.0982599</v>
      </c>
      <c r="EG217" s="17">
        <v>314240912.99897641</v>
      </c>
      <c r="EH217" s="17">
        <f t="shared" ca="1" si="239"/>
        <v>314240912.99897641</v>
      </c>
      <c r="EJ217" s="16">
        <f t="shared" ca="1" si="226"/>
        <v>0</v>
      </c>
      <c r="EK217" s="32" t="str">
        <f>IF(VLOOKUP(BO217,Fundamentus!A:U,3,FALSE)&lt;15,"Bom",IF(VLOOKUP(BO217,Fundamentus!A:U,3,FALSE)&gt;15,"Ruim","n/a"))</f>
        <v>Bom</v>
      </c>
      <c r="EL217" s="28" t="str">
        <f>IF(VLOOKUP(BO217,Fundamentus!A:U,4,FALSE)&lt;1,"Baixo",IF(VLOOKUP(BO217,Fundamentus!A:U,4,FALSE)&lt;1.5,"Moderado",IF(VLOOKUP(BO217,Fundamentus!A:U,4,FALSE)&gt;1.5,"Alto","n/a")))</f>
        <v>Alto</v>
      </c>
      <c r="EM217" s="17" t="str">
        <f>IF(VLOOKUP(BO217,Fundamentus!A:U,8,FALSE)&lt;0,"Risco elevado",IF(VLOOKUP(BO217,Fundamentus!A:U,8,FALSE)&lt;1,"Saudável",IF(VLOOKUP(BO217,Fundamentus!A:U,8,FALSE)&lt;3,"Estável",IF(VLOOKUP(BO217,Fundamentus!A:U,8,FALSE)&gt;3,"Alerta","n/a"))))</f>
        <v>Estável</v>
      </c>
      <c r="EN217" s="28" t="str">
        <f t="shared" si="240"/>
        <v>Ruim</v>
      </c>
      <c r="EO217" s="17" t="str">
        <f>IF(VLOOKUP(BO217,Fundamentus!A:U,12,FALSE)&lt;2,"Subvalorizada",IF(VLOOKUP(BO217,Fundamentus!A:U,12,FALSE)&lt;6,"Muita barata",IF(VLOOKUP(BO217,Fundamentus!A:U,12,FALSE)&lt;6,"Barata",IF(VLOOKUP(BO217,Fundamentus!A:U,12,FALSE)&lt;8,"Atrativa",IF(VLOOKUP(BO217,Fundamentus!A:U,12,FALSE)&gt;8,"Supervalorizada","n/a")))))</f>
        <v>Muita barata</v>
      </c>
      <c r="EQ217" s="17" t="str">
        <f>IF(VLOOKUP(BO217,Fundamentus!A:U,17,FALSE)&lt;0.1,"Fraco retorno",IF(VLOOKUP(BO217,Fundamentus!A:U,17,FALSE)&gt;0.1,"Bom retorno","n/a"))</f>
        <v>Bom retorno</v>
      </c>
      <c r="ER217" s="17" t="str">
        <f>IF(VLOOKUP(BO217,Fundamentus!A:U,16,FALSE)&lt;0.1,"Ineficiente",IF(VLOOKUP(BO217,Fundamentus!A:U,16,FALSE)&gt;0.1,"Eficiente","n/a"))</f>
        <v>Eficiente</v>
      </c>
      <c r="ES217" s="33" t="str">
        <f>IF(VLOOKUP(BO217,Fundamentus!A:U,16,FALSE)&lt;0.1,"Oper. Ineficiente",IF(VLOOKUP(BO217,Fundamentus!A:U,16,FALSE)&gt;0.1,"Oper.Eficiente","n/a"))</f>
        <v>Oper.Eficiente</v>
      </c>
      <c r="ET217" s="34">
        <f>VLOOKUP(BO217,Fundamentus!A:U,14,FALSE)</f>
        <v>7.0999999999999994E-2</v>
      </c>
      <c r="EU217" s="17" t="str">
        <f>IF(VLOOKUP(BO217,Fundamentus!A:U,21,FALSE)&lt;0,"Negativo",IF(VLOOKUP(BO217,Fundamentus!A:U,21,FALSE)&lt;0.05,"Fraco",IF(VLOOKUP(BO217,Fundamentus!A:U,21,FALSE)&lt;0.1,"Bom",IF(VLOOKUP(BO217,Fundamentus!A:U,21,FALSE)&gt;0.1,"Muito bom","n/a"))))</f>
        <v>Muito bom</v>
      </c>
      <c r="EW217" s="29" t="str">
        <f>IF(VLOOKUP(BO217,Fundamentus!A:U,15,FALSE)&gt;1,"Bom",IF(VLOOKUP(BO217,Fundamentus!A:U,15,FALSE)&lt;1,"Ruim","n/a"))</f>
        <v>Bom</v>
      </c>
      <c r="EX217" s="17" t="str">
        <f>IF(VLOOKUP(BO217,Fundamentus!A:U,20,FALSE)&lt;0.5,"Baixa",IF(VLOOKUP(BO217,Fundamentus!A:U,20,FALSE)&lt;1,"Moderada",IF(VLOOKUP(BO217,Fundamentus!A:U,20,FALSE)&lt;2,"Alerta",IF(VLOOKUP(BO217,Fundamentus!A:U,20,FALSE)&gt;2,"Alta","n/a"))))</f>
        <v>Alta</v>
      </c>
    </row>
    <row r="218" spans="1:155" s="2" customFormat="1" ht="11.25"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5">
        <v>5.0999999999999996</v>
      </c>
      <c r="BC218" s="52">
        <v>5.17</v>
      </c>
      <c r="BD218" s="52">
        <v>5.0599999999999996</v>
      </c>
      <c r="BE218" s="52">
        <v>5.35</v>
      </c>
      <c r="BF218" s="52">
        <v>5.24</v>
      </c>
      <c r="BG218" s="67">
        <v>5.23</v>
      </c>
      <c r="BH218" s="52">
        <v>5.26</v>
      </c>
      <c r="BI218" s="52">
        <v>5.25</v>
      </c>
      <c r="BJ218" s="52">
        <v>5.3</v>
      </c>
      <c r="BK218" s="52">
        <v>5.23</v>
      </c>
      <c r="BL218" s="52">
        <v>5.04</v>
      </c>
      <c r="BM218" s="52">
        <v>5.12</v>
      </c>
      <c r="BN218" s="52" cm="1">
        <f t="array" aca="1" ref="BN218" ca="1">_FV(EB218,"Preço")</f>
        <v>5.12</v>
      </c>
      <c r="BO218" s="69" t="s">
        <v>214</v>
      </c>
      <c r="BP218" s="36" cm="1">
        <f t="array" aca="1" ref="BP218" ca="1">_FV(EB218,"Média de volume",TRUE)</f>
        <v>2358290</v>
      </c>
      <c r="BQ218" s="36">
        <v>1866500</v>
      </c>
      <c r="BR218" s="36" cm="1">
        <f t="array" aca="1" ref="BR218" ca="1">_FV(EB218,"Volume")</f>
        <v>1866500</v>
      </c>
      <c r="BS218" s="24" cm="1">
        <f t="array" aca="1" ref="BS218" ca="1">_FV(EB218,"Beta")</f>
        <v>1.5496000000000001</v>
      </c>
      <c r="BT218" s="71" cm="1">
        <f t="array" aca="1" ref="BT218" ca="1">_FV(EB218,"Variação (%)",TRUE)</f>
        <v>7.8739999999999991E-3</v>
      </c>
      <c r="BV218" s="17" cm="1">
        <f t="array" aca="1" ref="BV218" ca="1">_FV(EB218,"Baixo")</f>
        <v>5.09</v>
      </c>
      <c r="BW218" s="17" cm="1">
        <f t="array" aca="1" ref="BW218" ca="1">_FV(EB218,"Alto")</f>
        <v>5.18</v>
      </c>
      <c r="BX218" s="24"/>
      <c r="BY218" s="63">
        <f ca="1">SQRT(22.5*(BN218/VLOOKUP(BO218,Fundamentus!A:U,3,FALSE))*(BN218/VLOOKUP(BO218,Fundamentus!A:U,4,FALSE)))</f>
        <v>16.927636847308513</v>
      </c>
      <c r="CA218" s="62">
        <f t="shared" ca="1" si="241"/>
        <v>0</v>
      </c>
      <c r="CB218" s="8"/>
      <c r="CC218" s="61">
        <f t="shared" si="242"/>
        <v>3.56</v>
      </c>
      <c r="CD218" s="61">
        <f t="shared" si="243"/>
        <v>5.35</v>
      </c>
      <c r="CE218" s="61">
        <f t="shared" si="244"/>
        <v>4.328846153846154</v>
      </c>
      <c r="CF218" s="14"/>
      <c r="CG218" s="35">
        <f t="shared" si="227"/>
        <v>4.7903127445228506</v>
      </c>
      <c r="CH218" s="15">
        <f t="shared" si="245"/>
        <v>4.9900000000000091</v>
      </c>
      <c r="CI218" s="35">
        <f t="shared" si="228"/>
        <v>5.1896872554771676</v>
      </c>
      <c r="CK218" s="14"/>
      <c r="CL218" s="17">
        <f t="shared" si="229"/>
        <v>2.1599999999999997</v>
      </c>
      <c r="CM218" s="17">
        <f t="shared" si="230"/>
        <v>2.86</v>
      </c>
      <c r="CN218" s="17">
        <f t="shared" si="231"/>
        <v>3.9499999999999993</v>
      </c>
      <c r="CO218" s="38">
        <f t="shared" si="246"/>
        <v>4.6499999999999995</v>
      </c>
      <c r="CP218" s="17">
        <f t="shared" si="232"/>
        <v>5.7399999999999984</v>
      </c>
      <c r="CQ218" s="17">
        <f t="shared" si="233"/>
        <v>6.4399999999999995</v>
      </c>
      <c r="CR218" s="17">
        <f t="shared" si="234"/>
        <v>7.5299999999999985</v>
      </c>
      <c r="CS218" s="2" cm="1">
        <f t="array" aca="1" ref="CS218" ca="1">MAX(_xlfn._xlws.FILTER(CL218:CR218,CL218:CR218&lt;BN218))</f>
        <v>4.6499999999999995</v>
      </c>
      <c r="CT218" s="2" cm="1">
        <f t="array" aca="1" ref="CT218" ca="1">MIN(_xlfn._xlws.FILTER($CL218:$CR218,$CL218:$CR218&gt;BN218))</f>
        <v>5.7399999999999984</v>
      </c>
      <c r="CU218" s="16">
        <f t="shared" ca="1" si="248"/>
        <v>0.23440860215053738</v>
      </c>
      <c r="CV218" s="20">
        <f t="shared" ca="1" si="249"/>
        <v>-0.11720430107526869</v>
      </c>
      <c r="CW218" s="20">
        <f t="shared" ca="1" si="250"/>
        <v>-7.8136200716845794E-2</v>
      </c>
      <c r="CX218" s="20">
        <f t="shared" ca="1" si="251"/>
        <v>-4.6881720430107479E-2</v>
      </c>
      <c r="CY218" s="20">
        <f t="shared" ca="1" si="252"/>
        <v>-2.6045400238948597E-2</v>
      </c>
      <c r="CZ218" s="20">
        <f t="shared" ca="1" si="253"/>
        <v>-1.3788741302972788E-2</v>
      </c>
      <c r="DA218" s="20">
        <f t="shared" ca="1" si="254"/>
        <v>-7.1032909742587084E-3</v>
      </c>
      <c r="DB218" s="20">
        <f t="shared" ca="1" si="255"/>
        <v>-3.6062861869313443E-3</v>
      </c>
      <c r="DC218" s="21">
        <f t="shared" ca="1" si="256"/>
        <v>3.6062861869313443E-3</v>
      </c>
      <c r="DD218" s="21">
        <f t="shared" ca="1" si="257"/>
        <v>7.1032909742587084E-3</v>
      </c>
      <c r="DE218" s="21">
        <f t="shared" ca="1" si="258"/>
        <v>1.3788741302972788E-2</v>
      </c>
      <c r="DF218" s="21">
        <f t="shared" ca="1" si="259"/>
        <v>2.6045400238948597E-2</v>
      </c>
      <c r="DG218" s="21">
        <f t="shared" ca="1" si="260"/>
        <v>4.6881720430107479E-2</v>
      </c>
      <c r="DH218" s="21">
        <f t="shared" ca="1" si="261"/>
        <v>7.8136200716845794E-2</v>
      </c>
      <c r="DI218" s="21">
        <f t="shared" ca="1" si="262"/>
        <v>0.11720430107526869</v>
      </c>
      <c r="DK218" s="16" cm="1">
        <f t="array" aca="1" ref="DK218" ca="1">MAX(_xlfn._xlws.FILTER(CV218:DI218,CV218:DI218&lt;BT218))</f>
        <v>7.1032909742587084E-3</v>
      </c>
      <c r="DL218" s="16" cm="1">
        <f t="array" aca="1" ref="DL218" ca="1">MIN(_xlfn._xlws.FILTER(CV218:DI218,CV218:DI218&gt;BT218))</f>
        <v>1.3788741302972788E-2</v>
      </c>
      <c r="DM218" s="2" cm="1">
        <f t="array" aca="1" ref="DM218" ca="1">_FV(EB218,"Fechamento anterior",TRUE)</f>
        <v>5.08</v>
      </c>
      <c r="DN218" s="28">
        <f t="shared" ca="1" si="235"/>
        <v>0.11528389799899512</v>
      </c>
      <c r="DO218" s="15">
        <f t="shared" ca="1" si="263"/>
        <v>5.1160847181492342</v>
      </c>
      <c r="DP218" s="15">
        <f t="shared" ca="1" si="264"/>
        <v>5.1500468058191018</v>
      </c>
      <c r="DQ218" s="9"/>
      <c r="DR218" s="9"/>
      <c r="DS218" s="9"/>
      <c r="DT218" s="89">
        <v>6.6854503287140793E-3</v>
      </c>
      <c r="DU218" s="89">
        <f t="shared" ca="1" si="236"/>
        <v>6.6854503287140793E-3</v>
      </c>
      <c r="DV218" s="72">
        <f t="shared" ca="1" si="237"/>
        <v>0.65101801158692996</v>
      </c>
      <c r="DW218" s="37"/>
      <c r="DX218" s="35">
        <f t="shared" si="247"/>
        <v>9.9843627738579271E-2</v>
      </c>
      <c r="DY218" s="56"/>
      <c r="DZ218" s="56"/>
      <c r="EB218" s="2" t="e" vm="220">
        <v>#VALUE!</v>
      </c>
      <c r="ED218" s="10" cm="1">
        <f t="array" aca="1" ref="ED218" ca="1">_FV(EB218,"Ações em circulação",TRUE)</f>
        <v>681322800</v>
      </c>
      <c r="EE218" s="18">
        <f>VLOOKUP(BO218,Fundamentus!A:U,5,FALSE)</f>
        <v>2.0630000000000002</v>
      </c>
      <c r="EF218" s="2">
        <f t="shared" ca="1" si="238"/>
        <v>1690922315.0751331</v>
      </c>
      <c r="EG218" s="17">
        <v>1041946330.549297</v>
      </c>
      <c r="EH218" s="17">
        <f t="shared" ca="1" si="239"/>
        <v>1041946330.549297</v>
      </c>
      <c r="EJ218" s="16">
        <f t="shared" ca="1" si="226"/>
        <v>0</v>
      </c>
      <c r="EK218" s="32" t="str">
        <f>IF(VLOOKUP(BO218,Fundamentus!A:U,3,FALSE)&lt;15,"Bom",IF(VLOOKUP(BO218,Fundamentus!A:U,3,FALSE)&gt;15,"Ruim","n/a"))</f>
        <v>Bom</v>
      </c>
      <c r="EL218" s="28" t="str">
        <f>IF(VLOOKUP(BO218,Fundamentus!A:U,4,FALSE)&lt;1,"Baixo",IF(VLOOKUP(BO218,Fundamentus!A:U,4,FALSE)&lt;1.5,"Moderado",IF(VLOOKUP(BO218,Fundamentus!A:U,4,FALSE)&gt;1.5,"Alto","n/a")))</f>
        <v>Baixo</v>
      </c>
      <c r="EM218" s="17" t="str">
        <f>IF(VLOOKUP(BO218,Fundamentus!A:U,8,FALSE)&lt;0,"Risco elevado",IF(VLOOKUP(BO218,Fundamentus!A:U,8,FALSE)&lt;1,"Saudável",IF(VLOOKUP(BO218,Fundamentus!A:U,8,FALSE)&lt;3,"Estável",IF(VLOOKUP(BO218,Fundamentus!A:U,8,FALSE)&gt;3,"Alerta","n/a"))))</f>
        <v>Estável</v>
      </c>
      <c r="EN218" s="28" t="str">
        <f t="shared" si="240"/>
        <v>Bom</v>
      </c>
      <c r="EO218" s="17" t="str">
        <f>IF(VLOOKUP(BO218,Fundamentus!A:U,12,FALSE)&lt;2,"Subvalorizada",IF(VLOOKUP(BO218,Fundamentus!A:U,12,FALSE)&lt;6,"Muita barata",IF(VLOOKUP(BO218,Fundamentus!A:U,12,FALSE)&lt;6,"Barata",IF(VLOOKUP(BO218,Fundamentus!A:U,12,FALSE)&lt;8,"Atrativa",IF(VLOOKUP(BO218,Fundamentus!A:U,12,FALSE)&gt;8,"Supervalorizada","n/a")))))</f>
        <v>Supervalorizada</v>
      </c>
      <c r="EQ218" s="17" t="str">
        <f>IF(VLOOKUP(BO218,Fundamentus!A:U,17,FALSE)&lt;0.1,"Fraco retorno",IF(VLOOKUP(BO218,Fundamentus!A:U,17,FALSE)&gt;0.1,"Bom retorno","n/a"))</f>
        <v>Bom retorno</v>
      </c>
      <c r="ER218" s="17" t="str">
        <f>IF(VLOOKUP(BO218,Fundamentus!A:U,16,FALSE)&lt;0.1,"Ineficiente",IF(VLOOKUP(BO218,Fundamentus!A:U,16,FALSE)&gt;0.1,"Eficiente","n/a"))</f>
        <v>Ineficiente</v>
      </c>
      <c r="ES218" s="33" t="str">
        <f>IF(VLOOKUP(BO218,Fundamentus!A:U,16,FALSE)&lt;0.1,"Oper. Ineficiente",IF(VLOOKUP(BO218,Fundamentus!A:U,16,FALSE)&gt;0.1,"Oper.Eficiente","n/a"))</f>
        <v>Oper. Ineficiente</v>
      </c>
      <c r="ET218" s="34">
        <f>VLOOKUP(BO218,Fundamentus!A:U,14,FALSE)</f>
        <v>0.61619999999999997</v>
      </c>
      <c r="EU218" s="17" t="str">
        <f>IF(VLOOKUP(BO218,Fundamentus!A:U,21,FALSE)&lt;0,"Negativo",IF(VLOOKUP(BO218,Fundamentus!A:U,21,FALSE)&lt;0.05,"Fraco",IF(VLOOKUP(BO218,Fundamentus!A:U,21,FALSE)&lt;0.1,"Bom",IF(VLOOKUP(BO218,Fundamentus!A:U,21,FALSE)&gt;0.1,"Muito bom","n/a"))))</f>
        <v>Fraco</v>
      </c>
      <c r="EW218" s="29" t="str">
        <f>IF(VLOOKUP(BO218,Fundamentus!A:U,15,FALSE)&gt;1,"Bom",IF(VLOOKUP(BO218,Fundamentus!A:U,15,FALSE)&lt;1,"Ruim","n/a"))</f>
        <v>Bom</v>
      </c>
      <c r="EX218" s="17" t="str">
        <f>IF(VLOOKUP(BO218,Fundamentus!A:U,20,FALSE)&lt;0.5,"Baixa",IF(VLOOKUP(BO218,Fundamentus!A:U,20,FALSE)&lt;1,"Moderada",IF(VLOOKUP(BO218,Fundamentus!A:U,20,FALSE)&lt;2,"Alerta",IF(VLOOKUP(BO218,Fundamentus!A:U,20,FALSE)&gt;2,"Alta","n/a"))))</f>
        <v>Moderada</v>
      </c>
    </row>
    <row r="219" spans="1:155" s="2" customFormat="1" ht="11.25"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5">
        <v>5.09</v>
      </c>
      <c r="BC219" s="52">
        <v>4.83</v>
      </c>
      <c r="BD219" s="52">
        <v>4.7</v>
      </c>
      <c r="BE219" s="52">
        <v>5.33</v>
      </c>
      <c r="BF219" s="52">
        <v>5.09</v>
      </c>
      <c r="BG219" s="67">
        <v>5.52</v>
      </c>
      <c r="BH219" s="52">
        <v>5.49</v>
      </c>
      <c r="BI219" s="52">
        <v>5.03</v>
      </c>
      <c r="BJ219" s="52">
        <v>4.82</v>
      </c>
      <c r="BK219" s="52">
        <v>4.4400000000000004</v>
      </c>
      <c r="BL219" s="52">
        <v>4.25</v>
      </c>
      <c r="BM219" s="52">
        <v>4.3899999999999997</v>
      </c>
      <c r="BN219" s="52" cm="1">
        <f t="array" aca="1" ref="BN219" ca="1">_FV(EB219,"Preço")</f>
        <v>4.3899999999999997</v>
      </c>
      <c r="BO219" s="69" t="s">
        <v>215</v>
      </c>
      <c r="BP219" s="36" cm="1">
        <f t="array" aca="1" ref="BP219" ca="1">_FV(EB219,"Média de volume",TRUE)</f>
        <v>3399310</v>
      </c>
      <c r="BQ219" s="36">
        <v>2306600</v>
      </c>
      <c r="BR219" s="36" cm="1">
        <f t="array" aca="1" ref="BR219" ca="1">_FV(EB219,"Volume")</f>
        <v>2306600</v>
      </c>
      <c r="BS219" s="24" cm="1">
        <f t="array" aca="1" ref="BS219" ca="1">_FV(EB219,"Beta")</f>
        <v>1.6075999999999999</v>
      </c>
      <c r="BT219" s="71" cm="1">
        <f t="array" aca="1" ref="BT219" ca="1">_FV(EB219,"Variação (%)",TRUE)</f>
        <v>4.5770000000000003E-3</v>
      </c>
      <c r="BV219" s="17" cm="1">
        <f t="array" aca="1" ref="BV219" ca="1">_FV(EB219,"Baixo")</f>
        <v>4.3099999999999996</v>
      </c>
      <c r="BW219" s="17" cm="1">
        <f t="array" aca="1" ref="BW219" ca="1">_FV(EB219,"Alto")</f>
        <v>4.4400000000000004</v>
      </c>
      <c r="BX219" s="24"/>
      <c r="BY219" s="63" t="e">
        <f ca="1">SQRT(22.5*(BN219/VLOOKUP(BO219,Fundamentus!A:U,3,FALSE))*(BN219/VLOOKUP(BO219,Fundamentus!A:U,4,FALSE)))</f>
        <v>#NUM!</v>
      </c>
      <c r="CA219" s="62">
        <f t="shared" ca="1" si="241"/>
        <v>0</v>
      </c>
      <c r="CB219" s="8"/>
      <c r="CC219" s="61">
        <f t="shared" si="242"/>
        <v>3.12</v>
      </c>
      <c r="CD219" s="61">
        <f t="shared" si="243"/>
        <v>6.93</v>
      </c>
      <c r="CE219" s="61">
        <f t="shared" si="244"/>
        <v>5.0089999999999995</v>
      </c>
      <c r="CF219" s="14"/>
      <c r="CG219" s="35">
        <f t="shared" si="227"/>
        <v>3.6829810430798342</v>
      </c>
      <c r="CH219" s="15">
        <f t="shared" si="245"/>
        <v>4.1050000000000182</v>
      </c>
      <c r="CI219" s="35">
        <f t="shared" si="228"/>
        <v>4.5270189569202026</v>
      </c>
      <c r="CK219" s="14"/>
      <c r="CL219" s="17">
        <f t="shared" si="229"/>
        <v>-1.2066666666666661</v>
      </c>
      <c r="CM219" s="17">
        <f t="shared" si="230"/>
        <v>0.956666666666667</v>
      </c>
      <c r="CN219" s="17">
        <f t="shared" si="231"/>
        <v>2.6033333333333335</v>
      </c>
      <c r="CO219" s="38">
        <f t="shared" si="246"/>
        <v>4.7666666666666666</v>
      </c>
      <c r="CP219" s="17">
        <f t="shared" si="232"/>
        <v>6.4133333333333331</v>
      </c>
      <c r="CQ219" s="17">
        <f t="shared" si="233"/>
        <v>8.5766666666666662</v>
      </c>
      <c r="CR219" s="17">
        <f t="shared" si="234"/>
        <v>10.223333333333333</v>
      </c>
      <c r="CS219" s="2" cm="1">
        <f t="array" aca="1" ref="CS219" ca="1">MAX(_xlfn._xlws.FILTER(CL219:CR219,CL219:CR219&lt;BN219))</f>
        <v>2.6033333333333335</v>
      </c>
      <c r="CT219" s="2" cm="1">
        <f t="array" aca="1" ref="CT219" ca="1">MIN(_xlfn._xlws.FILTER($CL219:$CR219,$CL219:$CR219&gt;BN219))</f>
        <v>4.7666666666666666</v>
      </c>
      <c r="CU219" s="16">
        <f t="shared" ca="1" si="248"/>
        <v>0.83098591549295753</v>
      </c>
      <c r="CV219" s="20">
        <f t="shared" ca="1" si="249"/>
        <v>-0.41549295774647876</v>
      </c>
      <c r="CW219" s="20">
        <f t="shared" ca="1" si="250"/>
        <v>-0.27699530516431919</v>
      </c>
      <c r="CX219" s="20">
        <f t="shared" ca="1" si="251"/>
        <v>-0.16619718309859149</v>
      </c>
      <c r="CY219" s="20">
        <f t="shared" ca="1" si="252"/>
        <v>-9.2331768388106389E-2</v>
      </c>
      <c r="CZ219" s="20">
        <f t="shared" ca="1" si="253"/>
        <v>-4.8881524440762207E-2</v>
      </c>
      <c r="DA219" s="20">
        <f t="shared" ca="1" si="254"/>
        <v>-2.5181391378574471E-2</v>
      </c>
      <c r="DB219" s="20">
        <f t="shared" ca="1" si="255"/>
        <v>-1.2784398699891654E-2</v>
      </c>
      <c r="DC219" s="21">
        <f t="shared" ca="1" si="256"/>
        <v>1.2784398699891654E-2</v>
      </c>
      <c r="DD219" s="21">
        <f t="shared" ca="1" si="257"/>
        <v>2.5181391378574471E-2</v>
      </c>
      <c r="DE219" s="21">
        <f t="shared" ca="1" si="258"/>
        <v>4.8881524440762207E-2</v>
      </c>
      <c r="DF219" s="21">
        <f t="shared" ca="1" si="259"/>
        <v>9.2331768388106389E-2</v>
      </c>
      <c r="DG219" s="21">
        <f t="shared" ca="1" si="260"/>
        <v>0.16619718309859149</v>
      </c>
      <c r="DH219" s="21">
        <f t="shared" ca="1" si="261"/>
        <v>0.27699530516431919</v>
      </c>
      <c r="DI219" s="21">
        <f t="shared" ca="1" si="262"/>
        <v>0.41549295774647876</v>
      </c>
      <c r="DK219" s="16" cm="1">
        <f t="array" aca="1" ref="DK219" ca="1">MAX(_xlfn._xlws.FILTER(CV219:DI219,CV219:DI219&lt;BT219))</f>
        <v>-1.2784398699891654E-2</v>
      </c>
      <c r="DL219" s="16" cm="1">
        <f t="array" aca="1" ref="DL219" ca="1">MIN(_xlfn._xlws.FILTER(CV219:DI219,CV219:DI219&gt;BT219))</f>
        <v>1.2784398699891654E-2</v>
      </c>
      <c r="DM219" s="2" cm="1">
        <f t="array" aca="1" ref="DM219" ca="1">_FV(EB219,"Fechamento anterior",TRUE)</f>
        <v>4.37</v>
      </c>
      <c r="DN219" s="28">
        <f t="shared" ca="1" si="235"/>
        <v>0.6789939107163605</v>
      </c>
      <c r="DO219" s="15">
        <f t="shared" ca="1" si="263"/>
        <v>4.3141321776814738</v>
      </c>
      <c r="DP219" s="15">
        <f t="shared" ca="1" si="264"/>
        <v>4.4258678223185264</v>
      </c>
      <c r="DQ219" s="9"/>
      <c r="DR219" s="9"/>
      <c r="DS219" s="9"/>
      <c r="DT219" s="89">
        <v>2.5568797399783308E-2</v>
      </c>
      <c r="DU219" s="89">
        <f t="shared" ca="1" si="236"/>
        <v>2.5568797399783308E-2</v>
      </c>
      <c r="DV219" s="72">
        <f t="shared" ca="1" si="237"/>
        <v>0.67532511354432656</v>
      </c>
      <c r="DW219" s="37"/>
      <c r="DX219" s="35">
        <f t="shared" si="247"/>
        <v>0.21100947846009205</v>
      </c>
      <c r="DY219" s="56"/>
      <c r="DZ219" s="56"/>
      <c r="EB219" s="2" t="e" vm="221">
        <v>#VALUE!</v>
      </c>
      <c r="ED219" s="10" cm="1">
        <f t="array" aca="1" ref="ED219" ca="1">_FV(EB219,"Ações em circulação",TRUE)</f>
        <v>873040500</v>
      </c>
      <c r="EE219" s="18">
        <f>VLOOKUP(BO219,Fundamentus!A:U,5,FALSE)</f>
        <v>8.6999999999999994E-2</v>
      </c>
      <c r="EF219" s="2">
        <f t="shared" ca="1" si="238"/>
        <v>44053422931.034477</v>
      </c>
      <c r="EG219" s="17">
        <v>17621369.172413792</v>
      </c>
      <c r="EH219" s="17">
        <f t="shared" ca="1" si="239"/>
        <v>17621369.172413792</v>
      </c>
      <c r="EJ219" s="16">
        <f t="shared" ca="1" si="226"/>
        <v>0</v>
      </c>
      <c r="EK219" s="32" t="str">
        <f>IF(VLOOKUP(BO219,Fundamentus!A:U,3,FALSE)&lt;15,"Bom",IF(VLOOKUP(BO219,Fundamentus!A:U,3,FALSE)&gt;15,"Ruim","n/a"))</f>
        <v>Bom</v>
      </c>
      <c r="EL219" s="28" t="str">
        <f>IF(VLOOKUP(BO219,Fundamentus!A:U,4,FALSE)&lt;1,"Baixo",IF(VLOOKUP(BO219,Fundamentus!A:U,4,FALSE)&lt;1.5,"Moderado",IF(VLOOKUP(BO219,Fundamentus!A:U,4,FALSE)&gt;1.5,"Alto","n/a")))</f>
        <v>Moderado</v>
      </c>
      <c r="EM219" s="17" t="str">
        <f>IF(VLOOKUP(BO219,Fundamentus!A:U,8,FALSE)&lt;0,"Risco elevado",IF(VLOOKUP(BO219,Fundamentus!A:U,8,FALSE)&lt;1,"Saudável",IF(VLOOKUP(BO219,Fundamentus!A:U,8,FALSE)&lt;3,"Estável",IF(VLOOKUP(BO219,Fundamentus!A:U,8,FALSE)&gt;3,"Alerta","n/a"))))</f>
        <v>Saudável</v>
      </c>
      <c r="EN219" s="28" t="str">
        <f t="shared" si="240"/>
        <v>Ruim</v>
      </c>
      <c r="EO219" s="17" t="str">
        <f>IF(VLOOKUP(BO219,Fundamentus!A:U,12,FALSE)&lt;2,"Subvalorizada",IF(VLOOKUP(BO219,Fundamentus!A:U,12,FALSE)&lt;6,"Muita barata",IF(VLOOKUP(BO219,Fundamentus!A:U,12,FALSE)&lt;6,"Barata",IF(VLOOKUP(BO219,Fundamentus!A:U,12,FALSE)&lt;8,"Atrativa",IF(VLOOKUP(BO219,Fundamentus!A:U,12,FALSE)&gt;8,"Supervalorizada","n/a")))))</f>
        <v>Muita barata</v>
      </c>
      <c r="EQ219" s="17" t="str">
        <f>IF(VLOOKUP(BO219,Fundamentus!A:U,17,FALSE)&lt;0.1,"Fraco retorno",IF(VLOOKUP(BO219,Fundamentus!A:U,17,FALSE)&gt;0.1,"Bom retorno","n/a"))</f>
        <v>Fraco retorno</v>
      </c>
      <c r="ER219" s="17" t="str">
        <f>IF(VLOOKUP(BO219,Fundamentus!A:U,16,FALSE)&lt;0.1,"Ineficiente",IF(VLOOKUP(BO219,Fundamentus!A:U,16,FALSE)&gt;0.1,"Eficiente","n/a"))</f>
        <v>Eficiente</v>
      </c>
      <c r="ES219" s="33" t="str">
        <f>IF(VLOOKUP(BO219,Fundamentus!A:U,16,FALSE)&lt;0.1,"Oper. Ineficiente",IF(VLOOKUP(BO219,Fundamentus!A:U,16,FALSE)&gt;0.1,"Oper.Eficiente","n/a"))</f>
        <v>Oper.Eficiente</v>
      </c>
      <c r="ET219" s="34">
        <f>VLOOKUP(BO219,Fundamentus!A:U,14,FALSE)</f>
        <v>4.0000000000000002E-4</v>
      </c>
      <c r="EU219" s="17" t="str">
        <f>IF(VLOOKUP(BO219,Fundamentus!A:U,21,FALSE)&lt;0,"Negativo",IF(VLOOKUP(BO219,Fundamentus!A:U,21,FALSE)&lt;0.05,"Fraco",IF(VLOOKUP(BO219,Fundamentus!A:U,21,FALSE)&lt;0.1,"Bom",IF(VLOOKUP(BO219,Fundamentus!A:U,21,FALSE)&gt;0.1,"Muito bom","n/a"))))</f>
        <v>Muito bom</v>
      </c>
      <c r="EW219" s="29" t="str">
        <f>IF(VLOOKUP(BO219,Fundamentus!A:U,15,FALSE)&gt;1,"Bom",IF(VLOOKUP(BO219,Fundamentus!A:U,15,FALSE)&lt;1,"Ruim","n/a"))</f>
        <v>Bom</v>
      </c>
      <c r="EX219" s="17" t="str">
        <f>IF(VLOOKUP(BO219,Fundamentus!A:U,20,FALSE)&lt;0.5,"Baixa",IF(VLOOKUP(BO219,Fundamentus!A:U,20,FALSE)&lt;1,"Moderada",IF(VLOOKUP(BO219,Fundamentus!A:U,20,FALSE)&lt;2,"Alerta",IF(VLOOKUP(BO219,Fundamentus!A:U,20,FALSE)&gt;2,"Alta","n/a"))))</f>
        <v>Alta</v>
      </c>
    </row>
    <row r="220" spans="1:155" s="2" customFormat="1" ht="11.25"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5">
        <v>8.11</v>
      </c>
      <c r="BC220" s="52">
        <v>8.06</v>
      </c>
      <c r="BD220" s="52">
        <v>8.11</v>
      </c>
      <c r="BE220" s="52">
        <v>8.5399999999999991</v>
      </c>
      <c r="BF220" s="52">
        <v>8.1</v>
      </c>
      <c r="BG220" s="67">
        <v>8.01</v>
      </c>
      <c r="BH220" s="52">
        <v>8.02</v>
      </c>
      <c r="BI220" s="52">
        <v>8.48</v>
      </c>
      <c r="BJ220" s="52">
        <v>8.83</v>
      </c>
      <c r="BK220" s="52">
        <v>7.95</v>
      </c>
      <c r="BL220" s="52">
        <v>7.69</v>
      </c>
      <c r="BM220" s="52">
        <v>7.77</v>
      </c>
      <c r="BN220" s="52" cm="1">
        <f t="array" aca="1" ref="BN220" ca="1">_FV(EB220,"Preço")</f>
        <v>7.77</v>
      </c>
      <c r="BO220" s="69" t="s">
        <v>216</v>
      </c>
      <c r="BP220" s="36" cm="1">
        <f t="array" aca="1" ref="BP220" ca="1">_FV(EB220,"Média de volume",TRUE)</f>
        <v>792930</v>
      </c>
      <c r="BQ220" s="36">
        <v>565500</v>
      </c>
      <c r="BR220" s="36" cm="1">
        <f t="array" aca="1" ref="BR220" ca="1">_FV(EB220,"Volume")</f>
        <v>565500</v>
      </c>
      <c r="BS220" s="24" cm="1">
        <f t="array" aca="1" ref="BS220" ca="1">_FV(EB220,"Beta")</f>
        <v>2.1890999999999998</v>
      </c>
      <c r="BT220" s="71" cm="1">
        <f t="array" aca="1" ref="BT220" ca="1">_FV(EB220,"Variação (%)",TRUE)</f>
        <v>-5.1219999999999998E-3</v>
      </c>
      <c r="BV220" s="17" cm="1">
        <f t="array" aca="1" ref="BV220" ca="1">_FV(EB220,"Baixo")</f>
        <v>7.65</v>
      </c>
      <c r="BW220" s="17" cm="1">
        <f t="array" aca="1" ref="BW220" ca="1">_FV(EB220,"Alto")</f>
        <v>7.82</v>
      </c>
      <c r="BX220" s="24"/>
      <c r="BY220" s="63">
        <f ca="1">SQRT(22.5*(BN220/VLOOKUP(BO220,Fundamentus!A:U,3,FALSE))*(BN220/VLOOKUP(BO220,Fundamentus!A:U,4,FALSE)))</f>
        <v>12.206497431509767</v>
      </c>
      <c r="CA220" s="62">
        <f t="shared" ca="1" si="241"/>
        <v>0</v>
      </c>
      <c r="CB220" s="8"/>
      <c r="CC220" s="61">
        <f t="shared" si="242"/>
        <v>5.71</v>
      </c>
      <c r="CD220" s="61">
        <f t="shared" si="243"/>
        <v>8.93</v>
      </c>
      <c r="CE220" s="61">
        <f t="shared" si="244"/>
        <v>7.499692307692305</v>
      </c>
      <c r="CF220" s="14"/>
      <c r="CG220" s="35">
        <f t="shared" si="227"/>
        <v>6.2911545785996772</v>
      </c>
      <c r="CH220" s="15">
        <f t="shared" si="245"/>
        <v>7.1999999999998181</v>
      </c>
      <c r="CI220" s="35">
        <f t="shared" si="228"/>
        <v>8.108845421399959</v>
      </c>
      <c r="CK220" s="14"/>
      <c r="CL220" s="17">
        <f t="shared" si="229"/>
        <v>2.736666666666669</v>
      </c>
      <c r="CM220" s="17">
        <f t="shared" si="230"/>
        <v>4.2233333333333345</v>
      </c>
      <c r="CN220" s="17">
        <f t="shared" si="231"/>
        <v>5.9566666666666688</v>
      </c>
      <c r="CO220" s="38">
        <f t="shared" si="246"/>
        <v>7.4433333333333342</v>
      </c>
      <c r="CP220" s="17">
        <f t="shared" si="232"/>
        <v>9.1766666666666694</v>
      </c>
      <c r="CQ220" s="17">
        <f t="shared" si="233"/>
        <v>10.663333333333334</v>
      </c>
      <c r="CR220" s="17">
        <f t="shared" si="234"/>
        <v>12.396666666666668</v>
      </c>
      <c r="CS220" s="2" cm="1">
        <f t="array" aca="1" ref="CS220" ca="1">MAX(_xlfn._xlws.FILTER(CL220:CR220,CL220:CR220&lt;BN220))</f>
        <v>7.4433333333333342</v>
      </c>
      <c r="CT220" s="2" cm="1">
        <f t="array" aca="1" ref="CT220" ca="1">MIN(_xlfn._xlws.FILTER($CL220:$CR220,$CL220:$CR220&gt;BN220))</f>
        <v>9.1766666666666694</v>
      </c>
      <c r="CU220" s="16">
        <f t="shared" ca="1" si="248"/>
        <v>0.23287057769816411</v>
      </c>
      <c r="CV220" s="20">
        <f t="shared" ca="1" si="249"/>
        <v>-0.11643528884908205</v>
      </c>
      <c r="CW220" s="20">
        <f t="shared" ca="1" si="250"/>
        <v>-7.7623525899388035E-2</v>
      </c>
      <c r="CX220" s="20">
        <f t="shared" ca="1" si="251"/>
        <v>-4.6574115539632824E-2</v>
      </c>
      <c r="CY220" s="20">
        <f t="shared" ca="1" si="252"/>
        <v>-2.5874508633129345E-2</v>
      </c>
      <c r="CZ220" s="20">
        <f t="shared" ca="1" si="253"/>
        <v>-1.3698269276362595E-2</v>
      </c>
      <c r="DA220" s="20">
        <f t="shared" ca="1" si="254"/>
        <v>-7.0566841726716397E-3</v>
      </c>
      <c r="DB220" s="20">
        <f t="shared" ca="1" si="255"/>
        <v>-3.5826242722794477E-3</v>
      </c>
      <c r="DC220" s="21">
        <f t="shared" ca="1" si="256"/>
        <v>3.5826242722794477E-3</v>
      </c>
      <c r="DD220" s="21">
        <f t="shared" ca="1" si="257"/>
        <v>7.0566841726716397E-3</v>
      </c>
      <c r="DE220" s="21">
        <f t="shared" ca="1" si="258"/>
        <v>1.3698269276362595E-2</v>
      </c>
      <c r="DF220" s="21">
        <f t="shared" ca="1" si="259"/>
        <v>2.5874508633129345E-2</v>
      </c>
      <c r="DG220" s="21">
        <f t="shared" ca="1" si="260"/>
        <v>4.6574115539632824E-2</v>
      </c>
      <c r="DH220" s="21">
        <f t="shared" ca="1" si="261"/>
        <v>7.7623525899388035E-2</v>
      </c>
      <c r="DI220" s="21">
        <f t="shared" ca="1" si="262"/>
        <v>0.11643528884908205</v>
      </c>
      <c r="DK220" s="16" cm="1">
        <f t="array" aca="1" ref="DK220" ca="1">MAX(_xlfn._xlws.FILTER(CV220:DI220,CV220:DI220&lt;BT220))</f>
        <v>-7.0566841726716397E-3</v>
      </c>
      <c r="DL220" s="16" cm="1">
        <f t="array" aca="1" ref="DL220" ca="1">MIN(_xlfn._xlws.FILTER(CV220:DI220,CV220:DI220&gt;BT220))</f>
        <v>-3.5826242722794477E-3</v>
      </c>
      <c r="DM220" s="2" cm="1">
        <f t="array" aca="1" ref="DM220" ca="1">_FV(EB220,"Fechamento anterior",TRUE)</f>
        <v>7.81</v>
      </c>
      <c r="DN220" s="28">
        <f t="shared" ca="1" si="235"/>
        <v>0.55699823943661442</v>
      </c>
      <c r="DO220" s="15">
        <f t="shared" ca="1" si="263"/>
        <v>7.7548872966114342</v>
      </c>
      <c r="DP220" s="15">
        <f t="shared" ca="1" si="264"/>
        <v>7.7820197044334973</v>
      </c>
      <c r="DQ220" s="9"/>
      <c r="DR220" s="9"/>
      <c r="DS220" s="9"/>
      <c r="DT220" s="89">
        <v>3.4740599003921921E-3</v>
      </c>
      <c r="DU220" s="89">
        <f t="shared" ca="1" si="236"/>
        <v>3.4740599003921921E-3</v>
      </c>
      <c r="DV220" s="72">
        <f t="shared" ca="1" si="237"/>
        <v>0.62716935859351752</v>
      </c>
      <c r="DW220" s="37"/>
      <c r="DX220" s="35">
        <f t="shared" si="247"/>
        <v>0.45442271070007056</v>
      </c>
      <c r="DY220" s="56"/>
      <c r="DZ220" s="56"/>
      <c r="EB220" s="2" t="e" vm="222">
        <v>#VALUE!</v>
      </c>
      <c r="ED220" s="10" cm="1">
        <f t="array" aca="1" ref="ED220" ca="1">_FV(EB220,"Ações em circulação",TRUE)</f>
        <v>499200000</v>
      </c>
      <c r="EE220" s="18">
        <f>VLOOKUP(BO220,Fundamentus!A:U,5,FALSE)</f>
        <v>0.40699999999999997</v>
      </c>
      <c r="EF220" s="2">
        <f t="shared" ca="1" si="238"/>
        <v>9530181818.181818</v>
      </c>
      <c r="EG220" s="17">
        <v>315449018.18181813</v>
      </c>
      <c r="EH220" s="17">
        <f t="shared" ca="1" si="239"/>
        <v>315449018.18181813</v>
      </c>
      <c r="EJ220" s="16">
        <f t="shared" ca="1" si="226"/>
        <v>0</v>
      </c>
      <c r="EK220" s="32" t="str">
        <f>IF(VLOOKUP(BO220,Fundamentus!A:U,3,FALSE)&lt;15,"Bom",IF(VLOOKUP(BO220,Fundamentus!A:U,3,FALSE)&gt;15,"Ruim","n/a"))</f>
        <v>Bom</v>
      </c>
      <c r="EL220" s="28" t="str">
        <f>IF(VLOOKUP(BO220,Fundamentus!A:U,4,FALSE)&lt;1,"Baixo",IF(VLOOKUP(BO220,Fundamentus!A:U,4,FALSE)&lt;1.5,"Moderado",IF(VLOOKUP(BO220,Fundamentus!A:U,4,FALSE)&gt;1.5,"Alto","n/a")))</f>
        <v>Baixo</v>
      </c>
      <c r="EM220" s="17" t="str">
        <f>IF(VLOOKUP(BO220,Fundamentus!A:U,8,FALSE)&lt;0,"Risco elevado",IF(VLOOKUP(BO220,Fundamentus!A:U,8,FALSE)&lt;1,"Saudável",IF(VLOOKUP(BO220,Fundamentus!A:U,8,FALSE)&lt;3,"Estável",IF(VLOOKUP(BO220,Fundamentus!A:U,8,FALSE)&gt;3,"Alerta","n/a"))))</f>
        <v>Estável</v>
      </c>
      <c r="EN220" s="28" t="str">
        <f t="shared" si="240"/>
        <v>Ruim</v>
      </c>
      <c r="EO220" s="17" t="str">
        <f>IF(VLOOKUP(BO220,Fundamentus!A:U,12,FALSE)&lt;2,"Subvalorizada",IF(VLOOKUP(BO220,Fundamentus!A:U,12,FALSE)&lt;6,"Muita barata",IF(VLOOKUP(BO220,Fundamentus!A:U,12,FALSE)&lt;6,"Barata",IF(VLOOKUP(BO220,Fundamentus!A:U,12,FALSE)&lt;8,"Atrativa",IF(VLOOKUP(BO220,Fundamentus!A:U,12,FALSE)&gt;8,"Supervalorizada","n/a")))))</f>
        <v>Muita barata</v>
      </c>
      <c r="EQ220" s="17" t="str">
        <f>IF(VLOOKUP(BO220,Fundamentus!A:U,17,FALSE)&lt;0.1,"Fraco retorno",IF(VLOOKUP(BO220,Fundamentus!A:U,17,FALSE)&gt;0.1,"Bom retorno","n/a"))</f>
        <v>Fraco retorno</v>
      </c>
      <c r="ER220" s="17" t="str">
        <f>IF(VLOOKUP(BO220,Fundamentus!A:U,16,FALSE)&lt;0.1,"Ineficiente",IF(VLOOKUP(BO220,Fundamentus!A:U,16,FALSE)&gt;0.1,"Eficiente","n/a"))</f>
        <v>Ineficiente</v>
      </c>
      <c r="ES220" s="33" t="str">
        <f>IF(VLOOKUP(BO220,Fundamentus!A:U,16,FALSE)&lt;0.1,"Oper. Ineficiente",IF(VLOOKUP(BO220,Fundamentus!A:U,16,FALSE)&gt;0.1,"Oper.Eficiente","n/a"))</f>
        <v>Oper. Ineficiente</v>
      </c>
      <c r="ET220" s="34">
        <f>VLOOKUP(BO220,Fundamentus!A:U,14,FALSE)</f>
        <v>3.3099999999999997E-2</v>
      </c>
      <c r="EU220" s="17" t="str">
        <f>IF(VLOOKUP(BO220,Fundamentus!A:U,21,FALSE)&lt;0,"Negativo",IF(VLOOKUP(BO220,Fundamentus!A:U,21,FALSE)&lt;0.05,"Fraco",IF(VLOOKUP(BO220,Fundamentus!A:U,21,FALSE)&lt;0.1,"Bom",IF(VLOOKUP(BO220,Fundamentus!A:U,21,FALSE)&gt;0.1,"Muito bom","n/a"))))</f>
        <v>Muito bom</v>
      </c>
      <c r="EW220" s="29" t="str">
        <f>IF(VLOOKUP(BO220,Fundamentus!A:U,15,FALSE)&gt;1,"Bom",IF(VLOOKUP(BO220,Fundamentus!A:U,15,FALSE)&lt;1,"Ruim","n/a"))</f>
        <v>Bom</v>
      </c>
      <c r="EX220" s="17" t="str">
        <f>IF(VLOOKUP(BO220,Fundamentus!A:U,20,FALSE)&lt;0.5,"Baixa",IF(VLOOKUP(BO220,Fundamentus!A:U,20,FALSE)&lt;1,"Moderada",IF(VLOOKUP(BO220,Fundamentus!A:U,20,FALSE)&lt;2,"Alerta",IF(VLOOKUP(BO220,Fundamentus!A:U,20,FALSE)&gt;2,"Alta","n/a"))))</f>
        <v>Baixa</v>
      </c>
    </row>
    <row r="221" spans="1:155" s="2" customFormat="1" ht="11.25"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5">
        <v>1.64</v>
      </c>
      <c r="BC221" s="52">
        <v>1.64</v>
      </c>
      <c r="BD221" s="52">
        <v>1.64</v>
      </c>
      <c r="BE221" s="52">
        <v>1.64</v>
      </c>
      <c r="BF221" s="52">
        <v>1.64</v>
      </c>
      <c r="BG221" s="67">
        <v>1.64</v>
      </c>
      <c r="BH221" s="52">
        <v>1.64</v>
      </c>
      <c r="BI221" s="52">
        <v>1.64</v>
      </c>
      <c r="BJ221" s="52">
        <v>1.64</v>
      </c>
      <c r="BK221" s="52">
        <v>1.64</v>
      </c>
      <c r="BL221" s="52">
        <v>1.64</v>
      </c>
      <c r="BM221" s="52">
        <v>1.64</v>
      </c>
      <c r="BN221" s="52" cm="1">
        <f t="array" aca="1" ref="BN221" ca="1">_FV(EB221,"Preço")</f>
        <v>1.64</v>
      </c>
      <c r="BO221" s="69" t="s">
        <v>217</v>
      </c>
      <c r="BP221" s="36" t="e" cm="1" vm="3">
        <f t="array" ref="BP221">_FV(EB221,"Média de volume",TRUE)</f>
        <v>#VALUE!</v>
      </c>
      <c r="BQ221" s="36">
        <v>19800</v>
      </c>
      <c r="BR221" s="36" cm="1">
        <f t="array" aca="1" ref="BR221" ca="1">_FV(EB221,"Volume")</f>
        <v>19800</v>
      </c>
      <c r="BS221" s="24" cm="1">
        <f t="array" aca="1" ref="BS221" ca="1">_FV(EB221,"Beta")</f>
        <v>2.0726</v>
      </c>
      <c r="BT221" s="71" cm="1">
        <f t="array" aca="1" ref="BT221" ca="1">_FV(EB221,"Variação (%)",TRUE)</f>
        <v>-6.2856999999999996E-2</v>
      </c>
      <c r="BV221" s="17" cm="1">
        <f t="array" aca="1" ref="BV221" ca="1">_FV(EB221,"Baixo")</f>
        <v>1.64</v>
      </c>
      <c r="BW221" s="17" cm="1">
        <f t="array" aca="1" ref="BW221" ca="1">_FV(EB221,"Alto")</f>
        <v>1.64</v>
      </c>
      <c r="BX221" s="24"/>
      <c r="BY221" s="63" t="e">
        <f ca="1">SQRT(22.5*(BN221/VLOOKUP(BO221,Fundamentus!A:U,3,FALSE))*(BN221/VLOOKUP(BO221,Fundamentus!A:U,4,FALSE)))</f>
        <v>#N/A</v>
      </c>
      <c r="CA221" s="62">
        <f t="shared" ca="1" si="241"/>
        <v>0</v>
      </c>
      <c r="CB221" s="8"/>
      <c r="CC221" s="61">
        <f t="shared" si="242"/>
        <v>0.36</v>
      </c>
      <c r="CD221" s="61">
        <f t="shared" si="243"/>
        <v>2.34</v>
      </c>
      <c r="CE221" s="61">
        <f t="shared" si="244"/>
        <v>1.5158461538461543</v>
      </c>
      <c r="CF221" s="14"/>
      <c r="CG221" s="35">
        <f t="shared" si="227"/>
        <v>1.64</v>
      </c>
      <c r="CH221" s="15">
        <f t="shared" si="245"/>
        <v>1.64</v>
      </c>
      <c r="CI221" s="35">
        <f t="shared" si="228"/>
        <v>1.64</v>
      </c>
      <c r="CK221" s="14"/>
      <c r="CL221" s="17">
        <f t="shared" si="229"/>
        <v>-1.4266666666666667</v>
      </c>
      <c r="CM221" s="17">
        <f t="shared" si="230"/>
        <v>-0.53333333333333344</v>
      </c>
      <c r="CN221" s="17">
        <f t="shared" si="231"/>
        <v>0.55333333333333323</v>
      </c>
      <c r="CO221" s="38">
        <f t="shared" si="246"/>
        <v>1.4466666666666665</v>
      </c>
      <c r="CP221" s="17">
        <f t="shared" si="232"/>
        <v>2.5333333333333332</v>
      </c>
      <c r="CQ221" s="17">
        <f t="shared" si="233"/>
        <v>3.4266666666666667</v>
      </c>
      <c r="CR221" s="17">
        <f t="shared" si="234"/>
        <v>4.5133333333333328</v>
      </c>
      <c r="CS221" s="2" cm="1">
        <f t="array" aca="1" ref="CS221" ca="1">MAX(_xlfn._xlws.FILTER(CL221:CR221,CL221:CR221&lt;BN221))</f>
        <v>1.4466666666666665</v>
      </c>
      <c r="CT221" s="2" cm="1">
        <f t="array" aca="1" ref="CT221" ca="1">MIN(_xlfn._xlws.FILTER($CL221:$CR221,$CL221:$CR221&gt;BN221))</f>
        <v>2.5333333333333332</v>
      </c>
      <c r="CU221" s="16">
        <f t="shared" ca="1" si="248"/>
        <v>0.75115207373271886</v>
      </c>
      <c r="CV221" s="20">
        <f t="shared" ca="1" si="249"/>
        <v>-0.37557603686635943</v>
      </c>
      <c r="CW221" s="20">
        <f t="shared" ca="1" si="250"/>
        <v>-0.25038402457757297</v>
      </c>
      <c r="CX221" s="20">
        <f t="shared" ca="1" si="251"/>
        <v>-0.15023041474654378</v>
      </c>
      <c r="CY221" s="20">
        <f t="shared" ca="1" si="252"/>
        <v>-8.3461341525857657E-2</v>
      </c>
      <c r="CZ221" s="20">
        <f t="shared" ca="1" si="253"/>
        <v>-4.4185416101924641E-2</v>
      </c>
      <c r="DA221" s="20">
        <f t="shared" ca="1" si="254"/>
        <v>-2.2762184052506632E-2</v>
      </c>
      <c r="DB221" s="20">
        <f t="shared" ca="1" si="255"/>
        <v>-1.1556185749734136E-2</v>
      </c>
      <c r="DC221" s="21">
        <f t="shared" ca="1" si="256"/>
        <v>1.1556185749734136E-2</v>
      </c>
      <c r="DD221" s="21">
        <f t="shared" ca="1" si="257"/>
        <v>2.2762184052506632E-2</v>
      </c>
      <c r="DE221" s="21">
        <f t="shared" ca="1" si="258"/>
        <v>4.4185416101924641E-2</v>
      </c>
      <c r="DF221" s="21">
        <f t="shared" ca="1" si="259"/>
        <v>8.3461341525857657E-2</v>
      </c>
      <c r="DG221" s="21">
        <f t="shared" ca="1" si="260"/>
        <v>0.15023041474654378</v>
      </c>
      <c r="DH221" s="21">
        <f t="shared" ca="1" si="261"/>
        <v>0.25038402457757297</v>
      </c>
      <c r="DI221" s="21">
        <f t="shared" ca="1" si="262"/>
        <v>0.37557603686635943</v>
      </c>
      <c r="DK221" s="16" cm="1">
        <f t="array" aca="1" ref="DK221" ca="1">MAX(_xlfn._xlws.FILTER(CV221:DI221,CV221:DI221&lt;BT221))</f>
        <v>-8.3461341525857657E-2</v>
      </c>
      <c r="DL221" s="16" cm="1">
        <f t="array" aca="1" ref="DL221" ca="1">MIN(_xlfn._xlws.FILTER(CV221:DI221,CV221:DI221&gt;BT221))</f>
        <v>-4.4185416101924641E-2</v>
      </c>
      <c r="DM221" s="2" cm="1">
        <f t="array" aca="1" ref="DM221" ca="1">_FV(EB221,"Fechamento anterior",TRUE)</f>
        <v>1.75</v>
      </c>
      <c r="DN221" s="28">
        <f t="shared" ca="1" si="235"/>
        <v>0.52460122699386424</v>
      </c>
      <c r="DO221" s="15">
        <f t="shared" ca="1" si="263"/>
        <v>1.6039426523297491</v>
      </c>
      <c r="DP221" s="15">
        <f t="shared" ca="1" si="264"/>
        <v>1.6726755218216318</v>
      </c>
      <c r="DQ221" s="9"/>
      <c r="DR221" s="9"/>
      <c r="DS221" s="9"/>
      <c r="DT221" s="89">
        <v>3.9275925423933017E-2</v>
      </c>
      <c r="DU221" s="89">
        <f t="shared" ca="1" si="236"/>
        <v>3.9275925423933017E-2</v>
      </c>
      <c r="DV221" s="72" t="e">
        <f t="shared" ca="1" si="237"/>
        <v>#DIV/0!</v>
      </c>
      <c r="DW221" s="37"/>
      <c r="DX221" s="35">
        <f t="shared" si="247"/>
        <v>0</v>
      </c>
      <c r="DY221" s="56"/>
      <c r="DZ221" s="56"/>
      <c r="EB221" s="2" t="e" vm="223">
        <v>#VALUE!</v>
      </c>
      <c r="ED221" s="10" cm="1">
        <f t="array" aca="1" ref="ED221" ca="1">_FV(EB221,"Ações em circulação",TRUE)</f>
        <v>10000000</v>
      </c>
      <c r="EE221" s="18" t="e">
        <f>VLOOKUP(BO221,Fundamentus!A:U,5,FALSE)</f>
        <v>#N/A</v>
      </c>
      <c r="EF221" s="2" t="e">
        <f t="shared" ca="1" si="238"/>
        <v>#N/A</v>
      </c>
      <c r="EG221" s="17" t="e">
        <v>#N/A</v>
      </c>
      <c r="EH221" s="17" t="e">
        <f t="shared" ca="1" si="239"/>
        <v>#N/A</v>
      </c>
      <c r="EJ221" s="16" t="e">
        <f t="shared" ca="1" si="226"/>
        <v>#N/A</v>
      </c>
      <c r="EK221" s="32" t="e">
        <f>IF(VLOOKUP(BO221,Fundamentus!A:U,3,FALSE)&lt;15,"Bom",IF(VLOOKUP(BO221,Fundamentus!A:U,3,FALSE)&gt;15,"Ruim","n/a"))</f>
        <v>#N/A</v>
      </c>
      <c r="EL221" s="28" t="e">
        <f>IF(VLOOKUP(BO221,Fundamentus!A:U,4,FALSE)&lt;1,"Baixo",IF(VLOOKUP(BO221,Fundamentus!A:U,4,FALSE)&lt;1.5,"Moderado",IF(VLOOKUP(BO221,Fundamentus!A:U,4,FALSE)&gt;1.5,"Alto","n/a")))</f>
        <v>#N/A</v>
      </c>
      <c r="EM221" s="17" t="e">
        <f>IF(VLOOKUP(BO221,Fundamentus!A:U,8,FALSE)&lt;0,"Risco elevado",IF(VLOOKUP(BO221,Fundamentus!A:U,8,FALSE)&lt;1,"Saudável",IF(VLOOKUP(BO221,Fundamentus!A:U,8,FALSE)&lt;3,"Estável",IF(VLOOKUP(BO221,Fundamentus!A:U,8,FALSE)&gt;3,"Alerta","n/a"))))</f>
        <v>#N/A</v>
      </c>
      <c r="EN221" s="28" t="e">
        <f t="shared" si="240"/>
        <v>#N/A</v>
      </c>
      <c r="EO221" s="17" t="e">
        <f>IF(VLOOKUP(BO221,Fundamentus!A:U,12,FALSE)&lt;2,"Subvalorizada",IF(VLOOKUP(BO221,Fundamentus!A:U,12,FALSE)&lt;6,"Muita barata",IF(VLOOKUP(BO221,Fundamentus!A:U,12,FALSE)&lt;6,"Barata",IF(VLOOKUP(BO221,Fundamentus!A:U,12,FALSE)&lt;8,"Atrativa",IF(VLOOKUP(BO221,Fundamentus!A:U,12,FALSE)&gt;8,"Supervalorizada","n/a")))))</f>
        <v>#N/A</v>
      </c>
      <c r="EQ221" s="17" t="e">
        <f>IF(VLOOKUP(BO221,Fundamentus!A:U,17,FALSE)&lt;0.1,"Fraco retorno",IF(VLOOKUP(BO221,Fundamentus!A:U,17,FALSE)&gt;0.1,"Bom retorno","n/a"))</f>
        <v>#N/A</v>
      </c>
      <c r="ER221" s="17" t="e">
        <f>IF(VLOOKUP(BO221,Fundamentus!A:U,16,FALSE)&lt;0.1,"Ineficiente",IF(VLOOKUP(BO221,Fundamentus!A:U,16,FALSE)&gt;0.1,"Eficiente","n/a"))</f>
        <v>#N/A</v>
      </c>
      <c r="ES221" s="33" t="e">
        <f>IF(VLOOKUP(BO221,Fundamentus!A:U,16,FALSE)&lt;0.1,"Oper. Ineficiente",IF(VLOOKUP(BO221,Fundamentus!A:U,16,FALSE)&gt;0.1,"Oper.Eficiente","n/a"))</f>
        <v>#N/A</v>
      </c>
      <c r="ET221" s="34" t="e">
        <f>VLOOKUP(BO221,Fundamentus!A:U,14,FALSE)</f>
        <v>#N/A</v>
      </c>
      <c r="EU221" s="17" t="e">
        <f>IF(VLOOKUP(BO221,Fundamentus!A:U,21,FALSE)&lt;0,"Negativo",IF(VLOOKUP(BO221,Fundamentus!A:U,21,FALSE)&lt;0.05,"Fraco",IF(VLOOKUP(BO221,Fundamentus!A:U,21,FALSE)&lt;0.1,"Bom",IF(VLOOKUP(BO221,Fundamentus!A:U,21,FALSE)&gt;0.1,"Muito bom","n/a"))))</f>
        <v>#N/A</v>
      </c>
      <c r="EW221" s="29" t="e">
        <f>IF(VLOOKUP(BO221,Fundamentus!A:U,15,FALSE)&gt;1,"Bom",IF(VLOOKUP(BO221,Fundamentus!A:U,15,FALSE)&lt;1,"Ruim","n/a"))</f>
        <v>#N/A</v>
      </c>
      <c r="EX221" s="17" t="e">
        <f>IF(VLOOKUP(BO221,Fundamentus!A:U,20,FALSE)&lt;0.5,"Baixa",IF(VLOOKUP(BO221,Fundamentus!A:U,20,FALSE)&lt;1,"Moderada",IF(VLOOKUP(BO221,Fundamentus!A:U,20,FALSE)&lt;2,"Alerta",IF(VLOOKUP(BO221,Fundamentus!A:U,20,FALSE)&gt;2,"Alta","n/a"))))</f>
        <v>#N/A</v>
      </c>
    </row>
    <row r="222" spans="1:155" s="2" customFormat="1" ht="11.25"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5">
        <v>3.03</v>
      </c>
      <c r="BC222" s="52">
        <v>3.11</v>
      </c>
      <c r="BD222" s="52">
        <v>2.9</v>
      </c>
      <c r="BE222" s="52">
        <v>2.97</v>
      </c>
      <c r="BF222" s="52">
        <v>2.91</v>
      </c>
      <c r="BG222" s="67">
        <v>2.79</v>
      </c>
      <c r="BH222" s="52">
        <v>2.82</v>
      </c>
      <c r="BI222" s="52">
        <v>2.79</v>
      </c>
      <c r="BJ222" s="52">
        <v>2.91</v>
      </c>
      <c r="BK222" s="52">
        <v>2.65</v>
      </c>
      <c r="BL222" s="52">
        <v>2.59</v>
      </c>
      <c r="BM222" s="52">
        <v>2.66</v>
      </c>
      <c r="BN222" s="52" cm="1">
        <f t="array" aca="1" ref="BN222" ca="1">_FV(EB222,"Preço")</f>
        <v>2.66</v>
      </c>
      <c r="BO222" s="69" t="s">
        <v>218</v>
      </c>
      <c r="BP222" s="36" cm="1">
        <f t="array" aca="1" ref="BP222" ca="1">_FV(EB222,"Média de volume",TRUE)</f>
        <v>28433490</v>
      </c>
      <c r="BQ222" s="36">
        <v>20676500</v>
      </c>
      <c r="BR222" s="36" cm="1">
        <f t="array" aca="1" ref="BR222" ca="1">_FV(EB222,"Volume")</f>
        <v>20676500</v>
      </c>
      <c r="BS222" s="24" cm="1">
        <f t="array" aca="1" ref="BS222" ca="1">_FV(EB222,"Beta")</f>
        <v>1.9346000000000001</v>
      </c>
      <c r="BT222" s="71" cm="1">
        <f t="array" aca="1" ref="BT222" ca="1">_FV(EB222,"Variação (%)",TRUE)</f>
        <v>1.1407E-2</v>
      </c>
      <c r="BV222" s="17" cm="1">
        <f t="array" aca="1" ref="BV222" ca="1">_FV(EB222,"Baixo")</f>
        <v>2.6</v>
      </c>
      <c r="BW222" s="17" cm="1">
        <f t="array" aca="1" ref="BW222" ca="1">_FV(EB222,"Alto")</f>
        <v>2.7</v>
      </c>
      <c r="BX222" s="24"/>
      <c r="BY222" s="63">
        <f ca="1">SQRT(22.5*(BN222/VLOOKUP(BO222,Fundamentus!A:U,3,FALSE))*(BN222/VLOOKUP(BO222,Fundamentus!A:U,4,FALSE)))</f>
        <v>8.88643629358811</v>
      </c>
      <c r="CA222" s="62">
        <f t="shared" ca="1" si="241"/>
        <v>0</v>
      </c>
      <c r="CB222" s="8"/>
      <c r="CC222" s="61">
        <f t="shared" si="242"/>
        <v>1.06</v>
      </c>
      <c r="CD222" s="61">
        <f t="shared" si="243"/>
        <v>3.11</v>
      </c>
      <c r="CE222" s="61">
        <f t="shared" si="244"/>
        <v>1.8411538461538464</v>
      </c>
      <c r="CF222" s="14"/>
      <c r="CG222" s="35">
        <f t="shared" si="227"/>
        <v>2.2544903260561817</v>
      </c>
      <c r="CH222" s="15">
        <f t="shared" si="245"/>
        <v>2.5</v>
      </c>
      <c r="CI222" s="35">
        <f t="shared" si="228"/>
        <v>2.7455096739438183</v>
      </c>
      <c r="CK222" s="14"/>
      <c r="CL222" s="17">
        <f t="shared" si="229"/>
        <v>-0.65333333333333288</v>
      </c>
      <c r="CM222" s="17">
        <f t="shared" si="230"/>
        <v>0.20333333333333359</v>
      </c>
      <c r="CN222" s="17">
        <f t="shared" si="231"/>
        <v>1.3966666666666669</v>
      </c>
      <c r="CO222" s="38">
        <f t="shared" si="246"/>
        <v>2.2533333333333334</v>
      </c>
      <c r="CP222" s="17">
        <f t="shared" si="232"/>
        <v>3.4466666666666668</v>
      </c>
      <c r="CQ222" s="17">
        <f t="shared" si="233"/>
        <v>4.3033333333333328</v>
      </c>
      <c r="CR222" s="17">
        <f t="shared" si="234"/>
        <v>5.4966666666666661</v>
      </c>
      <c r="CS222" s="2" cm="1">
        <f t="array" aca="1" ref="CS222" ca="1">MAX(_xlfn._xlws.FILTER(CL222:CR222,CL222:CR222&lt;BN222))</f>
        <v>2.2533333333333334</v>
      </c>
      <c r="CT222" s="2" cm="1">
        <f t="array" aca="1" ref="CT222" ca="1">MIN(_xlfn._xlws.FILTER($CL222:$CR222,$CL222:$CR222&gt;BN222))</f>
        <v>3.4466666666666668</v>
      </c>
      <c r="CU222" s="16">
        <f t="shared" ca="1" si="248"/>
        <v>0.52958579881656798</v>
      </c>
      <c r="CV222" s="20">
        <f t="shared" ca="1" si="249"/>
        <v>-0.26479289940828399</v>
      </c>
      <c r="CW222" s="20">
        <f t="shared" ca="1" si="250"/>
        <v>-0.17652859960552267</v>
      </c>
      <c r="CX222" s="20">
        <f t="shared" ca="1" si="251"/>
        <v>-0.10591715976331359</v>
      </c>
      <c r="CY222" s="20">
        <f t="shared" ca="1" si="252"/>
        <v>-5.8842866535174218E-2</v>
      </c>
      <c r="CZ222" s="20">
        <f t="shared" ca="1" si="253"/>
        <v>-3.1152105812739292E-2</v>
      </c>
      <c r="DA222" s="20">
        <f t="shared" ca="1" si="254"/>
        <v>-1.6048054509592968E-2</v>
      </c>
      <c r="DB222" s="20">
        <f t="shared" ca="1" si="255"/>
        <v>-8.1474738279471992E-3</v>
      </c>
      <c r="DC222" s="21">
        <f t="shared" ca="1" si="256"/>
        <v>8.1474738279471992E-3</v>
      </c>
      <c r="DD222" s="21">
        <f t="shared" ca="1" si="257"/>
        <v>1.6048054509592968E-2</v>
      </c>
      <c r="DE222" s="21">
        <f t="shared" ca="1" si="258"/>
        <v>3.1152105812739292E-2</v>
      </c>
      <c r="DF222" s="21">
        <f t="shared" ca="1" si="259"/>
        <v>5.8842866535174218E-2</v>
      </c>
      <c r="DG222" s="21">
        <f t="shared" ca="1" si="260"/>
        <v>0.10591715976331359</v>
      </c>
      <c r="DH222" s="21">
        <f t="shared" ca="1" si="261"/>
        <v>0.17652859960552267</v>
      </c>
      <c r="DI222" s="21">
        <f t="shared" ca="1" si="262"/>
        <v>0.26479289940828399</v>
      </c>
      <c r="DK222" s="16" cm="1">
        <f t="array" aca="1" ref="DK222" ca="1">MAX(_xlfn._xlws.FILTER(CV222:DI222,CV222:DI222&lt;BT222))</f>
        <v>8.1474738279471992E-3</v>
      </c>
      <c r="DL222" s="16" cm="1">
        <f t="array" aca="1" ref="DL222" ca="1">MIN(_xlfn._xlws.FILTER(CV222:DI222,CV222:DI222&gt;BT222))</f>
        <v>1.6048054509592968E-2</v>
      </c>
      <c r="DM222" s="2" cm="1">
        <f t="array" aca="1" ref="DM222" ca="1">_FV(EB222,"Fechamento anterior",TRUE)</f>
        <v>2.63</v>
      </c>
      <c r="DN222" s="28">
        <f t="shared" ca="1" si="235"/>
        <v>0.41254819232323131</v>
      </c>
      <c r="DO222" s="15">
        <f t="shared" ca="1" si="263"/>
        <v>2.6514278561675009</v>
      </c>
      <c r="DP222" s="15">
        <f t="shared" ca="1" si="264"/>
        <v>2.6722063833602294</v>
      </c>
      <c r="DQ222" s="9"/>
      <c r="DR222" s="9"/>
      <c r="DS222" s="9"/>
      <c r="DT222" s="89">
        <v>7.9005806816457684E-3</v>
      </c>
      <c r="DU222" s="89">
        <f t="shared" ca="1" si="236"/>
        <v>7.9005806816457684E-3</v>
      </c>
      <c r="DV222" s="72">
        <f t="shared" ca="1" si="237"/>
        <v>0.65170548039835718</v>
      </c>
      <c r="DW222" s="37"/>
      <c r="DX222" s="35">
        <f t="shared" si="247"/>
        <v>0.12275483697190925</v>
      </c>
      <c r="DY222" s="56"/>
      <c r="DZ222" s="56"/>
      <c r="EB222" s="2" t="e" vm="224">
        <v>#VALUE!</v>
      </c>
      <c r="ED222" s="10" cm="1">
        <f t="array" aca="1" ref="ED222" ca="1">_FV(EB222,"Ações em circulação",TRUE)</f>
        <v>1876606000</v>
      </c>
      <c r="EE222" s="18">
        <f>VLOOKUP(BO222,Fundamentus!A:U,5,FALSE)</f>
        <v>0.76200000000000001</v>
      </c>
      <c r="EF222" s="2">
        <f t="shared" ca="1" si="238"/>
        <v>6550881837.2703409</v>
      </c>
      <c r="EG222" s="17">
        <v>1097927795.9265091</v>
      </c>
      <c r="EH222" s="17">
        <f t="shared" ca="1" si="239"/>
        <v>1097927795.9265091</v>
      </c>
      <c r="EJ222" s="16">
        <f t="shared" ca="1" si="226"/>
        <v>0</v>
      </c>
      <c r="EK222" s="32" t="str">
        <f>IF(VLOOKUP(BO222,Fundamentus!A:U,3,FALSE)&lt;15,"Bom",IF(VLOOKUP(BO222,Fundamentus!A:U,3,FALSE)&gt;15,"Ruim","n/a"))</f>
        <v>Bom</v>
      </c>
      <c r="EL222" s="28" t="str">
        <f>IF(VLOOKUP(BO222,Fundamentus!A:U,4,FALSE)&lt;1,"Baixo",IF(VLOOKUP(BO222,Fundamentus!A:U,4,FALSE)&lt;1.5,"Moderado",IF(VLOOKUP(BO222,Fundamentus!A:U,4,FALSE)&gt;1.5,"Alto","n/a")))</f>
        <v>Baixo</v>
      </c>
      <c r="EM222" s="17" t="str">
        <f>IF(VLOOKUP(BO222,Fundamentus!A:U,8,FALSE)&lt;0,"Risco elevado",IF(VLOOKUP(BO222,Fundamentus!A:U,8,FALSE)&lt;1,"Saudável",IF(VLOOKUP(BO222,Fundamentus!A:U,8,FALSE)&lt;3,"Estável",IF(VLOOKUP(BO222,Fundamentus!A:U,8,FALSE)&gt;3,"Alerta","n/a"))))</f>
        <v>Alerta</v>
      </c>
      <c r="EN222" s="28" t="str">
        <f t="shared" si="240"/>
        <v>Ruim</v>
      </c>
      <c r="EO222" s="17" t="str">
        <f>IF(VLOOKUP(BO222,Fundamentus!A:U,12,FALSE)&lt;2,"Subvalorizada",IF(VLOOKUP(BO222,Fundamentus!A:U,12,FALSE)&lt;6,"Muita barata",IF(VLOOKUP(BO222,Fundamentus!A:U,12,FALSE)&lt;6,"Barata",IF(VLOOKUP(BO222,Fundamentus!A:U,12,FALSE)&lt;8,"Atrativa",IF(VLOOKUP(BO222,Fundamentus!A:U,12,FALSE)&gt;8,"Supervalorizada","n/a")))))</f>
        <v>Muita barata</v>
      </c>
      <c r="EQ222" s="17" t="str">
        <f>IF(VLOOKUP(BO222,Fundamentus!A:U,17,FALSE)&lt;0.1,"Fraco retorno",IF(VLOOKUP(BO222,Fundamentus!A:U,17,FALSE)&gt;0.1,"Bom retorno","n/a"))</f>
        <v>Fraco retorno</v>
      </c>
      <c r="ER222" s="17" t="str">
        <f>IF(VLOOKUP(BO222,Fundamentus!A:U,16,FALSE)&lt;0.1,"Ineficiente",IF(VLOOKUP(BO222,Fundamentus!A:U,16,FALSE)&gt;0.1,"Eficiente","n/a"))</f>
        <v>Ineficiente</v>
      </c>
      <c r="ES222" s="33" t="str">
        <f>IF(VLOOKUP(BO222,Fundamentus!A:U,16,FALSE)&lt;0.1,"Oper. Ineficiente",IF(VLOOKUP(BO222,Fundamentus!A:U,16,FALSE)&gt;0.1,"Oper.Eficiente","n/a"))</f>
        <v>Oper. Ineficiente</v>
      </c>
      <c r="ET222" s="34">
        <f>VLOOKUP(BO222,Fundamentus!A:U,14,FALSE)</f>
        <v>0.1676</v>
      </c>
      <c r="EU222" s="17" t="str">
        <f>IF(VLOOKUP(BO222,Fundamentus!A:U,21,FALSE)&lt;0,"Negativo",IF(VLOOKUP(BO222,Fundamentus!A:U,21,FALSE)&lt;0.05,"Fraco",IF(VLOOKUP(BO222,Fundamentus!A:U,21,FALSE)&lt;0.1,"Bom",IF(VLOOKUP(BO222,Fundamentus!A:U,21,FALSE)&gt;0.1,"Muito bom","n/a"))))</f>
        <v>Bom</v>
      </c>
      <c r="EW222" s="29" t="str">
        <f>IF(VLOOKUP(BO222,Fundamentus!A:U,15,FALSE)&gt;1,"Bom",IF(VLOOKUP(BO222,Fundamentus!A:U,15,FALSE)&lt;1,"Ruim","n/a"))</f>
        <v>Bom</v>
      </c>
      <c r="EX222" s="17" t="str">
        <f>IF(VLOOKUP(BO222,Fundamentus!A:U,20,FALSE)&lt;0.5,"Baixa",IF(VLOOKUP(BO222,Fundamentus!A:U,20,FALSE)&lt;1,"Moderada",IF(VLOOKUP(BO222,Fundamentus!A:U,20,FALSE)&lt;2,"Alerta",IF(VLOOKUP(BO222,Fundamentus!A:U,20,FALSE)&gt;2,"Alta","n/a"))))</f>
        <v>Moderada</v>
      </c>
    </row>
    <row r="223" spans="1:155" s="2" customFormat="1" ht="11.25"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5">
        <v>7.06</v>
      </c>
      <c r="BC223" s="52">
        <v>7.92</v>
      </c>
      <c r="BD223" s="52">
        <v>8.31</v>
      </c>
      <c r="BE223" s="52">
        <v>8.3699999999999992</v>
      </c>
      <c r="BF223" s="52">
        <v>8.86</v>
      </c>
      <c r="BG223" s="67">
        <v>8.9</v>
      </c>
      <c r="BH223" s="52">
        <v>8.99</v>
      </c>
      <c r="BI223" s="52">
        <v>9.2200000000000006</v>
      </c>
      <c r="BJ223" s="52">
        <v>8.5299999999999994</v>
      </c>
      <c r="BK223" s="52">
        <v>8.56</v>
      </c>
      <c r="BL223" s="52">
        <v>8.5500000000000007</v>
      </c>
      <c r="BM223" s="52">
        <v>8.02</v>
      </c>
      <c r="BN223" s="52" cm="1">
        <f t="array" aca="1" ref="BN223" ca="1">_FV(EB223,"Preço")</f>
        <v>8.02</v>
      </c>
      <c r="BO223" s="70" t="s">
        <v>219</v>
      </c>
      <c r="BP223" s="36" cm="1">
        <f t="array" aca="1" ref="BP223" ca="1">_FV(EB223,"Média de volume",TRUE)</f>
        <v>22370</v>
      </c>
      <c r="BQ223" s="36">
        <v>37500</v>
      </c>
      <c r="BR223" s="36" cm="1">
        <f t="array" aca="1" ref="BR223" ca="1">_FV(EB223,"Volume")</f>
        <v>37500</v>
      </c>
      <c r="BS223" s="24" cm="1">
        <f t="array" aca="1" ref="BS223" ca="1">_FV(EB223,"Beta")</f>
        <v>1.3792</v>
      </c>
      <c r="BT223" s="71" cm="1">
        <f t="array" aca="1" ref="BT223" ca="1">_FV(EB223,"Variação (%)",TRUE)</f>
        <v>1.248E-3</v>
      </c>
      <c r="BV223" s="17" cm="1">
        <f t="array" aca="1" ref="BV223" ca="1">_FV(EB223,"Baixo")</f>
        <v>7.62</v>
      </c>
      <c r="BW223" s="17" cm="1">
        <f t="array" aca="1" ref="BW223" ca="1">_FV(EB223,"Alto")</f>
        <v>8.16</v>
      </c>
      <c r="BX223" s="24"/>
      <c r="BY223" s="63" t="e">
        <f ca="1">SQRT(22.5*(BN223/VLOOKUP(BO223,Fundamentus!A:U,3,FALSE))*(BN223/VLOOKUP(BO223,Fundamentus!A:U,4,FALSE)))</f>
        <v>#NUM!</v>
      </c>
      <c r="CA223" s="62">
        <f t="shared" ca="1" si="241"/>
        <v>0</v>
      </c>
      <c r="CB223" s="8"/>
      <c r="CC223" s="61">
        <f t="shared" si="242"/>
        <v>1.56</v>
      </c>
      <c r="CD223" s="61">
        <f t="shared" si="243"/>
        <v>15.38</v>
      </c>
      <c r="CE223" s="61">
        <f t="shared" si="244"/>
        <v>8.9456923076923047</v>
      </c>
      <c r="CF223" s="14"/>
      <c r="CG223" s="35">
        <f t="shared" si="227"/>
        <v>7.5733819977267371</v>
      </c>
      <c r="CH223" s="15">
        <f t="shared" si="245"/>
        <v>8.0299999999999727</v>
      </c>
      <c r="CI223" s="35">
        <f t="shared" si="228"/>
        <v>8.4866180022732074</v>
      </c>
      <c r="CK223" s="14"/>
      <c r="CL223" s="17">
        <f t="shared" si="229"/>
        <v>-12.206666666666665</v>
      </c>
      <c r="CM223" s="17">
        <f t="shared" si="230"/>
        <v>-5.3233333333333324</v>
      </c>
      <c r="CN223" s="17">
        <f t="shared" si="231"/>
        <v>1.6133333333333351</v>
      </c>
      <c r="CO223" s="38">
        <f t="shared" si="246"/>
        <v>8.4966666666666679</v>
      </c>
      <c r="CP223" s="17">
        <f t="shared" si="232"/>
        <v>15.433333333333335</v>
      </c>
      <c r="CQ223" s="17">
        <f t="shared" si="233"/>
        <v>22.31666666666667</v>
      </c>
      <c r="CR223" s="17">
        <f t="shared" si="234"/>
        <v>29.253333333333337</v>
      </c>
      <c r="CS223" s="2" cm="1">
        <f t="array" aca="1" ref="CS223" ca="1">MAX(_xlfn._xlws.FILTER(CL223:CR223,CL223:CR223&lt;BN223))</f>
        <v>1.6133333333333351</v>
      </c>
      <c r="CT223" s="2" cm="1">
        <f t="array" aca="1" ref="CT223" ca="1">MIN(_xlfn._xlws.FILTER($CL223:$CR223,$CL223:$CR223&gt;BN223))</f>
        <v>8.4966666666666679</v>
      </c>
      <c r="CU223" s="16">
        <f t="shared" ca="1" si="248"/>
        <v>4.2665289256198298</v>
      </c>
      <c r="CV223" s="20">
        <f t="shared" ca="1" si="249"/>
        <v>-2.1332644628099149</v>
      </c>
      <c r="CW223" s="20">
        <f t="shared" ca="1" si="250"/>
        <v>-1.4221763085399433</v>
      </c>
      <c r="CX223" s="20">
        <f t="shared" ca="1" si="251"/>
        <v>-0.85330578512396593</v>
      </c>
      <c r="CY223" s="20">
        <f t="shared" ca="1" si="252"/>
        <v>-0.47405876951331444</v>
      </c>
      <c r="CZ223" s="20">
        <f t="shared" ca="1" si="253"/>
        <v>-0.25097228974234292</v>
      </c>
      <c r="DA223" s="20">
        <f t="shared" ca="1" si="254"/>
        <v>-0.12928875532181303</v>
      </c>
      <c r="DB223" s="20">
        <f t="shared" ca="1" si="255"/>
        <v>-6.563890654799738E-2</v>
      </c>
      <c r="DC223" s="21">
        <f t="shared" ca="1" si="256"/>
        <v>6.563890654799738E-2</v>
      </c>
      <c r="DD223" s="21">
        <f t="shared" ca="1" si="257"/>
        <v>0.12928875532181303</v>
      </c>
      <c r="DE223" s="21">
        <f t="shared" ca="1" si="258"/>
        <v>0.25097228974234292</v>
      </c>
      <c r="DF223" s="21">
        <f t="shared" ca="1" si="259"/>
        <v>0.47405876951331444</v>
      </c>
      <c r="DG223" s="21">
        <f t="shared" ca="1" si="260"/>
        <v>0.85330578512396593</v>
      </c>
      <c r="DH223" s="21">
        <f t="shared" ca="1" si="261"/>
        <v>1.4221763085399433</v>
      </c>
      <c r="DI223" s="21">
        <f t="shared" ca="1" si="262"/>
        <v>2.1332644628099149</v>
      </c>
      <c r="DK223" s="16" cm="1">
        <f t="array" aca="1" ref="DK223" ca="1">MAX(_xlfn._xlws.FILTER(CV223:DI223,CV223:DI223&lt;BT223))</f>
        <v>-6.563890654799738E-2</v>
      </c>
      <c r="DL223" s="16" cm="1">
        <f t="array" aca="1" ref="DL223" ca="1">MIN(_xlfn._xlws.FILTER(CV223:DI223,CV223:DI223&gt;BT223))</f>
        <v>6.563890654799738E-2</v>
      </c>
      <c r="DM223" s="2" cm="1">
        <f t="array" aca="1" ref="DM223" ca="1">_FV(EB223,"Fechamento anterior",TRUE)</f>
        <v>8.01</v>
      </c>
      <c r="DN223" s="28">
        <f t="shared" ca="1" si="235"/>
        <v>0.50950990438707044</v>
      </c>
      <c r="DO223" s="15">
        <f t="shared" ca="1" si="263"/>
        <v>7.4842323585505408</v>
      </c>
      <c r="DP223" s="15">
        <f t="shared" ca="1" si="264"/>
        <v>8.5357676414494588</v>
      </c>
      <c r="DQ223" s="9"/>
      <c r="DR223" s="9"/>
      <c r="DS223" s="9"/>
      <c r="DT223" s="89">
        <v>0.13127781309599476</v>
      </c>
      <c r="DU223" s="89">
        <f t="shared" ca="1" si="236"/>
        <v>0.13127781309599476</v>
      </c>
      <c r="DV223" s="72">
        <f t="shared" ca="1" si="237"/>
        <v>-2.1900143993861292E-2</v>
      </c>
      <c r="DW223" s="37"/>
      <c r="DX223" s="35">
        <f t="shared" si="247"/>
        <v>0.22830900113661776</v>
      </c>
      <c r="DY223" s="56"/>
      <c r="DZ223" s="56"/>
      <c r="EB223" s="2" t="e" vm="225">
        <v>#VALUE!</v>
      </c>
      <c r="ED223" s="10" cm="1">
        <f t="array" aca="1" ref="ED223" ca="1">_FV(EB223,"Ações em circulação",TRUE)</f>
        <v>330121700</v>
      </c>
      <c r="EE223" s="18">
        <f>VLOOKUP(BO223,Fundamentus!A:U,5,FALSE)</f>
        <v>1.5960000000000001</v>
      </c>
      <c r="EF223" s="2">
        <f t="shared" ca="1" si="238"/>
        <v>1658882226.8170426</v>
      </c>
      <c r="EG223" s="17">
        <v>14057865654.715664</v>
      </c>
      <c r="EH223" s="17">
        <f t="shared" ca="1" si="239"/>
        <v>14057865654.715664</v>
      </c>
      <c r="EJ223" s="16">
        <f t="shared" ca="1" si="226"/>
        <v>0</v>
      </c>
      <c r="EK223" s="32" t="str">
        <f>IF(VLOOKUP(BO223,Fundamentus!A:U,3,FALSE)&lt;15,"Bom",IF(VLOOKUP(BO223,Fundamentus!A:U,3,FALSE)&gt;15,"Ruim","n/a"))</f>
        <v>Bom</v>
      </c>
      <c r="EL223" s="28" t="str">
        <f>IF(VLOOKUP(BO223,Fundamentus!A:U,4,FALSE)&lt;1,"Baixo",IF(VLOOKUP(BO223,Fundamentus!A:U,4,FALSE)&lt;1.5,"Moderado",IF(VLOOKUP(BO223,Fundamentus!A:U,4,FALSE)&gt;1.5,"Alto","n/a")))</f>
        <v>Baixo</v>
      </c>
      <c r="EM223" s="17" t="str">
        <f>IF(VLOOKUP(BO223,Fundamentus!A:U,8,FALSE)&lt;0,"Risco elevado",IF(VLOOKUP(BO223,Fundamentus!A:U,8,FALSE)&lt;1,"Saudável",IF(VLOOKUP(BO223,Fundamentus!A:U,8,FALSE)&lt;3,"Estável",IF(VLOOKUP(BO223,Fundamentus!A:U,8,FALSE)&gt;3,"Alerta","n/a"))))</f>
        <v>Risco elevado</v>
      </c>
      <c r="EN223" s="28" t="str">
        <f t="shared" si="240"/>
        <v>Bom</v>
      </c>
      <c r="EO223" s="17" t="str">
        <f>IF(VLOOKUP(BO223,Fundamentus!A:U,12,FALSE)&lt;2,"Subvalorizada",IF(VLOOKUP(BO223,Fundamentus!A:U,12,FALSE)&lt;6,"Muita barata",IF(VLOOKUP(BO223,Fundamentus!A:U,12,FALSE)&lt;6,"Barata",IF(VLOOKUP(BO223,Fundamentus!A:U,12,FALSE)&lt;8,"Atrativa",IF(VLOOKUP(BO223,Fundamentus!A:U,12,FALSE)&gt;8,"Supervalorizada","n/a")))))</f>
        <v>Subvalorizada</v>
      </c>
      <c r="EQ223" s="17" t="str">
        <f>IF(VLOOKUP(BO223,Fundamentus!A:U,17,FALSE)&lt;0.1,"Fraco retorno",IF(VLOOKUP(BO223,Fundamentus!A:U,17,FALSE)&gt;0.1,"Bom retorno","n/a"))</f>
        <v>Fraco retorno</v>
      </c>
      <c r="ER223" s="17" t="str">
        <f>IF(VLOOKUP(BO223,Fundamentus!A:U,16,FALSE)&lt;0.1,"Ineficiente",IF(VLOOKUP(BO223,Fundamentus!A:U,16,FALSE)&gt;0.1,"Eficiente","n/a"))</f>
        <v>Ineficiente</v>
      </c>
      <c r="ES223" s="33" t="str">
        <f>IF(VLOOKUP(BO223,Fundamentus!A:U,16,FALSE)&lt;0.1,"Oper. Ineficiente",IF(VLOOKUP(BO223,Fundamentus!A:U,16,FALSE)&gt;0.1,"Oper.Eficiente","n/a"))</f>
        <v>Oper. Ineficiente</v>
      </c>
      <c r="ET223" s="34">
        <f>VLOOKUP(BO223,Fundamentus!A:U,14,FALSE)</f>
        <v>8.4742999999999995</v>
      </c>
      <c r="EU223" s="17" t="str">
        <f>IF(VLOOKUP(BO223,Fundamentus!A:U,21,FALSE)&lt;0,"Negativo",IF(VLOOKUP(BO223,Fundamentus!A:U,21,FALSE)&lt;0.05,"Fraco",IF(VLOOKUP(BO223,Fundamentus!A:U,21,FALSE)&lt;0.1,"Bom",IF(VLOOKUP(BO223,Fundamentus!A:U,21,FALSE)&gt;0.1,"Muito bom","n/a"))))</f>
        <v>Negativo</v>
      </c>
      <c r="EW223" s="29" t="str">
        <f>IF(VLOOKUP(BO223,Fundamentus!A:U,15,FALSE)&gt;1,"Bom",IF(VLOOKUP(BO223,Fundamentus!A:U,15,FALSE)&lt;1,"Ruim","n/a"))</f>
        <v>Ruim</v>
      </c>
      <c r="EX223" s="17" t="str">
        <f>IF(VLOOKUP(BO223,Fundamentus!A:U,20,FALSE)&lt;0.5,"Baixa",IF(VLOOKUP(BO223,Fundamentus!A:U,20,FALSE)&lt;1,"Moderada",IF(VLOOKUP(BO223,Fundamentus!A:U,20,FALSE)&lt;2,"Alerta",IF(VLOOKUP(BO223,Fundamentus!A:U,20,FALSE)&gt;2,"Alta","n/a"))))</f>
        <v>Baixa</v>
      </c>
    </row>
    <row r="224" spans="1:155" s="2" customFormat="1" ht="11.25"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5">
        <v>5.2</v>
      </c>
      <c r="BC224" s="52">
        <v>5</v>
      </c>
      <c r="BD224" s="52">
        <v>4.8</v>
      </c>
      <c r="BE224" s="52">
        <v>4.62</v>
      </c>
      <c r="BF224" s="52">
        <v>4.5599999999999996</v>
      </c>
      <c r="BG224" s="67">
        <v>4.49</v>
      </c>
      <c r="BH224" s="52">
        <v>4.3499999999999996</v>
      </c>
      <c r="BI224" s="52">
        <v>4.8099999999999996</v>
      </c>
      <c r="BJ224" s="52">
        <v>4.95</v>
      </c>
      <c r="BK224" s="52">
        <v>4.96</v>
      </c>
      <c r="BL224" s="52">
        <v>4.97</v>
      </c>
      <c r="BM224" s="52">
        <v>4.96</v>
      </c>
      <c r="BN224" s="52" cm="1">
        <f t="array" aca="1" ref="BN224" ca="1">_FV(EB224,"Preço")</f>
        <v>4.96</v>
      </c>
      <c r="BO224" s="69" t="s">
        <v>220</v>
      </c>
      <c r="BP224" s="36" cm="1">
        <f t="array" aca="1" ref="BP224" ca="1">_FV(EB224,"Média de volume",TRUE)</f>
        <v>176580</v>
      </c>
      <c r="BQ224" s="36">
        <v>109900</v>
      </c>
      <c r="BR224" s="36" cm="1">
        <f t="array" aca="1" ref="BR224" ca="1">_FV(EB224,"Volume")</f>
        <v>109900</v>
      </c>
      <c r="BS224" s="24" cm="1">
        <f t="array" aca="1" ref="BS224" ca="1">_FV(EB224,"Beta")</f>
        <v>1.0039</v>
      </c>
      <c r="BT224" s="71" cm="1">
        <f t="array" aca="1" ref="BT224" ca="1">_FV(EB224,"Variação (%)",TRUE)</f>
        <v>-4.0160000000000005E-3</v>
      </c>
      <c r="BV224" s="17" cm="1">
        <f t="array" aca="1" ref="BV224" ca="1">_FV(EB224,"Baixo")</f>
        <v>4.87</v>
      </c>
      <c r="BW224" s="17" cm="1">
        <f t="array" aca="1" ref="BW224" ca="1">_FV(EB224,"Alto")</f>
        <v>5.01</v>
      </c>
      <c r="BX224" s="24"/>
      <c r="BY224" s="63">
        <f ca="1">SQRT(22.5*(BN224/VLOOKUP(BO224,Fundamentus!A:U,3,FALSE))*(BN224/VLOOKUP(BO224,Fundamentus!A:U,4,FALSE)))</f>
        <v>6.9482660008556989</v>
      </c>
      <c r="CA224" s="62">
        <f t="shared" ca="1" si="241"/>
        <v>0</v>
      </c>
      <c r="CB224" s="8"/>
      <c r="CC224" s="61">
        <f t="shared" si="242"/>
        <v>4.3499999999999996</v>
      </c>
      <c r="CD224" s="61">
        <f t="shared" si="243"/>
        <v>6.46</v>
      </c>
      <c r="CE224" s="61">
        <f t="shared" si="244"/>
        <v>5.408615384615385</v>
      </c>
      <c r="CF224" s="14"/>
      <c r="CG224" s="35">
        <f t="shared" si="227"/>
        <v>4.9558578643762718</v>
      </c>
      <c r="CH224" s="15">
        <f t="shared" si="245"/>
        <v>4.9700000000000024</v>
      </c>
      <c r="CI224" s="35">
        <f t="shared" si="228"/>
        <v>4.984142135623733</v>
      </c>
      <c r="CK224" s="14"/>
      <c r="CL224" s="17">
        <f t="shared" si="229"/>
        <v>1.9499999999999975</v>
      </c>
      <c r="CM224" s="17">
        <f t="shared" si="230"/>
        <v>3.1499999999999986</v>
      </c>
      <c r="CN224" s="17">
        <f t="shared" si="231"/>
        <v>4.0599999999999978</v>
      </c>
      <c r="CO224" s="38">
        <f t="shared" si="246"/>
        <v>5.2599999999999989</v>
      </c>
      <c r="CP224" s="17">
        <f t="shared" si="232"/>
        <v>6.1699999999999982</v>
      </c>
      <c r="CQ224" s="17">
        <f t="shared" si="233"/>
        <v>7.3699999999999992</v>
      </c>
      <c r="CR224" s="17">
        <f t="shared" si="234"/>
        <v>8.2799999999999976</v>
      </c>
      <c r="CS224" s="2" cm="1">
        <f t="array" aca="1" ref="CS224" ca="1">MAX(_xlfn._xlws.FILTER(CL224:CR224,CL224:CR224&lt;BN224))</f>
        <v>4.0599999999999978</v>
      </c>
      <c r="CT224" s="2" cm="1">
        <f t="array" aca="1" ref="CT224" ca="1">MIN(_xlfn._xlws.FILTER($CL224:$CR224,$CL224:$CR224&gt;BN224))</f>
        <v>5.2599999999999989</v>
      </c>
      <c r="CU224" s="16">
        <f t="shared" ca="1" si="248"/>
        <v>0.29556650246305471</v>
      </c>
      <c r="CV224" s="20">
        <f t="shared" ca="1" si="249"/>
        <v>-0.14778325123152736</v>
      </c>
      <c r="CW224" s="20">
        <f t="shared" ca="1" si="250"/>
        <v>-9.85221674876849E-2</v>
      </c>
      <c r="CX224" s="20">
        <f t="shared" ca="1" si="251"/>
        <v>-5.9113300492610946E-2</v>
      </c>
      <c r="CY224" s="20">
        <f t="shared" ca="1" si="252"/>
        <v>-3.2840722495894967E-2</v>
      </c>
      <c r="CZ224" s="20">
        <f t="shared" ca="1" si="253"/>
        <v>-1.7386264850767923E-2</v>
      </c>
      <c r="DA224" s="20">
        <f t="shared" ca="1" si="254"/>
        <v>-8.9565606806986282E-3</v>
      </c>
      <c r="DB224" s="20">
        <f t="shared" ca="1" si="255"/>
        <v>-4.5471769609700726E-3</v>
      </c>
      <c r="DC224" s="21">
        <f t="shared" ca="1" si="256"/>
        <v>4.5471769609700726E-3</v>
      </c>
      <c r="DD224" s="21">
        <f t="shared" ca="1" si="257"/>
        <v>8.9565606806986282E-3</v>
      </c>
      <c r="DE224" s="21">
        <f t="shared" ca="1" si="258"/>
        <v>1.7386264850767923E-2</v>
      </c>
      <c r="DF224" s="21">
        <f t="shared" ca="1" si="259"/>
        <v>3.2840722495894967E-2</v>
      </c>
      <c r="DG224" s="21">
        <f t="shared" ca="1" si="260"/>
        <v>5.9113300492610946E-2</v>
      </c>
      <c r="DH224" s="21">
        <f t="shared" ca="1" si="261"/>
        <v>9.85221674876849E-2</v>
      </c>
      <c r="DI224" s="21">
        <f t="shared" ca="1" si="262"/>
        <v>0.14778325123152736</v>
      </c>
      <c r="DK224" s="16" cm="1">
        <f t="array" aca="1" ref="DK224" ca="1">MAX(_xlfn._xlws.FILTER(CV224:DI224,CV224:DI224&lt;BT224))</f>
        <v>-4.5471769609700726E-3</v>
      </c>
      <c r="DL224" s="16" cm="1">
        <f t="array" aca="1" ref="DL224" ca="1">MIN(_xlfn._xlws.FILTER(CV224:DI224,CV224:DI224&gt;BT224))</f>
        <v>4.5471769609700726E-3</v>
      </c>
      <c r="DM224" s="2" cm="1">
        <f t="array" aca="1" ref="DM224" ca="1">_FV(EB224,"Fechamento anterior",TRUE)</f>
        <v>4.9800000000000004</v>
      </c>
      <c r="DN224" s="28">
        <f t="shared" ca="1" si="235"/>
        <v>5.8400267737614808E-2</v>
      </c>
      <c r="DO224" s="15">
        <f t="shared" ca="1" si="263"/>
        <v>4.9573550587343691</v>
      </c>
      <c r="DP224" s="15">
        <f t="shared" ca="1" si="264"/>
        <v>5.0026449412656318</v>
      </c>
      <c r="DQ224" s="9"/>
      <c r="DR224" s="9"/>
      <c r="DS224" s="9"/>
      <c r="DT224" s="89">
        <v>9.0943539219401452E-3</v>
      </c>
      <c r="DU224" s="89">
        <f t="shared" ca="1" si="236"/>
        <v>9.0943539219401452E-3</v>
      </c>
      <c r="DV224" s="72">
        <f t="shared" ca="1" si="237"/>
        <v>-0.70710678118673997</v>
      </c>
      <c r="DW224" s="37"/>
      <c r="DX224" s="35">
        <f t="shared" si="247"/>
        <v>7.0710678118653244E-3</v>
      </c>
      <c r="DY224" s="56"/>
      <c r="DZ224" s="56"/>
      <c r="EB224" s="2" t="e" vm="226">
        <v>#VALUE!</v>
      </c>
      <c r="ED224" s="10" cm="1">
        <f t="array" aca="1" ref="ED224" ca="1">_FV(EB224,"Ações em circulação",TRUE)</f>
        <v>150314000</v>
      </c>
      <c r="EE224" s="18">
        <f>VLOOKUP(BO224,Fundamentus!A:U,5,FALSE)</f>
        <v>0.90400000000000003</v>
      </c>
      <c r="EF224" s="2">
        <f t="shared" ca="1" si="238"/>
        <v>824731681.4159292</v>
      </c>
      <c r="EG224" s="17">
        <v>74555744</v>
      </c>
      <c r="EH224" s="17">
        <f t="shared" ca="1" si="239"/>
        <v>74555744</v>
      </c>
      <c r="EJ224" s="16">
        <f t="shared" ca="1" si="226"/>
        <v>0</v>
      </c>
      <c r="EK224" s="32" t="str">
        <f>IF(VLOOKUP(BO224,Fundamentus!A:U,3,FALSE)&lt;15,"Bom",IF(VLOOKUP(BO224,Fundamentus!A:U,3,FALSE)&gt;15,"Ruim","n/a"))</f>
        <v>Bom</v>
      </c>
      <c r="EL224" s="28" t="str">
        <f>IF(VLOOKUP(BO224,Fundamentus!A:U,4,FALSE)&lt;1,"Baixo",IF(VLOOKUP(BO224,Fundamentus!A:U,4,FALSE)&lt;1.5,"Moderado",IF(VLOOKUP(BO224,Fundamentus!A:U,4,FALSE)&gt;1.5,"Alto","n/a")))</f>
        <v>Moderado</v>
      </c>
      <c r="EM224" s="17" t="str">
        <f>IF(VLOOKUP(BO224,Fundamentus!A:U,8,FALSE)&lt;0,"Risco elevado",IF(VLOOKUP(BO224,Fundamentus!A:U,8,FALSE)&lt;1,"Saudável",IF(VLOOKUP(BO224,Fundamentus!A:U,8,FALSE)&lt;3,"Estável",IF(VLOOKUP(BO224,Fundamentus!A:U,8,FALSE)&gt;3,"Alerta","n/a"))))</f>
        <v>Estável</v>
      </c>
      <c r="EN224" s="28" t="str">
        <f t="shared" si="240"/>
        <v>Ruim</v>
      </c>
      <c r="EO224" s="17" t="str">
        <f>IF(VLOOKUP(BO224,Fundamentus!A:U,12,FALSE)&lt;2,"Subvalorizada",IF(VLOOKUP(BO224,Fundamentus!A:U,12,FALSE)&lt;6,"Muita barata",IF(VLOOKUP(BO224,Fundamentus!A:U,12,FALSE)&lt;6,"Barata",IF(VLOOKUP(BO224,Fundamentus!A:U,12,FALSE)&lt;8,"Atrativa",IF(VLOOKUP(BO224,Fundamentus!A:U,12,FALSE)&gt;8,"Supervalorizada","n/a")))))</f>
        <v>Supervalorizada</v>
      </c>
      <c r="EQ224" s="17" t="str">
        <f>IF(VLOOKUP(BO224,Fundamentus!A:U,17,FALSE)&lt;0.1,"Fraco retorno",IF(VLOOKUP(BO224,Fundamentus!A:U,17,FALSE)&gt;0.1,"Bom retorno","n/a"))</f>
        <v>Bom retorno</v>
      </c>
      <c r="ER224" s="17" t="str">
        <f>IF(VLOOKUP(BO224,Fundamentus!A:U,16,FALSE)&lt;0.1,"Ineficiente",IF(VLOOKUP(BO224,Fundamentus!A:U,16,FALSE)&gt;0.1,"Eficiente","n/a"))</f>
        <v>Ineficiente</v>
      </c>
      <c r="ES224" s="33" t="str">
        <f>IF(VLOOKUP(BO224,Fundamentus!A:U,16,FALSE)&lt;0.1,"Oper. Ineficiente",IF(VLOOKUP(BO224,Fundamentus!A:U,16,FALSE)&gt;0.1,"Oper.Eficiente","n/a"))</f>
        <v>Oper. Ineficiente</v>
      </c>
      <c r="ET224" s="34">
        <f>VLOOKUP(BO224,Fundamentus!A:U,14,FALSE)</f>
        <v>9.0399999999999994E-2</v>
      </c>
      <c r="EU224" s="17" t="str">
        <f>IF(VLOOKUP(BO224,Fundamentus!A:U,21,FALSE)&lt;0,"Negativo",IF(VLOOKUP(BO224,Fundamentus!A:U,21,FALSE)&lt;0.05,"Fraco",IF(VLOOKUP(BO224,Fundamentus!A:U,21,FALSE)&lt;0.1,"Bom",IF(VLOOKUP(BO224,Fundamentus!A:U,21,FALSE)&gt;0.1,"Muito bom","n/a"))))</f>
        <v>Bom</v>
      </c>
      <c r="EW224" s="29" t="str">
        <f>IF(VLOOKUP(BO224,Fundamentus!A:U,15,FALSE)&gt;1,"Bom",IF(VLOOKUP(BO224,Fundamentus!A:U,15,FALSE)&lt;1,"Ruim","n/a"))</f>
        <v>Bom</v>
      </c>
      <c r="EX224" s="17" t="str">
        <f>IF(VLOOKUP(BO224,Fundamentus!A:U,20,FALSE)&lt;0.5,"Baixa",IF(VLOOKUP(BO224,Fundamentus!A:U,20,FALSE)&lt;1,"Moderada",IF(VLOOKUP(BO224,Fundamentus!A:U,20,FALSE)&lt;2,"Alerta",IF(VLOOKUP(BO224,Fundamentus!A:U,20,FALSE)&gt;2,"Alta","n/a"))))</f>
        <v>Baixa</v>
      </c>
    </row>
    <row r="225" spans="1:154" s="2" customFormat="1" ht="11.25"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5">
        <v>4.08</v>
      </c>
      <c r="BC225" s="52">
        <v>4.17</v>
      </c>
      <c r="BD225" s="52">
        <v>5</v>
      </c>
      <c r="BE225" s="52">
        <v>5.15</v>
      </c>
      <c r="BF225" s="52">
        <v>4.7699999999999996</v>
      </c>
      <c r="BG225" s="67">
        <v>5.26</v>
      </c>
      <c r="BH225" s="52">
        <v>4.79</v>
      </c>
      <c r="BI225" s="52">
        <v>4.6500000000000004</v>
      </c>
      <c r="BJ225" s="52">
        <v>4.6399999999999997</v>
      </c>
      <c r="BK225" s="52">
        <v>4.24</v>
      </c>
      <c r="BL225" s="52">
        <v>3.95</v>
      </c>
      <c r="BM225" s="52">
        <v>3.9</v>
      </c>
      <c r="BN225" s="52" cm="1">
        <f t="array" aca="1" ref="BN225" ca="1">_FV(EB225,"Preço")</f>
        <v>3.9</v>
      </c>
      <c r="BO225" s="69" t="s">
        <v>221</v>
      </c>
      <c r="BP225" s="36" cm="1">
        <f t="array" aca="1" ref="BP225" ca="1">_FV(EB225,"Média de volume",TRUE)</f>
        <v>231670</v>
      </c>
      <c r="BQ225" s="36">
        <v>147900</v>
      </c>
      <c r="BR225" s="36" cm="1">
        <f t="array" aca="1" ref="BR225" ca="1">_FV(EB225,"Volume")</f>
        <v>147900</v>
      </c>
      <c r="BS225" s="24" cm="1">
        <f t="array" aca="1" ref="BS225" ca="1">_FV(EB225,"Beta")</f>
        <v>1.7655000000000001</v>
      </c>
      <c r="BT225" s="71" cm="1">
        <f t="array" aca="1" ref="BT225" ca="1">_FV(EB225,"Variação (%)",TRUE)</f>
        <v>1.2987E-2</v>
      </c>
      <c r="BV225" s="17" cm="1">
        <f t="array" aca="1" ref="BV225" ca="1">_FV(EB225,"Baixo")</f>
        <v>3.88</v>
      </c>
      <c r="BW225" s="17" cm="1">
        <f t="array" aca="1" ref="BW225" ca="1">_FV(EB225,"Alto")</f>
        <v>3.96</v>
      </c>
      <c r="BX225" s="24"/>
      <c r="BY225" s="63" t="e">
        <f ca="1">SQRT(22.5*(BN225/VLOOKUP(BO225,Fundamentus!A:U,3,FALSE))*(BN225/VLOOKUP(BO225,Fundamentus!A:U,4,FALSE)))</f>
        <v>#NUM!</v>
      </c>
      <c r="CA225" s="62">
        <f t="shared" ca="1" si="241"/>
        <v>0</v>
      </c>
      <c r="CB225" s="8"/>
      <c r="CC225" s="61">
        <f t="shared" si="242"/>
        <v>3.36</v>
      </c>
      <c r="CD225" s="61">
        <f t="shared" si="243"/>
        <v>6.05</v>
      </c>
      <c r="CE225" s="61">
        <f t="shared" si="244"/>
        <v>4.317384615384614</v>
      </c>
      <c r="CF225" s="14"/>
      <c r="CG225" s="35">
        <f t="shared" si="227"/>
        <v>2.9663787295720683</v>
      </c>
      <c r="CH225" s="15">
        <f t="shared" si="245"/>
        <v>3.5549999999998363</v>
      </c>
      <c r="CI225" s="35">
        <f t="shared" si="228"/>
        <v>4.1436212704276043</v>
      </c>
      <c r="CK225" s="14"/>
      <c r="CL225" s="17">
        <f t="shared" si="229"/>
        <v>0.16666666666666652</v>
      </c>
      <c r="CM225" s="17">
        <f t="shared" si="230"/>
        <v>1.7633333333333332</v>
      </c>
      <c r="CN225" s="17">
        <f t="shared" si="231"/>
        <v>2.8566666666666665</v>
      </c>
      <c r="CO225" s="38">
        <f t="shared" si="246"/>
        <v>4.4533333333333331</v>
      </c>
      <c r="CP225" s="17">
        <f t="shared" si="232"/>
        <v>5.5466666666666669</v>
      </c>
      <c r="CQ225" s="17">
        <f t="shared" si="233"/>
        <v>7.1433333333333326</v>
      </c>
      <c r="CR225" s="17">
        <f t="shared" si="234"/>
        <v>8.2366666666666664</v>
      </c>
      <c r="CS225" s="2" cm="1">
        <f t="array" aca="1" ref="CS225" ca="1">MAX(_xlfn._xlws.FILTER(CL225:CR225,CL225:CR225&lt;BN225))</f>
        <v>2.8566666666666665</v>
      </c>
      <c r="CT225" s="2" cm="1">
        <f t="array" aca="1" ref="CT225" ca="1">MIN(_xlfn._xlws.FILTER($CL225:$CR225,$CL225:$CR225&gt;BN225))</f>
        <v>4.4533333333333331</v>
      </c>
      <c r="CU225" s="16">
        <f t="shared" ca="1" si="248"/>
        <v>0.55892648774795806</v>
      </c>
      <c r="CV225" s="20">
        <f t="shared" ca="1" si="249"/>
        <v>-0.27946324387397903</v>
      </c>
      <c r="CW225" s="20">
        <f t="shared" ca="1" si="250"/>
        <v>-0.18630882924931935</v>
      </c>
      <c r="CX225" s="20">
        <f t="shared" ca="1" si="251"/>
        <v>-0.11178529754959161</v>
      </c>
      <c r="CY225" s="20">
        <f t="shared" ca="1" si="252"/>
        <v>-6.2102943083106453E-2</v>
      </c>
      <c r="CZ225" s="20">
        <f t="shared" ca="1" si="253"/>
        <v>-3.2878028691056355E-2</v>
      </c>
      <c r="DA225" s="20">
        <f t="shared" ca="1" si="254"/>
        <v>-1.6937166295392669E-2</v>
      </c>
      <c r="DB225" s="20">
        <f t="shared" ca="1" si="255"/>
        <v>-8.5988690422762783E-3</v>
      </c>
      <c r="DC225" s="21">
        <f t="shared" ca="1" si="256"/>
        <v>8.5988690422762783E-3</v>
      </c>
      <c r="DD225" s="21">
        <f t="shared" ca="1" si="257"/>
        <v>1.6937166295392669E-2</v>
      </c>
      <c r="DE225" s="21">
        <f t="shared" ca="1" si="258"/>
        <v>3.2878028691056355E-2</v>
      </c>
      <c r="DF225" s="21">
        <f t="shared" ca="1" si="259"/>
        <v>6.2102943083106453E-2</v>
      </c>
      <c r="DG225" s="21">
        <f t="shared" ca="1" si="260"/>
        <v>0.11178529754959161</v>
      </c>
      <c r="DH225" s="21">
        <f t="shared" ca="1" si="261"/>
        <v>0.18630882924931935</v>
      </c>
      <c r="DI225" s="21">
        <f t="shared" ca="1" si="262"/>
        <v>0.27946324387397903</v>
      </c>
      <c r="DK225" s="16" cm="1">
        <f t="array" aca="1" ref="DK225" ca="1">MAX(_xlfn._xlws.FILTER(CV225:DI225,CV225:DI225&lt;BT225))</f>
        <v>8.5988690422762783E-3</v>
      </c>
      <c r="DL225" s="16" cm="1">
        <f t="array" aca="1" ref="DL225" ca="1">MIN(_xlfn._xlws.FILTER(CV225:DI225,CV225:DI225&gt;BT225))</f>
        <v>1.6937166295392669E-2</v>
      </c>
      <c r="DM225" s="2" cm="1">
        <f t="array" aca="1" ref="DM225" ca="1">_FV(EB225,"Fechamento anterior",TRUE)</f>
        <v>3.85</v>
      </c>
      <c r="DN225" s="28">
        <f t="shared" ca="1" si="235"/>
        <v>0.52626379361764963</v>
      </c>
      <c r="DO225" s="15">
        <f t="shared" ca="1" si="263"/>
        <v>3.8831056458127637</v>
      </c>
      <c r="DP225" s="15">
        <f t="shared" ca="1" si="264"/>
        <v>3.9152080902372619</v>
      </c>
      <c r="DQ225" s="9"/>
      <c r="DR225" s="9"/>
      <c r="DS225" s="9"/>
      <c r="DT225" s="89">
        <v>8.3382972531163904E-3</v>
      </c>
      <c r="DU225" s="89">
        <f t="shared" ca="1" si="236"/>
        <v>8.3382972531163904E-3</v>
      </c>
      <c r="DV225" s="72">
        <f t="shared" ca="1" si="237"/>
        <v>0.58611541466967754</v>
      </c>
      <c r="DW225" s="37"/>
      <c r="DX225" s="35">
        <f t="shared" si="247"/>
        <v>0.29431063521388406</v>
      </c>
      <c r="DY225" s="56"/>
      <c r="DZ225" s="56"/>
      <c r="EB225" s="2" t="e" vm="227">
        <v>#VALUE!</v>
      </c>
      <c r="ED225" s="10" cm="1">
        <f t="array" aca="1" ref="ED225" ca="1">_FV(EB225,"Ações em circulação",TRUE)</f>
        <v>140986900</v>
      </c>
      <c r="EE225" s="18">
        <f>VLOOKUP(BO225,Fundamentus!A:U,5,FALSE)</f>
        <v>0.22500000000000001</v>
      </c>
      <c r="EF225" s="2">
        <f t="shared" ca="1" si="238"/>
        <v>2443772933.3333335</v>
      </c>
      <c r="EG225" s="17">
        <v>-112657932.22666667</v>
      </c>
      <c r="EH225" s="17">
        <f t="shared" ca="1" si="239"/>
        <v>-112657932.22666667</v>
      </c>
      <c r="EJ225" s="16">
        <f t="shared" ca="1" si="226"/>
        <v>0</v>
      </c>
      <c r="EK225" s="32" t="str">
        <f>IF(VLOOKUP(BO225,Fundamentus!A:U,3,FALSE)&lt;15,"Bom",IF(VLOOKUP(BO225,Fundamentus!A:U,3,FALSE)&gt;15,"Ruim","n/a"))</f>
        <v>Bom</v>
      </c>
      <c r="EL225" s="28" t="str">
        <f>IF(VLOOKUP(BO225,Fundamentus!A:U,4,FALSE)&lt;1,"Baixo",IF(VLOOKUP(BO225,Fundamentus!A:U,4,FALSE)&lt;1.5,"Moderado",IF(VLOOKUP(BO225,Fundamentus!A:U,4,FALSE)&gt;1.5,"Alto","n/a")))</f>
        <v>Alto</v>
      </c>
      <c r="EM225" s="17" t="str">
        <f>IF(VLOOKUP(BO225,Fundamentus!A:U,8,FALSE)&lt;0,"Risco elevado",IF(VLOOKUP(BO225,Fundamentus!A:U,8,FALSE)&lt;1,"Saudável",IF(VLOOKUP(BO225,Fundamentus!A:U,8,FALSE)&lt;3,"Estável",IF(VLOOKUP(BO225,Fundamentus!A:U,8,FALSE)&gt;3,"Alerta","n/a"))))</f>
        <v>Risco elevado</v>
      </c>
      <c r="EN225" s="28" t="str">
        <f t="shared" si="240"/>
        <v>Ruim</v>
      </c>
      <c r="EO225" s="17" t="str">
        <f>IF(VLOOKUP(BO225,Fundamentus!A:U,12,FALSE)&lt;2,"Subvalorizada",IF(VLOOKUP(BO225,Fundamentus!A:U,12,FALSE)&lt;6,"Muita barata",IF(VLOOKUP(BO225,Fundamentus!A:U,12,FALSE)&lt;6,"Barata",IF(VLOOKUP(BO225,Fundamentus!A:U,12,FALSE)&lt;8,"Atrativa",IF(VLOOKUP(BO225,Fundamentus!A:U,12,FALSE)&gt;8,"Supervalorizada","n/a")))))</f>
        <v>Muita barata</v>
      </c>
      <c r="EQ225" s="17" t="str">
        <f>IF(VLOOKUP(BO225,Fundamentus!A:U,17,FALSE)&lt;0.1,"Fraco retorno",IF(VLOOKUP(BO225,Fundamentus!A:U,17,FALSE)&gt;0.1,"Bom retorno","n/a"))</f>
        <v>Fraco retorno</v>
      </c>
      <c r="ER225" s="17" t="str">
        <f>IF(VLOOKUP(BO225,Fundamentus!A:U,16,FALSE)&lt;0.1,"Ineficiente",IF(VLOOKUP(BO225,Fundamentus!A:U,16,FALSE)&gt;0.1,"Eficiente","n/a"))</f>
        <v>Ineficiente</v>
      </c>
      <c r="ES225" s="33" t="str">
        <f>IF(VLOOKUP(BO225,Fundamentus!A:U,16,FALSE)&lt;0.1,"Oper. Ineficiente",IF(VLOOKUP(BO225,Fundamentus!A:U,16,FALSE)&gt;0.1,"Oper.Eficiente","n/a"))</f>
        <v>Oper. Ineficiente</v>
      </c>
      <c r="ET225" s="34">
        <f>VLOOKUP(BO225,Fundamentus!A:U,14,FALSE)</f>
        <v>-4.6100000000000002E-2</v>
      </c>
      <c r="EU225" s="17" t="str">
        <f>IF(VLOOKUP(BO225,Fundamentus!A:U,21,FALSE)&lt;0,"Negativo",IF(VLOOKUP(BO225,Fundamentus!A:U,21,FALSE)&lt;0.05,"Fraco",IF(VLOOKUP(BO225,Fundamentus!A:U,21,FALSE)&lt;0.1,"Bom",IF(VLOOKUP(BO225,Fundamentus!A:U,21,FALSE)&gt;0.1,"Muito bom","n/a"))))</f>
        <v>Muito bom</v>
      </c>
      <c r="EW225" s="29" t="str">
        <f>IF(VLOOKUP(BO225,Fundamentus!A:U,15,FALSE)&gt;1,"Bom",IF(VLOOKUP(BO225,Fundamentus!A:U,15,FALSE)&lt;1,"Ruim","n/a"))</f>
        <v>Ruim</v>
      </c>
      <c r="EX225" s="17" t="str">
        <f>IF(VLOOKUP(BO225,Fundamentus!A:U,20,FALSE)&lt;0.5,"Baixa",IF(VLOOKUP(BO225,Fundamentus!A:U,20,FALSE)&lt;1,"Moderada",IF(VLOOKUP(BO225,Fundamentus!A:U,20,FALSE)&lt;2,"Alerta",IF(VLOOKUP(BO225,Fundamentus!A:U,20,FALSE)&gt;2,"Alta","n/a"))))</f>
        <v>Alta</v>
      </c>
    </row>
    <row r="226" spans="1:154" s="2" customFormat="1" ht="11.25"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5">
        <v>1.1599999999999999</v>
      </c>
      <c r="BC226" s="52">
        <v>1.37</v>
      </c>
      <c r="BD226" s="52">
        <v>1.36</v>
      </c>
      <c r="BE226" s="52">
        <v>1.37</v>
      </c>
      <c r="BF226" s="52">
        <v>1.19</v>
      </c>
      <c r="BG226" s="67">
        <v>1.2</v>
      </c>
      <c r="BH226" s="52">
        <v>1.17</v>
      </c>
      <c r="BI226" s="52">
        <v>1.25</v>
      </c>
      <c r="BJ226" s="52">
        <v>1.18</v>
      </c>
      <c r="BK226" s="52">
        <v>1.19</v>
      </c>
      <c r="BL226" s="52">
        <v>1.1399999999999999</v>
      </c>
      <c r="BM226" s="52">
        <v>1.1000000000000001</v>
      </c>
      <c r="BN226" s="52" cm="1">
        <f t="array" aca="1" ref="BN226" ca="1">_FV(EB226,"Preço")</f>
        <v>1.1000000000000001</v>
      </c>
      <c r="BO226" s="69" t="s">
        <v>222</v>
      </c>
      <c r="BP226" s="36" cm="1">
        <f t="array" aca="1" ref="BP226" ca="1">_FV(EB226,"Média de volume",TRUE)</f>
        <v>486320</v>
      </c>
      <c r="BQ226" s="36">
        <v>422500</v>
      </c>
      <c r="BR226" s="36" cm="1">
        <f t="array" aca="1" ref="BR226" ca="1">_FV(EB226,"Volume")</f>
        <v>422500</v>
      </c>
      <c r="BS226" s="24" cm="1">
        <f t="array" aca="1" ref="BS226" ca="1">_FV(EB226,"Beta")</f>
        <v>0.95679999999999998</v>
      </c>
      <c r="BT226" s="71" cm="1">
        <f t="array" aca="1" ref="BT226" ca="1">_FV(EB226,"Variação (%)",TRUE)</f>
        <v>0</v>
      </c>
      <c r="BV226" s="17" cm="1">
        <f t="array" aca="1" ref="BV226" ca="1">_FV(EB226,"Baixo")</f>
        <v>1.08</v>
      </c>
      <c r="BW226" s="17" cm="1">
        <f t="array" aca="1" ref="BW226" ca="1">_FV(EB226,"Alto")</f>
        <v>1.1100000000000001</v>
      </c>
      <c r="BX226" s="24"/>
      <c r="BY226" s="63" t="e">
        <f ca="1">SQRT(22.5*(BN226/VLOOKUP(BO226,Fundamentus!A:U,3,FALSE))*(BN226/VLOOKUP(BO226,Fundamentus!A:U,4,FALSE)))</f>
        <v>#NUM!</v>
      </c>
      <c r="CA226" s="62">
        <f t="shared" ca="1" si="241"/>
        <v>0</v>
      </c>
      <c r="CB226" s="8"/>
      <c r="CC226" s="61">
        <f t="shared" si="242"/>
        <v>1.1000000000000001</v>
      </c>
      <c r="CD226" s="61">
        <f t="shared" si="243"/>
        <v>5.42</v>
      </c>
      <c r="CE226" s="61">
        <f t="shared" si="244"/>
        <v>1.9046923076923081</v>
      </c>
      <c r="CF226" s="14"/>
      <c r="CG226" s="35">
        <f t="shared" si="227"/>
        <v>1.0087609657561092</v>
      </c>
      <c r="CH226" s="15">
        <f t="shared" si="245"/>
        <v>1.0799999999999841</v>
      </c>
      <c r="CI226" s="35">
        <f t="shared" si="228"/>
        <v>1.151239034243859</v>
      </c>
      <c r="CK226" s="14"/>
      <c r="CL226" s="17">
        <f t="shared" si="229"/>
        <v>-4.6333333333333329</v>
      </c>
      <c r="CM226" s="17">
        <f t="shared" si="230"/>
        <v>-1.7666666666666671</v>
      </c>
      <c r="CN226" s="17">
        <f t="shared" si="231"/>
        <v>-0.31333333333333346</v>
      </c>
      <c r="CO226" s="38">
        <f t="shared" si="246"/>
        <v>2.5533333333333332</v>
      </c>
      <c r="CP226" s="17">
        <f t="shared" si="232"/>
        <v>4.0066666666666659</v>
      </c>
      <c r="CQ226" s="17">
        <f t="shared" si="233"/>
        <v>6.8733333333333331</v>
      </c>
      <c r="CR226" s="17">
        <f t="shared" si="234"/>
        <v>8.3266666666666662</v>
      </c>
      <c r="CS226" s="2" cm="1">
        <f t="array" aca="1" ref="CS226" ca="1">MAX(_xlfn._xlws.FILTER(CL226:CR226,CL226:CR226&lt;BN226))</f>
        <v>-0.31333333333333346</v>
      </c>
      <c r="CT226" s="2" cm="1">
        <f t="array" aca="1" ref="CT226" ca="1">MIN(_xlfn._xlws.FILTER($CL226:$CR226,$CL226:$CR226&gt;BN226))</f>
        <v>2.5533333333333332</v>
      </c>
      <c r="CU226" s="16">
        <f t="shared" ca="1" si="248"/>
        <v>-9.1489361702127621</v>
      </c>
      <c r="CV226" s="20">
        <f t="shared" ca="1" si="249"/>
        <v>4.574468085106381</v>
      </c>
      <c r="CW226" s="20">
        <f t="shared" ca="1" si="250"/>
        <v>3.0496453900709208</v>
      </c>
      <c r="CX226" s="20">
        <f t="shared" ca="1" si="251"/>
        <v>1.8297872340425525</v>
      </c>
      <c r="CY226" s="20">
        <f t="shared" ca="1" si="252"/>
        <v>1.0165484633569735</v>
      </c>
      <c r="CZ226" s="20">
        <f t="shared" ca="1" si="253"/>
        <v>0.53817271589486837</v>
      </c>
      <c r="DA226" s="20">
        <f t="shared" ca="1" si="254"/>
        <v>0.27724049000644735</v>
      </c>
      <c r="DB226" s="20">
        <f t="shared" ca="1" si="255"/>
        <v>0.14075286415711941</v>
      </c>
      <c r="DC226" s="21">
        <f t="shared" ca="1" si="256"/>
        <v>-0.14075286415711941</v>
      </c>
      <c r="DD226" s="21">
        <f t="shared" ca="1" si="257"/>
        <v>-0.27724049000644735</v>
      </c>
      <c r="DE226" s="21">
        <f t="shared" ca="1" si="258"/>
        <v>-0.53817271589486837</v>
      </c>
      <c r="DF226" s="21">
        <f t="shared" ca="1" si="259"/>
        <v>-1.0165484633569735</v>
      </c>
      <c r="DG226" s="21">
        <f t="shared" ca="1" si="260"/>
        <v>-1.8297872340425525</v>
      </c>
      <c r="DH226" s="21">
        <f t="shared" ca="1" si="261"/>
        <v>-3.0496453900709208</v>
      </c>
      <c r="DI226" s="21">
        <f t="shared" ca="1" si="262"/>
        <v>-4.574468085106381</v>
      </c>
      <c r="DK226" s="16" cm="1">
        <f t="array" aca="1" ref="DK226" ca="1">MAX(_xlfn._xlws.FILTER(CV226:DI226,CV226:DI226&lt;BT226))</f>
        <v>-0.14075286415711941</v>
      </c>
      <c r="DL226" s="16" cm="1">
        <f t="array" aca="1" ref="DL226" ca="1">MIN(_xlfn._xlws.FILTER(CV226:DI226,CV226:DI226&gt;BT226))</f>
        <v>0.14075286415711941</v>
      </c>
      <c r="DM226" s="2" cm="1">
        <f t="array" aca="1" ref="DM226" ca="1">_FV(EB226,"Fechamento anterior",TRUE)</f>
        <v>1.1000000000000001</v>
      </c>
      <c r="DN226" s="28">
        <f t="shared" ca="1" si="235"/>
        <v>0.50000000000000022</v>
      </c>
      <c r="DO226" s="15">
        <f t="shared" ca="1" si="263"/>
        <v>0.9451718494271687</v>
      </c>
      <c r="DP226" s="15">
        <f t="shared" ca="1" si="264"/>
        <v>1.2548281505728314</v>
      </c>
      <c r="DQ226" s="9"/>
      <c r="DR226" s="9"/>
      <c r="DS226" s="9"/>
      <c r="DT226" s="89">
        <v>0.28150572831423881</v>
      </c>
      <c r="DU226" s="89">
        <f t="shared" ca="1" si="236"/>
        <v>0.28150572831423881</v>
      </c>
      <c r="DV226" s="72">
        <f t="shared" ca="1" si="237"/>
        <v>0.28074496253766379</v>
      </c>
      <c r="DW226" s="37"/>
      <c r="DX226" s="35">
        <f t="shared" si="247"/>
        <v>3.561951712193747E-2</v>
      </c>
      <c r="DY226" s="56"/>
      <c r="DZ226" s="56"/>
      <c r="EB226" s="2" t="e" vm="228">
        <v>#VALUE!</v>
      </c>
      <c r="ED226" s="10" cm="1">
        <f t="array" aca="1" ref="ED226" ca="1">_FV(EB226,"Ações em circulação",TRUE)</f>
        <v>322820600</v>
      </c>
      <c r="EE226" s="18">
        <f>VLOOKUP(BO226,Fundamentus!A:U,5,FALSE)</f>
        <v>3.1E-2</v>
      </c>
      <c r="EF226" s="2">
        <f t="shared" ca="1" si="238"/>
        <v>11454924516.129032</v>
      </c>
      <c r="EG226" s="17">
        <v>-1483412724.8387096</v>
      </c>
      <c r="EH226" s="17">
        <f t="shared" ca="1" si="239"/>
        <v>-1483412724.8387096</v>
      </c>
      <c r="EJ226" s="16">
        <f t="shared" ca="1" si="226"/>
        <v>0</v>
      </c>
      <c r="EK226" s="32" t="str">
        <f>IF(VLOOKUP(BO226,Fundamentus!A:U,3,FALSE)&lt;15,"Bom",IF(VLOOKUP(BO226,Fundamentus!A:U,3,FALSE)&gt;15,"Ruim","n/a"))</f>
        <v>Bom</v>
      </c>
      <c r="EL226" s="28" t="str">
        <f>IF(VLOOKUP(BO226,Fundamentus!A:U,4,FALSE)&lt;1,"Baixo",IF(VLOOKUP(BO226,Fundamentus!A:U,4,FALSE)&lt;1.5,"Moderado",IF(VLOOKUP(BO226,Fundamentus!A:U,4,FALSE)&gt;1.5,"Alto","n/a")))</f>
        <v>Baixo</v>
      </c>
      <c r="EM226" s="17" t="str">
        <f>IF(VLOOKUP(BO226,Fundamentus!A:U,8,FALSE)&lt;0,"Risco elevado",IF(VLOOKUP(BO226,Fundamentus!A:U,8,FALSE)&lt;1,"Saudável",IF(VLOOKUP(BO226,Fundamentus!A:U,8,FALSE)&lt;3,"Estável",IF(VLOOKUP(BO226,Fundamentus!A:U,8,FALSE)&gt;3,"Alerta","n/a"))))</f>
        <v>Saudável</v>
      </c>
      <c r="EN226" s="28" t="str">
        <f t="shared" si="240"/>
        <v>Ruim</v>
      </c>
      <c r="EO226" s="17" t="str">
        <f>IF(VLOOKUP(BO226,Fundamentus!A:U,12,FALSE)&lt;2,"Subvalorizada",IF(VLOOKUP(BO226,Fundamentus!A:U,12,FALSE)&lt;6,"Muita barata",IF(VLOOKUP(BO226,Fundamentus!A:U,12,FALSE)&lt;6,"Barata",IF(VLOOKUP(BO226,Fundamentus!A:U,12,FALSE)&lt;8,"Atrativa",IF(VLOOKUP(BO226,Fundamentus!A:U,12,FALSE)&gt;8,"Supervalorizada","n/a")))))</f>
        <v>Supervalorizada</v>
      </c>
      <c r="EQ226" s="17" t="str">
        <f>IF(VLOOKUP(BO226,Fundamentus!A:U,17,FALSE)&lt;0.1,"Fraco retorno",IF(VLOOKUP(BO226,Fundamentus!A:U,17,FALSE)&gt;0.1,"Bom retorno","n/a"))</f>
        <v>Fraco retorno</v>
      </c>
      <c r="ER226" s="17" t="str">
        <f>IF(VLOOKUP(BO226,Fundamentus!A:U,16,FALSE)&lt;0.1,"Ineficiente",IF(VLOOKUP(BO226,Fundamentus!A:U,16,FALSE)&gt;0.1,"Eficiente","n/a"))</f>
        <v>Ineficiente</v>
      </c>
      <c r="ES226" s="33" t="str">
        <f>IF(VLOOKUP(BO226,Fundamentus!A:U,16,FALSE)&lt;0.1,"Oper. Ineficiente",IF(VLOOKUP(BO226,Fundamentus!A:U,16,FALSE)&gt;0.1,"Oper.Eficiente","n/a"))</f>
        <v>Oper. Ineficiente</v>
      </c>
      <c r="ET226" s="34">
        <f>VLOOKUP(BO226,Fundamentus!A:U,14,FALSE)</f>
        <v>-0.1295</v>
      </c>
      <c r="EU226" s="17" t="str">
        <f>IF(VLOOKUP(BO226,Fundamentus!A:U,21,FALSE)&lt;0,"Negativo",IF(VLOOKUP(BO226,Fundamentus!A:U,21,FALSE)&lt;0.05,"Fraco",IF(VLOOKUP(BO226,Fundamentus!A:U,21,FALSE)&lt;0.1,"Bom",IF(VLOOKUP(BO226,Fundamentus!A:U,21,FALSE)&gt;0.1,"Muito bom","n/a"))))</f>
        <v>Muito bom</v>
      </c>
      <c r="EW226" s="29" t="str">
        <f>IF(VLOOKUP(BO226,Fundamentus!A:U,15,FALSE)&gt;1,"Bom",IF(VLOOKUP(BO226,Fundamentus!A:U,15,FALSE)&lt;1,"Ruim","n/a"))</f>
        <v>Bom</v>
      </c>
      <c r="EX226" s="17" t="str">
        <f>IF(VLOOKUP(BO226,Fundamentus!A:U,20,FALSE)&lt;0.5,"Baixa",IF(VLOOKUP(BO226,Fundamentus!A:U,20,FALSE)&lt;1,"Moderada",IF(VLOOKUP(BO226,Fundamentus!A:U,20,FALSE)&lt;2,"Alerta",IF(VLOOKUP(BO226,Fundamentus!A:U,20,FALSE)&gt;2,"Alta","n/a"))))</f>
        <v>Alta</v>
      </c>
    </row>
    <row r="227" spans="1:154" s="2" customFormat="1" ht="11.25"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5">
        <v>3.77</v>
      </c>
      <c r="BC227" s="52">
        <v>3.83</v>
      </c>
      <c r="BD227" s="52">
        <v>3.43</v>
      </c>
      <c r="BE227" s="52">
        <v>3.49</v>
      </c>
      <c r="BF227" s="52">
        <v>3.52</v>
      </c>
      <c r="BG227" s="67">
        <v>3.53</v>
      </c>
      <c r="BH227" s="52">
        <v>3.42</v>
      </c>
      <c r="BI227" s="52">
        <v>3.41</v>
      </c>
      <c r="BJ227" s="52">
        <v>3.38</v>
      </c>
      <c r="BK227" s="52">
        <v>3.06</v>
      </c>
      <c r="BL227" s="52">
        <v>3.01</v>
      </c>
      <c r="BM227" s="52">
        <v>3.31</v>
      </c>
      <c r="BN227" s="52" cm="1">
        <f t="array" aca="1" ref="BN227" ca="1">_FV(EB227,"Preço")</f>
        <v>3.31</v>
      </c>
      <c r="BO227" s="69" t="s">
        <v>223</v>
      </c>
      <c r="BP227" s="36" cm="1">
        <f t="array" aca="1" ref="BP227" ca="1">_FV(EB227,"Média de volume",TRUE)</f>
        <v>284410</v>
      </c>
      <c r="BQ227" s="36">
        <v>508400</v>
      </c>
      <c r="BR227" s="36" cm="1">
        <f t="array" aca="1" ref="BR227" ca="1">_FV(EB227,"Volume")</f>
        <v>508400</v>
      </c>
      <c r="BS227" s="24" cm="1">
        <f t="array" aca="1" ref="BS227" ca="1">_FV(EB227,"Beta")</f>
        <v>1.4356</v>
      </c>
      <c r="BT227" s="71" cm="1">
        <f t="array" aca="1" ref="BT227" ca="1">_FV(EB227,"Variação (%)",TRUE)</f>
        <v>8.5245999999999988E-2</v>
      </c>
      <c r="BV227" s="17" cm="1">
        <f t="array" aca="1" ref="BV227" ca="1">_FV(EB227,"Baixo")</f>
        <v>3.04</v>
      </c>
      <c r="BW227" s="17" cm="1">
        <f t="array" aca="1" ref="BW227" ca="1">_FV(EB227,"Alto")</f>
        <v>3.31</v>
      </c>
      <c r="BX227" s="24"/>
      <c r="BY227" s="63">
        <f ca="1">SQRT(22.5*(BN227/VLOOKUP(BO227,Fundamentus!A:U,3,FALSE))*(BN227/VLOOKUP(BO227,Fundamentus!A:U,4,FALSE)))</f>
        <v>13.611682594153026</v>
      </c>
      <c r="CA227" s="62">
        <f t="shared" ca="1" si="241"/>
        <v>0</v>
      </c>
      <c r="CB227" s="8"/>
      <c r="CC227" s="61">
        <f t="shared" si="242"/>
        <v>2.69</v>
      </c>
      <c r="CD227" s="61">
        <f t="shared" si="243"/>
        <v>6</v>
      </c>
      <c r="CE227" s="61">
        <f t="shared" si="244"/>
        <v>4.0674615384615382</v>
      </c>
      <c r="CF227" s="14"/>
      <c r="CG227" s="35">
        <f t="shared" si="227"/>
        <v>2.8090886200213738</v>
      </c>
      <c r="CH227" s="15">
        <f t="shared" si="245"/>
        <v>3.125</v>
      </c>
      <c r="CI227" s="35">
        <f t="shared" si="228"/>
        <v>3.4409113799786262</v>
      </c>
      <c r="CK227" s="14"/>
      <c r="CL227" s="17">
        <f t="shared" si="229"/>
        <v>-1.5100000000000002</v>
      </c>
      <c r="CM227" s="17">
        <f t="shared" si="230"/>
        <v>0.58999999999999986</v>
      </c>
      <c r="CN227" s="17">
        <f t="shared" si="231"/>
        <v>1.7999999999999998</v>
      </c>
      <c r="CO227" s="38">
        <f t="shared" si="246"/>
        <v>3.9</v>
      </c>
      <c r="CP227" s="17">
        <f t="shared" si="232"/>
        <v>5.1099999999999994</v>
      </c>
      <c r="CQ227" s="17">
        <f t="shared" si="233"/>
        <v>7.21</v>
      </c>
      <c r="CR227" s="17">
        <f t="shared" si="234"/>
        <v>8.42</v>
      </c>
      <c r="CS227" s="2" cm="1">
        <f t="array" aca="1" ref="CS227" ca="1">MAX(_xlfn._xlws.FILTER(CL227:CR227,CL227:CR227&lt;BN227))</f>
        <v>1.7999999999999998</v>
      </c>
      <c r="CT227" s="2" cm="1">
        <f t="array" aca="1" ref="CT227" ca="1">MIN(_xlfn._xlws.FILTER($CL227:$CR227,$CL227:$CR227&gt;BN227))</f>
        <v>3.9</v>
      </c>
      <c r="CU227" s="16">
        <f t="shared" ca="1" si="248"/>
        <v>1.166666666666667</v>
      </c>
      <c r="CV227" s="20">
        <f t="shared" ca="1" si="249"/>
        <v>-0.58333333333333348</v>
      </c>
      <c r="CW227" s="20">
        <f t="shared" ca="1" si="250"/>
        <v>-0.38888888888888901</v>
      </c>
      <c r="CX227" s="20">
        <f t="shared" ca="1" si="251"/>
        <v>-0.23333333333333339</v>
      </c>
      <c r="CY227" s="20">
        <f t="shared" ca="1" si="252"/>
        <v>-0.12962962962962965</v>
      </c>
      <c r="CZ227" s="20">
        <f t="shared" ca="1" si="253"/>
        <v>-6.8627450980392177E-2</v>
      </c>
      <c r="DA227" s="20">
        <f t="shared" ca="1" si="254"/>
        <v>-3.5353535353535359E-2</v>
      </c>
      <c r="DB227" s="20">
        <f t="shared" ca="1" si="255"/>
        <v>-1.7948717948717954E-2</v>
      </c>
      <c r="DC227" s="21">
        <f t="shared" ca="1" si="256"/>
        <v>1.7948717948717954E-2</v>
      </c>
      <c r="DD227" s="21">
        <f t="shared" ca="1" si="257"/>
        <v>3.5353535353535359E-2</v>
      </c>
      <c r="DE227" s="21">
        <f t="shared" ca="1" si="258"/>
        <v>6.8627450980392177E-2</v>
      </c>
      <c r="DF227" s="21">
        <f t="shared" ca="1" si="259"/>
        <v>0.12962962962962965</v>
      </c>
      <c r="DG227" s="21">
        <f t="shared" ca="1" si="260"/>
        <v>0.23333333333333339</v>
      </c>
      <c r="DH227" s="21">
        <f t="shared" ca="1" si="261"/>
        <v>0.38888888888888901</v>
      </c>
      <c r="DI227" s="21">
        <f t="shared" ca="1" si="262"/>
        <v>0.58333333333333348</v>
      </c>
      <c r="DK227" s="16" cm="1">
        <f t="array" aca="1" ref="DK227" ca="1">MAX(_xlfn._xlws.FILTER(CV227:DI227,CV227:DI227&lt;BT227))</f>
        <v>6.8627450980392177E-2</v>
      </c>
      <c r="DL227" s="16" cm="1">
        <f t="array" aca="1" ref="DL227" ca="1">MIN(_xlfn._xlws.FILTER(CV227:DI227,CV227:DI227&gt;BT227))</f>
        <v>0.12962962962962965</v>
      </c>
      <c r="DM227" s="2" cm="1">
        <f t="array" aca="1" ref="DM227" ca="1">_FV(EB227,"Fechamento anterior",TRUE)</f>
        <v>3.05</v>
      </c>
      <c r="DN227" s="28">
        <f t="shared" ca="1" si="235"/>
        <v>0.27242388758782238</v>
      </c>
      <c r="DO227" s="15">
        <f t="shared" ca="1" si="263"/>
        <v>3.259313725490196</v>
      </c>
      <c r="DP227" s="15">
        <f t="shared" ca="1" si="264"/>
        <v>3.4453703703703704</v>
      </c>
      <c r="DQ227" s="9"/>
      <c r="DR227" s="9"/>
      <c r="DS227" s="9"/>
      <c r="DT227" s="89">
        <v>6.1002178649237473E-2</v>
      </c>
      <c r="DU227" s="89">
        <f t="shared" ca="1" si="236"/>
        <v>6.1002178649237473E-2</v>
      </c>
      <c r="DV227" s="72">
        <f t="shared" ca="1" si="237"/>
        <v>0.58560726749544989</v>
      </c>
      <c r="DW227" s="37"/>
      <c r="DX227" s="35">
        <f t="shared" si="247"/>
        <v>0.15795568998931317</v>
      </c>
      <c r="DY227" s="56"/>
      <c r="DZ227" s="56"/>
      <c r="EB227" s="2" t="e" vm="229">
        <v>#VALUE!</v>
      </c>
      <c r="ED227" s="10" cm="1">
        <f t="array" aca="1" ref="ED227" ca="1">_FV(EB227,"Ações em circulação",TRUE)</f>
        <v>103189000</v>
      </c>
      <c r="EE227" s="18">
        <f>VLOOKUP(BO227,Fundamentus!A:U,5,FALSE)</f>
        <v>1.8420000000000001</v>
      </c>
      <c r="EF227" s="2">
        <f t="shared" ca="1" si="238"/>
        <v>185426487.51357219</v>
      </c>
      <c r="EG227" s="17">
        <v>131560092.89087947</v>
      </c>
      <c r="EH227" s="17">
        <f t="shared" ca="1" si="239"/>
        <v>131560092.89087947</v>
      </c>
      <c r="EJ227" s="16">
        <f t="shared" ca="1" si="226"/>
        <v>0</v>
      </c>
      <c r="EK227" s="32" t="str">
        <f>IF(VLOOKUP(BO227,Fundamentus!A:U,3,FALSE)&lt;15,"Bom",IF(VLOOKUP(BO227,Fundamentus!A:U,3,FALSE)&gt;15,"Ruim","n/a"))</f>
        <v>Bom</v>
      </c>
      <c r="EL227" s="28" t="str">
        <f>IF(VLOOKUP(BO227,Fundamentus!A:U,4,FALSE)&lt;1,"Baixo",IF(VLOOKUP(BO227,Fundamentus!A:U,4,FALSE)&lt;1.5,"Moderado",IF(VLOOKUP(BO227,Fundamentus!A:U,4,FALSE)&gt;1.5,"Alto","n/a")))</f>
        <v>Baixo</v>
      </c>
      <c r="EM227" s="17" t="str">
        <f>IF(VLOOKUP(BO227,Fundamentus!A:U,8,FALSE)&lt;0,"Risco elevado",IF(VLOOKUP(BO227,Fundamentus!A:U,8,FALSE)&lt;1,"Saudável",IF(VLOOKUP(BO227,Fundamentus!A:U,8,FALSE)&lt;3,"Estável",IF(VLOOKUP(BO227,Fundamentus!A:U,8,FALSE)&gt;3,"Alerta","n/a"))))</f>
        <v>Estável</v>
      </c>
      <c r="EN227" s="28" t="str">
        <f t="shared" si="240"/>
        <v>Bom</v>
      </c>
      <c r="EO227" s="17" t="str">
        <f>IF(VLOOKUP(BO227,Fundamentus!A:U,12,FALSE)&lt;2,"Subvalorizada",IF(VLOOKUP(BO227,Fundamentus!A:U,12,FALSE)&lt;6,"Muita barata",IF(VLOOKUP(BO227,Fundamentus!A:U,12,FALSE)&lt;6,"Barata",IF(VLOOKUP(BO227,Fundamentus!A:U,12,FALSE)&lt;8,"Atrativa",IF(VLOOKUP(BO227,Fundamentus!A:U,12,FALSE)&gt;8,"Supervalorizada","n/a")))))</f>
        <v>Muita barata</v>
      </c>
      <c r="EQ227" s="17" t="str">
        <f>IF(VLOOKUP(BO227,Fundamentus!A:U,17,FALSE)&lt;0.1,"Fraco retorno",IF(VLOOKUP(BO227,Fundamentus!A:U,17,FALSE)&gt;0.1,"Bom retorno","n/a"))</f>
        <v>Fraco retorno</v>
      </c>
      <c r="ER227" s="17" t="str">
        <f>IF(VLOOKUP(BO227,Fundamentus!A:U,16,FALSE)&lt;0.1,"Ineficiente",IF(VLOOKUP(BO227,Fundamentus!A:U,16,FALSE)&gt;0.1,"Eficiente","n/a"))</f>
        <v>Ineficiente</v>
      </c>
      <c r="ES227" s="33" t="str">
        <f>IF(VLOOKUP(BO227,Fundamentus!A:U,16,FALSE)&lt;0.1,"Oper. Ineficiente",IF(VLOOKUP(BO227,Fundamentus!A:U,16,FALSE)&gt;0.1,"Oper.Eficiente","n/a"))</f>
        <v>Oper. Ineficiente</v>
      </c>
      <c r="ET227" s="34">
        <f>VLOOKUP(BO227,Fundamentus!A:U,14,FALSE)</f>
        <v>0.70950000000000002</v>
      </c>
      <c r="EU227" s="17" t="str">
        <f>IF(VLOOKUP(BO227,Fundamentus!A:U,21,FALSE)&lt;0,"Negativo",IF(VLOOKUP(BO227,Fundamentus!A:U,21,FALSE)&lt;0.05,"Fraco",IF(VLOOKUP(BO227,Fundamentus!A:U,21,FALSE)&lt;0.1,"Bom",IF(VLOOKUP(BO227,Fundamentus!A:U,21,FALSE)&gt;0.1,"Muito bom","n/a"))))</f>
        <v>Muito bom</v>
      </c>
      <c r="EW227" s="29" t="str">
        <f>IF(VLOOKUP(BO227,Fundamentus!A:U,15,FALSE)&gt;1,"Bom",IF(VLOOKUP(BO227,Fundamentus!A:U,15,FALSE)&lt;1,"Ruim","n/a"))</f>
        <v>Bom</v>
      </c>
      <c r="EX227" s="17" t="str">
        <f>IF(VLOOKUP(BO227,Fundamentus!A:U,20,FALSE)&lt;0.5,"Baixa",IF(VLOOKUP(BO227,Fundamentus!A:U,20,FALSE)&lt;1,"Moderada",IF(VLOOKUP(BO227,Fundamentus!A:U,20,FALSE)&lt;2,"Alerta",IF(VLOOKUP(BO227,Fundamentus!A:U,20,FALSE)&gt;2,"Alta","n/a"))))</f>
        <v>Moderada</v>
      </c>
    </row>
    <row r="228" spans="1:154" s="2" customFormat="1" ht="11.25"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5">
        <v>2.94</v>
      </c>
      <c r="BC228" s="52">
        <v>2.83</v>
      </c>
      <c r="BD228" s="52">
        <v>2.59</v>
      </c>
      <c r="BE228" s="52">
        <v>2.69</v>
      </c>
      <c r="BF228" s="52">
        <v>2.71</v>
      </c>
      <c r="BG228" s="67">
        <v>2.52</v>
      </c>
      <c r="BH228" s="52">
        <v>2.48</v>
      </c>
      <c r="BI228" s="52">
        <v>2.4700000000000002</v>
      </c>
      <c r="BJ228" s="52">
        <v>2.39</v>
      </c>
      <c r="BK228" s="52">
        <v>2.3199999999999998</v>
      </c>
      <c r="BL228" s="52">
        <v>2.31</v>
      </c>
      <c r="BM228" s="52">
        <v>2.29</v>
      </c>
      <c r="BN228" s="52" cm="1">
        <f t="array" aca="1" ref="BN228" ca="1">_FV(EB228,"Preço")</f>
        <v>2.29</v>
      </c>
      <c r="BO228" s="69" t="s">
        <v>224</v>
      </c>
      <c r="BP228" s="36" cm="1">
        <f t="array" aca="1" ref="BP228" ca="1">_FV(EB228,"Média de volume",TRUE)</f>
        <v>1300</v>
      </c>
      <c r="BQ228" s="36">
        <v>700</v>
      </c>
      <c r="BR228" s="36" cm="1">
        <f t="array" aca="1" ref="BR228" ca="1">_FV(EB228,"Volume")</f>
        <v>700</v>
      </c>
      <c r="BS228" s="24" cm="1">
        <f t="array" aca="1" ref="BS228" ca="1">_FV(EB228,"Beta")</f>
        <v>0.67</v>
      </c>
      <c r="BT228" s="71" cm="1">
        <f t="array" aca="1" ref="BT228" ca="1">_FV(EB228,"Variação (%)",TRUE)</f>
        <v>1.3273999999999999E-2</v>
      </c>
      <c r="BV228" s="17" cm="1">
        <f t="array" aca="1" ref="BV228" ca="1">_FV(EB228,"Baixo")</f>
        <v>2.2599999999999998</v>
      </c>
      <c r="BW228" s="17" cm="1">
        <f t="array" aca="1" ref="BW228" ca="1">_FV(EB228,"Alto")</f>
        <v>2.29</v>
      </c>
      <c r="BX228" s="24"/>
      <c r="BY228" s="63" t="e">
        <f ca="1">SQRT(22.5*(BN228/VLOOKUP(BO228,Fundamentus!A:U,3,FALSE))*(BN228/VLOOKUP(BO228,Fundamentus!A:U,4,FALSE)))</f>
        <v>#NUM!</v>
      </c>
      <c r="CA228" s="62">
        <f t="shared" ca="1" si="241"/>
        <v>0</v>
      </c>
      <c r="CB228" s="8"/>
      <c r="CC228" s="61">
        <f t="shared" si="242"/>
        <v>2.1</v>
      </c>
      <c r="CD228" s="61">
        <f t="shared" si="243"/>
        <v>3.62</v>
      </c>
      <c r="CE228" s="61">
        <f t="shared" si="244"/>
        <v>2.8061538461538462</v>
      </c>
      <c r="CF228" s="14"/>
      <c r="CG228" s="35">
        <f t="shared" si="227"/>
        <v>2.1746674041334031</v>
      </c>
      <c r="CH228" s="15">
        <f t="shared" si="245"/>
        <v>2.25</v>
      </c>
      <c r="CI228" s="35">
        <f t="shared" si="228"/>
        <v>2.3253325958665969</v>
      </c>
      <c r="CK228" s="14"/>
      <c r="CL228" s="17">
        <f t="shared" si="229"/>
        <v>0.21333333333333426</v>
      </c>
      <c r="CM228" s="17">
        <f t="shared" si="230"/>
        <v>1.1566666666666672</v>
      </c>
      <c r="CN228" s="17">
        <f t="shared" si="231"/>
        <v>1.7333333333333343</v>
      </c>
      <c r="CO228" s="38">
        <f t="shared" si="246"/>
        <v>2.6766666666666672</v>
      </c>
      <c r="CP228" s="17">
        <f t="shared" si="232"/>
        <v>3.2533333333333343</v>
      </c>
      <c r="CQ228" s="17">
        <f t="shared" si="233"/>
        <v>4.1966666666666672</v>
      </c>
      <c r="CR228" s="17">
        <f t="shared" si="234"/>
        <v>4.7733333333333343</v>
      </c>
      <c r="CS228" s="2" cm="1">
        <f t="array" aca="1" ref="CS228" ca="1">MAX(_xlfn._xlws.FILTER(CL228:CR228,CL228:CR228&lt;BN228))</f>
        <v>1.7333333333333343</v>
      </c>
      <c r="CT228" s="2" cm="1">
        <f t="array" aca="1" ref="CT228" ca="1">MIN(_xlfn._xlws.FILTER($CL228:$CR228,$CL228:$CR228&gt;BN228))</f>
        <v>2.6766666666666672</v>
      </c>
      <c r="CU228" s="16">
        <f t="shared" ca="1" si="248"/>
        <v>0.54423076923076863</v>
      </c>
      <c r="CV228" s="20">
        <f t="shared" ca="1" si="249"/>
        <v>-0.27211538461538431</v>
      </c>
      <c r="CW228" s="20">
        <f t="shared" ca="1" si="250"/>
        <v>-0.18141025641025621</v>
      </c>
      <c r="CX228" s="20">
        <f t="shared" ca="1" si="251"/>
        <v>-0.10884615384615373</v>
      </c>
      <c r="CY228" s="20">
        <f t="shared" ca="1" si="252"/>
        <v>-6.0470085470085401E-2</v>
      </c>
      <c r="CZ228" s="20">
        <f t="shared" ca="1" si="253"/>
        <v>-3.2013574660633447E-2</v>
      </c>
      <c r="DA228" s="20">
        <f t="shared" ca="1" si="254"/>
        <v>-1.6491841491841474E-2</v>
      </c>
      <c r="DB228" s="20">
        <f t="shared" ca="1" si="255"/>
        <v>-8.3727810650887479E-3</v>
      </c>
      <c r="DC228" s="21">
        <f t="shared" ca="1" si="256"/>
        <v>8.3727810650887479E-3</v>
      </c>
      <c r="DD228" s="21">
        <f t="shared" ca="1" si="257"/>
        <v>1.6491841491841474E-2</v>
      </c>
      <c r="DE228" s="21">
        <f t="shared" ca="1" si="258"/>
        <v>3.2013574660633447E-2</v>
      </c>
      <c r="DF228" s="21">
        <f t="shared" ca="1" si="259"/>
        <v>6.0470085470085401E-2</v>
      </c>
      <c r="DG228" s="21">
        <f t="shared" ca="1" si="260"/>
        <v>0.10884615384615373</v>
      </c>
      <c r="DH228" s="21">
        <f t="shared" ca="1" si="261"/>
        <v>0.18141025641025621</v>
      </c>
      <c r="DI228" s="21">
        <f t="shared" ca="1" si="262"/>
        <v>0.27211538461538431</v>
      </c>
      <c r="DK228" s="16" cm="1">
        <f t="array" aca="1" ref="DK228" ca="1">MAX(_xlfn._xlws.FILTER(CV228:DI228,CV228:DI228&lt;BT228))</f>
        <v>8.3727810650887479E-3</v>
      </c>
      <c r="DL228" s="16" cm="1">
        <f t="array" aca="1" ref="DL228" ca="1">MIN(_xlfn._xlws.FILTER(CV228:DI228,CV228:DI228&gt;BT228))</f>
        <v>1.6491841491841474E-2</v>
      </c>
      <c r="DM228" s="2" cm="1">
        <f t="array" aca="1" ref="DM228" ca="1">_FV(EB228,"Fechamento anterior",TRUE)</f>
        <v>2.2599999999999998</v>
      </c>
      <c r="DN228" s="28">
        <f t="shared" ca="1" si="235"/>
        <v>0.60370966102756274</v>
      </c>
      <c r="DO228" s="15">
        <f t="shared" ca="1" si="263"/>
        <v>2.2789224852071004</v>
      </c>
      <c r="DP228" s="15">
        <f t="shared" ca="1" si="264"/>
        <v>2.2972715617715616</v>
      </c>
      <c r="DQ228" s="9"/>
      <c r="DR228" s="9"/>
      <c r="DS228" s="9"/>
      <c r="DT228" s="89">
        <v>8.119060426752726E-3</v>
      </c>
      <c r="DU228" s="89">
        <f t="shared" ca="1" si="236"/>
        <v>8.119060426752726E-3</v>
      </c>
      <c r="DV228" s="72">
        <f t="shared" ca="1" si="237"/>
        <v>0.5309786492799774</v>
      </c>
      <c r="DW228" s="37"/>
      <c r="DX228" s="35">
        <f t="shared" si="247"/>
        <v>3.7666297933298454E-2</v>
      </c>
      <c r="DY228" s="56"/>
      <c r="DZ228" s="56"/>
      <c r="EB228" s="2" t="e" vm="230">
        <v>#VALUE!</v>
      </c>
      <c r="ED228" s="10" cm="1">
        <f t="array" aca="1" ref="ED228" ca="1">_FV(EB228,"Ações em circulação",TRUE)</f>
        <v>43769810</v>
      </c>
      <c r="EE228" s="18">
        <f>VLOOKUP(BO228,Fundamentus!A:U,5,FALSE)</f>
        <v>0.20799999999999999</v>
      </c>
      <c r="EF228" s="2">
        <f t="shared" ca="1" si="238"/>
        <v>481888773.55769235</v>
      </c>
      <c r="EG228" s="17">
        <v>-133338623.64341347</v>
      </c>
      <c r="EH228" s="17">
        <f t="shared" ca="1" si="239"/>
        <v>-133338623.64341347</v>
      </c>
      <c r="EJ228" s="16">
        <f t="shared" ca="1" si="226"/>
        <v>0</v>
      </c>
      <c r="EK228" s="32" t="str">
        <f>IF(VLOOKUP(BO228,Fundamentus!A:U,3,FALSE)&lt;15,"Bom",IF(VLOOKUP(BO228,Fundamentus!A:U,3,FALSE)&gt;15,"Ruim","n/a"))</f>
        <v>Bom</v>
      </c>
      <c r="EL228" s="28" t="str">
        <f>IF(VLOOKUP(BO228,Fundamentus!A:U,4,FALSE)&lt;1,"Baixo",IF(VLOOKUP(BO228,Fundamentus!A:U,4,FALSE)&lt;1.5,"Moderado",IF(VLOOKUP(BO228,Fundamentus!A:U,4,FALSE)&gt;1.5,"Alto","n/a")))</f>
        <v>Baixo</v>
      </c>
      <c r="EM228" s="17" t="str">
        <f>IF(VLOOKUP(BO228,Fundamentus!A:U,8,FALSE)&lt;0,"Risco elevado",IF(VLOOKUP(BO228,Fundamentus!A:U,8,FALSE)&lt;1,"Saudável",IF(VLOOKUP(BO228,Fundamentus!A:U,8,FALSE)&lt;3,"Estável",IF(VLOOKUP(BO228,Fundamentus!A:U,8,FALSE)&gt;3,"Alerta","n/a"))))</f>
        <v>Saudável</v>
      </c>
      <c r="EN228" s="28" t="str">
        <f t="shared" si="240"/>
        <v>Ruim</v>
      </c>
      <c r="EO228" s="17" t="str">
        <f>IF(VLOOKUP(BO228,Fundamentus!A:U,12,FALSE)&lt;2,"Subvalorizada",IF(VLOOKUP(BO228,Fundamentus!A:U,12,FALSE)&lt;6,"Muita barata",IF(VLOOKUP(BO228,Fundamentus!A:U,12,FALSE)&lt;6,"Barata",IF(VLOOKUP(BO228,Fundamentus!A:U,12,FALSE)&lt;8,"Atrativa",IF(VLOOKUP(BO228,Fundamentus!A:U,12,FALSE)&gt;8,"Supervalorizada","n/a")))))</f>
        <v>Subvalorizada</v>
      </c>
      <c r="EQ228" s="17" t="str">
        <f>IF(VLOOKUP(BO228,Fundamentus!A:U,17,FALSE)&lt;0.1,"Fraco retorno",IF(VLOOKUP(BO228,Fundamentus!A:U,17,FALSE)&gt;0.1,"Bom retorno","n/a"))</f>
        <v>Fraco retorno</v>
      </c>
      <c r="ER228" s="17" t="str">
        <f>IF(VLOOKUP(BO228,Fundamentus!A:U,16,FALSE)&lt;0.1,"Ineficiente",IF(VLOOKUP(BO228,Fundamentus!A:U,16,FALSE)&gt;0.1,"Eficiente","n/a"))</f>
        <v>Ineficiente</v>
      </c>
      <c r="ES228" s="33" t="str">
        <f>IF(VLOOKUP(BO228,Fundamentus!A:U,16,FALSE)&lt;0.1,"Oper. Ineficiente",IF(VLOOKUP(BO228,Fundamentus!A:U,16,FALSE)&gt;0.1,"Oper.Eficiente","n/a"))</f>
        <v>Oper. Ineficiente</v>
      </c>
      <c r="ET228" s="34">
        <f>VLOOKUP(BO228,Fundamentus!A:U,14,FALSE)</f>
        <v>-0.2767</v>
      </c>
      <c r="EU228" s="17" t="str">
        <f>IF(VLOOKUP(BO228,Fundamentus!A:U,21,FALSE)&lt;0,"Negativo",IF(VLOOKUP(BO228,Fundamentus!A:U,21,FALSE)&lt;0.05,"Fraco",IF(VLOOKUP(BO228,Fundamentus!A:U,21,FALSE)&lt;0.1,"Bom",IF(VLOOKUP(BO228,Fundamentus!A:U,21,FALSE)&gt;0.1,"Muito bom","n/a"))))</f>
        <v>Fraco</v>
      </c>
      <c r="EW228" s="29" t="str">
        <f>IF(VLOOKUP(BO228,Fundamentus!A:U,15,FALSE)&gt;1,"Bom",IF(VLOOKUP(BO228,Fundamentus!A:U,15,FALSE)&lt;1,"Ruim","n/a"))</f>
        <v>Bom</v>
      </c>
      <c r="EX228" s="17" t="str">
        <f>IF(VLOOKUP(BO228,Fundamentus!A:U,20,FALSE)&lt;0.5,"Baixa",IF(VLOOKUP(BO228,Fundamentus!A:U,20,FALSE)&lt;1,"Moderada",IF(VLOOKUP(BO228,Fundamentus!A:U,20,FALSE)&lt;2,"Alerta",IF(VLOOKUP(BO228,Fundamentus!A:U,20,FALSE)&gt;2,"Alta","n/a"))))</f>
        <v>Alta</v>
      </c>
    </row>
    <row r="229" spans="1:154" s="2" customFormat="1" ht="11.25"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5">
        <v>3.11</v>
      </c>
      <c r="BC229" s="52">
        <v>3.37</v>
      </c>
      <c r="BD229" s="52">
        <v>3.09</v>
      </c>
      <c r="BE229" s="52">
        <v>3.01</v>
      </c>
      <c r="BF229" s="52">
        <v>3.06</v>
      </c>
      <c r="BG229" s="67">
        <v>3.05</v>
      </c>
      <c r="BH229" s="52">
        <v>3.05</v>
      </c>
      <c r="BI229" s="52">
        <v>3.05</v>
      </c>
      <c r="BJ229" s="52">
        <v>3.22</v>
      </c>
      <c r="BK229" s="52">
        <v>3.21</v>
      </c>
      <c r="BL229" s="52">
        <v>3.62</v>
      </c>
      <c r="BM229" s="52">
        <v>3.5</v>
      </c>
      <c r="BN229" s="52" cm="1">
        <f t="array" aca="1" ref="BN229" ca="1">_FV(EB229,"Preço")</f>
        <v>3.5</v>
      </c>
      <c r="BO229" s="69" t="s">
        <v>225</v>
      </c>
      <c r="BP229" s="36" cm="1">
        <f t="array" aca="1" ref="BP229" ca="1">_FV(EB229,"Média de volume",TRUE)</f>
        <v>13462420</v>
      </c>
      <c r="BQ229" s="36">
        <v>5878100</v>
      </c>
      <c r="BR229" s="36" cm="1">
        <f t="array" aca="1" ref="BR229" ca="1">_FV(EB229,"Volume")</f>
        <v>5878100</v>
      </c>
      <c r="BS229" s="24" cm="1">
        <f t="array" aca="1" ref="BS229" ca="1">_FV(EB229,"Beta")</f>
        <v>2.0041000000000002</v>
      </c>
      <c r="BT229" s="71" cm="1">
        <f t="array" aca="1" ref="BT229" ca="1">_FV(EB229,"Variação (%)",TRUE)</f>
        <v>2.8649999999999999E-3</v>
      </c>
      <c r="BV229" s="17" cm="1">
        <f t="array" aca="1" ref="BV229" ca="1">_FV(EB229,"Baixo")</f>
        <v>3.45</v>
      </c>
      <c r="BW229" s="17" cm="1">
        <f t="array" aca="1" ref="BW229" ca="1">_FV(EB229,"Alto")</f>
        <v>3.55</v>
      </c>
      <c r="BX229" s="24"/>
      <c r="BY229" s="63" t="e">
        <f ca="1">SQRT(22.5*(BN229/VLOOKUP(BO229,Fundamentus!A:U,3,FALSE))*(BN229/VLOOKUP(BO229,Fundamentus!A:U,4,FALSE)))</f>
        <v>#NUM!</v>
      </c>
      <c r="CA229" s="62">
        <f t="shared" ca="1" si="241"/>
        <v>0</v>
      </c>
      <c r="CB229" s="8"/>
      <c r="CC229" s="61">
        <f t="shared" si="242"/>
        <v>2.37</v>
      </c>
      <c r="CD229" s="61">
        <f t="shared" si="243"/>
        <v>4.4000000000000004</v>
      </c>
      <c r="CE229" s="61">
        <f t="shared" si="244"/>
        <v>3.0010000000000012</v>
      </c>
      <c r="CF229" s="14"/>
      <c r="CG229" s="35">
        <f t="shared" si="227"/>
        <v>3.3446480617754171</v>
      </c>
      <c r="CH229" s="15">
        <f t="shared" si="245"/>
        <v>3.7000000000000455</v>
      </c>
      <c r="CI229" s="35">
        <f t="shared" si="228"/>
        <v>4.0553519382246739</v>
      </c>
      <c r="CK229" s="14"/>
      <c r="CL229" s="17">
        <f t="shared" si="229"/>
        <v>0.49666666666666615</v>
      </c>
      <c r="CM229" s="17">
        <f t="shared" si="230"/>
        <v>1.4333333333333331</v>
      </c>
      <c r="CN229" s="17">
        <f t="shared" si="231"/>
        <v>2.5266666666666664</v>
      </c>
      <c r="CO229" s="38">
        <f t="shared" si="246"/>
        <v>3.4633333333333334</v>
      </c>
      <c r="CP229" s="17">
        <f t="shared" si="232"/>
        <v>4.5566666666666666</v>
      </c>
      <c r="CQ229" s="17">
        <f t="shared" si="233"/>
        <v>5.4933333333333341</v>
      </c>
      <c r="CR229" s="17">
        <f t="shared" si="234"/>
        <v>6.5866666666666669</v>
      </c>
      <c r="CS229" s="2" cm="1">
        <f t="array" aca="1" ref="CS229" ca="1">MAX(_xlfn._xlws.FILTER(CL229:CR229,CL229:CR229&lt;BN229))</f>
        <v>3.4633333333333334</v>
      </c>
      <c r="CT229" s="2" cm="1">
        <f t="array" aca="1" ref="CT229" ca="1">MIN(_xlfn._xlws.FILTER($CL229:$CR229,$CL229:$CR229&gt;BN229))</f>
        <v>4.5566666666666666</v>
      </c>
      <c r="CU229" s="16">
        <f t="shared" ca="1" si="248"/>
        <v>0.31568816169393643</v>
      </c>
      <c r="CV229" s="20">
        <f t="shared" ca="1" si="249"/>
        <v>-0.15784408084696822</v>
      </c>
      <c r="CW229" s="20">
        <f t="shared" ca="1" si="250"/>
        <v>-0.10522938723131214</v>
      </c>
      <c r="CX229" s="20">
        <f t="shared" ca="1" si="251"/>
        <v>-6.3137632338787289E-2</v>
      </c>
      <c r="CY229" s="20">
        <f t="shared" ca="1" si="252"/>
        <v>-3.5076462410437381E-2</v>
      </c>
      <c r="CZ229" s="20">
        <f t="shared" ca="1" si="253"/>
        <v>-1.8569891864349201E-2</v>
      </c>
      <c r="DA229" s="20">
        <f t="shared" ca="1" si="254"/>
        <v>-9.566307930119285E-3</v>
      </c>
      <c r="DB229" s="20">
        <f t="shared" ca="1" si="255"/>
        <v>-4.8567409491374839E-3</v>
      </c>
      <c r="DC229" s="21">
        <f t="shared" ca="1" si="256"/>
        <v>4.8567409491374839E-3</v>
      </c>
      <c r="DD229" s="21">
        <f t="shared" ca="1" si="257"/>
        <v>9.566307930119285E-3</v>
      </c>
      <c r="DE229" s="21">
        <f t="shared" ca="1" si="258"/>
        <v>1.8569891864349201E-2</v>
      </c>
      <c r="DF229" s="21">
        <f t="shared" ca="1" si="259"/>
        <v>3.5076462410437381E-2</v>
      </c>
      <c r="DG229" s="21">
        <f t="shared" ca="1" si="260"/>
        <v>6.3137632338787289E-2</v>
      </c>
      <c r="DH229" s="21">
        <f t="shared" ca="1" si="261"/>
        <v>0.10522938723131214</v>
      </c>
      <c r="DI229" s="21">
        <f t="shared" ca="1" si="262"/>
        <v>0.15784408084696822</v>
      </c>
      <c r="DK229" s="16" cm="1">
        <f t="array" aca="1" ref="DK229" ca="1">MAX(_xlfn._xlws.FILTER(CV229:DI229,CV229:DI229&lt;BT229))</f>
        <v>-4.8567409491374839E-3</v>
      </c>
      <c r="DL229" s="16" cm="1">
        <f t="array" aca="1" ref="DL229" ca="1">MIN(_xlfn._xlws.FILTER(CV229:DI229,CV229:DI229&gt;BT229))</f>
        <v>4.8567409491374839E-3</v>
      </c>
      <c r="DM229" s="2" cm="1">
        <f t="array" aca="1" ref="DM229" ca="1">_FV(EB229,"Fechamento anterior",TRUE)</f>
        <v>3.49</v>
      </c>
      <c r="DN229" s="28">
        <f t="shared" ca="1" si="235"/>
        <v>0.79498479977635594</v>
      </c>
      <c r="DO229" s="15">
        <f t="shared" ca="1" si="263"/>
        <v>3.4730499740875103</v>
      </c>
      <c r="DP229" s="15">
        <f t="shared" ca="1" si="264"/>
        <v>3.5069500259124902</v>
      </c>
      <c r="DQ229" s="9"/>
      <c r="DR229" s="9"/>
      <c r="DS229" s="9"/>
      <c r="DT229" s="89">
        <v>9.7134818982749678E-3</v>
      </c>
      <c r="DU229" s="89">
        <f t="shared" ca="1" si="236"/>
        <v>9.7134818982749678E-3</v>
      </c>
      <c r="DV229" s="72">
        <f t="shared" ca="1" si="237"/>
        <v>-0.56282231356120982</v>
      </c>
      <c r="DW229" s="37"/>
      <c r="DX229" s="35">
        <f t="shared" si="247"/>
        <v>0.17767596911231412</v>
      </c>
      <c r="DY229" s="56"/>
      <c r="DZ229" s="56"/>
      <c r="EB229" s="2" t="e" vm="231">
        <v>#VALUE!</v>
      </c>
      <c r="ED229" s="10" cm="1">
        <f t="array" aca="1" ref="ED229" ca="1">_FV(EB229,"Ações em circulação",TRUE)</f>
        <v>490392000</v>
      </c>
      <c r="EE229" s="18">
        <f>VLOOKUP(BO229,Fundamentus!A:U,5,FALSE)</f>
        <v>8.8999999999999996E-2</v>
      </c>
      <c r="EF229" s="2">
        <f t="shared" ca="1" si="238"/>
        <v>19285078651.685394</v>
      </c>
      <c r="EG229" s="17">
        <v>-1943935928.0898879</v>
      </c>
      <c r="EH229" s="17">
        <f t="shared" ca="1" si="239"/>
        <v>-1943935928.0898879</v>
      </c>
      <c r="EJ229" s="16">
        <f t="shared" ca="1" si="226"/>
        <v>0</v>
      </c>
      <c r="EK229" s="32" t="str">
        <f>IF(VLOOKUP(BO229,Fundamentus!A:U,3,FALSE)&lt;15,"Bom",IF(VLOOKUP(BO229,Fundamentus!A:U,3,FALSE)&gt;15,"Ruim","n/a"))</f>
        <v>Bom</v>
      </c>
      <c r="EL229" s="28" t="str">
        <f>IF(VLOOKUP(BO229,Fundamentus!A:U,4,FALSE)&lt;1,"Baixo",IF(VLOOKUP(BO229,Fundamentus!A:U,4,FALSE)&lt;1.5,"Moderado",IF(VLOOKUP(BO229,Fundamentus!A:U,4,FALSE)&gt;1.5,"Alto","n/a")))</f>
        <v>Baixo</v>
      </c>
      <c r="EM229" s="17" t="str">
        <f>IF(VLOOKUP(BO229,Fundamentus!A:U,8,FALSE)&lt;0,"Risco elevado",IF(VLOOKUP(BO229,Fundamentus!A:U,8,FALSE)&lt;1,"Saudável",IF(VLOOKUP(BO229,Fundamentus!A:U,8,FALSE)&lt;3,"Estável",IF(VLOOKUP(BO229,Fundamentus!A:U,8,FALSE)&gt;3,"Alerta","n/a"))))</f>
        <v>Risco elevado</v>
      </c>
      <c r="EN229" s="28" t="str">
        <f t="shared" si="240"/>
        <v>Ruim</v>
      </c>
      <c r="EO229" s="17" t="str">
        <f>IF(VLOOKUP(BO229,Fundamentus!A:U,12,FALSE)&lt;2,"Subvalorizada",IF(VLOOKUP(BO229,Fundamentus!A:U,12,FALSE)&lt;6,"Muita barata",IF(VLOOKUP(BO229,Fundamentus!A:U,12,FALSE)&lt;6,"Barata",IF(VLOOKUP(BO229,Fundamentus!A:U,12,FALSE)&lt;8,"Atrativa",IF(VLOOKUP(BO229,Fundamentus!A:U,12,FALSE)&gt;8,"Supervalorizada","n/a")))))</f>
        <v>Subvalorizada</v>
      </c>
      <c r="EQ229" s="17" t="str">
        <f>IF(VLOOKUP(BO229,Fundamentus!A:U,17,FALSE)&lt;0.1,"Fraco retorno",IF(VLOOKUP(BO229,Fundamentus!A:U,17,FALSE)&gt;0.1,"Bom retorno","n/a"))</f>
        <v>Fraco retorno</v>
      </c>
      <c r="ER229" s="17" t="str">
        <f>IF(VLOOKUP(BO229,Fundamentus!A:U,16,FALSE)&lt;0.1,"Ineficiente",IF(VLOOKUP(BO229,Fundamentus!A:U,16,FALSE)&gt;0.1,"Eficiente","n/a"))</f>
        <v>Eficiente</v>
      </c>
      <c r="ES229" s="33" t="str">
        <f>IF(VLOOKUP(BO229,Fundamentus!A:U,16,FALSE)&lt;0.1,"Oper. Ineficiente",IF(VLOOKUP(BO229,Fundamentus!A:U,16,FALSE)&gt;0.1,"Oper.Eficiente","n/a"))</f>
        <v>Oper.Eficiente</v>
      </c>
      <c r="ET229" s="34">
        <f>VLOOKUP(BO229,Fundamentus!A:U,14,FALSE)</f>
        <v>-0.1008</v>
      </c>
      <c r="EU229" s="17" t="str">
        <f>IF(VLOOKUP(BO229,Fundamentus!A:U,21,FALSE)&lt;0,"Negativo",IF(VLOOKUP(BO229,Fundamentus!A:U,21,FALSE)&lt;0.05,"Fraco",IF(VLOOKUP(BO229,Fundamentus!A:U,21,FALSE)&lt;0.1,"Bom",IF(VLOOKUP(BO229,Fundamentus!A:U,21,FALSE)&gt;0.1,"Muito bom","n/a"))))</f>
        <v>Negativo</v>
      </c>
      <c r="EW229" s="29" t="str">
        <f>IF(VLOOKUP(BO229,Fundamentus!A:U,15,FALSE)&gt;1,"Bom",IF(VLOOKUP(BO229,Fundamentus!A:U,15,FALSE)&lt;1,"Ruim","n/a"))</f>
        <v>Ruim</v>
      </c>
      <c r="EX229" s="17" t="str">
        <f>IF(VLOOKUP(BO229,Fundamentus!A:U,20,FALSE)&lt;0.5,"Baixa",IF(VLOOKUP(BO229,Fundamentus!A:U,20,FALSE)&lt;1,"Moderada",IF(VLOOKUP(BO229,Fundamentus!A:U,20,FALSE)&lt;2,"Alerta",IF(VLOOKUP(BO229,Fundamentus!A:U,20,FALSE)&gt;2,"Alta","n/a"))))</f>
        <v>Alerta</v>
      </c>
    </row>
    <row r="230" spans="1:154" s="2" customFormat="1" ht="11.25"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5">
        <v>7.45</v>
      </c>
      <c r="BC230" s="52">
        <v>8.35</v>
      </c>
      <c r="BD230" s="52">
        <v>7.28</v>
      </c>
      <c r="BE230" s="52">
        <v>8.02</v>
      </c>
      <c r="BF230" s="52">
        <v>7.44</v>
      </c>
      <c r="BG230" s="67">
        <v>7.06</v>
      </c>
      <c r="BH230" s="52">
        <v>6.99</v>
      </c>
      <c r="BI230" s="52">
        <v>7.06</v>
      </c>
      <c r="BJ230" s="52">
        <v>6.95</v>
      </c>
      <c r="BK230" s="52">
        <v>7.33</v>
      </c>
      <c r="BL230" s="52">
        <v>6.76</v>
      </c>
      <c r="BM230" s="52">
        <v>5.9</v>
      </c>
      <c r="BN230" s="52" cm="1">
        <f t="array" aca="1" ref="BN230" ca="1">_FV(EB230,"Preço")</f>
        <v>5.9</v>
      </c>
      <c r="BO230" s="69" t="s">
        <v>226</v>
      </c>
      <c r="BP230" s="36" cm="1">
        <f t="array" aca="1" ref="BP230" ca="1">_FV(EB230,"Média de volume",TRUE)</f>
        <v>4499210</v>
      </c>
      <c r="BQ230" s="36">
        <v>1309600</v>
      </c>
      <c r="BR230" s="36" cm="1">
        <f t="array" aca="1" ref="BR230" ca="1">_FV(EB230,"Volume")</f>
        <v>1309600</v>
      </c>
      <c r="BS230" s="24" cm="1">
        <f t="array" aca="1" ref="BS230" ca="1">_FV(EB230,"Beta")</f>
        <v>1.9232</v>
      </c>
      <c r="BT230" s="71" cm="1">
        <f t="array" aca="1" ref="BT230" ca="1">_FV(EB230,"Variação (%)",TRUE)</f>
        <v>0</v>
      </c>
      <c r="BV230" s="17" cm="1">
        <f t="array" aca="1" ref="BV230" ca="1">_FV(EB230,"Baixo")</f>
        <v>5.8</v>
      </c>
      <c r="BW230" s="17" cm="1">
        <f t="array" aca="1" ref="BW230" ca="1">_FV(EB230,"Alto")</f>
        <v>5.94</v>
      </c>
      <c r="BX230" s="24"/>
      <c r="BY230" s="63" t="e">
        <f ca="1">SQRT(22.5*(BN230/VLOOKUP(BO230,Fundamentus!A:U,3,FALSE))*(BN230/VLOOKUP(BO230,Fundamentus!A:U,4,FALSE)))</f>
        <v>#NUM!</v>
      </c>
      <c r="CA230" s="62">
        <f t="shared" ca="1" si="241"/>
        <v>0</v>
      </c>
      <c r="CB230" s="8"/>
      <c r="CC230" s="61">
        <f t="shared" si="242"/>
        <v>2.61</v>
      </c>
      <c r="CD230" s="61">
        <f t="shared" si="243"/>
        <v>8.35</v>
      </c>
      <c r="CE230" s="61">
        <f t="shared" si="244"/>
        <v>4.8593846153846139</v>
      </c>
      <c r="CF230" s="14"/>
      <c r="CG230" s="35">
        <f t="shared" si="227"/>
        <v>4.7570973327639905</v>
      </c>
      <c r="CH230" s="15">
        <f t="shared" si="245"/>
        <v>5.8049999999998363</v>
      </c>
      <c r="CI230" s="35">
        <f t="shared" si="228"/>
        <v>6.8529026672356821</v>
      </c>
      <c r="CK230" s="14"/>
      <c r="CL230" s="17">
        <f t="shared" si="229"/>
        <v>-2.2766666666666668</v>
      </c>
      <c r="CM230" s="17">
        <f t="shared" si="230"/>
        <v>0.16666666666666607</v>
      </c>
      <c r="CN230" s="17">
        <f t="shared" si="231"/>
        <v>3.4633333333333329</v>
      </c>
      <c r="CO230" s="38">
        <f t="shared" si="246"/>
        <v>5.9066666666666663</v>
      </c>
      <c r="CP230" s="17">
        <f t="shared" si="232"/>
        <v>9.2033333333333331</v>
      </c>
      <c r="CQ230" s="17">
        <f t="shared" si="233"/>
        <v>11.646666666666667</v>
      </c>
      <c r="CR230" s="17">
        <f t="shared" si="234"/>
        <v>14.943333333333332</v>
      </c>
      <c r="CS230" s="2" cm="1">
        <f t="array" aca="1" ref="CS230" ca="1">MAX(_xlfn._xlws.FILTER(CL230:CR230,CL230:CR230&lt;BN230))</f>
        <v>3.4633333333333329</v>
      </c>
      <c r="CT230" s="2" cm="1">
        <f t="array" aca="1" ref="CT230" ca="1">MIN(_xlfn._xlws.FILTER($CL230:$CR230,$CL230:$CR230&gt;BN230))</f>
        <v>5.9066666666666663</v>
      </c>
      <c r="CU230" s="16">
        <f t="shared" ca="1" si="248"/>
        <v>0.70548604427333994</v>
      </c>
      <c r="CV230" s="20">
        <f t="shared" ca="1" si="249"/>
        <v>-0.35274302213666997</v>
      </c>
      <c r="CW230" s="20">
        <f t="shared" ca="1" si="250"/>
        <v>-0.23516201475777998</v>
      </c>
      <c r="CX230" s="20">
        <f t="shared" ca="1" si="251"/>
        <v>-0.14109720885466798</v>
      </c>
      <c r="CY230" s="20">
        <f t="shared" ca="1" si="252"/>
        <v>-7.8387338252593322E-2</v>
      </c>
      <c r="CZ230" s="20">
        <f t="shared" ca="1" si="253"/>
        <v>-4.1499179074902352E-2</v>
      </c>
      <c r="DA230" s="20">
        <f t="shared" ca="1" si="254"/>
        <v>-2.1378364977979999E-2</v>
      </c>
      <c r="DB230" s="20">
        <f t="shared" ca="1" si="255"/>
        <v>-1.0853631450359075E-2</v>
      </c>
      <c r="DC230" s="21">
        <f t="shared" ca="1" si="256"/>
        <v>1.0853631450359075E-2</v>
      </c>
      <c r="DD230" s="21">
        <f t="shared" ca="1" si="257"/>
        <v>2.1378364977979999E-2</v>
      </c>
      <c r="DE230" s="21">
        <f t="shared" ca="1" si="258"/>
        <v>4.1499179074902352E-2</v>
      </c>
      <c r="DF230" s="21">
        <f t="shared" ca="1" si="259"/>
        <v>7.8387338252593322E-2</v>
      </c>
      <c r="DG230" s="21">
        <f t="shared" ca="1" si="260"/>
        <v>0.14109720885466798</v>
      </c>
      <c r="DH230" s="21">
        <f t="shared" ca="1" si="261"/>
        <v>0.23516201475777998</v>
      </c>
      <c r="DI230" s="21">
        <f t="shared" ca="1" si="262"/>
        <v>0.35274302213666997</v>
      </c>
      <c r="DK230" s="16" cm="1">
        <f t="array" aca="1" ref="DK230" ca="1">MAX(_xlfn._xlws.FILTER(CV230:DI230,CV230:DI230&lt;BT230))</f>
        <v>-1.0853631450359075E-2</v>
      </c>
      <c r="DL230" s="16" cm="1">
        <f t="array" aca="1" ref="DL230" ca="1">MIN(_xlfn._xlws.FILTER(CV230:DI230,CV230:DI230&gt;BT230))</f>
        <v>1.0853631450359075E-2</v>
      </c>
      <c r="DM230" s="2" cm="1">
        <f t="array" aca="1" ref="DM230" ca="1">_FV(EB230,"Fechamento anterior",TRUE)</f>
        <v>5.9</v>
      </c>
      <c r="DN230" s="28">
        <f t="shared" ca="1" si="235"/>
        <v>0.5</v>
      </c>
      <c r="DO230" s="15">
        <f t="shared" ca="1" si="263"/>
        <v>5.8359635744428822</v>
      </c>
      <c r="DP230" s="15">
        <f t="shared" ca="1" si="264"/>
        <v>5.9640364255571185</v>
      </c>
      <c r="DQ230" s="9"/>
      <c r="DR230" s="9"/>
      <c r="DS230" s="9"/>
      <c r="DT230" s="89">
        <v>2.1707262900718151E-2</v>
      </c>
      <c r="DU230" s="89">
        <f t="shared" ca="1" si="236"/>
        <v>2.1707262900718151E-2</v>
      </c>
      <c r="DV230" s="72">
        <f t="shared" ca="1" si="237"/>
        <v>9.0657274735977872E-2</v>
      </c>
      <c r="DW230" s="37"/>
      <c r="DX230" s="35">
        <f t="shared" si="247"/>
        <v>0.5239513336179229</v>
      </c>
      <c r="DY230" s="56"/>
      <c r="DZ230" s="56"/>
      <c r="EB230" s="2" t="e" vm="232">
        <v>#VALUE!</v>
      </c>
      <c r="ED230" s="10" cm="1">
        <f t="array" aca="1" ref="ED230" ca="1">_FV(EB230,"Ações em circulação",TRUE)</f>
        <v>112751400</v>
      </c>
      <c r="EE230" s="18">
        <f>VLOOKUP(BO230,Fundamentus!A:U,5,FALSE)</f>
        <v>1.7569999999999999</v>
      </c>
      <c r="EF230" s="2">
        <f t="shared" ca="1" si="238"/>
        <v>378618816.16391581</v>
      </c>
      <c r="EG230" s="17">
        <v>-20180382.901536714</v>
      </c>
      <c r="EH230" s="17">
        <f t="shared" ca="1" si="239"/>
        <v>-20180382.901536714</v>
      </c>
      <c r="EJ230" s="16">
        <f t="shared" ca="1" si="226"/>
        <v>0</v>
      </c>
      <c r="EK230" s="32" t="str">
        <f>IF(VLOOKUP(BO230,Fundamentus!A:U,3,FALSE)&lt;15,"Bom",IF(VLOOKUP(BO230,Fundamentus!A:U,3,FALSE)&gt;15,"Ruim","n/a"))</f>
        <v>Bom</v>
      </c>
      <c r="EL230" s="28" t="str">
        <f>IF(VLOOKUP(BO230,Fundamentus!A:U,4,FALSE)&lt;1,"Baixo",IF(VLOOKUP(BO230,Fundamentus!A:U,4,FALSE)&lt;1.5,"Moderado",IF(VLOOKUP(BO230,Fundamentus!A:U,4,FALSE)&gt;1.5,"Alto","n/a")))</f>
        <v>Alto</v>
      </c>
      <c r="EM230" s="17" t="str">
        <f>IF(VLOOKUP(BO230,Fundamentus!A:U,8,FALSE)&lt;0,"Risco elevado",IF(VLOOKUP(BO230,Fundamentus!A:U,8,FALSE)&lt;1,"Saudável",IF(VLOOKUP(BO230,Fundamentus!A:U,8,FALSE)&lt;3,"Estável",IF(VLOOKUP(BO230,Fundamentus!A:U,8,FALSE)&gt;3,"Alerta","n/a"))))</f>
        <v>Alerta</v>
      </c>
      <c r="EN230" s="28" t="str">
        <f t="shared" si="240"/>
        <v>Bom</v>
      </c>
      <c r="EO230" s="17" t="str">
        <f>IF(VLOOKUP(BO230,Fundamentus!A:U,12,FALSE)&lt;2,"Subvalorizada",IF(VLOOKUP(BO230,Fundamentus!A:U,12,FALSE)&lt;6,"Muita barata",IF(VLOOKUP(BO230,Fundamentus!A:U,12,FALSE)&lt;6,"Barata",IF(VLOOKUP(BO230,Fundamentus!A:U,12,FALSE)&lt;8,"Atrativa",IF(VLOOKUP(BO230,Fundamentus!A:U,12,FALSE)&gt;8,"Supervalorizada","n/a")))))</f>
        <v>Subvalorizada</v>
      </c>
      <c r="EQ230" s="17" t="str">
        <f>IF(VLOOKUP(BO230,Fundamentus!A:U,17,FALSE)&lt;0.1,"Fraco retorno",IF(VLOOKUP(BO230,Fundamentus!A:U,17,FALSE)&gt;0.1,"Bom retorno","n/a"))</f>
        <v>Fraco retorno</v>
      </c>
      <c r="ER230" s="17" t="str">
        <f>IF(VLOOKUP(BO230,Fundamentus!A:U,16,FALSE)&lt;0.1,"Ineficiente",IF(VLOOKUP(BO230,Fundamentus!A:U,16,FALSE)&gt;0.1,"Eficiente","n/a"))</f>
        <v>Ineficiente</v>
      </c>
      <c r="ES230" s="33" t="str">
        <f>IF(VLOOKUP(BO230,Fundamentus!A:U,16,FALSE)&lt;0.1,"Oper. Ineficiente",IF(VLOOKUP(BO230,Fundamentus!A:U,16,FALSE)&gt;0.1,"Oper.Eficiente","n/a"))</f>
        <v>Oper. Ineficiente</v>
      </c>
      <c r="ET230" s="34">
        <f>VLOOKUP(BO230,Fundamentus!A:U,14,FALSE)</f>
        <v>-5.33E-2</v>
      </c>
      <c r="EU230" s="17" t="str">
        <f>IF(VLOOKUP(BO230,Fundamentus!A:U,21,FALSE)&lt;0,"Negativo",IF(VLOOKUP(BO230,Fundamentus!A:U,21,FALSE)&lt;0.05,"Fraco",IF(VLOOKUP(BO230,Fundamentus!A:U,21,FALSE)&lt;0.1,"Bom",IF(VLOOKUP(BO230,Fundamentus!A:U,21,FALSE)&gt;0.1,"Muito bom","n/a"))))</f>
        <v>Muito bom</v>
      </c>
      <c r="EW230" s="29" t="str">
        <f>IF(VLOOKUP(BO230,Fundamentus!A:U,15,FALSE)&gt;1,"Bom",IF(VLOOKUP(BO230,Fundamentus!A:U,15,FALSE)&lt;1,"Ruim","n/a"))</f>
        <v>Bom</v>
      </c>
      <c r="EX230" s="17" t="str">
        <f>IF(VLOOKUP(BO230,Fundamentus!A:U,20,FALSE)&lt;0.5,"Baixa",IF(VLOOKUP(BO230,Fundamentus!A:U,20,FALSE)&lt;1,"Moderada",IF(VLOOKUP(BO230,Fundamentus!A:U,20,FALSE)&lt;2,"Alerta",IF(VLOOKUP(BO230,Fundamentus!A:U,20,FALSE)&gt;2,"Alta","n/a"))))</f>
        <v>Baixa</v>
      </c>
    </row>
    <row r="231" spans="1:154" s="2" customFormat="1" ht="11.25"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5">
        <v>3.78</v>
      </c>
      <c r="BC231" s="52">
        <v>3.91</v>
      </c>
      <c r="BD231" s="52">
        <v>4.03</v>
      </c>
      <c r="BE231" s="52">
        <v>5.18</v>
      </c>
      <c r="BF231" s="52">
        <v>4.54</v>
      </c>
      <c r="BG231" s="67">
        <v>3.93</v>
      </c>
      <c r="BH231" s="52">
        <v>4.1100000000000003</v>
      </c>
      <c r="BI231" s="52">
        <v>3.83</v>
      </c>
      <c r="BJ231" s="52">
        <v>3.95</v>
      </c>
      <c r="BK231" s="52">
        <v>4.17</v>
      </c>
      <c r="BL231" s="52">
        <v>4.0599999999999996</v>
      </c>
      <c r="BM231" s="52">
        <v>4.0599999999999996</v>
      </c>
      <c r="BN231" s="52" cm="1">
        <f t="array" aca="1" ref="BN231" ca="1">_FV(EB231,"Preço")</f>
        <v>4.0599999999999996</v>
      </c>
      <c r="BO231" s="69" t="s">
        <v>227</v>
      </c>
      <c r="BP231" s="36" cm="1">
        <f t="array" aca="1" ref="BP231" ca="1">_FV(EB231,"Média de volume",TRUE)</f>
        <v>18610</v>
      </c>
      <c r="BQ231" s="36">
        <v>10800</v>
      </c>
      <c r="BR231" s="36" cm="1">
        <f t="array" aca="1" ref="BR231" ca="1">_FV(EB231,"Volume")</f>
        <v>10800</v>
      </c>
      <c r="BS231" s="24" cm="1">
        <f t="array" aca="1" ref="BS231" ca="1">_FV(EB231,"Beta")</f>
        <v>0.50900000000000001</v>
      </c>
      <c r="BT231" s="71" cm="1">
        <f t="array" aca="1" ref="BT231" ca="1">_FV(EB231,"Variação (%)",TRUE)</f>
        <v>7.4439999999999992E-3</v>
      </c>
      <c r="BV231" s="17" cm="1">
        <f t="array" aca="1" ref="BV231" ca="1">_FV(EB231,"Baixo")</f>
        <v>4.0599999999999996</v>
      </c>
      <c r="BW231" s="17" cm="1">
        <f t="array" aca="1" ref="BW231" ca="1">_FV(EB231,"Alto")</f>
        <v>4.1399999999999997</v>
      </c>
      <c r="BX231" s="24"/>
      <c r="BY231" s="63">
        <f ca="1">SQRT(22.5*(BN231/VLOOKUP(BO231,Fundamentus!A:U,3,FALSE))*(BN231/VLOOKUP(BO231,Fundamentus!A:U,4,FALSE)))</f>
        <v>89.792151298332342</v>
      </c>
      <c r="CA231" s="62">
        <f t="shared" ca="1" si="241"/>
        <v>0</v>
      </c>
      <c r="CB231" s="8"/>
      <c r="CC231" s="61">
        <f t="shared" si="242"/>
        <v>3.2</v>
      </c>
      <c r="CD231" s="61">
        <f t="shared" si="243"/>
        <v>7.31</v>
      </c>
      <c r="CE231" s="61">
        <f t="shared" si="244"/>
        <v>4.4033076923076937</v>
      </c>
      <c r="CF231" s="14"/>
      <c r="CG231" s="35">
        <f t="shared" si="227"/>
        <v>3.9594365081389689</v>
      </c>
      <c r="CH231" s="15">
        <f t="shared" si="245"/>
        <v>4.1150000000000091</v>
      </c>
      <c r="CI231" s="35">
        <f t="shared" si="228"/>
        <v>4.2705634918610498</v>
      </c>
      <c r="CK231" s="14"/>
      <c r="CL231" s="17">
        <f t="shared" si="229"/>
        <v>-1.7066666666666661</v>
      </c>
      <c r="CM231" s="17">
        <f t="shared" si="230"/>
        <v>0.74666666666666703</v>
      </c>
      <c r="CN231" s="17">
        <f t="shared" si="231"/>
        <v>2.4033333333333333</v>
      </c>
      <c r="CO231" s="38">
        <f t="shared" si="246"/>
        <v>4.8566666666666665</v>
      </c>
      <c r="CP231" s="17">
        <f t="shared" si="232"/>
        <v>6.5133333333333328</v>
      </c>
      <c r="CQ231" s="17">
        <f t="shared" si="233"/>
        <v>8.966666666666665</v>
      </c>
      <c r="CR231" s="17">
        <f t="shared" si="234"/>
        <v>10.623333333333331</v>
      </c>
      <c r="CS231" s="2" cm="1">
        <f t="array" aca="1" ref="CS231" ca="1">MAX(_xlfn._xlws.FILTER(CL231:CR231,CL231:CR231&lt;BN231))</f>
        <v>2.4033333333333333</v>
      </c>
      <c r="CT231" s="2" cm="1">
        <f t="array" aca="1" ref="CT231" ca="1">MIN(_xlfn._xlws.FILTER($CL231:$CR231,$CL231:$CR231&gt;BN231))</f>
        <v>4.8566666666666665</v>
      </c>
      <c r="CU231" s="16">
        <f t="shared" ca="1" si="248"/>
        <v>1.0208044382801664</v>
      </c>
      <c r="CV231" s="20">
        <f t="shared" ca="1" si="249"/>
        <v>-0.51040221914008321</v>
      </c>
      <c r="CW231" s="20">
        <f t="shared" ca="1" si="250"/>
        <v>-0.34026814609338879</v>
      </c>
      <c r="CX231" s="20">
        <f t="shared" ca="1" si="251"/>
        <v>-0.2041608876560333</v>
      </c>
      <c r="CY231" s="20">
        <f t="shared" ca="1" si="252"/>
        <v>-0.11342271536446294</v>
      </c>
      <c r="CZ231" s="20">
        <f t="shared" ca="1" si="253"/>
        <v>-6.0047319898833322E-2</v>
      </c>
      <c r="DA231" s="20">
        <f t="shared" ca="1" si="254"/>
        <v>-3.0933467826671709E-2</v>
      </c>
      <c r="DB231" s="20">
        <f t="shared" ca="1" si="255"/>
        <v>-1.5704683665848714E-2</v>
      </c>
      <c r="DC231" s="21">
        <f t="shared" ca="1" si="256"/>
        <v>1.5704683665848714E-2</v>
      </c>
      <c r="DD231" s="21">
        <f t="shared" ca="1" si="257"/>
        <v>3.0933467826671709E-2</v>
      </c>
      <c r="DE231" s="21">
        <f t="shared" ca="1" si="258"/>
        <v>6.0047319898833322E-2</v>
      </c>
      <c r="DF231" s="21">
        <f t="shared" ca="1" si="259"/>
        <v>0.11342271536446294</v>
      </c>
      <c r="DG231" s="21">
        <f t="shared" ca="1" si="260"/>
        <v>0.2041608876560333</v>
      </c>
      <c r="DH231" s="21">
        <f t="shared" ca="1" si="261"/>
        <v>0.34026814609338879</v>
      </c>
      <c r="DI231" s="21">
        <f t="shared" ca="1" si="262"/>
        <v>0.51040221914008321</v>
      </c>
      <c r="DK231" s="16" cm="1">
        <f t="array" aca="1" ref="DK231" ca="1">MAX(_xlfn._xlws.FILTER(CV231:DI231,CV231:DI231&lt;BT231))</f>
        <v>-1.5704683665848714E-2</v>
      </c>
      <c r="DL231" s="16" cm="1">
        <f t="array" aca="1" ref="DL231" ca="1">MIN(_xlfn._xlws.FILTER(CV231:DI231,CV231:DI231&gt;BT231))</f>
        <v>1.5704683665848714E-2</v>
      </c>
      <c r="DM231" s="2" cm="1">
        <f t="array" aca="1" ref="DM231" ca="1">_FV(EB231,"Fechamento anterior",TRUE)</f>
        <v>4.03</v>
      </c>
      <c r="DN231" s="28">
        <f t="shared" ca="1" si="235"/>
        <v>0.73700473352033136</v>
      </c>
      <c r="DO231" s="15">
        <f t="shared" ca="1" si="263"/>
        <v>3.9667101248266299</v>
      </c>
      <c r="DP231" s="15">
        <f t="shared" ca="1" si="264"/>
        <v>4.0932898751733706</v>
      </c>
      <c r="DQ231" s="9"/>
      <c r="DR231" s="9"/>
      <c r="DS231" s="9"/>
      <c r="DT231" s="89">
        <v>3.1409367331697427E-2</v>
      </c>
      <c r="DU231" s="89">
        <f t="shared" ca="1" si="236"/>
        <v>3.1409367331697427E-2</v>
      </c>
      <c r="DV231" s="72">
        <f t="shared" ca="1" si="237"/>
        <v>-0.35355339059333524</v>
      </c>
      <c r="DW231" s="37"/>
      <c r="DX231" s="35">
        <f t="shared" si="247"/>
        <v>7.7781745930520133E-2</v>
      </c>
      <c r="DY231" s="56"/>
      <c r="DZ231" s="56"/>
      <c r="EB231" s="2" t="e" vm="233">
        <v>#VALUE!</v>
      </c>
      <c r="ED231" s="10" cm="1">
        <f t="array" aca="1" ref="ED231" ca="1">_FV(EB231,"Ações em circulação",TRUE)</f>
        <v>53857280</v>
      </c>
      <c r="EE231" s="18">
        <f>VLOOKUP(BO231,Fundamentus!A:U,5,FALSE)</f>
        <v>4.8000000000000001E-2</v>
      </c>
      <c r="EF231" s="2">
        <f t="shared" ca="1" si="238"/>
        <v>4555428266.666666</v>
      </c>
      <c r="EG231" s="17">
        <v>-953451136.21333325</v>
      </c>
      <c r="EH231" s="17">
        <f t="shared" ca="1" si="239"/>
        <v>-953451136.21333325</v>
      </c>
      <c r="EJ231" s="16">
        <f t="shared" ca="1" si="226"/>
        <v>0</v>
      </c>
      <c r="EK231" s="32" t="str">
        <f>IF(VLOOKUP(BO231,Fundamentus!A:U,3,FALSE)&lt;15,"Bom",IF(VLOOKUP(BO231,Fundamentus!A:U,3,FALSE)&gt;15,"Ruim","n/a"))</f>
        <v>Bom</v>
      </c>
      <c r="EL231" s="28" t="str">
        <f>IF(VLOOKUP(BO231,Fundamentus!A:U,4,FALSE)&lt;1,"Baixo",IF(VLOOKUP(BO231,Fundamentus!A:U,4,FALSE)&lt;1.5,"Moderado",IF(VLOOKUP(BO231,Fundamentus!A:U,4,FALSE)&gt;1.5,"Alto","n/a")))</f>
        <v>Baixo</v>
      </c>
      <c r="EM231" s="17" t="str">
        <f>IF(VLOOKUP(BO231,Fundamentus!A:U,8,FALSE)&lt;0,"Risco elevado",IF(VLOOKUP(BO231,Fundamentus!A:U,8,FALSE)&lt;1,"Saudável",IF(VLOOKUP(BO231,Fundamentus!A:U,8,FALSE)&lt;3,"Estável",IF(VLOOKUP(BO231,Fundamentus!A:U,8,FALSE)&gt;3,"Alerta","n/a"))))</f>
        <v>Risco elevado</v>
      </c>
      <c r="EN231" s="28" t="str">
        <f t="shared" si="240"/>
        <v>Ruim</v>
      </c>
      <c r="EO231" s="17" t="str">
        <f>IF(VLOOKUP(BO231,Fundamentus!A:U,12,FALSE)&lt;2,"Subvalorizada",IF(VLOOKUP(BO231,Fundamentus!A:U,12,FALSE)&lt;6,"Muita barata",IF(VLOOKUP(BO231,Fundamentus!A:U,12,FALSE)&lt;6,"Barata",IF(VLOOKUP(BO231,Fundamentus!A:U,12,FALSE)&lt;8,"Atrativa",IF(VLOOKUP(BO231,Fundamentus!A:U,12,FALSE)&gt;8,"Supervalorizada","n/a")))))</f>
        <v>Subvalorizada</v>
      </c>
      <c r="EQ231" s="17" t="str">
        <f>IF(VLOOKUP(BO231,Fundamentus!A:U,17,FALSE)&lt;0.1,"Fraco retorno",IF(VLOOKUP(BO231,Fundamentus!A:U,17,FALSE)&gt;0.1,"Bom retorno","n/a"))</f>
        <v>Bom retorno</v>
      </c>
      <c r="ER231" s="17" t="str">
        <f>IF(VLOOKUP(BO231,Fundamentus!A:U,16,FALSE)&lt;0.1,"Ineficiente",IF(VLOOKUP(BO231,Fundamentus!A:U,16,FALSE)&gt;0.1,"Eficiente","n/a"))</f>
        <v>Ineficiente</v>
      </c>
      <c r="ES231" s="33" t="str">
        <f>IF(VLOOKUP(BO231,Fundamentus!A:U,16,FALSE)&lt;0.1,"Oper. Ineficiente",IF(VLOOKUP(BO231,Fundamentus!A:U,16,FALSE)&gt;0.1,"Oper.Eficiente","n/a"))</f>
        <v>Oper. Ineficiente</v>
      </c>
      <c r="ET231" s="34">
        <f>VLOOKUP(BO231,Fundamentus!A:U,14,FALSE)</f>
        <v>-0.20930000000000001</v>
      </c>
      <c r="EU231" s="17" t="str">
        <f>IF(VLOOKUP(BO231,Fundamentus!A:U,21,FALSE)&lt;0,"Negativo",IF(VLOOKUP(BO231,Fundamentus!A:U,21,FALSE)&lt;0.05,"Fraco",IF(VLOOKUP(BO231,Fundamentus!A:U,21,FALSE)&lt;0.1,"Bom",IF(VLOOKUP(BO231,Fundamentus!A:U,21,FALSE)&gt;0.1,"Muito bom","n/a"))))</f>
        <v>Muito bom</v>
      </c>
      <c r="EW231" s="29" t="str">
        <f>IF(VLOOKUP(BO231,Fundamentus!A:U,15,FALSE)&gt;1,"Bom",IF(VLOOKUP(BO231,Fundamentus!A:U,15,FALSE)&lt;1,"Ruim","n/a"))</f>
        <v>Ruim</v>
      </c>
      <c r="EX231" s="17" t="str">
        <f>IF(VLOOKUP(BO231,Fundamentus!A:U,20,FALSE)&lt;0.5,"Baixa",IF(VLOOKUP(BO231,Fundamentus!A:U,20,FALSE)&lt;1,"Moderada",IF(VLOOKUP(BO231,Fundamentus!A:U,20,FALSE)&lt;2,"Alerta",IF(VLOOKUP(BO231,Fundamentus!A:U,20,FALSE)&gt;2,"Alta","n/a"))))</f>
        <v>Baixa</v>
      </c>
    </row>
    <row r="232" spans="1:154" s="2" customFormat="1" ht="11.25"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5">
        <v>1.24</v>
      </c>
      <c r="BC232" s="52">
        <v>1.29</v>
      </c>
      <c r="BD232" s="52">
        <v>1.23</v>
      </c>
      <c r="BE232" s="52">
        <v>1.22</v>
      </c>
      <c r="BF232" s="52">
        <v>1.23</v>
      </c>
      <c r="BG232" s="67">
        <v>1.24</v>
      </c>
      <c r="BH232" s="52">
        <v>23.79</v>
      </c>
      <c r="BI232" s="52">
        <v>20.46</v>
      </c>
      <c r="BJ232" s="52">
        <v>19.05</v>
      </c>
      <c r="BK232" s="52">
        <v>19.989999999999998</v>
      </c>
      <c r="BL232" s="52">
        <v>17.84</v>
      </c>
      <c r="BM232" s="52">
        <v>16.25</v>
      </c>
      <c r="BN232" s="52" cm="1">
        <f t="array" aca="1" ref="BN232" ca="1">_FV(EB232,"Preço")</f>
        <v>16.25</v>
      </c>
      <c r="BO232" s="69" t="s">
        <v>228</v>
      </c>
      <c r="BP232" s="36" cm="1">
        <f t="array" aca="1" ref="BP232" ca="1">_FV(EB232,"Média de volume",TRUE)</f>
        <v>261090</v>
      </c>
      <c r="BQ232" s="36">
        <v>106200</v>
      </c>
      <c r="BR232" s="36" cm="1">
        <f t="array" aca="1" ref="BR232" ca="1">_FV(EB232,"Volume")</f>
        <v>106200</v>
      </c>
      <c r="BS232" s="24" cm="1">
        <f t="array" aca="1" ref="BS232" ca="1">_FV(EB232,"Beta")</f>
        <v>1.9123000000000001</v>
      </c>
      <c r="BT232" s="71" cm="1">
        <f t="array" aca="1" ref="BT232" ca="1">_FV(EB232,"Variação (%)",TRUE)</f>
        <v>-2.4550000000000002E-3</v>
      </c>
      <c r="BV232" s="17" cm="1">
        <f t="array" aca="1" ref="BV232" ca="1">_FV(EB232,"Baixo")</f>
        <v>16.190000000000001</v>
      </c>
      <c r="BW232" s="17" cm="1">
        <f t="array" aca="1" ref="BW232" ca="1">_FV(EB232,"Alto")</f>
        <v>16.57</v>
      </c>
      <c r="BX232" s="24"/>
      <c r="BY232" s="63" t="e">
        <f ca="1">SQRT(22.5*(BN232/VLOOKUP(BO232,Fundamentus!A:U,3,FALSE))*(BN232/VLOOKUP(BO232,Fundamentus!A:U,4,FALSE)))</f>
        <v>#NUM!</v>
      </c>
      <c r="CA232" s="62">
        <f t="shared" ca="1" si="241"/>
        <v>0</v>
      </c>
      <c r="CB232" s="8"/>
      <c r="CC232" s="61">
        <f t="shared" si="242"/>
        <v>1.1000000000000001</v>
      </c>
      <c r="CD232" s="61">
        <f t="shared" si="243"/>
        <v>23.79</v>
      </c>
      <c r="CE232" s="61">
        <f t="shared" si="244"/>
        <v>3.7947692307692313</v>
      </c>
      <c r="CF232" s="14"/>
      <c r="CG232" s="35">
        <f t="shared" si="227"/>
        <v>12.846522735486751</v>
      </c>
      <c r="CH232" s="15">
        <f t="shared" si="245"/>
        <v>15.645000000000437</v>
      </c>
      <c r="CI232" s="35">
        <f t="shared" si="228"/>
        <v>18.443477264514122</v>
      </c>
      <c r="CK232" s="14"/>
      <c r="CL232" s="17">
        <f t="shared" si="229"/>
        <v>-17.993333333333329</v>
      </c>
      <c r="CM232" s="17">
        <f t="shared" si="230"/>
        <v>-8.4466666666666637</v>
      </c>
      <c r="CN232" s="17">
        <f t="shared" si="231"/>
        <v>4.696666666666669</v>
      </c>
      <c r="CO232" s="38">
        <f t="shared" si="246"/>
        <v>14.243333333333334</v>
      </c>
      <c r="CP232" s="17">
        <f t="shared" si="232"/>
        <v>27.386666666666667</v>
      </c>
      <c r="CQ232" s="17">
        <f t="shared" si="233"/>
        <v>36.93333333333333</v>
      </c>
      <c r="CR232" s="17">
        <f t="shared" si="234"/>
        <v>50.076666666666668</v>
      </c>
      <c r="CS232" s="2" cm="1">
        <f t="array" aca="1" ref="CS232" ca="1">MAX(_xlfn._xlws.FILTER(CL232:CR232,CL232:CR232&lt;BN232))</f>
        <v>14.243333333333334</v>
      </c>
      <c r="CT232" s="2" cm="1">
        <f t="array" aca="1" ref="CT232" ca="1">MIN(_xlfn._xlws.FILTER($CL232:$CR232,$CL232:$CR232&gt;BN232))</f>
        <v>27.386666666666667</v>
      </c>
      <c r="CU232" s="16">
        <f t="shared" ca="1" si="248"/>
        <v>0.92277088696466181</v>
      </c>
      <c r="CV232" s="20">
        <f t="shared" ca="1" si="249"/>
        <v>-0.4613854434823309</v>
      </c>
      <c r="CW232" s="20">
        <f t="shared" ca="1" si="250"/>
        <v>-0.30759029565488727</v>
      </c>
      <c r="CX232" s="20">
        <f t="shared" ca="1" si="251"/>
        <v>-0.18455417739293237</v>
      </c>
      <c r="CY232" s="20">
        <f t="shared" ca="1" si="252"/>
        <v>-0.10253009855162909</v>
      </c>
      <c r="CZ232" s="20">
        <f t="shared" ca="1" si="253"/>
        <v>-5.4280640409685992E-2</v>
      </c>
      <c r="DA232" s="20">
        <f t="shared" ca="1" si="254"/>
        <v>-2.7962754150444299E-2</v>
      </c>
      <c r="DB232" s="20">
        <f t="shared" ca="1" si="255"/>
        <v>-1.419647518407172E-2</v>
      </c>
      <c r="DC232" s="21">
        <f t="shared" ca="1" si="256"/>
        <v>1.419647518407172E-2</v>
      </c>
      <c r="DD232" s="21">
        <f t="shared" ca="1" si="257"/>
        <v>2.7962754150444299E-2</v>
      </c>
      <c r="DE232" s="21">
        <f t="shared" ca="1" si="258"/>
        <v>5.4280640409685992E-2</v>
      </c>
      <c r="DF232" s="21">
        <f t="shared" ca="1" si="259"/>
        <v>0.10253009855162909</v>
      </c>
      <c r="DG232" s="21">
        <f t="shared" ca="1" si="260"/>
        <v>0.18455417739293237</v>
      </c>
      <c r="DH232" s="21">
        <f t="shared" ca="1" si="261"/>
        <v>0.30759029565488727</v>
      </c>
      <c r="DI232" s="21">
        <f t="shared" ca="1" si="262"/>
        <v>0.4613854434823309</v>
      </c>
      <c r="DK232" s="16" cm="1">
        <f t="array" aca="1" ref="DK232" ca="1">MAX(_xlfn._xlws.FILTER(CV232:DI232,CV232:DI232&lt;BT232))</f>
        <v>-1.419647518407172E-2</v>
      </c>
      <c r="DL232" s="16" cm="1">
        <f t="array" aca="1" ref="DL232" ca="1">MIN(_xlfn._xlws.FILTER(CV232:DI232,CV232:DI232&gt;BT232))</f>
        <v>1.419647518407172E-2</v>
      </c>
      <c r="DM232" s="2" cm="1">
        <f t="array" aca="1" ref="DM232" ca="1">_FV(EB232,"Fechamento anterior",TRUE)</f>
        <v>16.29</v>
      </c>
      <c r="DN232" s="28">
        <f t="shared" ca="1" si="235"/>
        <v>0.4135174704860427</v>
      </c>
      <c r="DO232" s="15">
        <f t="shared" ca="1" si="263"/>
        <v>16.05873941925147</v>
      </c>
      <c r="DP232" s="15">
        <f t="shared" ca="1" si="264"/>
        <v>16.521260580748528</v>
      </c>
      <c r="DQ232" s="9"/>
      <c r="DR232" s="9"/>
      <c r="DS232" s="9"/>
      <c r="DT232" s="89">
        <v>2.8392950368143439E-2</v>
      </c>
      <c r="DU232" s="89">
        <f t="shared" ca="1" si="236"/>
        <v>2.8392950368143439E-2</v>
      </c>
      <c r="DV232" s="72">
        <f t="shared" ca="1" si="237"/>
        <v>0.216188999521745</v>
      </c>
      <c r="DW232" s="37"/>
      <c r="DX232" s="35">
        <f t="shared" si="247"/>
        <v>1.3992386322568424</v>
      </c>
      <c r="DY232" s="56"/>
      <c r="DZ232" s="56"/>
      <c r="EB232" s="2" t="e" vm="234">
        <v>#VALUE!</v>
      </c>
      <c r="ED232" s="10" cm="1">
        <f t="array" aca="1" ref="ED232" ca="1">_FV(EB232,"Ações em circulação",TRUE)</f>
        <v>12110160</v>
      </c>
      <c r="EE232" s="18">
        <f>VLOOKUP(BO232,Fundamentus!A:U,5,FALSE)</f>
        <v>0.115</v>
      </c>
      <c r="EF232" s="2">
        <f t="shared" ca="1" si="238"/>
        <v>1711218260.8695652</v>
      </c>
      <c r="EG232" s="17">
        <v>-68448730.434782609</v>
      </c>
      <c r="EH232" s="17">
        <f t="shared" ca="1" si="239"/>
        <v>-68448730.434782609</v>
      </c>
      <c r="EJ232" s="16">
        <f t="shared" ca="1" si="226"/>
        <v>0</v>
      </c>
      <c r="EK232" s="32" t="str">
        <f>IF(VLOOKUP(BO232,Fundamentus!A:U,3,FALSE)&lt;15,"Bom",IF(VLOOKUP(BO232,Fundamentus!A:U,3,FALSE)&gt;15,"Ruim","n/a"))</f>
        <v>Bom</v>
      </c>
      <c r="EL232" s="28" t="str">
        <f>IF(VLOOKUP(BO232,Fundamentus!A:U,4,FALSE)&lt;1,"Baixo",IF(VLOOKUP(BO232,Fundamentus!A:U,4,FALSE)&lt;1.5,"Moderado",IF(VLOOKUP(BO232,Fundamentus!A:U,4,FALSE)&gt;1.5,"Alto","n/a")))</f>
        <v>Baixo</v>
      </c>
      <c r="EM232" s="17" t="str">
        <f>IF(VLOOKUP(BO232,Fundamentus!A:U,8,FALSE)&lt;0,"Risco elevado",IF(VLOOKUP(BO232,Fundamentus!A:U,8,FALSE)&lt;1,"Saudável",IF(VLOOKUP(BO232,Fundamentus!A:U,8,FALSE)&lt;3,"Estável",IF(VLOOKUP(BO232,Fundamentus!A:U,8,FALSE)&gt;3,"Alerta","n/a"))))</f>
        <v>Saudável</v>
      </c>
      <c r="EN232" s="28" t="str">
        <f t="shared" si="240"/>
        <v>Ruim</v>
      </c>
      <c r="EO232" s="17" t="str">
        <f>IF(VLOOKUP(BO232,Fundamentus!A:U,12,FALSE)&lt;2,"Subvalorizada",IF(VLOOKUP(BO232,Fundamentus!A:U,12,FALSE)&lt;6,"Muita barata",IF(VLOOKUP(BO232,Fundamentus!A:U,12,FALSE)&lt;6,"Barata",IF(VLOOKUP(BO232,Fundamentus!A:U,12,FALSE)&lt;8,"Atrativa",IF(VLOOKUP(BO232,Fundamentus!A:U,12,FALSE)&gt;8,"Supervalorizada","n/a")))))</f>
        <v>Subvalorizada</v>
      </c>
      <c r="EQ232" s="17" t="str">
        <f>IF(VLOOKUP(BO232,Fundamentus!A:U,17,FALSE)&lt;0.1,"Fraco retorno",IF(VLOOKUP(BO232,Fundamentus!A:U,17,FALSE)&gt;0.1,"Bom retorno","n/a"))</f>
        <v>Fraco retorno</v>
      </c>
      <c r="ER232" s="17" t="str">
        <f>IF(VLOOKUP(BO232,Fundamentus!A:U,16,FALSE)&lt;0.1,"Ineficiente",IF(VLOOKUP(BO232,Fundamentus!A:U,16,FALSE)&gt;0.1,"Eficiente","n/a"))</f>
        <v>Ineficiente</v>
      </c>
      <c r="ES232" s="33" t="str">
        <f>IF(VLOOKUP(BO232,Fundamentus!A:U,16,FALSE)&lt;0.1,"Oper. Ineficiente",IF(VLOOKUP(BO232,Fundamentus!A:U,16,FALSE)&gt;0.1,"Oper.Eficiente","n/a"))</f>
        <v>Oper. Ineficiente</v>
      </c>
      <c r="ET232" s="34">
        <f>VLOOKUP(BO232,Fundamentus!A:U,14,FALSE)</f>
        <v>-0.04</v>
      </c>
      <c r="EU232" s="17" t="str">
        <f>IF(VLOOKUP(BO232,Fundamentus!A:U,21,FALSE)&lt;0,"Negativo",IF(VLOOKUP(BO232,Fundamentus!A:U,21,FALSE)&lt;0.05,"Fraco",IF(VLOOKUP(BO232,Fundamentus!A:U,21,FALSE)&lt;0.1,"Bom",IF(VLOOKUP(BO232,Fundamentus!A:U,21,FALSE)&gt;0.1,"Muito bom","n/a"))))</f>
        <v>Fraco</v>
      </c>
      <c r="EW232" s="29" t="str">
        <f>IF(VLOOKUP(BO232,Fundamentus!A:U,15,FALSE)&gt;1,"Bom",IF(VLOOKUP(BO232,Fundamentus!A:U,15,FALSE)&lt;1,"Ruim","n/a"))</f>
        <v>Bom</v>
      </c>
      <c r="EX232" s="17" t="str">
        <f>IF(VLOOKUP(BO232,Fundamentus!A:U,20,FALSE)&lt;0.5,"Baixa",IF(VLOOKUP(BO232,Fundamentus!A:U,20,FALSE)&lt;1,"Moderada",IF(VLOOKUP(BO232,Fundamentus!A:U,20,FALSE)&lt;2,"Alerta",IF(VLOOKUP(BO232,Fundamentus!A:U,20,FALSE)&gt;2,"Alta","n/a"))))</f>
        <v>Moderada</v>
      </c>
    </row>
    <row r="233" spans="1:154" s="2" customFormat="1" ht="11.25"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5">
        <v>22.8</v>
      </c>
      <c r="BC233" s="52">
        <v>24.69</v>
      </c>
      <c r="BD233" s="52">
        <v>24.45</v>
      </c>
      <c r="BE233" s="52">
        <v>25.4</v>
      </c>
      <c r="BF233" s="52">
        <v>25.99</v>
      </c>
      <c r="BG233" s="67">
        <v>27.8</v>
      </c>
      <c r="BH233" s="52">
        <v>27.47</v>
      </c>
      <c r="BI233" s="52">
        <v>26.85</v>
      </c>
      <c r="BJ233" s="52">
        <v>27.7</v>
      </c>
      <c r="BK233" s="52">
        <v>27.01</v>
      </c>
      <c r="BL233" s="52">
        <v>26.42</v>
      </c>
      <c r="BM233" s="52">
        <v>26.26</v>
      </c>
      <c r="BN233" s="52" cm="1">
        <f t="array" aca="1" ref="BN233" ca="1">_FV(EB233,"Preço")</f>
        <v>26.26</v>
      </c>
      <c r="BO233" s="69" t="s">
        <v>229</v>
      </c>
      <c r="BP233" s="36" cm="1">
        <f t="array" aca="1" ref="BP233" ca="1">_FV(EB233,"Média de volume",TRUE)</f>
        <v>2830750</v>
      </c>
      <c r="BQ233" s="36">
        <v>1360400</v>
      </c>
      <c r="BR233" s="36" cm="1">
        <f t="array" aca="1" ref="BR233" ca="1">_FV(EB233,"Volume")</f>
        <v>1360400</v>
      </c>
      <c r="BS233" s="24" cm="1">
        <f t="array" aca="1" ref="BS233" ca="1">_FV(EB233,"Beta")</f>
        <v>1.1206</v>
      </c>
      <c r="BT233" s="71" cm="1">
        <f t="array" aca="1" ref="BT233" ca="1">_FV(EB233,"Variação (%)",TRUE)</f>
        <v>3.8229999999999996E-3</v>
      </c>
      <c r="BV233" s="17" cm="1">
        <f t="array" aca="1" ref="BV233" ca="1">_FV(EB233,"Baixo")</f>
        <v>26</v>
      </c>
      <c r="BW233" s="17" cm="1">
        <f t="array" aca="1" ref="BW233" ca="1">_FV(EB233,"Alto")</f>
        <v>26.38</v>
      </c>
      <c r="BX233" s="24"/>
      <c r="BY233" s="63">
        <f ca="1">SQRT(22.5*(BN233/VLOOKUP(BO233,Fundamentus!A:U,3,FALSE))*(BN233/VLOOKUP(BO233,Fundamentus!A:U,4,FALSE)))</f>
        <v>22.872497355291532</v>
      </c>
      <c r="CA233" s="62">
        <f t="shared" ca="1" si="241"/>
        <v>0</v>
      </c>
      <c r="CB233" s="8"/>
      <c r="CC233" s="61">
        <f t="shared" si="242"/>
        <v>17.82</v>
      </c>
      <c r="CD233" s="61">
        <f t="shared" si="243"/>
        <v>31.2</v>
      </c>
      <c r="CE233" s="61">
        <f t="shared" si="244"/>
        <v>24.485615384615379</v>
      </c>
      <c r="CF233" s="14"/>
      <c r="CG233" s="35">
        <f t="shared" si="227"/>
        <v>24.488154162440733</v>
      </c>
      <c r="CH233" s="15">
        <f t="shared" si="245"/>
        <v>25.619999999999891</v>
      </c>
      <c r="CI233" s="35">
        <f t="shared" si="228"/>
        <v>26.751845837559049</v>
      </c>
      <c r="CK233" s="14"/>
      <c r="CL233" s="17">
        <f t="shared" si="229"/>
        <v>5.7133333333333312</v>
      </c>
      <c r="CM233" s="17">
        <f t="shared" si="230"/>
        <v>11.766666666666666</v>
      </c>
      <c r="CN233" s="17">
        <f t="shared" si="231"/>
        <v>19.09333333333333</v>
      </c>
      <c r="CO233" s="38">
        <f t="shared" si="246"/>
        <v>25.146666666666665</v>
      </c>
      <c r="CP233" s="17">
        <f t="shared" si="232"/>
        <v>32.473333333333329</v>
      </c>
      <c r="CQ233" s="17">
        <f t="shared" si="233"/>
        <v>38.526666666666664</v>
      </c>
      <c r="CR233" s="17">
        <f t="shared" si="234"/>
        <v>45.853333333333325</v>
      </c>
      <c r="CS233" s="2" cm="1">
        <f t="array" aca="1" ref="CS233" ca="1">MAX(_xlfn._xlws.FILTER(CL233:CR233,CL233:CR233&lt;BN233))</f>
        <v>25.146666666666665</v>
      </c>
      <c r="CT233" s="2" cm="1">
        <f t="array" aca="1" ref="CT233" ca="1">MIN(_xlfn._xlws.FILTER($CL233:$CR233,$CL233:$CR233&gt;BN233))</f>
        <v>32.473333333333329</v>
      </c>
      <c r="CU233" s="16">
        <f t="shared" ca="1" si="248"/>
        <v>0.29135737009543994</v>
      </c>
      <c r="CV233" s="20">
        <f t="shared" ca="1" si="249"/>
        <v>-0.14567868504771997</v>
      </c>
      <c r="CW233" s="20">
        <f t="shared" ca="1" si="250"/>
        <v>-9.7119123365146651E-2</v>
      </c>
      <c r="CX233" s="20">
        <f t="shared" ca="1" si="251"/>
        <v>-5.8271474019087985E-2</v>
      </c>
      <c r="CY233" s="20">
        <f t="shared" ca="1" si="252"/>
        <v>-3.2373041121715546E-2</v>
      </c>
      <c r="CZ233" s="20">
        <f t="shared" ca="1" si="253"/>
        <v>-1.7138668829143527E-2</v>
      </c>
      <c r="DA233" s="20">
        <f t="shared" ca="1" si="254"/>
        <v>-8.8290112150133312E-3</v>
      </c>
      <c r="DB233" s="20">
        <f t="shared" ca="1" si="255"/>
        <v>-4.482421078391384E-3</v>
      </c>
      <c r="DC233" s="21">
        <f t="shared" ca="1" si="256"/>
        <v>4.482421078391384E-3</v>
      </c>
      <c r="DD233" s="21">
        <f t="shared" ca="1" si="257"/>
        <v>8.8290112150133312E-3</v>
      </c>
      <c r="DE233" s="21">
        <f t="shared" ca="1" si="258"/>
        <v>1.7138668829143527E-2</v>
      </c>
      <c r="DF233" s="21">
        <f t="shared" ca="1" si="259"/>
        <v>3.2373041121715546E-2</v>
      </c>
      <c r="DG233" s="21">
        <f t="shared" ca="1" si="260"/>
        <v>5.8271474019087985E-2</v>
      </c>
      <c r="DH233" s="21">
        <f t="shared" ca="1" si="261"/>
        <v>9.7119123365146651E-2</v>
      </c>
      <c r="DI233" s="21">
        <f t="shared" ca="1" si="262"/>
        <v>0.14567868504771997</v>
      </c>
      <c r="DK233" s="16" cm="1">
        <f t="array" aca="1" ref="DK233" ca="1">MAX(_xlfn._xlws.FILTER(CV233:DI233,CV233:DI233&lt;BT233))</f>
        <v>-4.482421078391384E-3</v>
      </c>
      <c r="DL233" s="16" cm="1">
        <f t="array" aca="1" ref="DL233" ca="1">MIN(_xlfn._xlws.FILTER(CV233:DI233,CV233:DI233&gt;BT233))</f>
        <v>4.482421078391384E-3</v>
      </c>
      <c r="DM233" s="2" cm="1">
        <f t="array" aca="1" ref="DM233" ca="1">_FV(EB233,"Fechamento anterior",TRUE)</f>
        <v>26.16</v>
      </c>
      <c r="DN233" s="28">
        <f t="shared" ca="1" si="235"/>
        <v>0.92640237302191331</v>
      </c>
      <c r="DO233" s="15">
        <f t="shared" ca="1" si="263"/>
        <v>26.042739864589283</v>
      </c>
      <c r="DP233" s="15">
        <f t="shared" ca="1" si="264"/>
        <v>26.277260135410717</v>
      </c>
      <c r="DQ233" s="9"/>
      <c r="DR233" s="9"/>
      <c r="DS233" s="9"/>
      <c r="DT233" s="89">
        <v>8.964842156782768E-3</v>
      </c>
      <c r="DU233" s="89">
        <f t="shared" ca="1" si="236"/>
        <v>8.964842156782768E-3</v>
      </c>
      <c r="DV233" s="72">
        <f t="shared" ca="1" si="237"/>
        <v>0.56544803078507566</v>
      </c>
      <c r="DW233" s="37"/>
      <c r="DX233" s="35">
        <f t="shared" si="247"/>
        <v>0.5659229187795799</v>
      </c>
      <c r="DY233" s="56"/>
      <c r="DZ233" s="56"/>
      <c r="EB233" s="2" t="e" vm="235">
        <v>#VALUE!</v>
      </c>
      <c r="ED233" s="10" cm="1">
        <f t="array" aca="1" ref="ED233" ca="1">_FV(EB233,"Ações em circulação",TRUE)</f>
        <v>633420800</v>
      </c>
      <c r="EE233" s="18">
        <f>VLOOKUP(BO233,Fundamentus!A:U,5,FALSE)</f>
        <v>2.5049999999999999</v>
      </c>
      <c r="EF233" s="2">
        <f t="shared" ca="1" si="238"/>
        <v>6640171739.7205601</v>
      </c>
      <c r="EG233" s="17">
        <v>794164540.07057893</v>
      </c>
      <c r="EH233" s="17">
        <f t="shared" ca="1" si="239"/>
        <v>794164540.07057893</v>
      </c>
      <c r="EJ233" s="16">
        <f t="shared" ca="1" si="226"/>
        <v>0</v>
      </c>
      <c r="EK233" s="32" t="str">
        <f>IF(VLOOKUP(BO233,Fundamentus!A:U,3,FALSE)&lt;15,"Bom",IF(VLOOKUP(BO233,Fundamentus!A:U,3,FALSE)&gt;15,"Ruim","n/a"))</f>
        <v>Ruim</v>
      </c>
      <c r="EL233" s="28" t="str">
        <f>IF(VLOOKUP(BO233,Fundamentus!A:U,4,FALSE)&lt;1,"Baixo",IF(VLOOKUP(BO233,Fundamentus!A:U,4,FALSE)&lt;1.5,"Moderado",IF(VLOOKUP(BO233,Fundamentus!A:U,4,FALSE)&gt;1.5,"Alto","n/a")))</f>
        <v>Moderado</v>
      </c>
      <c r="EM233" s="17" t="str">
        <f>IF(VLOOKUP(BO233,Fundamentus!A:U,8,FALSE)&lt;0,"Risco elevado",IF(VLOOKUP(BO233,Fundamentus!A:U,8,FALSE)&lt;1,"Saudável",IF(VLOOKUP(BO233,Fundamentus!A:U,8,FALSE)&lt;3,"Estável",IF(VLOOKUP(BO233,Fundamentus!A:U,8,FALSE)&gt;3,"Alerta","n/a"))))</f>
        <v>Alerta</v>
      </c>
      <c r="EN233" s="28" t="str">
        <f t="shared" si="240"/>
        <v>Bom</v>
      </c>
      <c r="EO233" s="17" t="str">
        <f>IF(VLOOKUP(BO233,Fundamentus!A:U,12,FALSE)&lt;2,"Subvalorizada",IF(VLOOKUP(BO233,Fundamentus!A:U,12,FALSE)&lt;6,"Muita barata",IF(VLOOKUP(BO233,Fundamentus!A:U,12,FALSE)&lt;6,"Barata",IF(VLOOKUP(BO233,Fundamentus!A:U,12,FALSE)&lt;8,"Atrativa",IF(VLOOKUP(BO233,Fundamentus!A:U,12,FALSE)&gt;8,"Supervalorizada","n/a")))))</f>
        <v>Supervalorizada</v>
      </c>
      <c r="EQ233" s="17" t="str">
        <f>IF(VLOOKUP(BO233,Fundamentus!A:U,17,FALSE)&lt;0.1,"Fraco retorno",IF(VLOOKUP(BO233,Fundamentus!A:U,17,FALSE)&gt;0.1,"Bom retorno","n/a"))</f>
        <v>Fraco retorno</v>
      </c>
      <c r="ER233" s="17" t="str">
        <f>IF(VLOOKUP(BO233,Fundamentus!A:U,16,FALSE)&lt;0.1,"Ineficiente",IF(VLOOKUP(BO233,Fundamentus!A:U,16,FALSE)&gt;0.1,"Eficiente","n/a"))</f>
        <v>Ineficiente</v>
      </c>
      <c r="ES233" s="33" t="str">
        <f>IF(VLOOKUP(BO233,Fundamentus!A:U,16,FALSE)&lt;0.1,"Oper. Ineficiente",IF(VLOOKUP(BO233,Fundamentus!A:U,16,FALSE)&gt;0.1,"Oper.Eficiente","n/a"))</f>
        <v>Oper. Ineficiente</v>
      </c>
      <c r="ET233" s="34">
        <f>VLOOKUP(BO233,Fundamentus!A:U,14,FALSE)</f>
        <v>0.1196</v>
      </c>
      <c r="EU233" s="17" t="str">
        <f>IF(VLOOKUP(BO233,Fundamentus!A:U,21,FALSE)&lt;0,"Negativo",IF(VLOOKUP(BO233,Fundamentus!A:U,21,FALSE)&lt;0.05,"Fraco",IF(VLOOKUP(BO233,Fundamentus!A:U,21,FALSE)&lt;0.1,"Bom",IF(VLOOKUP(BO233,Fundamentus!A:U,21,FALSE)&gt;0.1,"Muito bom","n/a"))))</f>
        <v>Muito bom</v>
      </c>
      <c r="EW233" s="29" t="str">
        <f>IF(VLOOKUP(BO233,Fundamentus!A:U,15,FALSE)&gt;1,"Bom",IF(VLOOKUP(BO233,Fundamentus!A:U,15,FALSE)&lt;1,"Ruim","n/a"))</f>
        <v>Bom</v>
      </c>
      <c r="EX233" s="17" t="str">
        <f>IF(VLOOKUP(BO233,Fundamentus!A:U,20,FALSE)&lt;0.5,"Baixa",IF(VLOOKUP(BO233,Fundamentus!A:U,20,FALSE)&lt;1,"Moderada",IF(VLOOKUP(BO233,Fundamentus!A:U,20,FALSE)&lt;2,"Alerta",IF(VLOOKUP(BO233,Fundamentus!A:U,20,FALSE)&gt;2,"Alta","n/a"))))</f>
        <v>Moderada</v>
      </c>
    </row>
    <row r="234" spans="1:154" s="2" customFormat="1" ht="11.25"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5">
        <v>1.21</v>
      </c>
      <c r="BC234" s="52">
        <v>1.08</v>
      </c>
      <c r="BD234" s="52">
        <v>1.18</v>
      </c>
      <c r="BE234" s="52">
        <v>1.19</v>
      </c>
      <c r="BF234" s="52">
        <v>1.25</v>
      </c>
      <c r="BG234" s="67">
        <v>1.2</v>
      </c>
      <c r="BH234" s="52">
        <v>1.1499999999999999</v>
      </c>
      <c r="BI234" s="52">
        <v>1.17</v>
      </c>
      <c r="BJ234" s="52">
        <v>1.1299999999999999</v>
      </c>
      <c r="BK234" s="52">
        <v>1.0900000000000001</v>
      </c>
      <c r="BL234" s="52">
        <v>1.02</v>
      </c>
      <c r="BM234" s="52">
        <v>1.03</v>
      </c>
      <c r="BN234" s="52" cm="1">
        <f t="array" aca="1" ref="BN234" ca="1">_FV(EB234,"Preço")</f>
        <v>1.03</v>
      </c>
      <c r="BO234" s="69" t="s">
        <v>230</v>
      </c>
      <c r="BP234" s="36" cm="1">
        <f t="array" aca="1" ref="BP234" ca="1">_FV(EB234,"Média de volume",TRUE)</f>
        <v>928490</v>
      </c>
      <c r="BQ234" s="36">
        <v>307300</v>
      </c>
      <c r="BR234" s="36" cm="1">
        <f t="array" aca="1" ref="BR234" ca="1">_FV(EB234,"Volume")</f>
        <v>307300</v>
      </c>
      <c r="BS234" s="24" cm="1">
        <f t="array" aca="1" ref="BS234" ca="1">_FV(EB234,"Beta")</f>
        <v>1.7892999999999999</v>
      </c>
      <c r="BT234" s="71" cm="1">
        <f t="array" aca="1" ref="BT234" ca="1">_FV(EB234,"Variação (%)",TRUE)</f>
        <v>9.8040000000000002E-3</v>
      </c>
      <c r="BV234" s="17" cm="1">
        <f t="array" aca="1" ref="BV234" ca="1">_FV(EB234,"Baixo")</f>
        <v>1.01</v>
      </c>
      <c r="BW234" s="17" cm="1">
        <f t="array" aca="1" ref="BW234" ca="1">_FV(EB234,"Alto")</f>
        <v>1.04</v>
      </c>
      <c r="BX234" s="24"/>
      <c r="BY234" s="63" t="e">
        <f ca="1">SQRT(22.5*(BN234/VLOOKUP(BO234,Fundamentus!A:U,3,FALSE))*(BN234/VLOOKUP(BO234,Fundamentus!A:U,4,FALSE)))</f>
        <v>#NUM!</v>
      </c>
      <c r="CA234" s="62">
        <f t="shared" ca="1" si="241"/>
        <v>0</v>
      </c>
      <c r="CB234" s="8"/>
      <c r="CC234" s="61">
        <f t="shared" si="242"/>
        <v>1.02</v>
      </c>
      <c r="CD234" s="61">
        <f t="shared" si="243"/>
        <v>2.75</v>
      </c>
      <c r="CE234" s="61">
        <f t="shared" si="244"/>
        <v>1.4563076923076925</v>
      </c>
      <c r="CF234" s="14"/>
      <c r="CG234" s="35">
        <f t="shared" si="227"/>
        <v>0.88513899622193726</v>
      </c>
      <c r="CH234" s="15">
        <f t="shared" si="245"/>
        <v>0.97499999999999432</v>
      </c>
      <c r="CI234" s="35">
        <f t="shared" si="228"/>
        <v>1.0648610037780515</v>
      </c>
      <c r="CK234" s="14"/>
      <c r="CL234" s="17">
        <f t="shared" si="229"/>
        <v>-1.2866666666666666</v>
      </c>
      <c r="CM234" s="17">
        <f t="shared" si="230"/>
        <v>-0.1333333333333333</v>
      </c>
      <c r="CN234" s="17">
        <f t="shared" si="231"/>
        <v>0.44333333333333336</v>
      </c>
      <c r="CO234" s="38">
        <f t="shared" si="246"/>
        <v>1.5966666666666667</v>
      </c>
      <c r="CP234" s="17">
        <f t="shared" si="232"/>
        <v>2.1733333333333333</v>
      </c>
      <c r="CQ234" s="17">
        <f t="shared" si="233"/>
        <v>3.3266666666666667</v>
      </c>
      <c r="CR234" s="17">
        <f t="shared" si="234"/>
        <v>3.9033333333333333</v>
      </c>
      <c r="CS234" s="2" cm="1">
        <f t="array" aca="1" ref="CS234" ca="1">MAX(_xlfn._xlws.FILTER(CL234:CR234,CL234:CR234&lt;BN234))</f>
        <v>0.44333333333333336</v>
      </c>
      <c r="CT234" s="2" cm="1">
        <f t="array" aca="1" ref="CT234" ca="1">MIN(_xlfn._xlws.FILTER($CL234:$CR234,$CL234:$CR234&gt;BN234))</f>
        <v>1.5966666666666667</v>
      </c>
      <c r="CU234" s="16">
        <f t="shared" ca="1" si="248"/>
        <v>2.6015037593984962</v>
      </c>
      <c r="CV234" s="20">
        <f t="shared" ca="1" si="249"/>
        <v>-1.3007518796992481</v>
      </c>
      <c r="CW234" s="20">
        <f t="shared" ca="1" si="250"/>
        <v>-0.8671679197994987</v>
      </c>
      <c r="CX234" s="20">
        <f t="shared" ca="1" si="251"/>
        <v>-0.52030075187969926</v>
      </c>
      <c r="CY234" s="20">
        <f t="shared" ca="1" si="252"/>
        <v>-0.28905597326649957</v>
      </c>
      <c r="CZ234" s="20">
        <f t="shared" ca="1" si="253"/>
        <v>-0.15302963290579388</v>
      </c>
      <c r="DA234" s="20">
        <f t="shared" ca="1" si="254"/>
        <v>-7.883344725449988E-2</v>
      </c>
      <c r="DB234" s="20">
        <f t="shared" ca="1" si="255"/>
        <v>-4.0023134759976868E-2</v>
      </c>
      <c r="DC234" s="21">
        <f t="shared" ca="1" si="256"/>
        <v>4.0023134759976868E-2</v>
      </c>
      <c r="DD234" s="21">
        <f t="shared" ca="1" si="257"/>
        <v>7.883344725449988E-2</v>
      </c>
      <c r="DE234" s="21">
        <f t="shared" ca="1" si="258"/>
        <v>0.15302963290579388</v>
      </c>
      <c r="DF234" s="21">
        <f t="shared" ca="1" si="259"/>
        <v>0.28905597326649957</v>
      </c>
      <c r="DG234" s="21">
        <f t="shared" ca="1" si="260"/>
        <v>0.52030075187969926</v>
      </c>
      <c r="DH234" s="21">
        <f t="shared" ca="1" si="261"/>
        <v>0.8671679197994987</v>
      </c>
      <c r="DI234" s="21">
        <f t="shared" ca="1" si="262"/>
        <v>1.3007518796992481</v>
      </c>
      <c r="DK234" s="16" cm="1">
        <f t="array" aca="1" ref="DK234" ca="1">MAX(_xlfn._xlws.FILTER(CV234:DI234,CV234:DI234&lt;BT234))</f>
        <v>-4.0023134759976868E-2</v>
      </c>
      <c r="DL234" s="16" cm="1">
        <f t="array" aca="1" ref="DL234" ca="1">MIN(_xlfn._xlws.FILTER(CV234:DI234,CV234:DI234&gt;BT234))</f>
        <v>4.0023134759976868E-2</v>
      </c>
      <c r="DM234" s="2" cm="1">
        <f t="array" aca="1" ref="DM234" ca="1">_FV(EB234,"Fechamento anterior",TRUE)</f>
        <v>1.02</v>
      </c>
      <c r="DN234" s="28">
        <f t="shared" ca="1" si="235"/>
        <v>0.62247818202425409</v>
      </c>
      <c r="DO234" s="15">
        <f t="shared" ca="1" si="263"/>
        <v>0.97917640254482363</v>
      </c>
      <c r="DP234" s="15">
        <f t="shared" ca="1" si="264"/>
        <v>1.0608235974551765</v>
      </c>
      <c r="DQ234" s="9"/>
      <c r="DR234" s="9"/>
      <c r="DS234" s="9"/>
      <c r="DT234" s="89">
        <v>8.0046269519953736E-2</v>
      </c>
      <c r="DU234" s="89">
        <f t="shared" ca="1" si="236"/>
        <v>8.0046269519953736E-2</v>
      </c>
      <c r="DV234" s="72">
        <f t="shared" ca="1" si="237"/>
        <v>0.61205637248218703</v>
      </c>
      <c r="DW234" s="37"/>
      <c r="DX234" s="35">
        <f t="shared" si="247"/>
        <v>4.4930501889028536E-2</v>
      </c>
      <c r="DY234" s="56"/>
      <c r="DZ234" s="56"/>
      <c r="EB234" s="2" t="e" vm="236">
        <v>#VALUE!</v>
      </c>
      <c r="ED234" s="10" cm="1">
        <f t="array" aca="1" ref="ED234" ca="1">_FV(EB234,"Ações em circulação",TRUE)</f>
        <v>205018000</v>
      </c>
      <c r="EE234" s="18">
        <f>VLOOKUP(BO234,Fundamentus!A:U,5,FALSE)</f>
        <v>0.79900000000000004</v>
      </c>
      <c r="EF234" s="2">
        <f t="shared" ca="1" si="238"/>
        <v>264291038.79849809</v>
      </c>
      <c r="EG234" s="17">
        <v>-20826133.85732165</v>
      </c>
      <c r="EH234" s="17">
        <f t="shared" ca="1" si="239"/>
        <v>-20826133.85732165</v>
      </c>
      <c r="EJ234" s="16">
        <f t="shared" ca="1" si="226"/>
        <v>0</v>
      </c>
      <c r="EK234" s="32" t="str">
        <f>IF(VLOOKUP(BO234,Fundamentus!A:U,3,FALSE)&lt;15,"Bom",IF(VLOOKUP(BO234,Fundamentus!A:U,3,FALSE)&gt;15,"Ruim","n/a"))</f>
        <v>Bom</v>
      </c>
      <c r="EL234" s="28" t="str">
        <f>IF(VLOOKUP(BO234,Fundamentus!A:U,4,FALSE)&lt;1,"Baixo",IF(VLOOKUP(BO234,Fundamentus!A:U,4,FALSE)&lt;1.5,"Moderado",IF(VLOOKUP(BO234,Fundamentus!A:U,4,FALSE)&gt;1.5,"Alto","n/a")))</f>
        <v>Baixo</v>
      </c>
      <c r="EM234" s="17" t="str">
        <f>IF(VLOOKUP(BO234,Fundamentus!A:U,8,FALSE)&lt;0,"Risco elevado",IF(VLOOKUP(BO234,Fundamentus!A:U,8,FALSE)&lt;1,"Saudável",IF(VLOOKUP(BO234,Fundamentus!A:U,8,FALSE)&lt;3,"Estável",IF(VLOOKUP(BO234,Fundamentus!A:U,8,FALSE)&gt;3,"Alerta","n/a"))))</f>
        <v>Estável</v>
      </c>
      <c r="EN234" s="28" t="str">
        <f t="shared" si="240"/>
        <v>Ruim</v>
      </c>
      <c r="EO234" s="17" t="str">
        <f>IF(VLOOKUP(BO234,Fundamentus!A:U,12,FALSE)&lt;2,"Subvalorizada",IF(VLOOKUP(BO234,Fundamentus!A:U,12,FALSE)&lt;6,"Muita barata",IF(VLOOKUP(BO234,Fundamentus!A:U,12,FALSE)&lt;6,"Barata",IF(VLOOKUP(BO234,Fundamentus!A:U,12,FALSE)&lt;8,"Atrativa",IF(VLOOKUP(BO234,Fundamentus!A:U,12,FALSE)&gt;8,"Supervalorizada","n/a")))))</f>
        <v>Muita barata</v>
      </c>
      <c r="EQ234" s="17" t="str">
        <f>IF(VLOOKUP(BO234,Fundamentus!A:U,17,FALSE)&lt;0.1,"Fraco retorno",IF(VLOOKUP(BO234,Fundamentus!A:U,17,FALSE)&gt;0.1,"Bom retorno","n/a"))</f>
        <v>Fraco retorno</v>
      </c>
      <c r="ER234" s="17" t="str">
        <f>IF(VLOOKUP(BO234,Fundamentus!A:U,16,FALSE)&lt;0.1,"Ineficiente",IF(VLOOKUP(BO234,Fundamentus!A:U,16,FALSE)&gt;0.1,"Eficiente","n/a"))</f>
        <v>Ineficiente</v>
      </c>
      <c r="ES234" s="33" t="str">
        <f>IF(VLOOKUP(BO234,Fundamentus!A:U,16,FALSE)&lt;0.1,"Oper. Ineficiente",IF(VLOOKUP(BO234,Fundamentus!A:U,16,FALSE)&gt;0.1,"Oper.Eficiente","n/a"))</f>
        <v>Oper. Ineficiente</v>
      </c>
      <c r="ET234" s="34">
        <f>VLOOKUP(BO234,Fundamentus!A:U,14,FALSE)</f>
        <v>-7.8799999999999995E-2</v>
      </c>
      <c r="EU234" s="17" t="str">
        <f>IF(VLOOKUP(BO234,Fundamentus!A:U,21,FALSE)&lt;0,"Negativo",IF(VLOOKUP(BO234,Fundamentus!A:U,21,FALSE)&lt;0.05,"Fraco",IF(VLOOKUP(BO234,Fundamentus!A:U,21,FALSE)&lt;0.1,"Bom",IF(VLOOKUP(BO234,Fundamentus!A:U,21,FALSE)&gt;0.1,"Muito bom","n/a"))))</f>
        <v>Muito bom</v>
      </c>
      <c r="EW234" s="29" t="str">
        <f>IF(VLOOKUP(BO234,Fundamentus!A:U,15,FALSE)&gt;1,"Bom",IF(VLOOKUP(BO234,Fundamentus!A:U,15,FALSE)&lt;1,"Ruim","n/a"))</f>
        <v>Bom</v>
      </c>
      <c r="EX234" s="17" t="str">
        <f>IF(VLOOKUP(BO234,Fundamentus!A:U,20,FALSE)&lt;0.5,"Baixa",IF(VLOOKUP(BO234,Fundamentus!A:U,20,FALSE)&lt;1,"Moderada",IF(VLOOKUP(BO234,Fundamentus!A:U,20,FALSE)&lt;2,"Alerta",IF(VLOOKUP(BO234,Fundamentus!A:U,20,FALSE)&gt;2,"Alta","n/a"))))</f>
        <v>Baixa</v>
      </c>
    </row>
    <row r="235" spans="1:154" s="2" customFormat="1" ht="11.25"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5">
        <v>1.82</v>
      </c>
      <c r="BC235" s="52">
        <v>1.7</v>
      </c>
      <c r="BD235" s="52">
        <v>2.14</v>
      </c>
      <c r="BE235" s="52">
        <v>1.94</v>
      </c>
      <c r="BF235" s="52">
        <v>1.98</v>
      </c>
      <c r="BG235" s="67">
        <v>1.83</v>
      </c>
      <c r="BH235" s="52">
        <v>1.72</v>
      </c>
      <c r="BI235" s="52">
        <v>1.63</v>
      </c>
      <c r="BJ235" s="52">
        <v>1.71</v>
      </c>
      <c r="BK235" s="52">
        <v>1.54</v>
      </c>
      <c r="BL235" s="52">
        <v>1.52</v>
      </c>
      <c r="BM235" s="52">
        <v>1.48</v>
      </c>
      <c r="BN235" s="52" cm="1">
        <f t="array" aca="1" ref="BN235" ca="1">_FV(EB235,"Preço")</f>
        <v>1.48</v>
      </c>
      <c r="BO235" s="69" t="s">
        <v>231</v>
      </c>
      <c r="BP235" s="36" cm="1">
        <f t="array" aca="1" ref="BP235" ca="1">_FV(EB235,"Média de volume",TRUE)</f>
        <v>11324400</v>
      </c>
      <c r="BQ235" s="36">
        <v>16714200</v>
      </c>
      <c r="BR235" s="36" cm="1">
        <f t="array" aca="1" ref="BR235" ca="1">_FV(EB235,"Volume")</f>
        <v>16714200</v>
      </c>
      <c r="BS235" s="24" cm="1">
        <f t="array" aca="1" ref="BS235" ca="1">_FV(EB235,"Beta")</f>
        <v>1.167</v>
      </c>
      <c r="BT235" s="71" cm="1">
        <f t="array" aca="1" ref="BT235" ca="1">_FV(EB235,"Variação (%)",TRUE)</f>
        <v>-1.9868E-2</v>
      </c>
      <c r="BV235" s="17" cm="1">
        <f t="array" aca="1" ref="BV235" ca="1">_FV(EB235,"Baixo")</f>
        <v>1.46</v>
      </c>
      <c r="BW235" s="17" cm="1">
        <f t="array" aca="1" ref="BW235" ca="1">_FV(EB235,"Alto")</f>
        <v>1.52</v>
      </c>
      <c r="BX235" s="24"/>
      <c r="BY235" s="63" t="e">
        <f ca="1">SQRT(22.5*(BN235/VLOOKUP(BO235,Fundamentus!A:U,3,FALSE))*(BN235/VLOOKUP(BO235,Fundamentus!A:U,4,FALSE)))</f>
        <v>#NUM!</v>
      </c>
      <c r="CA235" s="62">
        <f t="shared" ca="1" si="241"/>
        <v>0</v>
      </c>
      <c r="CB235" s="8"/>
      <c r="CC235" s="61">
        <f t="shared" si="242"/>
        <v>1.48</v>
      </c>
      <c r="CD235" s="61">
        <f t="shared" si="243"/>
        <v>3.3</v>
      </c>
      <c r="CE235" s="61">
        <f t="shared" si="244"/>
        <v>2.3866923076923072</v>
      </c>
      <c r="CF235" s="14"/>
      <c r="CG235" s="35">
        <f t="shared" si="227"/>
        <v>1.2092871660919351</v>
      </c>
      <c r="CH235" s="15">
        <f t="shared" si="245"/>
        <v>1.3849999999999909</v>
      </c>
      <c r="CI235" s="35">
        <f t="shared" si="228"/>
        <v>1.5607128339080467</v>
      </c>
      <c r="CK235" s="14"/>
      <c r="CL235" s="17">
        <f t="shared" si="229"/>
        <v>-0.92000000000000037</v>
      </c>
      <c r="CM235" s="17">
        <f t="shared" si="230"/>
        <v>0.2799999999999998</v>
      </c>
      <c r="CN235" s="17">
        <f t="shared" si="231"/>
        <v>0.89999999999999947</v>
      </c>
      <c r="CO235" s="38">
        <f t="shared" si="246"/>
        <v>2.0999999999999996</v>
      </c>
      <c r="CP235" s="17">
        <f t="shared" si="232"/>
        <v>2.7199999999999993</v>
      </c>
      <c r="CQ235" s="17">
        <f t="shared" si="233"/>
        <v>3.9199999999999995</v>
      </c>
      <c r="CR235" s="17">
        <f t="shared" si="234"/>
        <v>4.5399999999999991</v>
      </c>
      <c r="CS235" s="2" cm="1">
        <f t="array" aca="1" ref="CS235" ca="1">MAX(_xlfn._xlws.FILTER(CL235:CR235,CL235:CR235&lt;BN235))</f>
        <v>0.89999999999999947</v>
      </c>
      <c r="CT235" s="2" cm="1">
        <f t="array" aca="1" ref="CT235" ca="1">MIN(_xlfn._xlws.FILTER($CL235:$CR235,$CL235:$CR235&gt;BN235))</f>
        <v>2.0999999999999996</v>
      </c>
      <c r="CU235" s="16">
        <f t="shared" ca="1" si="248"/>
        <v>1.3333333333333344</v>
      </c>
      <c r="CV235" s="20">
        <f t="shared" ca="1" si="249"/>
        <v>-0.66666666666666718</v>
      </c>
      <c r="CW235" s="20">
        <f t="shared" ca="1" si="250"/>
        <v>-0.44444444444444481</v>
      </c>
      <c r="CX235" s="20">
        <f t="shared" ca="1" si="251"/>
        <v>-0.26666666666666689</v>
      </c>
      <c r="CY235" s="20">
        <f t="shared" ca="1" si="252"/>
        <v>-0.14814814814814825</v>
      </c>
      <c r="CZ235" s="20">
        <f t="shared" ca="1" si="253"/>
        <v>-7.8431372549019662E-2</v>
      </c>
      <c r="DA235" s="20">
        <f t="shared" ca="1" si="254"/>
        <v>-4.0404040404040435E-2</v>
      </c>
      <c r="DB235" s="20">
        <f t="shared" ca="1" si="255"/>
        <v>-2.051282051282053E-2</v>
      </c>
      <c r="DC235" s="21">
        <f t="shared" ca="1" si="256"/>
        <v>2.051282051282053E-2</v>
      </c>
      <c r="DD235" s="21">
        <f t="shared" ca="1" si="257"/>
        <v>4.0404040404040435E-2</v>
      </c>
      <c r="DE235" s="21">
        <f t="shared" ca="1" si="258"/>
        <v>7.8431372549019662E-2</v>
      </c>
      <c r="DF235" s="21">
        <f t="shared" ca="1" si="259"/>
        <v>0.14814814814814825</v>
      </c>
      <c r="DG235" s="21">
        <f t="shared" ca="1" si="260"/>
        <v>0.26666666666666689</v>
      </c>
      <c r="DH235" s="21">
        <f t="shared" ca="1" si="261"/>
        <v>0.44444444444444481</v>
      </c>
      <c r="DI235" s="21">
        <f t="shared" ca="1" si="262"/>
        <v>0.66666666666666718</v>
      </c>
      <c r="DK235" s="16" cm="1">
        <f t="array" aca="1" ref="DK235" ca="1">MAX(_xlfn._xlws.FILTER(CV235:DI235,CV235:DI235&lt;BT235))</f>
        <v>-2.051282051282053E-2</v>
      </c>
      <c r="DL235" s="16" cm="1">
        <f t="array" aca="1" ref="DL235" ca="1">MIN(_xlfn._xlws.FILTER(CV235:DI235,CV235:DI235&gt;BT235))</f>
        <v>2.051282051282053E-2</v>
      </c>
      <c r="DM235" s="2" cm="1">
        <f t="array" aca="1" ref="DM235" ca="1">_FV(EB235,"Fechamento anterior",TRUE)</f>
        <v>1.51</v>
      </c>
      <c r="DN235" s="28">
        <f t="shared" ca="1" si="235"/>
        <v>1.5728476821191429E-2</v>
      </c>
      <c r="DO235" s="15">
        <f t="shared" ca="1" si="263"/>
        <v>1.479025641025641</v>
      </c>
      <c r="DP235" s="15">
        <f t="shared" ca="1" si="264"/>
        <v>1.540974358974359</v>
      </c>
      <c r="DQ235" s="9"/>
      <c r="DR235" s="9"/>
      <c r="DS235" s="9"/>
      <c r="DT235" s="89">
        <v>4.102564102564106E-2</v>
      </c>
      <c r="DU235" s="89">
        <f t="shared" ca="1" si="236"/>
        <v>4.102564102564106E-2</v>
      </c>
      <c r="DV235" s="72">
        <f t="shared" ca="1" si="237"/>
        <v>0.54065487356330022</v>
      </c>
      <c r="DW235" s="37"/>
      <c r="DX235" s="35">
        <f t="shared" si="247"/>
        <v>8.7856416954027877E-2</v>
      </c>
      <c r="DY235" s="56"/>
      <c r="DZ235" s="56"/>
      <c r="EB235" s="2" t="e" vm="237">
        <v>#VALUE!</v>
      </c>
      <c r="ED235" s="10" cm="1">
        <f t="array" aca="1" ref="ED235" ca="1">_FV(EB235,"Ações em circulação",TRUE)</f>
        <v>1358937000</v>
      </c>
      <c r="EE235" s="18">
        <f>VLOOKUP(BO235,Fundamentus!A:U,5,FALSE)</f>
        <v>6.2E-2</v>
      </c>
      <c r="EF235" s="2">
        <f t="shared" ca="1" si="238"/>
        <v>32439141290.322582</v>
      </c>
      <c r="EG235" s="17">
        <v>-532001917.16129041</v>
      </c>
      <c r="EH235" s="17">
        <f t="shared" ca="1" si="239"/>
        <v>-532001917.16129041</v>
      </c>
      <c r="EJ235" s="16">
        <f t="shared" ca="1" si="226"/>
        <v>0</v>
      </c>
      <c r="EK235" s="32" t="str">
        <f>IF(VLOOKUP(BO235,Fundamentus!A:U,3,FALSE)&lt;15,"Bom",IF(VLOOKUP(BO235,Fundamentus!A:U,3,FALSE)&gt;15,"Ruim","n/a"))</f>
        <v>Bom</v>
      </c>
      <c r="EL235" s="28" t="str">
        <f>IF(VLOOKUP(BO235,Fundamentus!A:U,4,FALSE)&lt;1,"Baixo",IF(VLOOKUP(BO235,Fundamentus!A:U,4,FALSE)&lt;1.5,"Moderado",IF(VLOOKUP(BO235,Fundamentus!A:U,4,FALSE)&gt;1.5,"Alto","n/a")))</f>
        <v>Baixo</v>
      </c>
      <c r="EM235" s="17" t="str">
        <f>IF(VLOOKUP(BO235,Fundamentus!A:U,8,FALSE)&lt;0,"Risco elevado",IF(VLOOKUP(BO235,Fundamentus!A:U,8,FALSE)&lt;1,"Saudável",IF(VLOOKUP(BO235,Fundamentus!A:U,8,FALSE)&lt;3,"Estável",IF(VLOOKUP(BO235,Fundamentus!A:U,8,FALSE)&gt;3,"Alerta","n/a"))))</f>
        <v>Estável</v>
      </c>
      <c r="EN235" s="28" t="str">
        <f t="shared" si="240"/>
        <v>Ruim</v>
      </c>
      <c r="EO235" s="17" t="str">
        <f>IF(VLOOKUP(BO235,Fundamentus!A:U,12,FALSE)&lt;2,"Subvalorizada",IF(VLOOKUP(BO235,Fundamentus!A:U,12,FALSE)&lt;6,"Muita barata",IF(VLOOKUP(BO235,Fundamentus!A:U,12,FALSE)&lt;6,"Barata",IF(VLOOKUP(BO235,Fundamentus!A:U,12,FALSE)&lt;8,"Atrativa",IF(VLOOKUP(BO235,Fundamentus!A:U,12,FALSE)&gt;8,"Supervalorizada","n/a")))))</f>
        <v>Muita barata</v>
      </c>
      <c r="EQ235" s="17" t="str">
        <f>IF(VLOOKUP(BO235,Fundamentus!A:U,17,FALSE)&lt;0.1,"Fraco retorno",IF(VLOOKUP(BO235,Fundamentus!A:U,17,FALSE)&gt;0.1,"Bom retorno","n/a"))</f>
        <v>Fraco retorno</v>
      </c>
      <c r="ER235" s="17" t="str">
        <f>IF(VLOOKUP(BO235,Fundamentus!A:U,16,FALSE)&lt;0.1,"Ineficiente",IF(VLOOKUP(BO235,Fundamentus!A:U,16,FALSE)&gt;0.1,"Eficiente","n/a"))</f>
        <v>Ineficiente</v>
      </c>
      <c r="ES235" s="33" t="str">
        <f>IF(VLOOKUP(BO235,Fundamentus!A:U,16,FALSE)&lt;0.1,"Oper. Ineficiente",IF(VLOOKUP(BO235,Fundamentus!A:U,16,FALSE)&gt;0.1,"Oper.Eficiente","n/a"))</f>
        <v>Oper. Ineficiente</v>
      </c>
      <c r="ET235" s="34">
        <f>VLOOKUP(BO235,Fundamentus!A:U,14,FALSE)</f>
        <v>-1.6400000000000001E-2</v>
      </c>
      <c r="EU235" s="17" t="str">
        <f>IF(VLOOKUP(BO235,Fundamentus!A:U,21,FALSE)&lt;0,"Negativo",IF(VLOOKUP(BO235,Fundamentus!A:U,21,FALSE)&lt;0.05,"Fraco",IF(VLOOKUP(BO235,Fundamentus!A:U,21,FALSE)&lt;0.1,"Bom",IF(VLOOKUP(BO235,Fundamentus!A:U,21,FALSE)&gt;0.1,"Muito bom","n/a"))))</f>
        <v>Muito bom</v>
      </c>
      <c r="EW235" s="29" t="str">
        <f>IF(VLOOKUP(BO235,Fundamentus!A:U,15,FALSE)&gt;1,"Bom",IF(VLOOKUP(BO235,Fundamentus!A:U,15,FALSE)&lt;1,"Ruim","n/a"))</f>
        <v>Bom</v>
      </c>
      <c r="EX235" s="17" t="str">
        <f>IF(VLOOKUP(BO235,Fundamentus!A:U,20,FALSE)&lt;0.5,"Baixa",IF(VLOOKUP(BO235,Fundamentus!A:U,20,FALSE)&lt;1,"Moderada",IF(VLOOKUP(BO235,Fundamentus!A:U,20,FALSE)&lt;2,"Alerta",IF(VLOOKUP(BO235,Fundamentus!A:U,20,FALSE)&gt;2,"Alta","n/a"))))</f>
        <v>Alta</v>
      </c>
    </row>
    <row r="236" spans="1:154" s="2" customFormat="1" ht="11.25"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5">
        <v>29.41</v>
      </c>
      <c r="BC236" s="52">
        <v>29.4</v>
      </c>
      <c r="BD236" s="52">
        <v>24.42</v>
      </c>
      <c r="BE236" s="52">
        <v>23.42</v>
      </c>
      <c r="BF236" s="52">
        <v>21.71</v>
      </c>
      <c r="BG236" s="67">
        <v>21.59</v>
      </c>
      <c r="BH236" s="52">
        <v>21.35</v>
      </c>
      <c r="BI236" s="52">
        <v>21.73</v>
      </c>
      <c r="BJ236" s="52">
        <v>22.43</v>
      </c>
      <c r="BK236" s="52">
        <v>21.2</v>
      </c>
      <c r="BL236" s="52">
        <v>20.260000000000002</v>
      </c>
      <c r="BM236" s="52">
        <v>20.239999999999998</v>
      </c>
      <c r="BN236" s="52" cm="1">
        <f t="array" aca="1" ref="BN236" ca="1">_FV(EB236,"Preço")</f>
        <v>20.239999999999998</v>
      </c>
      <c r="BO236" s="69" t="s">
        <v>232</v>
      </c>
      <c r="BP236" s="36" cm="1">
        <f t="array" aca="1" ref="BP236" ca="1">_FV(EB236,"Média de volume",TRUE)</f>
        <v>37105420</v>
      </c>
      <c r="BQ236" s="36">
        <v>38885200</v>
      </c>
      <c r="BR236" s="36" cm="1">
        <f t="array" aca="1" ref="BR236" ca="1">_FV(EB236,"Volume")</f>
        <v>38885200</v>
      </c>
      <c r="BS236" s="24" cm="1">
        <f t="array" aca="1" ref="BS236" ca="1">_FV(EB236,"Beta")</f>
        <v>0.98619999999999997</v>
      </c>
      <c r="BT236" s="71" cm="1">
        <f t="array" aca="1" ref="BT236" ca="1">_FV(EB236,"Variação (%)",TRUE)</f>
        <v>8.4700000000000001E-3</v>
      </c>
      <c r="BV236" s="17" cm="1">
        <f t="array" aca="1" ref="BV236" ca="1">_FV(EB236,"Baixo")</f>
        <v>20.13</v>
      </c>
      <c r="BW236" s="17" cm="1">
        <f t="array" aca="1" ref="BW236" ca="1">_FV(EB236,"Alto")</f>
        <v>20.47</v>
      </c>
      <c r="BX236" s="24"/>
      <c r="BY236" s="63">
        <f ca="1">SQRT(22.5*(BN236/VLOOKUP(BO236,Fundamentus!A:U,3,FALSE))*(BN236/VLOOKUP(BO236,Fundamentus!A:U,4,FALSE)))</f>
        <v>63.349060358270997</v>
      </c>
      <c r="CA236" s="62">
        <f t="shared" ca="1" si="241"/>
        <v>0</v>
      </c>
      <c r="CB236" s="8"/>
      <c r="CC236" s="61">
        <f t="shared" si="242"/>
        <v>20.239999999999998</v>
      </c>
      <c r="CD236" s="61">
        <f t="shared" si="243"/>
        <v>29.41</v>
      </c>
      <c r="CE236" s="61">
        <f t="shared" si="244"/>
        <v>26.18376923076924</v>
      </c>
      <c r="CF236" s="14"/>
      <c r="CG236" s="35">
        <f t="shared" si="227"/>
        <v>17.364504258591797</v>
      </c>
      <c r="CH236" s="15">
        <f t="shared" si="245"/>
        <v>19.154999999999745</v>
      </c>
      <c r="CI236" s="35">
        <f t="shared" si="228"/>
        <v>20.945495741407694</v>
      </c>
      <c r="CK236" s="14"/>
      <c r="CL236" s="17">
        <f t="shared" si="229"/>
        <v>8.0266666666666602</v>
      </c>
      <c r="CM236" s="17">
        <f t="shared" si="230"/>
        <v>14.133333333333329</v>
      </c>
      <c r="CN236" s="17">
        <f t="shared" si="231"/>
        <v>17.196666666666662</v>
      </c>
      <c r="CO236" s="38">
        <f t="shared" si="246"/>
        <v>23.303333333333331</v>
      </c>
      <c r="CP236" s="17">
        <f t="shared" si="232"/>
        <v>26.366666666666664</v>
      </c>
      <c r="CQ236" s="17">
        <f t="shared" si="233"/>
        <v>32.473333333333329</v>
      </c>
      <c r="CR236" s="17">
        <f t="shared" si="234"/>
        <v>35.536666666666662</v>
      </c>
      <c r="CS236" s="2" cm="1">
        <f t="array" aca="1" ref="CS236" ca="1">MAX(_xlfn._xlws.FILTER(CL236:CR236,CL236:CR236&lt;BN236))</f>
        <v>17.196666666666662</v>
      </c>
      <c r="CT236" s="2" cm="1">
        <f t="array" aca="1" ref="CT236" ca="1">MIN(_xlfn._xlws.FILTER($CL236:$CR236,$CL236:$CR236&gt;BN236))</f>
        <v>23.303333333333331</v>
      </c>
      <c r="CU236" s="16">
        <f t="shared" ca="1" si="248"/>
        <v>0.35510757898817635</v>
      </c>
      <c r="CV236" s="20">
        <f t="shared" ca="1" si="249"/>
        <v>-0.17755378949408818</v>
      </c>
      <c r="CW236" s="20">
        <f t="shared" ca="1" si="250"/>
        <v>-0.11836919299605879</v>
      </c>
      <c r="CX236" s="20">
        <f t="shared" ca="1" si="251"/>
        <v>-7.1021515797635271E-2</v>
      </c>
      <c r="CY236" s="20">
        <f t="shared" ca="1" si="252"/>
        <v>-3.945639766535293E-2</v>
      </c>
      <c r="CZ236" s="20">
        <f t="shared" ca="1" si="253"/>
        <v>-2.0888681116951552E-2</v>
      </c>
      <c r="DA236" s="20">
        <f t="shared" ca="1" si="254"/>
        <v>-1.0760835726914435E-2</v>
      </c>
      <c r="DB236" s="20">
        <f t="shared" ca="1" si="255"/>
        <v>-5.4631935228950206E-3</v>
      </c>
      <c r="DC236" s="21">
        <f t="shared" ca="1" si="256"/>
        <v>5.4631935228950206E-3</v>
      </c>
      <c r="DD236" s="21">
        <f t="shared" ca="1" si="257"/>
        <v>1.0760835726914435E-2</v>
      </c>
      <c r="DE236" s="21">
        <f t="shared" ca="1" si="258"/>
        <v>2.0888681116951552E-2</v>
      </c>
      <c r="DF236" s="21">
        <f t="shared" ca="1" si="259"/>
        <v>3.945639766535293E-2</v>
      </c>
      <c r="DG236" s="21">
        <f t="shared" ca="1" si="260"/>
        <v>7.1021515797635271E-2</v>
      </c>
      <c r="DH236" s="21">
        <f t="shared" ca="1" si="261"/>
        <v>0.11836919299605879</v>
      </c>
      <c r="DI236" s="21">
        <f t="shared" ca="1" si="262"/>
        <v>0.17755378949408818</v>
      </c>
      <c r="DK236" s="16" cm="1">
        <f t="array" aca="1" ref="DK236" ca="1">MAX(_xlfn._xlws.FILTER(CV236:DI236,CV236:DI236&lt;BT236))</f>
        <v>5.4631935228950206E-3</v>
      </c>
      <c r="DL236" s="16" cm="1">
        <f t="array" aca="1" ref="DL236" ca="1">MIN(_xlfn._xlws.FILTER(CV236:DI236,CV236:DI236&gt;BT236))</f>
        <v>1.0760835726914435E-2</v>
      </c>
      <c r="DM236" s="2" cm="1">
        <f t="array" aca="1" ref="DM236" ca="1">_FV(EB236,"Fechamento anterior",TRUE)</f>
        <v>20.07</v>
      </c>
      <c r="DN236" s="28">
        <f t="shared" ca="1" si="235"/>
        <v>0.56764124928197623</v>
      </c>
      <c r="DO236" s="15">
        <f t="shared" ca="1" si="263"/>
        <v>20.179646294004502</v>
      </c>
      <c r="DP236" s="15">
        <f t="shared" ca="1" si="264"/>
        <v>20.285969973039172</v>
      </c>
      <c r="DQ236" s="9"/>
      <c r="DR236" s="9"/>
      <c r="DS236" s="9"/>
      <c r="DT236" s="89">
        <v>5.2976422040194142E-3</v>
      </c>
      <c r="DU236" s="89">
        <f t="shared" ca="1" si="236"/>
        <v>5.2976422040194142E-3</v>
      </c>
      <c r="DV236" s="72">
        <f t="shared" ca="1" si="237"/>
        <v>0.6059774256413859</v>
      </c>
      <c r="DW236" s="37"/>
      <c r="DX236" s="35">
        <f t="shared" si="247"/>
        <v>0.89524787070397416</v>
      </c>
      <c r="DY236" s="56"/>
      <c r="DZ236" s="56"/>
      <c r="EB236" s="2" t="e" vm="238">
        <v>#VALUE!</v>
      </c>
      <c r="ED236" s="10" cm="1">
        <f t="array" aca="1" ref="ED236" ca="1">_FV(EB236,"Ações em circulação",TRUE)</f>
        <v>5730834000</v>
      </c>
      <c r="EE236" s="18">
        <f>VLOOKUP(BO236,Fundamentus!A:U,5,FALSE)</f>
        <v>0</v>
      </c>
      <c r="EF236" s="2" t="e">
        <f t="shared" ca="1" si="238"/>
        <v>#DIV/0!</v>
      </c>
      <c r="EG236" s="17" t="e">
        <v>#DIV/0!</v>
      </c>
      <c r="EH236" s="17" t="e">
        <f t="shared" ca="1" si="239"/>
        <v>#DIV/0!</v>
      </c>
      <c r="EJ236" s="16" t="e">
        <f t="shared" ca="1" si="226"/>
        <v>#DIV/0!</v>
      </c>
      <c r="EK236" s="32" t="str">
        <f>IF(VLOOKUP(BO236,Fundamentus!A:U,3,FALSE)&lt;15,"Bom",IF(VLOOKUP(BO236,Fundamentus!A:U,3,FALSE)&gt;15,"Ruim","n/a"))</f>
        <v>Bom</v>
      </c>
      <c r="EL236" s="28" t="str">
        <f>IF(VLOOKUP(BO236,Fundamentus!A:U,4,FALSE)&lt;1,"Baixo",IF(VLOOKUP(BO236,Fundamentus!A:U,4,FALSE)&lt;1.5,"Moderado",IF(VLOOKUP(BO236,Fundamentus!A:U,4,FALSE)&gt;1.5,"Alto","n/a")))</f>
        <v>Baixo</v>
      </c>
      <c r="EM236" s="17" t="str">
        <f>IF(VLOOKUP(BO236,Fundamentus!A:U,8,FALSE)&lt;0,"Risco elevado",IF(VLOOKUP(BO236,Fundamentus!A:U,8,FALSE)&lt;1,"Saudável",IF(VLOOKUP(BO236,Fundamentus!A:U,8,FALSE)&lt;3,"Estável",IF(VLOOKUP(BO236,Fundamentus!A:U,8,FALSE)&gt;3,"Alerta","n/a"))))</f>
        <v>Saudável</v>
      </c>
      <c r="EN236" s="28" t="str">
        <f t="shared" si="240"/>
        <v>Ruim</v>
      </c>
      <c r="EO236" s="17" t="str">
        <f>IF(VLOOKUP(BO236,Fundamentus!A:U,12,FALSE)&lt;2,"Subvalorizada",IF(VLOOKUP(BO236,Fundamentus!A:U,12,FALSE)&lt;6,"Muita barata",IF(VLOOKUP(BO236,Fundamentus!A:U,12,FALSE)&lt;6,"Barata",IF(VLOOKUP(BO236,Fundamentus!A:U,12,FALSE)&lt;8,"Atrativa",IF(VLOOKUP(BO236,Fundamentus!A:U,12,FALSE)&gt;8,"Supervalorizada","n/a")))))</f>
        <v>Subvalorizada</v>
      </c>
      <c r="EQ236" s="17" t="str">
        <f>IF(VLOOKUP(BO236,Fundamentus!A:U,17,FALSE)&lt;0.1,"Fraco retorno",IF(VLOOKUP(BO236,Fundamentus!A:U,17,FALSE)&gt;0.1,"Bom retorno","n/a"))</f>
        <v>Bom retorno</v>
      </c>
      <c r="ER236" s="17" t="str">
        <f>IF(VLOOKUP(BO236,Fundamentus!A:U,16,FALSE)&lt;0.1,"Ineficiente",IF(VLOOKUP(BO236,Fundamentus!A:U,16,FALSE)&gt;0.1,"Eficiente","n/a"))</f>
        <v>Ineficiente</v>
      </c>
      <c r="ES236" s="33" t="str">
        <f>IF(VLOOKUP(BO236,Fundamentus!A:U,16,FALSE)&lt;0.1,"Oper. Ineficiente",IF(VLOOKUP(BO236,Fundamentus!A:U,16,FALSE)&gt;0.1,"Oper.Eficiente","n/a"))</f>
        <v>Oper. Ineficiente</v>
      </c>
      <c r="ET236" s="34">
        <f>VLOOKUP(BO236,Fundamentus!A:U,14,FALSE)</f>
        <v>0</v>
      </c>
      <c r="EU236" s="17" t="str">
        <f>IF(VLOOKUP(BO236,Fundamentus!A:U,21,FALSE)&lt;0,"Negativo",IF(VLOOKUP(BO236,Fundamentus!A:U,21,FALSE)&lt;0.05,"Fraco",IF(VLOOKUP(BO236,Fundamentus!A:U,21,FALSE)&lt;0.1,"Bom",IF(VLOOKUP(BO236,Fundamentus!A:U,21,FALSE)&gt;0.1,"Muito bom","n/a"))))</f>
        <v>Muito bom</v>
      </c>
      <c r="EW236" s="29" t="str">
        <f>IF(VLOOKUP(BO236,Fundamentus!A:U,15,FALSE)&gt;1,"Bom",IF(VLOOKUP(BO236,Fundamentus!A:U,15,FALSE)&lt;1,"Ruim","n/a"))</f>
        <v>Ruim</v>
      </c>
      <c r="EX236" s="17" t="str">
        <f>IF(VLOOKUP(BO236,Fundamentus!A:U,20,FALSE)&lt;0.5,"Baixa",IF(VLOOKUP(BO236,Fundamentus!A:U,20,FALSE)&lt;1,"Moderada",IF(VLOOKUP(BO236,Fundamentus!A:U,20,FALSE)&lt;2,"Alerta",IF(VLOOKUP(BO236,Fundamentus!A:U,20,FALSE)&gt;2,"Alta","n/a"))))</f>
        <v>Baixa</v>
      </c>
    </row>
    <row r="237" spans="1:154" s="2" customFormat="1" ht="11.25"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5">
        <v>4.7</v>
      </c>
      <c r="BC237" s="52">
        <v>4.49</v>
      </c>
      <c r="BD237" s="52">
        <v>4.5999999999999996</v>
      </c>
      <c r="BE237" s="52">
        <v>4.75</v>
      </c>
      <c r="BF237" s="52">
        <v>4.7699999999999996</v>
      </c>
      <c r="BG237" s="67">
        <v>4.91</v>
      </c>
      <c r="BH237" s="52">
        <v>5.05</v>
      </c>
      <c r="BI237" s="52">
        <v>4.9000000000000004</v>
      </c>
      <c r="BJ237" s="52">
        <v>4.96</v>
      </c>
      <c r="BK237" s="52">
        <v>4.9000000000000004</v>
      </c>
      <c r="BL237" s="52">
        <v>4.92</v>
      </c>
      <c r="BM237" s="52">
        <v>4.54</v>
      </c>
      <c r="BN237" s="52" cm="1">
        <f t="array" aca="1" ref="BN237" ca="1">_FV(EB237,"Preço")</f>
        <v>4.54</v>
      </c>
      <c r="BO237" s="69" t="s">
        <v>233</v>
      </c>
      <c r="BP237" s="36" cm="1">
        <f t="array" aca="1" ref="BP237" ca="1">_FV(EB237,"Média de volume",TRUE)</f>
        <v>6730</v>
      </c>
      <c r="BQ237" s="36">
        <v>6900</v>
      </c>
      <c r="BR237" s="36" cm="1">
        <f t="array" aca="1" ref="BR237" ca="1">_FV(EB237,"Volume")</f>
        <v>6900</v>
      </c>
      <c r="BS237" s="24" cm="1">
        <f t="array" aca="1" ref="BS237" ca="1">_FV(EB237,"Beta")</f>
        <v>0.40789999999999998</v>
      </c>
      <c r="BT237" s="71" cm="1">
        <f t="array" aca="1" ref="BT237" ca="1">_FV(EB237,"Variação (%)",TRUE)</f>
        <v>-6.5649999999999997E-3</v>
      </c>
      <c r="BV237" s="17" cm="1">
        <f t="array" aca="1" ref="BV237" ca="1">_FV(EB237,"Baixo")</f>
        <v>4.5199999999999996</v>
      </c>
      <c r="BW237" s="17" cm="1">
        <f t="array" aca="1" ref="BW237" ca="1">_FV(EB237,"Alto")</f>
        <v>4.5999999999999996</v>
      </c>
      <c r="BX237" s="24"/>
      <c r="BY237" s="63">
        <f ca="1">SQRT(22.5*(BN237/VLOOKUP(BO237,Fundamentus!A:U,3,FALSE))*(BN237/VLOOKUP(BO237,Fundamentus!A:U,4,FALSE)))</f>
        <v>5.4562823752311438</v>
      </c>
      <c r="CA237" s="62">
        <f t="shared" ca="1" si="241"/>
        <v>0</v>
      </c>
      <c r="CB237" s="8"/>
      <c r="CC237" s="61">
        <f t="shared" si="242"/>
        <v>4.49</v>
      </c>
      <c r="CD237" s="61">
        <f t="shared" si="243"/>
        <v>7.48</v>
      </c>
      <c r="CE237" s="61">
        <f t="shared" si="244"/>
        <v>5.5066923076923073</v>
      </c>
      <c r="CF237" s="14"/>
      <c r="CG237" s="35">
        <f t="shared" si="227"/>
        <v>4.182361139677413</v>
      </c>
      <c r="CH237" s="15">
        <f t="shared" si="245"/>
        <v>4.5200000000000955</v>
      </c>
      <c r="CI237" s="35">
        <f t="shared" si="228"/>
        <v>4.857638860322778</v>
      </c>
      <c r="CK237" s="14"/>
      <c r="CL237" s="17">
        <f t="shared" si="229"/>
        <v>0.78999999999999915</v>
      </c>
      <c r="CM237" s="17">
        <f t="shared" si="230"/>
        <v>2.6399999999999997</v>
      </c>
      <c r="CN237" s="17">
        <f t="shared" si="231"/>
        <v>3.7799999999999994</v>
      </c>
      <c r="CO237" s="38">
        <f t="shared" si="246"/>
        <v>5.63</v>
      </c>
      <c r="CP237" s="17">
        <f t="shared" si="232"/>
        <v>6.77</v>
      </c>
      <c r="CQ237" s="17">
        <f t="shared" si="233"/>
        <v>8.620000000000001</v>
      </c>
      <c r="CR237" s="17">
        <f t="shared" si="234"/>
        <v>9.76</v>
      </c>
      <c r="CS237" s="2" cm="1">
        <f t="array" aca="1" ref="CS237" ca="1">MAX(_xlfn._xlws.FILTER(CL237:CR237,CL237:CR237&lt;BN237))</f>
        <v>3.7799999999999994</v>
      </c>
      <c r="CT237" s="2" cm="1">
        <f t="array" aca="1" ref="CT237" ca="1">MIN(_xlfn._xlws.FILTER($CL237:$CR237,$CL237:$CR237&gt;BN237))</f>
        <v>5.63</v>
      </c>
      <c r="CU237" s="16">
        <f t="shared" ca="1" si="248"/>
        <v>0.48941798941798975</v>
      </c>
      <c r="CV237" s="20">
        <f t="shared" ca="1" si="249"/>
        <v>-0.24470899470899488</v>
      </c>
      <c r="CW237" s="20">
        <f t="shared" ca="1" si="250"/>
        <v>-0.16313932980599657</v>
      </c>
      <c r="CX237" s="20">
        <f t="shared" ca="1" si="251"/>
        <v>-9.7883597883597948E-2</v>
      </c>
      <c r="CY237" s="20">
        <f t="shared" ca="1" si="252"/>
        <v>-5.4379776601998858E-2</v>
      </c>
      <c r="CZ237" s="20">
        <f t="shared" ca="1" si="253"/>
        <v>-2.8789293495175866E-2</v>
      </c>
      <c r="DA237" s="20">
        <f t="shared" ca="1" si="254"/>
        <v>-1.4830848164181508E-2</v>
      </c>
      <c r="DB237" s="20">
        <f t="shared" ca="1" si="255"/>
        <v>-7.5295075295075346E-3</v>
      </c>
      <c r="DC237" s="21">
        <f t="shared" ca="1" si="256"/>
        <v>7.5295075295075346E-3</v>
      </c>
      <c r="DD237" s="21">
        <f t="shared" ca="1" si="257"/>
        <v>1.4830848164181508E-2</v>
      </c>
      <c r="DE237" s="21">
        <f t="shared" ca="1" si="258"/>
        <v>2.8789293495175866E-2</v>
      </c>
      <c r="DF237" s="21">
        <f t="shared" ca="1" si="259"/>
        <v>5.4379776601998858E-2</v>
      </c>
      <c r="DG237" s="21">
        <f t="shared" ca="1" si="260"/>
        <v>9.7883597883597948E-2</v>
      </c>
      <c r="DH237" s="21">
        <f t="shared" ca="1" si="261"/>
        <v>0.16313932980599657</v>
      </c>
      <c r="DI237" s="21">
        <f t="shared" ca="1" si="262"/>
        <v>0.24470899470899488</v>
      </c>
      <c r="DK237" s="16" cm="1">
        <f t="array" aca="1" ref="DK237" ca="1">MAX(_xlfn._xlws.FILTER(CV237:DI237,CV237:DI237&lt;BT237))</f>
        <v>-7.5295075295075346E-3</v>
      </c>
      <c r="DL237" s="16" cm="1">
        <f t="array" aca="1" ref="DL237" ca="1">MIN(_xlfn._xlws.FILTER(CV237:DI237,CV237:DI237&gt;BT237))</f>
        <v>7.5295075295075346E-3</v>
      </c>
      <c r="DM237" s="2" cm="1">
        <f t="array" aca="1" ref="DM237" ca="1">_FV(EB237,"Fechamento anterior",TRUE)</f>
        <v>4.57</v>
      </c>
      <c r="DN237" s="28">
        <f t="shared" ca="1" si="235"/>
        <v>6.4078301496239068E-2</v>
      </c>
      <c r="DO237" s="15">
        <f t="shared" ca="1" si="263"/>
        <v>4.535590150590151</v>
      </c>
      <c r="DP237" s="15">
        <f t="shared" ca="1" si="264"/>
        <v>4.6044098494098495</v>
      </c>
      <c r="DQ237" s="9"/>
      <c r="DR237" s="9"/>
      <c r="DS237" s="9"/>
      <c r="DT237" s="89">
        <v>1.5059015059015069E-2</v>
      </c>
      <c r="DU237" s="89">
        <f t="shared" ca="1" si="236"/>
        <v>1.5059015059015069E-2</v>
      </c>
      <c r="DV237" s="72">
        <f t="shared" ca="1" si="237"/>
        <v>5.9234887775626521E-2</v>
      </c>
      <c r="DW237" s="37"/>
      <c r="DX237" s="35">
        <f t="shared" si="247"/>
        <v>0.16881943016134132</v>
      </c>
      <c r="DY237" s="56"/>
      <c r="DZ237" s="56"/>
      <c r="EB237" s="2" t="e" vm="239">
        <v>#VALUE!</v>
      </c>
      <c r="ED237" s="10" cm="1">
        <f t="array" aca="1" ref="ED237" ca="1">_FV(EB237,"Ações em circulação",TRUE)</f>
        <v>14860570</v>
      </c>
      <c r="EE237" s="18">
        <f>VLOOKUP(BO237,Fundamentus!A:U,5,FALSE)</f>
        <v>9.9049999999999994</v>
      </c>
      <c r="EF237" s="2">
        <f t="shared" ca="1" si="238"/>
        <v>6811407.1479050983</v>
      </c>
      <c r="EG237" s="17">
        <v>5543123.1369651686</v>
      </c>
      <c r="EH237" s="17">
        <f t="shared" ca="1" si="239"/>
        <v>5543123.1369651686</v>
      </c>
      <c r="EJ237" s="16">
        <f t="shared" ca="1" si="226"/>
        <v>0</v>
      </c>
      <c r="EK237" s="32" t="str">
        <f>IF(VLOOKUP(BO237,Fundamentus!A:U,3,FALSE)&lt;15,"Bom",IF(VLOOKUP(BO237,Fundamentus!A:U,3,FALSE)&gt;15,"Ruim","n/a"))</f>
        <v>Bom</v>
      </c>
      <c r="EL237" s="28" t="str">
        <f>IF(VLOOKUP(BO237,Fundamentus!A:U,4,FALSE)&lt;1,"Baixo",IF(VLOOKUP(BO237,Fundamentus!A:U,4,FALSE)&lt;1.5,"Moderado",IF(VLOOKUP(BO237,Fundamentus!A:U,4,FALSE)&gt;1.5,"Alto","n/a")))</f>
        <v>Moderado</v>
      </c>
      <c r="EM237" s="17" t="str">
        <f>IF(VLOOKUP(BO237,Fundamentus!A:U,8,FALSE)&lt;0,"Risco elevado",IF(VLOOKUP(BO237,Fundamentus!A:U,8,FALSE)&lt;1,"Saudável",IF(VLOOKUP(BO237,Fundamentus!A:U,8,FALSE)&lt;3,"Estável",IF(VLOOKUP(BO237,Fundamentus!A:U,8,FALSE)&gt;3,"Alerta","n/a"))))</f>
        <v>Alerta</v>
      </c>
      <c r="EN237" s="28" t="str">
        <f t="shared" si="240"/>
        <v>Bom</v>
      </c>
      <c r="EO237" s="17" t="str">
        <f>IF(VLOOKUP(BO237,Fundamentus!A:U,12,FALSE)&lt;2,"Subvalorizada",IF(VLOOKUP(BO237,Fundamentus!A:U,12,FALSE)&lt;6,"Muita barata",IF(VLOOKUP(BO237,Fundamentus!A:U,12,FALSE)&lt;6,"Barata",IF(VLOOKUP(BO237,Fundamentus!A:U,12,FALSE)&lt;8,"Atrativa",IF(VLOOKUP(BO237,Fundamentus!A:U,12,FALSE)&gt;8,"Supervalorizada","n/a")))))</f>
        <v>Subvalorizada</v>
      </c>
      <c r="EQ237" s="17" t="str">
        <f>IF(VLOOKUP(BO237,Fundamentus!A:U,17,FALSE)&lt;0.1,"Fraco retorno",IF(VLOOKUP(BO237,Fundamentus!A:U,17,FALSE)&gt;0.1,"Bom retorno","n/a"))</f>
        <v>Bom retorno</v>
      </c>
      <c r="ER237" s="17" t="str">
        <f>IF(VLOOKUP(BO237,Fundamentus!A:U,16,FALSE)&lt;0.1,"Ineficiente",IF(VLOOKUP(BO237,Fundamentus!A:U,16,FALSE)&gt;0.1,"Eficiente","n/a"))</f>
        <v>Ineficiente</v>
      </c>
      <c r="ES237" s="33" t="str">
        <f>IF(VLOOKUP(BO237,Fundamentus!A:U,16,FALSE)&lt;0.1,"Oper. Ineficiente",IF(VLOOKUP(BO237,Fundamentus!A:U,16,FALSE)&gt;0.1,"Oper.Eficiente","n/a"))</f>
        <v>Oper. Ineficiente</v>
      </c>
      <c r="ET237" s="34">
        <f>VLOOKUP(BO237,Fundamentus!A:U,14,FALSE)</f>
        <v>0.81379999999999997</v>
      </c>
      <c r="EU237" s="17" t="str">
        <f>IF(VLOOKUP(BO237,Fundamentus!A:U,21,FALSE)&lt;0,"Negativo",IF(VLOOKUP(BO237,Fundamentus!A:U,21,FALSE)&lt;0.05,"Fraco",IF(VLOOKUP(BO237,Fundamentus!A:U,21,FALSE)&lt;0.1,"Bom",IF(VLOOKUP(BO237,Fundamentus!A:U,21,FALSE)&gt;0.1,"Muito bom","n/a"))))</f>
        <v>Negativo</v>
      </c>
      <c r="EW237" s="29" t="str">
        <f>IF(VLOOKUP(BO237,Fundamentus!A:U,15,FALSE)&gt;1,"Bom",IF(VLOOKUP(BO237,Fundamentus!A:U,15,FALSE)&lt;1,"Ruim","n/a"))</f>
        <v>Bom</v>
      </c>
      <c r="EX237" s="17" t="str">
        <f>IF(VLOOKUP(BO237,Fundamentus!A:U,20,FALSE)&lt;0.5,"Baixa",IF(VLOOKUP(BO237,Fundamentus!A:U,20,FALSE)&lt;1,"Moderada",IF(VLOOKUP(BO237,Fundamentus!A:U,20,FALSE)&lt;2,"Alerta",IF(VLOOKUP(BO237,Fundamentus!A:U,20,FALSE)&gt;2,"Alta","n/a"))))</f>
        <v>Baixa</v>
      </c>
    </row>
    <row r="238" spans="1:154" s="2" customFormat="1" ht="11.25"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5">
        <v>5.3</v>
      </c>
      <c r="BC238" s="52">
        <v>5.87</v>
      </c>
      <c r="BD238" s="52">
        <v>6.07</v>
      </c>
      <c r="BE238" s="52">
        <v>6.06</v>
      </c>
      <c r="BF238" s="52">
        <v>5.42</v>
      </c>
      <c r="BG238" s="67">
        <v>5.67</v>
      </c>
      <c r="BH238" s="52">
        <v>6.07</v>
      </c>
      <c r="BI238" s="52">
        <v>6.4</v>
      </c>
      <c r="BJ238" s="52">
        <v>6.06</v>
      </c>
      <c r="BK238" s="52">
        <v>6.04</v>
      </c>
      <c r="BL238" s="52">
        <v>6.48</v>
      </c>
      <c r="BM238" s="52">
        <v>6.58</v>
      </c>
      <c r="BN238" s="52" cm="1">
        <f t="array" aca="1" ref="BN238" ca="1">_FV(EB238,"Preço")</f>
        <v>6.58</v>
      </c>
      <c r="BO238" s="69" t="s">
        <v>234</v>
      </c>
      <c r="BP238" s="36" cm="1">
        <f t="array" aca="1" ref="BP238" ca="1">_FV(EB238,"Média de volume",TRUE)</f>
        <v>652200</v>
      </c>
      <c r="BQ238" s="36">
        <v>223900</v>
      </c>
      <c r="BR238" s="36" cm="1">
        <f t="array" aca="1" ref="BR238" ca="1">_FV(EB238,"Volume")</f>
        <v>223900</v>
      </c>
      <c r="BS238" s="24" cm="1">
        <f t="array" aca="1" ref="BS238" ca="1">_FV(EB238,"Beta")</f>
        <v>0.79159999999999997</v>
      </c>
      <c r="BT238" s="71" cm="1">
        <f t="array" aca="1" ref="BT238" ca="1">_FV(EB238,"Variação (%)",TRUE)</f>
        <v>1.8575999999999999E-2</v>
      </c>
      <c r="BV238" s="17" cm="1">
        <f t="array" aca="1" ref="BV238" ca="1">_FV(EB238,"Baixo")</f>
        <v>6.46</v>
      </c>
      <c r="BW238" s="17" cm="1">
        <f t="array" aca="1" ref="BW238" ca="1">_FV(EB238,"Alto")</f>
        <v>6.58</v>
      </c>
      <c r="BX238" s="24"/>
      <c r="BY238" s="63">
        <f ca="1">SQRT(22.5*(BN238/VLOOKUP(BO238,Fundamentus!A:U,3,FALSE))*(BN238/VLOOKUP(BO238,Fundamentus!A:U,4,FALSE)))</f>
        <v>24.254201787480575</v>
      </c>
      <c r="CA238" s="62">
        <f t="shared" ca="1" si="241"/>
        <v>0</v>
      </c>
      <c r="CB238" s="8"/>
      <c r="CC238" s="61">
        <f t="shared" si="242"/>
        <v>4.5</v>
      </c>
      <c r="CD238" s="61">
        <f t="shared" si="243"/>
        <v>11.3</v>
      </c>
      <c r="CE238" s="61">
        <f t="shared" si="244"/>
        <v>7.099230769230771</v>
      </c>
      <c r="CF238" s="14"/>
      <c r="CG238" s="35">
        <f t="shared" si="227"/>
        <v>6.3046135560194996</v>
      </c>
      <c r="CH238" s="15">
        <f t="shared" si="245"/>
        <v>6.7899999999999636</v>
      </c>
      <c r="CI238" s="35">
        <f t="shared" si="228"/>
        <v>7.2753864439804277</v>
      </c>
      <c r="CK238" s="14"/>
      <c r="CL238" s="17">
        <f t="shared" si="229"/>
        <v>-3.2466666666666679</v>
      </c>
      <c r="CM238" s="17">
        <f t="shared" si="230"/>
        <v>0.62666666666666604</v>
      </c>
      <c r="CN238" s="17">
        <f t="shared" si="231"/>
        <v>3.5533333333333328</v>
      </c>
      <c r="CO238" s="38">
        <f t="shared" si="246"/>
        <v>7.4266666666666667</v>
      </c>
      <c r="CP238" s="17">
        <f t="shared" si="232"/>
        <v>10.353333333333333</v>
      </c>
      <c r="CQ238" s="17">
        <f t="shared" si="233"/>
        <v>14.226666666666667</v>
      </c>
      <c r="CR238" s="17">
        <f t="shared" si="234"/>
        <v>17.153333333333336</v>
      </c>
      <c r="CS238" s="2" cm="1">
        <f t="array" aca="1" ref="CS238" ca="1">MAX(_xlfn._xlws.FILTER(CL238:CR238,CL238:CR238&lt;BN238))</f>
        <v>3.5533333333333328</v>
      </c>
      <c r="CT238" s="2" cm="1">
        <f t="array" aca="1" ref="CT238" ca="1">MIN(_xlfn._xlws.FILTER($CL238:$CR238,$CL238:$CR238&gt;BN238))</f>
        <v>7.4266666666666667</v>
      </c>
      <c r="CU238" s="16">
        <f t="shared" ca="1" si="248"/>
        <v>1.0900562851782367</v>
      </c>
      <c r="CV238" s="20">
        <f t="shared" ca="1" si="249"/>
        <v>-0.54502814258911836</v>
      </c>
      <c r="CW238" s="20">
        <f t="shared" ca="1" si="250"/>
        <v>-0.36335209505941224</v>
      </c>
      <c r="CX238" s="20">
        <f t="shared" ca="1" si="251"/>
        <v>-0.21801125703564733</v>
      </c>
      <c r="CY238" s="20">
        <f t="shared" ca="1" si="252"/>
        <v>-0.12111736501980408</v>
      </c>
      <c r="CZ238" s="20">
        <f t="shared" ca="1" si="253"/>
        <v>-6.4120957951660978E-2</v>
      </c>
      <c r="DA238" s="20">
        <f t="shared" ca="1" si="254"/>
        <v>-3.3032008641764747E-2</v>
      </c>
      <c r="DB238" s="20">
        <f t="shared" ca="1" si="255"/>
        <v>-1.6770096695049797E-2</v>
      </c>
      <c r="DC238" s="21">
        <f t="shared" ca="1" si="256"/>
        <v>1.6770096695049797E-2</v>
      </c>
      <c r="DD238" s="21">
        <f t="shared" ca="1" si="257"/>
        <v>3.3032008641764747E-2</v>
      </c>
      <c r="DE238" s="21">
        <f t="shared" ca="1" si="258"/>
        <v>6.4120957951660978E-2</v>
      </c>
      <c r="DF238" s="21">
        <f t="shared" ca="1" si="259"/>
        <v>0.12111736501980408</v>
      </c>
      <c r="DG238" s="21">
        <f t="shared" ca="1" si="260"/>
        <v>0.21801125703564733</v>
      </c>
      <c r="DH238" s="21">
        <f t="shared" ca="1" si="261"/>
        <v>0.36335209505941224</v>
      </c>
      <c r="DI238" s="21">
        <f t="shared" ca="1" si="262"/>
        <v>0.54502814258911836</v>
      </c>
      <c r="DK238" s="16" cm="1">
        <f t="array" aca="1" ref="DK238" ca="1">MAX(_xlfn._xlws.FILTER(CV238:DI238,CV238:DI238&lt;BT238))</f>
        <v>1.6770096695049797E-2</v>
      </c>
      <c r="DL238" s="16" cm="1">
        <f t="array" aca="1" ref="DL238" ca="1">MIN(_xlfn._xlws.FILTER(CV238:DI238,CV238:DI238&gt;BT238))</f>
        <v>3.3032008641764747E-2</v>
      </c>
      <c r="DM238" s="2" cm="1">
        <f t="array" aca="1" ref="DM238" ca="1">_FV(EB238,"Fechamento anterior",TRUE)</f>
        <v>6.46</v>
      </c>
      <c r="DN238" s="28">
        <f t="shared" ca="1" si="235"/>
        <v>0.11104196751624341</v>
      </c>
      <c r="DO238" s="15">
        <f t="shared" ca="1" si="263"/>
        <v>6.5683348246500213</v>
      </c>
      <c r="DP238" s="15">
        <f t="shared" ca="1" si="264"/>
        <v>6.6733867758257999</v>
      </c>
      <c r="DQ238" s="9"/>
      <c r="DR238" s="9"/>
      <c r="DS238" s="9"/>
      <c r="DT238" s="89">
        <v>1.626191194671495E-2</v>
      </c>
      <c r="DU238" s="89">
        <f t="shared" ca="1" si="236"/>
        <v>1.626191194671495E-2</v>
      </c>
      <c r="DV238" s="72">
        <f t="shared" ca="1" si="237"/>
        <v>-0.43264496280084758</v>
      </c>
      <c r="DW238" s="37"/>
      <c r="DX238" s="35">
        <f t="shared" si="247"/>
        <v>0.24269322199023213</v>
      </c>
      <c r="DY238" s="56"/>
      <c r="DZ238" s="56"/>
      <c r="EB238" s="2" t="e" vm="240">
        <v>#VALUE!</v>
      </c>
      <c r="ED238" s="10" cm="1">
        <f t="array" aca="1" ref="ED238" ca="1">_FV(EB238,"Ações em circulação",TRUE)</f>
        <v>152644400</v>
      </c>
      <c r="EE238" s="18">
        <f>VLOOKUP(BO238,Fundamentus!A:U,5,FALSE)</f>
        <v>0.75800000000000001</v>
      </c>
      <c r="EF238" s="2">
        <f t="shared" ca="1" si="238"/>
        <v>1325066163.5883906</v>
      </c>
      <c r="EG238" s="17">
        <v>668893399.37941957</v>
      </c>
      <c r="EH238" s="17">
        <f t="shared" ca="1" si="239"/>
        <v>668893399.37941957</v>
      </c>
      <c r="EJ238" s="16">
        <f t="shared" ca="1" si="226"/>
        <v>0</v>
      </c>
      <c r="EK238" s="32" t="str">
        <f>IF(VLOOKUP(BO238,Fundamentus!A:U,3,FALSE)&lt;15,"Bom",IF(VLOOKUP(BO238,Fundamentus!A:U,3,FALSE)&gt;15,"Ruim","n/a"))</f>
        <v>Bom</v>
      </c>
      <c r="EL238" s="28" t="str">
        <f>IF(VLOOKUP(BO238,Fundamentus!A:U,4,FALSE)&lt;1,"Baixo",IF(VLOOKUP(BO238,Fundamentus!A:U,4,FALSE)&lt;1.5,"Moderado",IF(VLOOKUP(BO238,Fundamentus!A:U,4,FALSE)&gt;1.5,"Alto","n/a")))</f>
        <v>Baixo</v>
      </c>
      <c r="EM238" s="17" t="str">
        <f>IF(VLOOKUP(BO238,Fundamentus!A:U,8,FALSE)&lt;0,"Risco elevado",IF(VLOOKUP(BO238,Fundamentus!A:U,8,FALSE)&lt;1,"Saudável",IF(VLOOKUP(BO238,Fundamentus!A:U,8,FALSE)&lt;3,"Estável",IF(VLOOKUP(BO238,Fundamentus!A:U,8,FALSE)&gt;3,"Alerta","n/a"))))</f>
        <v>Estável</v>
      </c>
      <c r="EN238" s="28" t="str">
        <f t="shared" si="240"/>
        <v>Ruim</v>
      </c>
      <c r="EO238" s="17" t="str">
        <f>IF(VLOOKUP(BO238,Fundamentus!A:U,12,FALSE)&lt;2,"Subvalorizada",IF(VLOOKUP(BO238,Fundamentus!A:U,12,FALSE)&lt;6,"Muita barata",IF(VLOOKUP(BO238,Fundamentus!A:U,12,FALSE)&lt;6,"Barata",IF(VLOOKUP(BO238,Fundamentus!A:U,12,FALSE)&lt;8,"Atrativa",IF(VLOOKUP(BO238,Fundamentus!A:U,12,FALSE)&gt;8,"Supervalorizada","n/a")))))</f>
        <v>Muita barata</v>
      </c>
      <c r="EQ238" s="17" t="str">
        <f>IF(VLOOKUP(BO238,Fundamentus!A:U,17,FALSE)&lt;0.1,"Fraco retorno",IF(VLOOKUP(BO238,Fundamentus!A:U,17,FALSE)&gt;0.1,"Bom retorno","n/a"))</f>
        <v>Bom retorno</v>
      </c>
      <c r="ER238" s="17" t="str">
        <f>IF(VLOOKUP(BO238,Fundamentus!A:U,16,FALSE)&lt;0.1,"Ineficiente",IF(VLOOKUP(BO238,Fundamentus!A:U,16,FALSE)&gt;0.1,"Eficiente","n/a"))</f>
        <v>Eficiente</v>
      </c>
      <c r="ES238" s="33" t="str">
        <f>IF(VLOOKUP(BO238,Fundamentus!A:U,16,FALSE)&lt;0.1,"Oper. Ineficiente",IF(VLOOKUP(BO238,Fundamentus!A:U,16,FALSE)&gt;0.1,"Oper.Eficiente","n/a"))</f>
        <v>Oper.Eficiente</v>
      </c>
      <c r="ET238" s="34">
        <f>VLOOKUP(BO238,Fundamentus!A:U,14,FALSE)</f>
        <v>0.50480000000000003</v>
      </c>
      <c r="EU238" s="17" t="str">
        <f>IF(VLOOKUP(BO238,Fundamentus!A:U,21,FALSE)&lt;0,"Negativo",IF(VLOOKUP(BO238,Fundamentus!A:U,21,FALSE)&lt;0.05,"Fraco",IF(VLOOKUP(BO238,Fundamentus!A:U,21,FALSE)&lt;0.1,"Bom",IF(VLOOKUP(BO238,Fundamentus!A:U,21,FALSE)&gt;0.1,"Muito bom","n/a"))))</f>
        <v>Fraco</v>
      </c>
      <c r="EW238" s="29" t="str">
        <f>IF(VLOOKUP(BO238,Fundamentus!A:U,15,FALSE)&gt;1,"Bom",IF(VLOOKUP(BO238,Fundamentus!A:U,15,FALSE)&lt;1,"Ruim","n/a"))</f>
        <v>Bom</v>
      </c>
      <c r="EX238" s="17" t="str">
        <f>IF(VLOOKUP(BO238,Fundamentus!A:U,20,FALSE)&lt;0.5,"Baixa",IF(VLOOKUP(BO238,Fundamentus!A:U,20,FALSE)&lt;1,"Moderada",IF(VLOOKUP(BO238,Fundamentus!A:U,20,FALSE)&lt;2,"Alerta",IF(VLOOKUP(BO238,Fundamentus!A:U,20,FALSE)&gt;2,"Alta","n/a"))))</f>
        <v>Moderada</v>
      </c>
    </row>
    <row r="239" spans="1:154" s="2" customFormat="1" ht="11.25"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5">
        <v>6.15</v>
      </c>
      <c r="BC239" s="52">
        <v>5.49</v>
      </c>
      <c r="BD239" s="52">
        <v>5.07</v>
      </c>
      <c r="BE239" s="52">
        <v>5.29</v>
      </c>
      <c r="BF239" s="52">
        <v>5.92</v>
      </c>
      <c r="BG239" s="67">
        <v>5.76</v>
      </c>
      <c r="BH239" s="52">
        <v>5.86</v>
      </c>
      <c r="BI239" s="52">
        <v>5.92</v>
      </c>
      <c r="BJ239" s="52">
        <v>6.29</v>
      </c>
      <c r="BK239" s="52">
        <v>6.12</v>
      </c>
      <c r="BL239" s="52">
        <v>5.95</v>
      </c>
      <c r="BM239" s="52">
        <v>6.1</v>
      </c>
      <c r="BN239" s="52" cm="1">
        <f t="array" aca="1" ref="BN239" ca="1">_FV(EB239,"Preço")</f>
        <v>6.1</v>
      </c>
      <c r="BO239" s="69" t="s">
        <v>235</v>
      </c>
      <c r="BP239" s="36" cm="1">
        <f t="array" aca="1" ref="BP239" ca="1">_FV(EB239,"Média de volume",TRUE)</f>
        <v>12700040</v>
      </c>
      <c r="BQ239" s="36">
        <v>5658500</v>
      </c>
      <c r="BR239" s="36" cm="1">
        <f t="array" aca="1" ref="BR239" ca="1">_FV(EB239,"Volume")</f>
        <v>5658500</v>
      </c>
      <c r="BS239" s="24" cm="1">
        <f t="array" aca="1" ref="BS239" ca="1">_FV(EB239,"Beta")</f>
        <v>1.6511</v>
      </c>
      <c r="BT239" s="71" cm="1">
        <f t="array" aca="1" ref="BT239" ca="1">_FV(EB239,"Variação (%)",TRUE)</f>
        <v>3.2890000000000003E-3</v>
      </c>
      <c r="BV239" s="17" cm="1">
        <f t="array" aca="1" ref="BV239" ca="1">_FV(EB239,"Baixo")</f>
        <v>6</v>
      </c>
      <c r="BW239" s="17" cm="1">
        <f t="array" aca="1" ref="BW239" ca="1">_FV(EB239,"Alto")</f>
        <v>6.14</v>
      </c>
      <c r="BX239" s="24"/>
      <c r="BY239" s="60" t="e">
        <f ca="1">SQRT(22.5*(BN239/VLOOKUP(BO239,Fundamentus!A:U,3,FALSE))*(BN239/VLOOKUP(BO239,Fundamentus!A:U,4,FALSE)))</f>
        <v>#NUM!</v>
      </c>
      <c r="CA239" s="62">
        <f t="shared" ca="1" si="241"/>
        <v>0</v>
      </c>
      <c r="CB239" s="8"/>
      <c r="CC239" s="61">
        <f t="shared" si="242"/>
        <v>4.51</v>
      </c>
      <c r="CD239" s="61">
        <f t="shared" si="243"/>
        <v>8.0299999999999994</v>
      </c>
      <c r="CE239" s="61">
        <f t="shared" si="244"/>
        <v>6.2046923076923086</v>
      </c>
      <c r="CF239" s="14"/>
      <c r="CG239" s="35">
        <f t="shared" si="227"/>
        <v>5.6889605841361277</v>
      </c>
      <c r="CH239" s="15">
        <f t="shared" si="245"/>
        <v>5.9300000000000068</v>
      </c>
      <c r="CI239" s="35">
        <f t="shared" si="228"/>
        <v>6.1710394158638859</v>
      </c>
      <c r="CK239" s="14"/>
      <c r="CL239" s="17">
        <f t="shared" si="229"/>
        <v>0.77666666666666728</v>
      </c>
      <c r="CM239" s="17">
        <f t="shared" si="230"/>
        <v>2.6433333333333335</v>
      </c>
      <c r="CN239" s="17">
        <f t="shared" si="231"/>
        <v>4.2966666666666669</v>
      </c>
      <c r="CO239" s="38">
        <f t="shared" si="246"/>
        <v>6.1633333333333331</v>
      </c>
      <c r="CP239" s="17">
        <f t="shared" si="232"/>
        <v>7.8166666666666664</v>
      </c>
      <c r="CQ239" s="17">
        <f t="shared" si="233"/>
        <v>9.6833333333333336</v>
      </c>
      <c r="CR239" s="17">
        <f t="shared" si="234"/>
        <v>11.336666666666666</v>
      </c>
      <c r="CS239" s="2" cm="1">
        <f t="array" aca="1" ref="CS239" ca="1">MAX(_xlfn._xlws.FILTER(CL239:CR239,CL239:CR239&lt;BN239))</f>
        <v>4.2966666666666669</v>
      </c>
      <c r="CT239" s="2" cm="1">
        <f t="array" aca="1" ref="CT239" ca="1">MIN(_xlfn._xlws.FILTER($CL239:$CR239,$CL239:$CR239&gt;BN239))</f>
        <v>6.1633333333333331</v>
      </c>
      <c r="CU239" s="16">
        <f t="shared" ca="1" si="248"/>
        <v>0.43444530643910007</v>
      </c>
      <c r="CV239" s="20">
        <f t="shared" ca="1" si="249"/>
        <v>-0.21722265321955003</v>
      </c>
      <c r="CW239" s="20">
        <f t="shared" ca="1" si="250"/>
        <v>-0.1448151021463667</v>
      </c>
      <c r="CX239" s="20">
        <f t="shared" ca="1" si="251"/>
        <v>-8.6889061287820007E-2</v>
      </c>
      <c r="CY239" s="20">
        <f t="shared" ca="1" si="252"/>
        <v>-4.8271700715455564E-2</v>
      </c>
      <c r="CZ239" s="20">
        <f t="shared" ca="1" si="253"/>
        <v>-2.5555606261123534E-2</v>
      </c>
      <c r="DA239" s="20">
        <f t="shared" ca="1" si="254"/>
        <v>-1.3165009286033336E-2</v>
      </c>
      <c r="DB239" s="20">
        <f t="shared" ca="1" si="255"/>
        <v>-6.6837739452169243E-3</v>
      </c>
      <c r="DC239" s="21">
        <f t="shared" ca="1" si="256"/>
        <v>6.6837739452169243E-3</v>
      </c>
      <c r="DD239" s="21">
        <f t="shared" ca="1" si="257"/>
        <v>1.3165009286033336E-2</v>
      </c>
      <c r="DE239" s="21">
        <f t="shared" ca="1" si="258"/>
        <v>2.5555606261123534E-2</v>
      </c>
      <c r="DF239" s="21">
        <f t="shared" ca="1" si="259"/>
        <v>4.8271700715455564E-2</v>
      </c>
      <c r="DG239" s="21">
        <f t="shared" ca="1" si="260"/>
        <v>8.6889061287820007E-2</v>
      </c>
      <c r="DH239" s="21">
        <f t="shared" ca="1" si="261"/>
        <v>0.1448151021463667</v>
      </c>
      <c r="DI239" s="21">
        <f t="shared" ca="1" si="262"/>
        <v>0.21722265321955003</v>
      </c>
      <c r="DK239" s="16" cm="1">
        <f t="array" aca="1" ref="DK239" ca="1">MAX(_xlfn._xlws.FILTER(CV239:DI239,CV239:DI239&lt;BT239))</f>
        <v>-6.6837739452169243E-3</v>
      </c>
      <c r="DL239" s="16" cm="1">
        <f t="array" aca="1" ref="DL239" ca="1">MIN(_xlfn._xlws.FILTER(CV239:DI239,CV239:DI239&gt;BT239))</f>
        <v>6.6837739452169243E-3</v>
      </c>
      <c r="DM239" s="2" cm="1">
        <f t="array" aca="1" ref="DM239" ca="1">_FV(EB239,"Fechamento anterior",TRUE)</f>
        <v>6.08</v>
      </c>
      <c r="DN239" s="28">
        <f t="shared" ca="1" si="235"/>
        <v>0.74607906484961617</v>
      </c>
      <c r="DO239" s="15">
        <f t="shared" ca="1" si="263"/>
        <v>6.0393626544130807</v>
      </c>
      <c r="DP239" s="15">
        <f t="shared" ca="1" si="264"/>
        <v>6.1206373455869194</v>
      </c>
      <c r="DQ239" s="9"/>
      <c r="DR239" s="9"/>
      <c r="DS239" s="9"/>
      <c r="DT239" s="89">
        <v>1.3367547890433849E-2</v>
      </c>
      <c r="DU239" s="89">
        <f t="shared" ca="1" si="236"/>
        <v>1.3367547890433849E-2</v>
      </c>
      <c r="DV239" s="72">
        <f t="shared" ca="1" si="237"/>
        <v>0.70527884159823884</v>
      </c>
      <c r="DW239" s="37"/>
      <c r="DX239" s="35">
        <f t="shared" si="247"/>
        <v>0.12051970793193946</v>
      </c>
      <c r="DY239" s="56"/>
      <c r="DZ239" s="56"/>
      <c r="EB239" s="2" t="e" vm="241">
        <v>#VALUE!</v>
      </c>
      <c r="ED239" s="10" cm="1">
        <f t="array" aca="1" ref="ED239" ca="1">_FV(EB239,"Ações em circulação",TRUE)</f>
        <v>562826700</v>
      </c>
      <c r="EE239" s="18">
        <f>VLOOKUP(BO239,Fundamentus!A:U,5,FALSE)</f>
        <v>0.372</v>
      </c>
      <c r="EF239" s="2">
        <f t="shared" ca="1" si="238"/>
        <v>9229147500</v>
      </c>
      <c r="EG239" s="17">
        <v>-665421534.75</v>
      </c>
      <c r="EH239" s="17">
        <f t="shared" ca="1" si="239"/>
        <v>-665421534.75</v>
      </c>
      <c r="EJ239" s="16">
        <f t="shared" ca="1" si="226"/>
        <v>0</v>
      </c>
      <c r="EK239" s="32" t="str">
        <f>IF(VLOOKUP(BO239,Fundamentus!A:U,3,FALSE)&lt;15,"Bom",IF(VLOOKUP(BO239,Fundamentus!A:U,3,FALSE)&gt;15,"Ruim","n/a"))</f>
        <v>Bom</v>
      </c>
      <c r="EL239" s="28" t="str">
        <f>IF(VLOOKUP(BO239,Fundamentus!A:U,4,FALSE)&lt;1,"Baixo",IF(VLOOKUP(BO239,Fundamentus!A:U,4,FALSE)&lt;1.5,"Moderado",IF(VLOOKUP(BO239,Fundamentus!A:U,4,FALSE)&gt;1.5,"Alto","n/a")))</f>
        <v>Baixo</v>
      </c>
      <c r="EM239" s="17" t="str">
        <f>IF(VLOOKUP(BO239,Fundamentus!A:U,8,FALSE)&lt;0,"Risco elevado",IF(VLOOKUP(BO239,Fundamentus!A:U,8,FALSE)&lt;1,"Saudável",IF(VLOOKUP(BO239,Fundamentus!A:U,8,FALSE)&lt;3,"Estável",IF(VLOOKUP(BO239,Fundamentus!A:U,8,FALSE)&gt;3,"Alerta","n/a"))))</f>
        <v>Saudável</v>
      </c>
      <c r="EN239" s="28" t="str">
        <f t="shared" si="240"/>
        <v>Ruim</v>
      </c>
      <c r="EO239" s="17" t="str">
        <f>IF(VLOOKUP(BO239,Fundamentus!A:U,12,FALSE)&lt;2,"Subvalorizada",IF(VLOOKUP(BO239,Fundamentus!A:U,12,FALSE)&lt;6,"Muita barata",IF(VLOOKUP(BO239,Fundamentus!A:U,12,FALSE)&lt;6,"Barata",IF(VLOOKUP(BO239,Fundamentus!A:U,12,FALSE)&lt;8,"Atrativa",IF(VLOOKUP(BO239,Fundamentus!A:U,12,FALSE)&gt;8,"Supervalorizada","n/a")))))</f>
        <v>Supervalorizada</v>
      </c>
      <c r="EQ239" s="17" t="str">
        <f>IF(VLOOKUP(BO239,Fundamentus!A:U,17,FALSE)&lt;0.1,"Fraco retorno",IF(VLOOKUP(BO239,Fundamentus!A:U,17,FALSE)&gt;0.1,"Bom retorno","n/a"))</f>
        <v>Fraco retorno</v>
      </c>
      <c r="ER239" s="17" t="str">
        <f>IF(VLOOKUP(BO239,Fundamentus!A:U,16,FALSE)&lt;0.1,"Ineficiente",IF(VLOOKUP(BO239,Fundamentus!A:U,16,FALSE)&gt;0.1,"Eficiente","n/a"))</f>
        <v>Ineficiente</v>
      </c>
      <c r="ES239" s="33" t="str">
        <f>IF(VLOOKUP(BO239,Fundamentus!A:U,16,FALSE)&lt;0.1,"Oper. Ineficiente",IF(VLOOKUP(BO239,Fundamentus!A:U,16,FALSE)&gt;0.1,"Oper.Eficiente","n/a"))</f>
        <v>Oper. Ineficiente</v>
      </c>
      <c r="ET239" s="34">
        <f>VLOOKUP(BO239,Fundamentus!A:U,14,FALSE)</f>
        <v>-7.2099999999999997E-2</v>
      </c>
      <c r="EU239" s="17" t="str">
        <f>IF(VLOOKUP(BO239,Fundamentus!A:U,21,FALSE)&lt;0,"Negativo",IF(VLOOKUP(BO239,Fundamentus!A:U,21,FALSE)&lt;0.05,"Fraco",IF(VLOOKUP(BO239,Fundamentus!A:U,21,FALSE)&lt;0.1,"Bom",IF(VLOOKUP(BO239,Fundamentus!A:U,21,FALSE)&gt;0.1,"Muito bom","n/a"))))</f>
        <v>Bom</v>
      </c>
      <c r="EW239" s="29" t="str">
        <f>IF(VLOOKUP(BO239,Fundamentus!A:U,15,FALSE)&gt;1,"Bom",IF(VLOOKUP(BO239,Fundamentus!A:U,15,FALSE)&lt;1,"Ruim","n/a"))</f>
        <v>Bom</v>
      </c>
      <c r="EX239" s="17" t="str">
        <f>IF(VLOOKUP(BO239,Fundamentus!A:U,20,FALSE)&lt;0.5,"Baixa",IF(VLOOKUP(BO239,Fundamentus!A:U,20,FALSE)&lt;1,"Moderada",IF(VLOOKUP(BO239,Fundamentus!A:U,20,FALSE)&lt;2,"Alerta",IF(VLOOKUP(BO239,Fundamentus!A:U,20,FALSE)&gt;2,"Alta","n/a"))))</f>
        <v>Alerta</v>
      </c>
    </row>
    <row r="240" spans="1:154" s="2" customFormat="1" ht="11.25"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5">
        <v>7.68</v>
      </c>
      <c r="BC240" s="52">
        <v>6.86</v>
      </c>
      <c r="BD240" s="52">
        <v>6.62</v>
      </c>
      <c r="BE240" s="52">
        <v>6.95</v>
      </c>
      <c r="BF240" s="52">
        <v>6.59</v>
      </c>
      <c r="BG240" s="67">
        <v>7.72</v>
      </c>
      <c r="BH240" s="52">
        <v>8.27</v>
      </c>
      <c r="BI240" s="52">
        <v>7.11</v>
      </c>
      <c r="BJ240" s="52">
        <v>6.84</v>
      </c>
      <c r="BK240" s="52">
        <v>6.25</v>
      </c>
      <c r="BL240" s="52">
        <v>6.35</v>
      </c>
      <c r="BM240" s="52">
        <v>6.37</v>
      </c>
      <c r="BN240" s="52" cm="1">
        <f t="array" aca="1" ref="BN240" ca="1">_FV(EB240,"Preço")</f>
        <v>6.37</v>
      </c>
      <c r="BO240" s="69" t="s">
        <v>236</v>
      </c>
      <c r="BP240" s="36" cm="1">
        <f t="array" aca="1" ref="BP240" ca="1">_FV(EB240,"Média de volume",TRUE)</f>
        <v>5186600</v>
      </c>
      <c r="BQ240" s="36">
        <v>3172200</v>
      </c>
      <c r="BR240" s="36" cm="1">
        <f t="array" aca="1" ref="BR240" ca="1">_FV(EB240,"Volume")</f>
        <v>3172200</v>
      </c>
      <c r="BS240" s="24" cm="1">
        <f t="array" aca="1" ref="BS240" ca="1">_FV(EB240,"Beta")</f>
        <v>1.4913000000000001</v>
      </c>
      <c r="BT240" s="71" cm="1">
        <f t="array" aca="1" ref="BT240" ca="1">_FV(EB240,"Variação (%)",TRUE)</f>
        <v>2.2471999999999999E-2</v>
      </c>
      <c r="BV240" s="17" cm="1">
        <f t="array" aca="1" ref="BV240" ca="1">_FV(EB240,"Baixo")</f>
        <v>6.17</v>
      </c>
      <c r="BW240" s="17" cm="1">
        <f t="array" aca="1" ref="BW240" ca="1">_FV(EB240,"Alto")</f>
        <v>6.45</v>
      </c>
      <c r="BX240" s="24"/>
      <c r="BY240" s="63">
        <f ca="1">SQRT(22.5*(BN240/VLOOKUP(BO240,Fundamentus!A:U,3,FALSE))*(BN240/VLOOKUP(BO240,Fundamentus!A:U,4,FALSE)))</f>
        <v>11.422694129515619</v>
      </c>
      <c r="CA240" s="62">
        <f t="shared" ca="1" si="241"/>
        <v>0</v>
      </c>
      <c r="CB240" s="8"/>
      <c r="CC240" s="61">
        <f t="shared" si="242"/>
        <v>3.34</v>
      </c>
      <c r="CD240" s="61">
        <f t="shared" si="243"/>
        <v>8.27</v>
      </c>
      <c r="CE240" s="61">
        <f t="shared" si="244"/>
        <v>5.9136153846153841</v>
      </c>
      <c r="CF240" s="14"/>
      <c r="CG240" s="35">
        <f t="shared" si="227"/>
        <v>5.6684093737274059</v>
      </c>
      <c r="CH240" s="15">
        <f t="shared" si="245"/>
        <v>6.125</v>
      </c>
      <c r="CI240" s="35">
        <f t="shared" si="228"/>
        <v>6.5815906262725941</v>
      </c>
      <c r="CK240" s="14"/>
      <c r="CL240" s="17">
        <f t="shared" si="229"/>
        <v>-1.2266666666666648</v>
      </c>
      <c r="CM240" s="17">
        <f t="shared" si="230"/>
        <v>1.0566666666666675</v>
      </c>
      <c r="CN240" s="17">
        <f t="shared" si="231"/>
        <v>3.7033333333333349</v>
      </c>
      <c r="CO240" s="38">
        <f t="shared" si="246"/>
        <v>5.9866666666666672</v>
      </c>
      <c r="CP240" s="17">
        <f t="shared" si="232"/>
        <v>8.6333333333333346</v>
      </c>
      <c r="CQ240" s="17">
        <f t="shared" si="233"/>
        <v>10.916666666666668</v>
      </c>
      <c r="CR240" s="17">
        <f t="shared" si="234"/>
        <v>13.563333333333334</v>
      </c>
      <c r="CS240" s="2" cm="1">
        <f t="array" aca="1" ref="CS240" ca="1">MAX(_xlfn._xlws.FILTER(CL240:CR240,CL240:CR240&lt;BN240))</f>
        <v>5.9866666666666672</v>
      </c>
      <c r="CT240" s="2" cm="1">
        <f t="array" aca="1" ref="CT240" ca="1">MIN(_xlfn._xlws.FILTER($CL240:$CR240,$CL240:$CR240&gt;BN240))</f>
        <v>8.6333333333333346</v>
      </c>
      <c r="CU240" s="16">
        <f t="shared" ca="1" si="248"/>
        <v>0.44209354120267275</v>
      </c>
      <c r="CV240" s="20">
        <f t="shared" ca="1" si="249"/>
        <v>-0.22104677060133637</v>
      </c>
      <c r="CW240" s="20">
        <f t="shared" ca="1" si="250"/>
        <v>-0.14736451373422424</v>
      </c>
      <c r="CX240" s="20">
        <f t="shared" ca="1" si="251"/>
        <v>-8.8418708240534549E-2</v>
      </c>
      <c r="CY240" s="20">
        <f t="shared" ca="1" si="252"/>
        <v>-4.9121504578074751E-2</v>
      </c>
      <c r="CZ240" s="20">
        <f t="shared" ca="1" si="253"/>
        <v>-2.6005502423686631E-2</v>
      </c>
      <c r="DA240" s="20">
        <f t="shared" ca="1" si="254"/>
        <v>-1.3396773975838569E-2</v>
      </c>
      <c r="DB240" s="20">
        <f t="shared" ca="1" si="255"/>
        <v>-6.8014390954257344E-3</v>
      </c>
      <c r="DC240" s="21">
        <f t="shared" ca="1" si="256"/>
        <v>6.8014390954257344E-3</v>
      </c>
      <c r="DD240" s="21">
        <f t="shared" ca="1" si="257"/>
        <v>1.3396773975838569E-2</v>
      </c>
      <c r="DE240" s="21">
        <f t="shared" ca="1" si="258"/>
        <v>2.6005502423686631E-2</v>
      </c>
      <c r="DF240" s="21">
        <f t="shared" ca="1" si="259"/>
        <v>4.9121504578074751E-2</v>
      </c>
      <c r="DG240" s="21">
        <f t="shared" ca="1" si="260"/>
        <v>8.8418708240534549E-2</v>
      </c>
      <c r="DH240" s="21">
        <f t="shared" ca="1" si="261"/>
        <v>0.14736451373422424</v>
      </c>
      <c r="DI240" s="21">
        <f t="shared" ca="1" si="262"/>
        <v>0.22104677060133637</v>
      </c>
      <c r="DK240" s="16" cm="1">
        <f t="array" aca="1" ref="DK240" ca="1">MAX(_xlfn._xlws.FILTER(CV240:DI240,CV240:DI240&lt;BT240))</f>
        <v>1.3396773975838569E-2</v>
      </c>
      <c r="DL240" s="16" cm="1">
        <f t="array" aca="1" ref="DL240" ca="1">MIN(_xlfn._xlws.FILTER(CV240:DI240,CV240:DI240&gt;BT240))</f>
        <v>2.6005502423686631E-2</v>
      </c>
      <c r="DM240" s="2" cm="1">
        <f t="array" aca="1" ref="DM240" ca="1">_FV(EB240,"Fechamento anterior",TRUE)</f>
        <v>6.23</v>
      </c>
      <c r="DN240" s="28">
        <f t="shared" ca="1" si="235"/>
        <v>0.71975030424815034</v>
      </c>
      <c r="DO240" s="15">
        <f t="shared" ca="1" si="263"/>
        <v>6.3134619018694744</v>
      </c>
      <c r="DP240" s="15">
        <f t="shared" ca="1" si="264"/>
        <v>6.3920142800995681</v>
      </c>
      <c r="DQ240" s="9"/>
      <c r="DR240" s="9"/>
      <c r="DS240" s="9"/>
      <c r="DT240" s="89">
        <v>1.2608728447848062E-2</v>
      </c>
      <c r="DU240" s="89">
        <f t="shared" ca="1" si="236"/>
        <v>1.2608728447848062E-2</v>
      </c>
      <c r="DV240" s="72">
        <f t="shared" ca="1" si="237"/>
        <v>0.53658569822178093</v>
      </c>
      <c r="DW240" s="37"/>
      <c r="DX240" s="35">
        <f t="shared" si="247"/>
        <v>0.2282953131362972</v>
      </c>
      <c r="DY240" s="56"/>
      <c r="DZ240" s="56"/>
      <c r="EB240" s="2" t="e" vm="242">
        <v>#VALUE!</v>
      </c>
      <c r="ED240" s="10" cm="1">
        <f t="array" aca="1" ref="ED240" ca="1">_FV(EB240,"Ações em circulação",TRUE)</f>
        <v>347931500</v>
      </c>
      <c r="EE240" s="18">
        <f>VLOOKUP(BO240,Fundamentus!A:U,5,FALSE)</f>
        <v>0.155</v>
      </c>
      <c r="EF240" s="2">
        <f t="shared" ca="1" si="238"/>
        <v>14298862290.32258</v>
      </c>
      <c r="EG240" s="17">
        <v>265958838.59999996</v>
      </c>
      <c r="EH240" s="17">
        <f t="shared" ca="1" si="239"/>
        <v>265958838.59999996</v>
      </c>
      <c r="EJ240" s="16">
        <f t="shared" ca="1" si="226"/>
        <v>0</v>
      </c>
      <c r="EK240" s="32" t="str">
        <f>IF(VLOOKUP(BO240,Fundamentus!A:U,3,FALSE)&lt;15,"Bom",IF(VLOOKUP(BO240,Fundamentus!A:U,3,FALSE)&gt;15,"Ruim","n/a"))</f>
        <v>Bom</v>
      </c>
      <c r="EL240" s="28" t="str">
        <f>IF(VLOOKUP(BO240,Fundamentus!A:U,4,FALSE)&lt;1,"Baixo",IF(VLOOKUP(BO240,Fundamentus!A:U,4,FALSE)&lt;1.5,"Moderado",IF(VLOOKUP(BO240,Fundamentus!A:U,4,FALSE)&gt;1.5,"Alto","n/a")))</f>
        <v>Baixo</v>
      </c>
      <c r="EM240" s="17" t="str">
        <f>IF(VLOOKUP(BO240,Fundamentus!A:U,8,FALSE)&lt;0,"Risco elevado",IF(VLOOKUP(BO240,Fundamentus!A:U,8,FALSE)&lt;1,"Saudável",IF(VLOOKUP(BO240,Fundamentus!A:U,8,FALSE)&lt;3,"Estável",IF(VLOOKUP(BO240,Fundamentus!A:U,8,FALSE)&gt;3,"Alerta","n/a"))))</f>
        <v>Risco elevado</v>
      </c>
      <c r="EN240" s="28" t="str">
        <f t="shared" si="240"/>
        <v>Ruim</v>
      </c>
      <c r="EO240" s="17" t="str">
        <f>IF(VLOOKUP(BO240,Fundamentus!A:U,12,FALSE)&lt;2,"Subvalorizada",IF(VLOOKUP(BO240,Fundamentus!A:U,12,FALSE)&lt;6,"Muita barata",IF(VLOOKUP(BO240,Fundamentus!A:U,12,FALSE)&lt;6,"Barata",IF(VLOOKUP(BO240,Fundamentus!A:U,12,FALSE)&lt;8,"Atrativa",IF(VLOOKUP(BO240,Fundamentus!A:U,12,FALSE)&gt;8,"Supervalorizada","n/a")))))</f>
        <v>Muita barata</v>
      </c>
      <c r="EQ240" s="17" t="str">
        <f>IF(VLOOKUP(BO240,Fundamentus!A:U,17,FALSE)&lt;0.1,"Fraco retorno",IF(VLOOKUP(BO240,Fundamentus!A:U,17,FALSE)&gt;0.1,"Bom retorno","n/a"))</f>
        <v>Bom retorno</v>
      </c>
      <c r="ER240" s="17" t="str">
        <f>IF(VLOOKUP(BO240,Fundamentus!A:U,16,FALSE)&lt;0.1,"Ineficiente",IF(VLOOKUP(BO240,Fundamentus!A:U,16,FALSE)&gt;0.1,"Eficiente","n/a"))</f>
        <v>Eficiente</v>
      </c>
      <c r="ES240" s="33" t="str">
        <f>IF(VLOOKUP(BO240,Fundamentus!A:U,16,FALSE)&lt;0.1,"Oper. Ineficiente",IF(VLOOKUP(BO240,Fundamentus!A:U,16,FALSE)&gt;0.1,"Oper.Eficiente","n/a"))</f>
        <v>Oper.Eficiente</v>
      </c>
      <c r="ET240" s="34">
        <f>VLOOKUP(BO240,Fundamentus!A:U,14,FALSE)</f>
        <v>1.8599999999999998E-2</v>
      </c>
      <c r="EU240" s="17" t="str">
        <f>IF(VLOOKUP(BO240,Fundamentus!A:U,21,FALSE)&lt;0,"Negativo",IF(VLOOKUP(BO240,Fundamentus!A:U,21,FALSE)&lt;0.05,"Fraco",IF(VLOOKUP(BO240,Fundamentus!A:U,21,FALSE)&lt;0.1,"Bom",IF(VLOOKUP(BO240,Fundamentus!A:U,21,FALSE)&gt;0.1,"Muito bom","n/a"))))</f>
        <v>Muito bom</v>
      </c>
      <c r="EW240" s="29" t="str">
        <f>IF(VLOOKUP(BO240,Fundamentus!A:U,15,FALSE)&gt;1,"Bom",IF(VLOOKUP(BO240,Fundamentus!A:U,15,FALSE)&lt;1,"Ruim","n/a"))</f>
        <v>Ruim</v>
      </c>
      <c r="EX240" s="17" t="str">
        <f>IF(VLOOKUP(BO240,Fundamentus!A:U,20,FALSE)&lt;0.5,"Baixa",IF(VLOOKUP(BO240,Fundamentus!A:U,20,FALSE)&lt;1,"Moderada",IF(VLOOKUP(BO240,Fundamentus!A:U,20,FALSE)&lt;2,"Alerta",IF(VLOOKUP(BO240,Fundamentus!A:U,20,FALSE)&gt;2,"Alta","n/a"))))</f>
        <v>Alta</v>
      </c>
    </row>
    <row r="241" spans="1:154" s="2" customFormat="1" ht="11.25"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5">
        <v>0.95</v>
      </c>
      <c r="BC241" s="52">
        <v>0.92</v>
      </c>
      <c r="BD241" s="52">
        <v>0.76</v>
      </c>
      <c r="BE241" s="52">
        <v>0.71</v>
      </c>
      <c r="BF241" s="52">
        <v>0.73</v>
      </c>
      <c r="BG241" s="67">
        <v>0.69</v>
      </c>
      <c r="BH241" s="52">
        <v>0.63</v>
      </c>
      <c r="BI241" s="52">
        <v>0.59</v>
      </c>
      <c r="BJ241" s="52">
        <v>0.54</v>
      </c>
      <c r="BK241" s="52">
        <v>0.64</v>
      </c>
      <c r="BL241" s="52">
        <v>0.56000000000000005</v>
      </c>
      <c r="BM241" s="52">
        <v>0.55000000000000004</v>
      </c>
      <c r="BN241" s="52" cm="1">
        <f t="array" aca="1" ref="BN241" ca="1">_FV(EB241,"Preço")</f>
        <v>0.55000000000000004</v>
      </c>
      <c r="BO241" s="69" t="s">
        <v>237</v>
      </c>
      <c r="BP241" s="36" cm="1">
        <f t="array" aca="1" ref="BP241" ca="1">_FV(EB241,"Média de volume",TRUE)</f>
        <v>2103020</v>
      </c>
      <c r="BQ241" s="36">
        <v>989000</v>
      </c>
      <c r="BR241" s="36" cm="1">
        <f t="array" aca="1" ref="BR241" ca="1">_FV(EB241,"Volume")</f>
        <v>989000</v>
      </c>
      <c r="BS241" s="24" cm="1">
        <f t="array" aca="1" ref="BS241" ca="1">_FV(EB241,"Beta")</f>
        <v>1.0755999999999999</v>
      </c>
      <c r="BT241" s="71" cm="1">
        <f t="array" aca="1" ref="BT241" ca="1">_FV(EB241,"Variação (%)",TRUE)</f>
        <v>-1.7857000000000001E-2</v>
      </c>
      <c r="BV241" s="17" cm="1">
        <f t="array" aca="1" ref="BV241" ca="1">_FV(EB241,"Baixo")</f>
        <v>0.55000000000000004</v>
      </c>
      <c r="BW241" s="17" cm="1">
        <f t="array" aca="1" ref="BW241" ca="1">_FV(EB241,"Alto")</f>
        <v>0.56999999999999995</v>
      </c>
      <c r="BX241" s="24"/>
      <c r="BY241" s="63" t="e">
        <f ca="1">SQRT(22.5*(BN241/VLOOKUP(BO241,Fundamentus!A:U,3,FALSE))*(BN241/VLOOKUP(BO241,Fundamentus!A:U,4,FALSE)))</f>
        <v>#NUM!</v>
      </c>
      <c r="CA241" s="62">
        <f t="shared" ca="1" si="241"/>
        <v>0</v>
      </c>
      <c r="CB241" s="8"/>
      <c r="CC241" s="61">
        <f t="shared" si="242"/>
        <v>0.54</v>
      </c>
      <c r="CD241" s="61">
        <f t="shared" si="243"/>
        <v>1.7</v>
      </c>
      <c r="CE241" s="61">
        <f t="shared" si="244"/>
        <v>1.1036153846153849</v>
      </c>
      <c r="CF241" s="14"/>
      <c r="CG241" s="35">
        <f t="shared" si="227"/>
        <v>0.48078510241122091</v>
      </c>
      <c r="CH241" s="15">
        <f t="shared" si="245"/>
        <v>0.55999999999999517</v>
      </c>
      <c r="CI241" s="35">
        <f t="shared" si="228"/>
        <v>0.63921489758876948</v>
      </c>
      <c r="CK241" s="14"/>
      <c r="CL241" s="17">
        <f t="shared" si="229"/>
        <v>-0.99333333333333296</v>
      </c>
      <c r="CM241" s="17">
        <f t="shared" si="230"/>
        <v>-0.22666666666666646</v>
      </c>
      <c r="CN241" s="17">
        <f t="shared" si="231"/>
        <v>0.16666666666666696</v>
      </c>
      <c r="CO241" s="38">
        <f t="shared" si="246"/>
        <v>0.93333333333333346</v>
      </c>
      <c r="CP241" s="17">
        <f t="shared" si="232"/>
        <v>1.3266666666666669</v>
      </c>
      <c r="CQ241" s="17">
        <f t="shared" si="233"/>
        <v>2.0933333333333333</v>
      </c>
      <c r="CR241" s="17">
        <f t="shared" si="234"/>
        <v>2.4866666666666668</v>
      </c>
      <c r="CS241" s="2" cm="1">
        <f t="array" aca="1" ref="CS241" ca="1">MAX(_xlfn._xlws.FILTER(CL241:CR241,CL241:CR241&lt;BN241))</f>
        <v>0.16666666666666696</v>
      </c>
      <c r="CT241" s="2" cm="1">
        <f t="array" aca="1" ref="CT241" ca="1">MIN(_xlfn._xlws.FILTER($CL241:$CR241,$CL241:$CR241&gt;BN241))</f>
        <v>0.93333333333333346</v>
      </c>
      <c r="CU241" s="16">
        <f t="shared" ca="1" si="248"/>
        <v>4.5999999999999908</v>
      </c>
      <c r="CV241" s="20">
        <f t="shared" ca="1" si="249"/>
        <v>-2.2999999999999954</v>
      </c>
      <c r="CW241" s="20">
        <f t="shared" ca="1" si="250"/>
        <v>-1.5333333333333303</v>
      </c>
      <c r="CX241" s="20">
        <f t="shared" ca="1" si="251"/>
        <v>-0.91999999999999815</v>
      </c>
      <c r="CY241" s="20">
        <f t="shared" ca="1" si="252"/>
        <v>-0.51111111111111007</v>
      </c>
      <c r="CZ241" s="20">
        <f t="shared" ca="1" si="253"/>
        <v>-0.27058823529411713</v>
      </c>
      <c r="DA241" s="20">
        <f t="shared" ca="1" si="254"/>
        <v>-0.13939393939393913</v>
      </c>
      <c r="DB241" s="20">
        <f t="shared" ca="1" si="255"/>
        <v>-7.0769230769230626E-2</v>
      </c>
      <c r="DC241" s="21">
        <f t="shared" ca="1" si="256"/>
        <v>7.0769230769230626E-2</v>
      </c>
      <c r="DD241" s="21">
        <f t="shared" ca="1" si="257"/>
        <v>0.13939393939393913</v>
      </c>
      <c r="DE241" s="21">
        <f t="shared" ca="1" si="258"/>
        <v>0.27058823529411713</v>
      </c>
      <c r="DF241" s="21">
        <f t="shared" ca="1" si="259"/>
        <v>0.51111111111111007</v>
      </c>
      <c r="DG241" s="21">
        <f t="shared" ca="1" si="260"/>
        <v>0.91999999999999815</v>
      </c>
      <c r="DH241" s="21">
        <f t="shared" ca="1" si="261"/>
        <v>1.5333333333333303</v>
      </c>
      <c r="DI241" s="21">
        <f t="shared" ca="1" si="262"/>
        <v>2.2999999999999954</v>
      </c>
      <c r="DK241" s="16" cm="1">
        <f t="array" aca="1" ref="DK241" ca="1">MAX(_xlfn._xlws.FILTER(CV241:DI241,CV241:DI241&lt;BT241))</f>
        <v>-7.0769230769230626E-2</v>
      </c>
      <c r="DL241" s="16" cm="1">
        <f t="array" aca="1" ref="DL241" ca="1">MIN(_xlfn._xlws.FILTER(CV241:DI241,CV241:DI241&gt;BT241))</f>
        <v>7.0769230769230626E-2</v>
      </c>
      <c r="DM241" s="2" cm="1">
        <f t="array" aca="1" ref="DM241" ca="1">_FV(EB241,"Fechamento anterior",TRUE)</f>
        <v>0.56000000000000005</v>
      </c>
      <c r="DN241" s="28">
        <f t="shared" ca="1" si="235"/>
        <v>0.37383540372670765</v>
      </c>
      <c r="DO241" s="15">
        <f t="shared" ca="1" si="263"/>
        <v>0.52036923076923092</v>
      </c>
      <c r="DP241" s="15">
        <f t="shared" ca="1" si="264"/>
        <v>0.59963076923076919</v>
      </c>
      <c r="DQ241" s="9"/>
      <c r="DR241" s="9"/>
      <c r="DS241" s="9"/>
      <c r="DT241" s="89">
        <v>0.14153846153846125</v>
      </c>
      <c r="DU241" s="89">
        <f t="shared" ca="1" si="236"/>
        <v>0.14153846153846125</v>
      </c>
      <c r="DV241" s="72">
        <f t="shared" ca="1" si="237"/>
        <v>-0.12623888061949914</v>
      </c>
      <c r="DW241" s="37"/>
      <c r="DX241" s="35">
        <f t="shared" si="247"/>
        <v>3.9607448794387136E-2</v>
      </c>
      <c r="DY241" s="56"/>
      <c r="DZ241" s="56"/>
      <c r="EB241" s="2" t="e" vm="243">
        <v>#VALUE!</v>
      </c>
      <c r="ED241" s="10" cm="1">
        <f t="array" aca="1" ref="ED241" ca="1">_FV(EB241,"Ações em circulação",TRUE)</f>
        <v>592753700</v>
      </c>
      <c r="EE241" s="18">
        <f>VLOOKUP(BO241,Fundamentus!A:U,5,FALSE)</f>
        <v>2.16</v>
      </c>
      <c r="EF241" s="2">
        <f t="shared" ca="1" si="238"/>
        <v>150932655.0925926</v>
      </c>
      <c r="EG241" s="17">
        <v>-258411798.78402779</v>
      </c>
      <c r="EH241" s="17">
        <f t="shared" ca="1" si="239"/>
        <v>-258411798.78402779</v>
      </c>
      <c r="EJ241" s="16">
        <f t="shared" ca="1" si="226"/>
        <v>0</v>
      </c>
      <c r="EK241" s="32" t="str">
        <f>IF(VLOOKUP(BO241,Fundamentus!A:U,3,FALSE)&lt;15,"Bom",IF(VLOOKUP(BO241,Fundamentus!A:U,3,FALSE)&gt;15,"Ruim","n/a"))</f>
        <v>Bom</v>
      </c>
      <c r="EL241" s="28" t="str">
        <f>IF(VLOOKUP(BO241,Fundamentus!A:U,4,FALSE)&lt;1,"Baixo",IF(VLOOKUP(BO241,Fundamentus!A:U,4,FALSE)&lt;1.5,"Moderado",IF(VLOOKUP(BO241,Fundamentus!A:U,4,FALSE)&gt;1.5,"Alto","n/a")))</f>
        <v>Baixo</v>
      </c>
      <c r="EM241" s="17" t="str">
        <f>IF(VLOOKUP(BO241,Fundamentus!A:U,8,FALSE)&lt;0,"Risco elevado",IF(VLOOKUP(BO241,Fundamentus!A:U,8,FALSE)&lt;1,"Saudável",IF(VLOOKUP(BO241,Fundamentus!A:U,8,FALSE)&lt;3,"Estável",IF(VLOOKUP(BO241,Fundamentus!A:U,8,FALSE)&gt;3,"Alerta","n/a"))))</f>
        <v>Risco elevado</v>
      </c>
      <c r="EN241" s="28" t="str">
        <f t="shared" si="240"/>
        <v>Bom</v>
      </c>
      <c r="EO241" s="17" t="str">
        <f>IF(VLOOKUP(BO241,Fundamentus!A:U,12,FALSE)&lt;2,"Subvalorizada",IF(VLOOKUP(BO241,Fundamentus!A:U,12,FALSE)&lt;6,"Muita barata",IF(VLOOKUP(BO241,Fundamentus!A:U,12,FALSE)&lt;6,"Barata",IF(VLOOKUP(BO241,Fundamentus!A:U,12,FALSE)&lt;8,"Atrativa",IF(VLOOKUP(BO241,Fundamentus!A:U,12,FALSE)&gt;8,"Supervalorizada","n/a")))))</f>
        <v>Subvalorizada</v>
      </c>
      <c r="EQ241" s="17" t="str">
        <f>IF(VLOOKUP(BO241,Fundamentus!A:U,17,FALSE)&lt;0.1,"Fraco retorno",IF(VLOOKUP(BO241,Fundamentus!A:U,17,FALSE)&gt;0.1,"Bom retorno","n/a"))</f>
        <v>Fraco retorno</v>
      </c>
      <c r="ER241" s="17" t="str">
        <f>IF(VLOOKUP(BO241,Fundamentus!A:U,16,FALSE)&lt;0.1,"Ineficiente",IF(VLOOKUP(BO241,Fundamentus!A:U,16,FALSE)&gt;0.1,"Eficiente","n/a"))</f>
        <v>Ineficiente</v>
      </c>
      <c r="ES241" s="33" t="str">
        <f>IF(VLOOKUP(BO241,Fundamentus!A:U,16,FALSE)&lt;0.1,"Oper. Ineficiente",IF(VLOOKUP(BO241,Fundamentus!A:U,16,FALSE)&gt;0.1,"Oper.Eficiente","n/a"))</f>
        <v>Oper. Ineficiente</v>
      </c>
      <c r="ET241" s="34">
        <f>VLOOKUP(BO241,Fundamentus!A:U,14,FALSE)</f>
        <v>-1.7121</v>
      </c>
      <c r="EU241" s="17" t="str">
        <f>IF(VLOOKUP(BO241,Fundamentus!A:U,21,FALSE)&lt;0,"Negativo",IF(VLOOKUP(BO241,Fundamentus!A:U,21,FALSE)&lt;0.05,"Fraco",IF(VLOOKUP(BO241,Fundamentus!A:U,21,FALSE)&lt;0.1,"Bom",IF(VLOOKUP(BO241,Fundamentus!A:U,21,FALSE)&gt;0.1,"Muito bom","n/a"))))</f>
        <v>Muito bom</v>
      </c>
      <c r="EW241" s="29" t="str">
        <f>IF(VLOOKUP(BO241,Fundamentus!A:U,15,FALSE)&gt;1,"Bom",IF(VLOOKUP(BO241,Fundamentus!A:U,15,FALSE)&lt;1,"Ruim","n/a"))</f>
        <v>Ruim</v>
      </c>
      <c r="EX241" s="17" t="str">
        <f>IF(VLOOKUP(BO241,Fundamentus!A:U,20,FALSE)&lt;0.5,"Baixa",IF(VLOOKUP(BO241,Fundamentus!A:U,20,FALSE)&lt;1,"Moderada",IF(VLOOKUP(BO241,Fundamentus!A:U,20,FALSE)&lt;2,"Alerta",IF(VLOOKUP(BO241,Fundamentus!A:U,20,FALSE)&gt;2,"Alta","n/a"))))</f>
        <v>Baixa</v>
      </c>
    </row>
    <row r="242" spans="1:154" s="2" customFormat="1" ht="11.25"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5">
        <v>9.6300000000000008</v>
      </c>
      <c r="BC242" s="52">
        <v>9.27</v>
      </c>
      <c r="BD242" s="52">
        <v>8.84</v>
      </c>
      <c r="BE242" s="52">
        <v>8.25</v>
      </c>
      <c r="BF242" s="52">
        <v>8.23</v>
      </c>
      <c r="BG242" s="67">
        <v>7.94</v>
      </c>
      <c r="BH242" s="52">
        <v>7.87</v>
      </c>
      <c r="BI242" s="52">
        <v>7.5</v>
      </c>
      <c r="BJ242" s="52">
        <v>8.2100000000000009</v>
      </c>
      <c r="BK242" s="52">
        <v>8.24</v>
      </c>
      <c r="BL242" s="52">
        <v>7.82</v>
      </c>
      <c r="BM242" s="52">
        <v>8.3699999999999992</v>
      </c>
      <c r="BN242" s="52" cm="1">
        <f t="array" aca="1" ref="BN242" ca="1">_FV(EB242,"Preço")</f>
        <v>8.3699999999999992</v>
      </c>
      <c r="BO242" s="69" t="s">
        <v>238</v>
      </c>
      <c r="BP242" s="36" cm="1">
        <f t="array" aca="1" ref="BP242" ca="1">_FV(EB242,"Média de volume",TRUE)</f>
        <v>9147700</v>
      </c>
      <c r="BQ242" s="36">
        <v>7494100</v>
      </c>
      <c r="BR242" s="36" cm="1">
        <f t="array" aca="1" ref="BR242" ca="1">_FV(EB242,"Volume")</f>
        <v>7494100</v>
      </c>
      <c r="BS242" s="24" cm="1">
        <f t="array" aca="1" ref="BS242" ca="1">_FV(EB242,"Beta")</f>
        <v>1.3823000000000001</v>
      </c>
      <c r="BT242" s="71" cm="1">
        <f t="array" aca="1" ref="BT242" ca="1">_FV(EB242,"Variação (%)",TRUE)</f>
        <v>-2.1053000000000002E-2</v>
      </c>
      <c r="BV242" s="17" cm="1">
        <f t="array" aca="1" ref="BV242" ca="1">_FV(EB242,"Baixo")</f>
        <v>8.2799999999999994</v>
      </c>
      <c r="BW242" s="17" cm="1">
        <f t="array" aca="1" ref="BW242" ca="1">_FV(EB242,"Alto")</f>
        <v>8.5500000000000007</v>
      </c>
      <c r="BX242" s="24"/>
      <c r="BY242" s="63" t="e">
        <f ca="1">SQRT(22.5*(BN242/VLOOKUP(BO242,Fundamentus!A:U,3,FALSE))*(BN242/VLOOKUP(BO242,Fundamentus!A:U,4,FALSE)))</f>
        <v>#NUM!</v>
      </c>
      <c r="CA242" s="62">
        <f t="shared" ca="1" si="241"/>
        <v>0</v>
      </c>
      <c r="CB242" s="8"/>
      <c r="CC242" s="61">
        <f t="shared" si="242"/>
        <v>7.5</v>
      </c>
      <c r="CD242" s="61">
        <f t="shared" si="243"/>
        <v>14.25</v>
      </c>
      <c r="CE242" s="61">
        <f t="shared" si="244"/>
        <v>10.437153846153846</v>
      </c>
      <c r="CF242" s="14"/>
      <c r="CG242" s="35">
        <f t="shared" si="227"/>
        <v>7.7643906966470446</v>
      </c>
      <c r="CH242" s="15">
        <f t="shared" si="245"/>
        <v>8.1750000000000007</v>
      </c>
      <c r="CI242" s="35">
        <f t="shared" si="228"/>
        <v>8.5856093033529568</v>
      </c>
      <c r="CK242" s="14"/>
      <c r="CL242" s="17">
        <f t="shared" si="229"/>
        <v>-1.2866666666666653</v>
      </c>
      <c r="CM242" s="17">
        <f t="shared" si="230"/>
        <v>3.1066666666666674</v>
      </c>
      <c r="CN242" s="17">
        <f t="shared" si="231"/>
        <v>5.4633333333333347</v>
      </c>
      <c r="CO242" s="38">
        <f t="shared" si="246"/>
        <v>9.8566666666666674</v>
      </c>
      <c r="CP242" s="17">
        <f t="shared" si="232"/>
        <v>12.213333333333335</v>
      </c>
      <c r="CQ242" s="17">
        <f t="shared" si="233"/>
        <v>16.606666666666669</v>
      </c>
      <c r="CR242" s="17">
        <f t="shared" si="234"/>
        <v>18.963333333333335</v>
      </c>
      <c r="CS242" s="2" cm="1">
        <f t="array" aca="1" ref="CS242" ca="1">MAX(_xlfn._xlws.FILTER(CL242:CR242,CL242:CR242&lt;BN242))</f>
        <v>5.4633333333333347</v>
      </c>
      <c r="CT242" s="2" cm="1">
        <f t="array" aca="1" ref="CT242" ca="1">MIN(_xlfn._xlws.FILTER($CL242:$CR242,$CL242:$CR242&gt;BN242))</f>
        <v>9.8566666666666674</v>
      </c>
      <c r="CU242" s="16">
        <f t="shared" ca="1" si="248"/>
        <v>0.80414887126296497</v>
      </c>
      <c r="CV242" s="20">
        <f t="shared" ca="1" si="249"/>
        <v>-0.40207443563148249</v>
      </c>
      <c r="CW242" s="20">
        <f t="shared" ca="1" si="250"/>
        <v>-0.26804962375432168</v>
      </c>
      <c r="CX242" s="20">
        <f t="shared" ca="1" si="251"/>
        <v>-0.16082977425259298</v>
      </c>
      <c r="CY242" s="20">
        <f t="shared" ca="1" si="252"/>
        <v>-8.9349874584773892E-2</v>
      </c>
      <c r="CZ242" s="20">
        <f t="shared" ca="1" si="253"/>
        <v>-4.7302874780174413E-2</v>
      </c>
      <c r="DA242" s="20">
        <f t="shared" ca="1" si="254"/>
        <v>-2.436814761402924E-2</v>
      </c>
      <c r="DB242" s="20">
        <f t="shared" ca="1" si="255"/>
        <v>-1.2371521096353307E-2</v>
      </c>
      <c r="DC242" s="21">
        <f t="shared" ca="1" si="256"/>
        <v>1.2371521096353307E-2</v>
      </c>
      <c r="DD242" s="21">
        <f t="shared" ca="1" si="257"/>
        <v>2.436814761402924E-2</v>
      </c>
      <c r="DE242" s="21">
        <f t="shared" ca="1" si="258"/>
        <v>4.7302874780174413E-2</v>
      </c>
      <c r="DF242" s="21">
        <f t="shared" ca="1" si="259"/>
        <v>8.9349874584773892E-2</v>
      </c>
      <c r="DG242" s="21">
        <f t="shared" ca="1" si="260"/>
        <v>0.16082977425259298</v>
      </c>
      <c r="DH242" s="21">
        <f t="shared" ca="1" si="261"/>
        <v>0.26804962375432168</v>
      </c>
      <c r="DI242" s="21">
        <f t="shared" ca="1" si="262"/>
        <v>0.40207443563148249</v>
      </c>
      <c r="DK242" s="16" cm="1">
        <f t="array" aca="1" ref="DK242" ca="1">MAX(_xlfn._xlws.FILTER(CV242:DI242,CV242:DI242&lt;BT242))</f>
        <v>-2.436814761402924E-2</v>
      </c>
      <c r="DL242" s="16" cm="1">
        <f t="array" aca="1" ref="DL242" ca="1">MIN(_xlfn._xlws.FILTER(CV242:DI242,CV242:DI242&gt;BT242))</f>
        <v>-1.2371521096353307E-2</v>
      </c>
      <c r="DM242" s="2" cm="1">
        <f t="array" aca="1" ref="DM242" ca="1">_FV(EB242,"Fechamento anterior",TRUE)</f>
        <v>8.5500000000000007</v>
      </c>
      <c r="DN242" s="28">
        <f t="shared" ca="1" si="235"/>
        <v>0.27637069722864144</v>
      </c>
      <c r="DO242" s="15">
        <f t="shared" ca="1" si="263"/>
        <v>8.3416523379000509</v>
      </c>
      <c r="DP242" s="15">
        <f t="shared" ca="1" si="264"/>
        <v>8.4442234946261792</v>
      </c>
      <c r="DQ242" s="9"/>
      <c r="DR242" s="9"/>
      <c r="DS242" s="9"/>
      <c r="DT242" s="89">
        <v>1.1996626517675933E-2</v>
      </c>
      <c r="DU242" s="89">
        <f t="shared" ca="1" si="236"/>
        <v>1.1996626517675933E-2</v>
      </c>
      <c r="DV242" s="72">
        <f t="shared" ca="1" si="237"/>
        <v>0.47490399853989246</v>
      </c>
      <c r="DW242" s="37"/>
      <c r="DX242" s="35">
        <f t="shared" si="247"/>
        <v>0.20530465167647785</v>
      </c>
      <c r="DY242" s="56"/>
      <c r="DZ242" s="56"/>
      <c r="EB242" s="2" t="e" vm="244">
        <v>#VALUE!</v>
      </c>
      <c r="ED242" s="10" cm="1">
        <f t="array" aca="1" ref="ED242" ca="1">_FV(EB242,"Ações em circulação",TRUE)</f>
        <v>1326094000</v>
      </c>
      <c r="EE242" s="18">
        <f>VLOOKUP(BO242,Fundamentus!A:U,5,FALSE)</f>
        <v>0.25900000000000001</v>
      </c>
      <c r="EF242" s="2">
        <f t="shared" ca="1" si="238"/>
        <v>42854852432.432426</v>
      </c>
      <c r="EG242" s="17">
        <v>-1709908612.0540538</v>
      </c>
      <c r="EH242" s="17">
        <f t="shared" ca="1" si="239"/>
        <v>-1709908612.0540538</v>
      </c>
      <c r="EJ242" s="16">
        <f t="shared" ca="1" si="226"/>
        <v>0</v>
      </c>
      <c r="EK242" s="32" t="str">
        <f>IF(VLOOKUP(BO242,Fundamentus!A:U,3,FALSE)&lt;15,"Bom",IF(VLOOKUP(BO242,Fundamentus!A:U,3,FALSE)&gt;15,"Ruim","n/a"))</f>
        <v>Bom</v>
      </c>
      <c r="EL242" s="28" t="str">
        <f>IF(VLOOKUP(BO242,Fundamentus!A:U,4,FALSE)&lt;1,"Baixo",IF(VLOOKUP(BO242,Fundamentus!A:U,4,FALSE)&lt;1.5,"Moderado",IF(VLOOKUP(BO242,Fundamentus!A:U,4,FALSE)&gt;1.5,"Alto","n/a")))</f>
        <v>Baixo</v>
      </c>
      <c r="EM242" s="17" t="str">
        <f>IF(VLOOKUP(BO242,Fundamentus!A:U,8,FALSE)&lt;0,"Risco elevado",IF(VLOOKUP(BO242,Fundamentus!A:U,8,FALSE)&lt;1,"Saudável",IF(VLOOKUP(BO242,Fundamentus!A:U,8,FALSE)&lt;3,"Estável",IF(VLOOKUP(BO242,Fundamentus!A:U,8,FALSE)&gt;3,"Alerta","n/a"))))</f>
        <v>Saudável</v>
      </c>
      <c r="EN242" s="28" t="str">
        <f t="shared" si="240"/>
        <v>Ruim</v>
      </c>
      <c r="EO242" s="17" t="str">
        <f>IF(VLOOKUP(BO242,Fundamentus!A:U,12,FALSE)&lt;2,"Subvalorizada",IF(VLOOKUP(BO242,Fundamentus!A:U,12,FALSE)&lt;6,"Muita barata",IF(VLOOKUP(BO242,Fundamentus!A:U,12,FALSE)&lt;6,"Barata",IF(VLOOKUP(BO242,Fundamentus!A:U,12,FALSE)&lt;8,"Atrativa",IF(VLOOKUP(BO242,Fundamentus!A:U,12,FALSE)&gt;8,"Supervalorizada","n/a")))))</f>
        <v>Muita barata</v>
      </c>
      <c r="EQ242" s="17" t="str">
        <f>IF(VLOOKUP(BO242,Fundamentus!A:U,17,FALSE)&lt;0.1,"Fraco retorno",IF(VLOOKUP(BO242,Fundamentus!A:U,17,FALSE)&gt;0.1,"Bom retorno","n/a"))</f>
        <v>Fraco retorno</v>
      </c>
      <c r="ER242" s="17" t="str">
        <f>IF(VLOOKUP(BO242,Fundamentus!A:U,16,FALSE)&lt;0.1,"Ineficiente",IF(VLOOKUP(BO242,Fundamentus!A:U,16,FALSE)&gt;0.1,"Eficiente","n/a"))</f>
        <v>Ineficiente</v>
      </c>
      <c r="ES242" s="33" t="str">
        <f>IF(VLOOKUP(BO242,Fundamentus!A:U,16,FALSE)&lt;0.1,"Oper. Ineficiente",IF(VLOOKUP(BO242,Fundamentus!A:U,16,FALSE)&gt;0.1,"Oper.Eficiente","n/a"))</f>
        <v>Oper. Ineficiente</v>
      </c>
      <c r="ET242" s="34">
        <f>VLOOKUP(BO242,Fundamentus!A:U,14,FALSE)</f>
        <v>-3.9899999999999998E-2</v>
      </c>
      <c r="EU242" s="17" t="str">
        <f>IF(VLOOKUP(BO242,Fundamentus!A:U,21,FALSE)&lt;0,"Negativo",IF(VLOOKUP(BO242,Fundamentus!A:U,21,FALSE)&lt;0.05,"Fraco",IF(VLOOKUP(BO242,Fundamentus!A:U,21,FALSE)&lt;0.1,"Bom",IF(VLOOKUP(BO242,Fundamentus!A:U,21,FALSE)&gt;0.1,"Muito bom","n/a"))))</f>
        <v>Fraco</v>
      </c>
      <c r="EW242" s="29" t="str">
        <f>IF(VLOOKUP(BO242,Fundamentus!A:U,15,FALSE)&gt;1,"Bom",IF(VLOOKUP(BO242,Fundamentus!A:U,15,FALSE)&lt;1,"Ruim","n/a"))</f>
        <v>Bom</v>
      </c>
      <c r="EX242" s="17" t="str">
        <f>IF(VLOOKUP(BO242,Fundamentus!A:U,20,FALSE)&lt;0.5,"Baixa",IF(VLOOKUP(BO242,Fundamentus!A:U,20,FALSE)&lt;1,"Moderada",IF(VLOOKUP(BO242,Fundamentus!A:U,20,FALSE)&lt;2,"Alerta",IF(VLOOKUP(BO242,Fundamentus!A:U,20,FALSE)&gt;2,"Alta","n/a"))))</f>
        <v>Alta</v>
      </c>
    </row>
    <row r="243" spans="1:154" s="2" customFormat="1" ht="11.25"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5">
        <v>0.86</v>
      </c>
      <c r="BC243" s="52">
        <v>0.86</v>
      </c>
      <c r="BD243" s="52">
        <v>0.86</v>
      </c>
      <c r="BE243" s="52">
        <v>0.86</v>
      </c>
      <c r="BF243" s="52">
        <v>0.86</v>
      </c>
      <c r="BG243" s="67">
        <v>0.86</v>
      </c>
      <c r="BH243" s="52">
        <v>0.86</v>
      </c>
      <c r="BI243" s="52">
        <v>0.86</v>
      </c>
      <c r="BJ243" s="52">
        <v>0.86</v>
      </c>
      <c r="BK243" s="52">
        <v>0.86</v>
      </c>
      <c r="BL243" s="52">
        <v>0.86</v>
      </c>
      <c r="BM243" s="52">
        <v>0.86</v>
      </c>
      <c r="BN243" s="52" cm="1">
        <f t="array" aca="1" ref="BN243" ca="1">_FV(EB243,"Preço")</f>
        <v>0.86</v>
      </c>
      <c r="BO243" s="69" t="s">
        <v>239</v>
      </c>
      <c r="BP243" s="36" t="e" cm="1" vm="3">
        <f t="array" ref="BP243">_FV(EB243,"Média de volume",TRUE)</f>
        <v>#VALUE!</v>
      </c>
      <c r="BQ243" s="36">
        <v>5000</v>
      </c>
      <c r="BR243" s="36" cm="1">
        <f t="array" aca="1" ref="BR243" ca="1">_FV(EB243,"Volume")</f>
        <v>5000</v>
      </c>
      <c r="BS243" s="24" cm="1">
        <f t="array" aca="1" ref="BS243" ca="1">_FV(EB243,"Beta")</f>
        <v>1.2020999999999999</v>
      </c>
      <c r="BT243" s="71" cm="1">
        <f t="array" aca="1" ref="BT243" ca="1">_FV(EB243,"Variação (%)",TRUE)</f>
        <v>-2.2727000000000001E-2</v>
      </c>
      <c r="BV243" s="17" cm="1">
        <f t="array" aca="1" ref="BV243" ca="1">_FV(EB243,"Baixo")</f>
        <v>0.86</v>
      </c>
      <c r="BW243" s="17" cm="1">
        <f t="array" aca="1" ref="BW243" ca="1">_FV(EB243,"Alto")</f>
        <v>0.86</v>
      </c>
      <c r="BX243" s="24"/>
      <c r="BY243" s="63" t="e">
        <f ca="1">SQRT(22.5*(BN243/VLOOKUP(BO243,Fundamentus!A:U,3,FALSE))*(BN243/VLOOKUP(BO243,Fundamentus!A:U,4,FALSE)))</f>
        <v>#N/A</v>
      </c>
      <c r="CA243" s="62">
        <f t="shared" ca="1" si="241"/>
        <v>0</v>
      </c>
      <c r="CB243" s="8"/>
      <c r="CC243" s="61">
        <f t="shared" si="242"/>
        <v>0.62</v>
      </c>
      <c r="CD243" s="61">
        <f t="shared" si="243"/>
        <v>1.1100000000000001</v>
      </c>
      <c r="CE243" s="61">
        <f t="shared" si="244"/>
        <v>0.86384615384615349</v>
      </c>
      <c r="CF243" s="14"/>
      <c r="CG243" s="35">
        <f t="shared" si="227"/>
        <v>0.86</v>
      </c>
      <c r="CH243" s="15">
        <f t="shared" si="245"/>
        <v>0.86</v>
      </c>
      <c r="CI243" s="35">
        <f t="shared" si="228"/>
        <v>0.86</v>
      </c>
      <c r="CK243" s="14"/>
      <c r="CL243" s="17">
        <f t="shared" si="229"/>
        <v>0.12666666666666637</v>
      </c>
      <c r="CM243" s="17">
        <f t="shared" si="230"/>
        <v>0.37333333333333318</v>
      </c>
      <c r="CN243" s="17">
        <f t="shared" si="231"/>
        <v>0.61666666666666647</v>
      </c>
      <c r="CO243" s="38">
        <f t="shared" si="246"/>
        <v>0.86333333333333329</v>
      </c>
      <c r="CP243" s="17">
        <f t="shared" si="232"/>
        <v>1.1066666666666665</v>
      </c>
      <c r="CQ243" s="17">
        <f t="shared" si="233"/>
        <v>1.3533333333333335</v>
      </c>
      <c r="CR243" s="17">
        <f t="shared" si="234"/>
        <v>1.5966666666666667</v>
      </c>
      <c r="CS243" s="2" cm="1">
        <f t="array" aca="1" ref="CS243" ca="1">MAX(_xlfn._xlws.FILTER(CL243:CR243,CL243:CR243&lt;BN243))</f>
        <v>0.61666666666666647</v>
      </c>
      <c r="CT243" s="2" cm="1">
        <f t="array" aca="1" ref="CT243" ca="1">MIN(_xlfn._xlws.FILTER($CL243:$CR243,$CL243:$CR243&gt;BN243))</f>
        <v>0.86333333333333329</v>
      </c>
      <c r="CU243" s="16">
        <f t="shared" ca="1" si="248"/>
        <v>0.40000000000000036</v>
      </c>
      <c r="CV243" s="20">
        <f t="shared" ca="1" si="249"/>
        <v>-0.20000000000000018</v>
      </c>
      <c r="CW243" s="20">
        <f t="shared" ca="1" si="250"/>
        <v>-0.13333333333333344</v>
      </c>
      <c r="CX243" s="20">
        <f t="shared" ca="1" si="251"/>
        <v>-8.0000000000000071E-2</v>
      </c>
      <c r="CY243" s="20">
        <f t="shared" ca="1" si="252"/>
        <v>-4.4444444444444481E-2</v>
      </c>
      <c r="CZ243" s="20">
        <f t="shared" ca="1" si="253"/>
        <v>-2.3529411764705903E-2</v>
      </c>
      <c r="DA243" s="20">
        <f t="shared" ca="1" si="254"/>
        <v>-1.2121212121212132E-2</v>
      </c>
      <c r="DB243" s="20">
        <f t="shared" ca="1" si="255"/>
        <v>-6.153846153846159E-3</v>
      </c>
      <c r="DC243" s="21">
        <f t="shared" ca="1" si="256"/>
        <v>6.153846153846159E-3</v>
      </c>
      <c r="DD243" s="21">
        <f t="shared" ca="1" si="257"/>
        <v>1.2121212121212132E-2</v>
      </c>
      <c r="DE243" s="21">
        <f t="shared" ca="1" si="258"/>
        <v>2.3529411764705903E-2</v>
      </c>
      <c r="DF243" s="21">
        <f t="shared" ca="1" si="259"/>
        <v>4.4444444444444481E-2</v>
      </c>
      <c r="DG243" s="21">
        <f t="shared" ca="1" si="260"/>
        <v>8.0000000000000071E-2</v>
      </c>
      <c r="DH243" s="21">
        <f t="shared" ca="1" si="261"/>
        <v>0.13333333333333344</v>
      </c>
      <c r="DI243" s="21">
        <f t="shared" ca="1" si="262"/>
        <v>0.20000000000000018</v>
      </c>
      <c r="DK243" s="16" cm="1">
        <f t="array" aca="1" ref="DK243" ca="1">MAX(_xlfn._xlws.FILTER(CV243:DI243,CV243:DI243&lt;BT243))</f>
        <v>-2.3529411764705903E-2</v>
      </c>
      <c r="DL243" s="16" cm="1">
        <f t="array" aca="1" ref="DL243" ca="1">MIN(_xlfn._xlws.FILTER(CV243:DI243,CV243:DI243&gt;BT243))</f>
        <v>-1.2121212121212132E-2</v>
      </c>
      <c r="DM243" s="2" cm="1">
        <f t="array" aca="1" ref="DM243" ca="1">_FV(EB243,"Fechamento anterior",TRUE)</f>
        <v>0.88</v>
      </c>
      <c r="DN243" s="28">
        <f t="shared" ca="1" si="235"/>
        <v>7.0312500000004496E-2</v>
      </c>
      <c r="DO243" s="15">
        <f t="shared" ca="1" si="263"/>
        <v>0.85929411764705876</v>
      </c>
      <c r="DP243" s="15">
        <f t="shared" ca="1" si="264"/>
        <v>0.86933333333333329</v>
      </c>
      <c r="DQ243" s="9"/>
      <c r="DR243" s="9"/>
      <c r="DS243" s="9"/>
      <c r="DT243" s="89">
        <v>1.1408199643493771E-2</v>
      </c>
      <c r="DU243" s="89">
        <f t="shared" ca="1" si="236"/>
        <v>1.1408199643493771E-2</v>
      </c>
      <c r="DV243" s="72" t="e">
        <f t="shared" ca="1" si="237"/>
        <v>#DIV/0!</v>
      </c>
      <c r="DW243" s="37"/>
      <c r="DX243" s="35">
        <f t="shared" si="247"/>
        <v>0</v>
      </c>
      <c r="DY243" s="56"/>
      <c r="DZ243" s="56"/>
      <c r="EB243" s="2" t="e" vm="245">
        <v>#VALUE!</v>
      </c>
      <c r="ED243" s="10" cm="1">
        <f t="array" aca="1" ref="ED243" ca="1">_FV(EB243,"Ações em circulação",TRUE)</f>
        <v>30636460</v>
      </c>
      <c r="EE243" s="18" t="e">
        <f>VLOOKUP(BO243,Fundamentus!A:U,5,FALSE)</f>
        <v>#N/A</v>
      </c>
      <c r="EF243" s="2" t="e">
        <f t="shared" ca="1" si="238"/>
        <v>#N/A</v>
      </c>
      <c r="EG243" s="17" t="e">
        <v>#N/A</v>
      </c>
      <c r="EH243" s="17" t="e">
        <f t="shared" ca="1" si="239"/>
        <v>#N/A</v>
      </c>
      <c r="EJ243" s="16" t="e">
        <f t="shared" ca="1" si="226"/>
        <v>#N/A</v>
      </c>
      <c r="EK243" s="32" t="e">
        <f>IF(VLOOKUP(BO243,Fundamentus!A:U,3,FALSE)&lt;15,"Bom",IF(VLOOKUP(BO243,Fundamentus!A:U,3,FALSE)&gt;15,"Ruim","n/a"))</f>
        <v>#N/A</v>
      </c>
      <c r="EL243" s="28" t="e">
        <f>IF(VLOOKUP(BO243,Fundamentus!A:U,4,FALSE)&lt;1,"Baixo",IF(VLOOKUP(BO243,Fundamentus!A:U,4,FALSE)&lt;1.5,"Moderado",IF(VLOOKUP(BO243,Fundamentus!A:U,4,FALSE)&gt;1.5,"Alto","n/a")))</f>
        <v>#N/A</v>
      </c>
      <c r="EM243" s="17" t="e">
        <f>IF(VLOOKUP(BO243,Fundamentus!A:U,8,FALSE)&lt;0,"Risco elevado",IF(VLOOKUP(BO243,Fundamentus!A:U,8,FALSE)&lt;1,"Saudável",IF(VLOOKUP(BO243,Fundamentus!A:U,8,FALSE)&lt;3,"Estável",IF(VLOOKUP(BO243,Fundamentus!A:U,8,FALSE)&gt;3,"Alerta","n/a"))))</f>
        <v>#N/A</v>
      </c>
      <c r="EN243" s="28" t="e">
        <f t="shared" si="240"/>
        <v>#N/A</v>
      </c>
      <c r="EO243" s="17" t="e">
        <f>IF(VLOOKUP(BO243,Fundamentus!A:U,12,FALSE)&lt;2,"Subvalorizada",IF(VLOOKUP(BO243,Fundamentus!A:U,12,FALSE)&lt;6,"Muita barata",IF(VLOOKUP(BO243,Fundamentus!A:U,12,FALSE)&lt;6,"Barata",IF(VLOOKUP(BO243,Fundamentus!A:U,12,FALSE)&lt;8,"Atrativa",IF(VLOOKUP(BO243,Fundamentus!A:U,12,FALSE)&gt;8,"Supervalorizada","n/a")))))</f>
        <v>#N/A</v>
      </c>
      <c r="EQ243" s="17" t="e">
        <f>IF(VLOOKUP(BO243,Fundamentus!A:U,17,FALSE)&lt;0.1,"Fraco retorno",IF(VLOOKUP(BO243,Fundamentus!A:U,17,FALSE)&gt;0.1,"Bom retorno","n/a"))</f>
        <v>#N/A</v>
      </c>
      <c r="ER243" s="17" t="e">
        <f>IF(VLOOKUP(BO243,Fundamentus!A:U,16,FALSE)&lt;0.1,"Ineficiente",IF(VLOOKUP(BO243,Fundamentus!A:U,16,FALSE)&gt;0.1,"Eficiente","n/a"))</f>
        <v>#N/A</v>
      </c>
      <c r="ES243" s="33" t="e">
        <f>IF(VLOOKUP(BO243,Fundamentus!A:U,16,FALSE)&lt;0.1,"Oper. Ineficiente",IF(VLOOKUP(BO243,Fundamentus!A:U,16,FALSE)&gt;0.1,"Oper.Eficiente","n/a"))</f>
        <v>#N/A</v>
      </c>
      <c r="ET243" s="34" t="e">
        <f>VLOOKUP(BO243,Fundamentus!A:U,14,FALSE)</f>
        <v>#N/A</v>
      </c>
      <c r="EU243" s="17" t="e">
        <f>IF(VLOOKUP(BO243,Fundamentus!A:U,21,FALSE)&lt;0,"Negativo",IF(VLOOKUP(BO243,Fundamentus!A:U,21,FALSE)&lt;0.05,"Fraco",IF(VLOOKUP(BO243,Fundamentus!A:U,21,FALSE)&lt;0.1,"Bom",IF(VLOOKUP(BO243,Fundamentus!A:U,21,FALSE)&gt;0.1,"Muito bom","n/a"))))</f>
        <v>#N/A</v>
      </c>
      <c r="EW243" s="29" t="e">
        <f>IF(VLOOKUP(BO243,Fundamentus!A:U,15,FALSE)&gt;1,"Bom",IF(VLOOKUP(BO243,Fundamentus!A:U,15,FALSE)&lt;1,"Ruim","n/a"))</f>
        <v>#N/A</v>
      </c>
      <c r="EX243" s="17" t="e">
        <f>IF(VLOOKUP(BO243,Fundamentus!A:U,20,FALSE)&lt;0.5,"Baixa",IF(VLOOKUP(BO243,Fundamentus!A:U,20,FALSE)&lt;1,"Moderada",IF(VLOOKUP(BO243,Fundamentus!A:U,20,FALSE)&lt;2,"Alerta",IF(VLOOKUP(BO243,Fundamentus!A:U,20,FALSE)&gt;2,"Alta","n/a"))))</f>
        <v>#N/A</v>
      </c>
    </row>
    <row r="244" spans="1:154" s="2" customFormat="1" ht="11.25"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5">
        <v>0.1</v>
      </c>
      <c r="BC244" s="52">
        <v>0.08</v>
      </c>
      <c r="BD244" s="52">
        <v>7.0000000000000007E-2</v>
      </c>
      <c r="BE244" s="52">
        <v>7.0000000000000007E-2</v>
      </c>
      <c r="BF244" s="52">
        <v>7.0000000000000007E-2</v>
      </c>
      <c r="BG244" s="67">
        <v>7.0000000000000007E-2</v>
      </c>
      <c r="BH244" s="52">
        <v>0.05</v>
      </c>
      <c r="BI244" s="52">
        <v>0.05</v>
      </c>
      <c r="BJ244" s="52">
        <v>0.05</v>
      </c>
      <c r="BK244" s="52">
        <v>0.05</v>
      </c>
      <c r="BL244" s="52">
        <v>0.04</v>
      </c>
      <c r="BM244" s="52">
        <v>0.04</v>
      </c>
      <c r="BN244" s="52" cm="1">
        <f t="array" aca="1" ref="BN244" ca="1">_FV(EB244,"Preço")</f>
        <v>0.04</v>
      </c>
      <c r="BO244" s="69" t="s">
        <v>240</v>
      </c>
      <c r="BP244" s="36" cm="1">
        <f t="array" aca="1" ref="BP244" ca="1">_FV(EB244,"Média de volume",TRUE)</f>
        <v>8800580</v>
      </c>
      <c r="BQ244" s="36">
        <v>7942700</v>
      </c>
      <c r="BR244" s="36" cm="1">
        <f t="array" aca="1" ref="BR244" ca="1">_FV(EB244,"Volume")</f>
        <v>7942700</v>
      </c>
      <c r="BS244" s="24" cm="1">
        <f t="array" aca="1" ref="BS244" ca="1">_FV(EB244,"Beta")</f>
        <v>2.5486</v>
      </c>
      <c r="BT244" s="71" cm="1">
        <f t="array" aca="1" ref="BT244" ca="1">_FV(EB244,"Variação (%)",TRUE)</f>
        <v>0</v>
      </c>
      <c r="BV244" s="17" cm="1">
        <f t="array" aca="1" ref="BV244" ca="1">_FV(EB244,"Baixo")</f>
        <v>0.04</v>
      </c>
      <c r="BW244" s="17" cm="1">
        <f t="array" aca="1" ref="BW244" ca="1">_FV(EB244,"Alto")</f>
        <v>0.05</v>
      </c>
      <c r="BX244" s="24"/>
      <c r="BY244" s="63">
        <f ca="1">SQRT(22.5*(BN244/VLOOKUP(BO244,Fundamentus!A:U,3,FALSE))*(BN244/VLOOKUP(BO244,Fundamentus!A:U,4,FALSE)))</f>
        <v>1.3552618543578769</v>
      </c>
      <c r="CA244" s="62">
        <f t="shared" ca="1" si="241"/>
        <v>0</v>
      </c>
      <c r="CB244" s="8"/>
      <c r="CC244" s="61">
        <f t="shared" si="242"/>
        <v>0.04</v>
      </c>
      <c r="CD244" s="61">
        <f t="shared" si="243"/>
        <v>0.74</v>
      </c>
      <c r="CE244" s="61">
        <f t="shared" si="244"/>
        <v>0.17423076923076927</v>
      </c>
      <c r="CF244" s="14"/>
      <c r="CG244" s="35">
        <f t="shared" si="227"/>
        <v>2.500000000000014E-2</v>
      </c>
      <c r="CH244" s="15">
        <f t="shared" si="245"/>
        <v>3.5000000000000142E-2</v>
      </c>
      <c r="CI244" s="35">
        <f t="shared" si="228"/>
        <v>4.5000000000000144E-2</v>
      </c>
      <c r="CK244" s="14"/>
      <c r="CL244" s="17">
        <f t="shared" si="229"/>
        <v>-0.8933333333333332</v>
      </c>
      <c r="CM244" s="17">
        <f t="shared" si="230"/>
        <v>-0.42666666666666658</v>
      </c>
      <c r="CN244" s="17">
        <f t="shared" si="231"/>
        <v>-0.19333333333333325</v>
      </c>
      <c r="CO244" s="38">
        <f t="shared" si="246"/>
        <v>0.27333333333333337</v>
      </c>
      <c r="CP244" s="17">
        <f t="shared" si="232"/>
        <v>0.50666666666666671</v>
      </c>
      <c r="CQ244" s="17">
        <f t="shared" si="233"/>
        <v>0.97333333333333338</v>
      </c>
      <c r="CR244" s="17">
        <f t="shared" si="234"/>
        <v>1.2066666666666668</v>
      </c>
      <c r="CS244" s="2" cm="1">
        <f t="array" aca="1" ref="CS244" ca="1">MAX(_xlfn._xlws.FILTER(CL244:CR244,CL244:CR244&lt;BN244))</f>
        <v>-0.19333333333333325</v>
      </c>
      <c r="CT244" s="2" cm="1">
        <f t="array" aca="1" ref="CT244" ca="1">MIN(_xlfn._xlws.FILTER($CL244:$CR244,$CL244:$CR244&gt;BN244))</f>
        <v>0.27333333333333337</v>
      </c>
      <c r="CU244" s="16">
        <f t="shared" ca="1" si="248"/>
        <v>-2.4137931034482767</v>
      </c>
      <c r="CV244" s="20">
        <f t="shared" ca="1" si="249"/>
        <v>1.2068965517241383</v>
      </c>
      <c r="CW244" s="20">
        <f t="shared" ca="1" si="250"/>
        <v>0.80459770114942553</v>
      </c>
      <c r="CX244" s="20">
        <f t="shared" ca="1" si="251"/>
        <v>0.48275862068965536</v>
      </c>
      <c r="CY244" s="20">
        <f t="shared" ca="1" si="252"/>
        <v>0.26819923371647519</v>
      </c>
      <c r="CZ244" s="20">
        <f t="shared" ca="1" si="253"/>
        <v>0.14198782961460452</v>
      </c>
      <c r="DA244" s="20">
        <f t="shared" ca="1" si="254"/>
        <v>7.3145245559038688E-2</v>
      </c>
      <c r="DB244" s="20">
        <f t="shared" ca="1" si="255"/>
        <v>3.7135278514588872E-2</v>
      </c>
      <c r="DC244" s="21">
        <f t="shared" ca="1" si="256"/>
        <v>-3.7135278514588872E-2</v>
      </c>
      <c r="DD244" s="21">
        <f t="shared" ca="1" si="257"/>
        <v>-7.3145245559038688E-2</v>
      </c>
      <c r="DE244" s="21">
        <f t="shared" ca="1" si="258"/>
        <v>-0.14198782961460452</v>
      </c>
      <c r="DF244" s="21">
        <f t="shared" ca="1" si="259"/>
        <v>-0.26819923371647519</v>
      </c>
      <c r="DG244" s="21">
        <f t="shared" ca="1" si="260"/>
        <v>-0.48275862068965536</v>
      </c>
      <c r="DH244" s="21">
        <f t="shared" ca="1" si="261"/>
        <v>-0.80459770114942553</v>
      </c>
      <c r="DI244" s="21">
        <f t="shared" ca="1" si="262"/>
        <v>-1.2068965517241383</v>
      </c>
      <c r="DK244" s="16" cm="1">
        <f t="array" aca="1" ref="DK244" ca="1">MAX(_xlfn._xlws.FILTER(CV244:DI244,CV244:DI244&lt;BT244))</f>
        <v>-3.7135278514588872E-2</v>
      </c>
      <c r="DL244" s="16" cm="1">
        <f t="array" aca="1" ref="DL244" ca="1">MIN(_xlfn._xlws.FILTER(CV244:DI244,CV244:DI244&gt;BT244))</f>
        <v>3.7135278514588872E-2</v>
      </c>
      <c r="DM244" s="2" cm="1">
        <f t="array" aca="1" ref="DM244" ca="1">_FV(EB244,"Fechamento anterior",TRUE)</f>
        <v>0.04</v>
      </c>
      <c r="DN244" s="28">
        <f t="shared" ca="1" si="235"/>
        <v>0.5</v>
      </c>
      <c r="DO244" s="15">
        <f t="shared" ca="1" si="263"/>
        <v>3.8514588859416443E-2</v>
      </c>
      <c r="DP244" s="15">
        <f t="shared" ca="1" si="264"/>
        <v>4.1485411140583558E-2</v>
      </c>
      <c r="DQ244" s="9"/>
      <c r="DR244" s="9"/>
      <c r="DS244" s="9"/>
      <c r="DT244" s="89">
        <v>7.4270557029177744E-2</v>
      </c>
      <c r="DU244" s="89">
        <f t="shared" ca="1" si="236"/>
        <v>7.4270557029177744E-2</v>
      </c>
      <c r="DV244" s="72">
        <f t="shared" ca="1" si="237"/>
        <v>0.49999999999998579</v>
      </c>
      <c r="DW244" s="37"/>
      <c r="DX244" s="35">
        <f t="shared" si="247"/>
        <v>5.000000000000001E-3</v>
      </c>
      <c r="DY244" s="56"/>
      <c r="DZ244" s="56"/>
      <c r="EB244" s="2" t="e" vm="246">
        <v>#VALUE!</v>
      </c>
      <c r="ED244" s="10" cm="1">
        <f t="array" aca="1" ref="ED244" ca="1">_FV(EB244,"Ações em circulação",TRUE)</f>
        <v>1802157000</v>
      </c>
      <c r="EE244" s="18">
        <f>VLOOKUP(BO244,Fundamentus!A:U,5,FALSE)</f>
        <v>7.0000000000000007E-2</v>
      </c>
      <c r="EF244" s="2">
        <f t="shared" ca="1" si="238"/>
        <v>1029803999.9999999</v>
      </c>
      <c r="EG244" s="17">
        <v>-1708650796.7999997</v>
      </c>
      <c r="EH244" s="17">
        <f t="shared" ca="1" si="239"/>
        <v>-1708650796.7999997</v>
      </c>
      <c r="EJ244" s="16">
        <f t="shared" ca="1" si="226"/>
        <v>0</v>
      </c>
      <c r="EK244" s="32" t="str">
        <f>IF(VLOOKUP(BO244,Fundamentus!A:U,3,FALSE)&lt;15,"Bom",IF(VLOOKUP(BO244,Fundamentus!A:U,3,FALSE)&gt;15,"Ruim","n/a"))</f>
        <v>Bom</v>
      </c>
      <c r="EL244" s="28" t="str">
        <f>IF(VLOOKUP(BO244,Fundamentus!A:U,4,FALSE)&lt;1,"Baixo",IF(VLOOKUP(BO244,Fundamentus!A:U,4,FALSE)&lt;1.5,"Moderado",IF(VLOOKUP(BO244,Fundamentus!A:U,4,FALSE)&gt;1.5,"Alto","n/a")))</f>
        <v>Baixo</v>
      </c>
      <c r="EM244" s="17" t="str">
        <f>IF(VLOOKUP(BO244,Fundamentus!A:U,8,FALSE)&lt;0,"Risco elevado",IF(VLOOKUP(BO244,Fundamentus!A:U,8,FALSE)&lt;1,"Saudável",IF(VLOOKUP(BO244,Fundamentus!A:U,8,FALSE)&lt;3,"Estável",IF(VLOOKUP(BO244,Fundamentus!A:U,8,FALSE)&gt;3,"Alerta","n/a"))))</f>
        <v>Risco elevado</v>
      </c>
      <c r="EN244" s="28" t="str">
        <f t="shared" si="240"/>
        <v>Ruim</v>
      </c>
      <c r="EO244" s="17" t="str">
        <f>IF(VLOOKUP(BO244,Fundamentus!A:U,12,FALSE)&lt;2,"Subvalorizada",IF(VLOOKUP(BO244,Fundamentus!A:U,12,FALSE)&lt;6,"Muita barata",IF(VLOOKUP(BO244,Fundamentus!A:U,12,FALSE)&lt;6,"Barata",IF(VLOOKUP(BO244,Fundamentus!A:U,12,FALSE)&lt;8,"Atrativa",IF(VLOOKUP(BO244,Fundamentus!A:U,12,FALSE)&gt;8,"Supervalorizada","n/a")))))</f>
        <v>Subvalorizada</v>
      </c>
      <c r="EQ244" s="17" t="str">
        <f>IF(VLOOKUP(BO244,Fundamentus!A:U,17,FALSE)&lt;0.1,"Fraco retorno",IF(VLOOKUP(BO244,Fundamentus!A:U,17,FALSE)&gt;0.1,"Bom retorno","n/a"))</f>
        <v>Bom retorno</v>
      </c>
      <c r="ER244" s="17" t="str">
        <f>IF(VLOOKUP(BO244,Fundamentus!A:U,16,FALSE)&lt;0.1,"Ineficiente",IF(VLOOKUP(BO244,Fundamentus!A:U,16,FALSE)&gt;0.1,"Eficiente","n/a"))</f>
        <v>Ineficiente</v>
      </c>
      <c r="ES244" s="33" t="str">
        <f>IF(VLOOKUP(BO244,Fundamentus!A:U,16,FALSE)&lt;0.1,"Oper. Ineficiente",IF(VLOOKUP(BO244,Fundamentus!A:U,16,FALSE)&gt;0.1,"Oper.Eficiente","n/a"))</f>
        <v>Oper. Ineficiente</v>
      </c>
      <c r="ET244" s="34">
        <f>VLOOKUP(BO244,Fundamentus!A:U,14,FALSE)</f>
        <v>-1.6592</v>
      </c>
      <c r="EU244" s="17" t="str">
        <f>IF(VLOOKUP(BO244,Fundamentus!A:U,21,FALSE)&lt;0,"Negativo",IF(VLOOKUP(BO244,Fundamentus!A:U,21,FALSE)&lt;0.05,"Fraco",IF(VLOOKUP(BO244,Fundamentus!A:U,21,FALSE)&lt;0.1,"Bom",IF(VLOOKUP(BO244,Fundamentus!A:U,21,FALSE)&gt;0.1,"Muito bom","n/a"))))</f>
        <v>Muito bom</v>
      </c>
      <c r="EW244" s="29" t="str">
        <f>IF(VLOOKUP(BO244,Fundamentus!A:U,15,FALSE)&gt;1,"Bom",IF(VLOOKUP(BO244,Fundamentus!A:U,15,FALSE)&lt;1,"Ruim","n/a"))</f>
        <v>Ruim</v>
      </c>
      <c r="EX244" s="17" t="str">
        <f>IF(VLOOKUP(BO244,Fundamentus!A:U,20,FALSE)&lt;0.5,"Baixa",IF(VLOOKUP(BO244,Fundamentus!A:U,20,FALSE)&lt;1,"Moderada",IF(VLOOKUP(BO244,Fundamentus!A:U,20,FALSE)&lt;2,"Alerta",IF(VLOOKUP(BO244,Fundamentus!A:U,20,FALSE)&gt;2,"Alta","n/a"))))</f>
        <v>Baixa</v>
      </c>
    </row>
    <row r="245" spans="1:154" s="2" customFormat="1" ht="11.25"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5">
        <v>2.46</v>
      </c>
      <c r="BC245" s="52">
        <v>42.3</v>
      </c>
      <c r="BD245" s="52">
        <v>42.6</v>
      </c>
      <c r="BE245" s="52">
        <v>42.9</v>
      </c>
      <c r="BF245" s="52">
        <v>39.909999999999997</v>
      </c>
      <c r="BG245" s="67">
        <v>38.49</v>
      </c>
      <c r="BH245" s="52">
        <v>37.42</v>
      </c>
      <c r="BI245" s="52">
        <v>36.270000000000003</v>
      </c>
      <c r="BJ245" s="52">
        <v>35.61</v>
      </c>
      <c r="BK245" s="52">
        <v>32.32</v>
      </c>
      <c r="BL245" s="52">
        <v>32.19</v>
      </c>
      <c r="BM245" s="52">
        <v>32.58</v>
      </c>
      <c r="BN245" s="52" cm="1">
        <f t="array" aca="1" ref="BN245" ca="1">_FV(EB245,"Preço")</f>
        <v>32.58</v>
      </c>
      <c r="BO245" s="69" t="s">
        <v>241</v>
      </c>
      <c r="BP245" s="36" cm="1">
        <f t="array" aca="1" ref="BP245" ca="1">_FV(EB245,"Média de volume",TRUE)</f>
        <v>3564280</v>
      </c>
      <c r="BQ245" s="36">
        <v>2536200</v>
      </c>
      <c r="BR245" s="36" cm="1">
        <f t="array" aca="1" ref="BR245" ca="1">_FV(EB245,"Volume")</f>
        <v>2536200</v>
      </c>
      <c r="BS245" s="24" cm="1">
        <f t="array" aca="1" ref="BS245" ca="1">_FV(EB245,"Beta")</f>
        <v>1.6205000000000001</v>
      </c>
      <c r="BT245" s="71" cm="1">
        <f t="array" aca="1" ref="BT245" ca="1">_FV(EB245,"Variação (%)",TRUE)</f>
        <v>1.9399E-2</v>
      </c>
      <c r="BV245" s="17" cm="1">
        <f t="array" aca="1" ref="BV245" ca="1">_FV(EB245,"Baixo")</f>
        <v>31.78</v>
      </c>
      <c r="BW245" s="17" cm="1">
        <f t="array" aca="1" ref="BW245" ca="1">_FV(EB245,"Alto")</f>
        <v>32.81</v>
      </c>
      <c r="BX245" s="24"/>
      <c r="BY245" s="63" t="e">
        <f ca="1">SQRT(22.5*(BN245/VLOOKUP(BO245,Fundamentus!A:U,3,FALSE))*(BN245/VLOOKUP(BO245,Fundamentus!A:U,4,FALSE)))</f>
        <v>#NUM!</v>
      </c>
      <c r="CA245" s="62">
        <f t="shared" ca="1" si="241"/>
        <v>0</v>
      </c>
      <c r="CB245" s="8"/>
      <c r="CC245" s="61">
        <f t="shared" si="242"/>
        <v>2.1</v>
      </c>
      <c r="CD245" s="61">
        <f t="shared" si="243"/>
        <v>42.9</v>
      </c>
      <c r="CE245" s="61">
        <f t="shared" si="244"/>
        <v>9.0269230769230795</v>
      </c>
      <c r="CF245" s="14"/>
      <c r="CG245" s="35">
        <f t="shared" si="227"/>
        <v>28.044314242524372</v>
      </c>
      <c r="CH245" s="15">
        <f t="shared" si="245"/>
        <v>30.869999999999891</v>
      </c>
      <c r="CI245" s="35">
        <f t="shared" si="228"/>
        <v>33.69568575747541</v>
      </c>
      <c r="CK245" s="14"/>
      <c r="CL245" s="17">
        <f t="shared" si="229"/>
        <v>-32.239999999999995</v>
      </c>
      <c r="CM245" s="17">
        <f t="shared" si="230"/>
        <v>-15.069999999999997</v>
      </c>
      <c r="CN245" s="17">
        <f t="shared" si="231"/>
        <v>8.5600000000000023</v>
      </c>
      <c r="CO245" s="38">
        <f t="shared" si="246"/>
        <v>25.73</v>
      </c>
      <c r="CP245" s="17">
        <f t="shared" si="232"/>
        <v>49.36</v>
      </c>
      <c r="CQ245" s="17">
        <f t="shared" si="233"/>
        <v>66.53</v>
      </c>
      <c r="CR245" s="17">
        <f t="shared" si="234"/>
        <v>90.16</v>
      </c>
      <c r="CS245" s="2" cm="1">
        <f t="array" aca="1" ref="CS245" ca="1">MAX(_xlfn._xlws.FILTER(CL245:CR245,CL245:CR245&lt;BN245))</f>
        <v>25.73</v>
      </c>
      <c r="CT245" s="2" cm="1">
        <f t="array" aca="1" ref="CT245" ca="1">MIN(_xlfn._xlws.FILTER($CL245:$CR245,$CL245:$CR245&gt;BN245))</f>
        <v>49.36</v>
      </c>
      <c r="CU245" s="16">
        <f t="shared" ca="1" si="248"/>
        <v>0.91838321026039638</v>
      </c>
      <c r="CV245" s="20">
        <f t="shared" ca="1" si="249"/>
        <v>-0.45919160513019819</v>
      </c>
      <c r="CW245" s="20">
        <f t="shared" ca="1" si="250"/>
        <v>-0.30612773675346544</v>
      </c>
      <c r="CX245" s="20">
        <f t="shared" ca="1" si="251"/>
        <v>-0.18367664205207929</v>
      </c>
      <c r="CY245" s="20">
        <f t="shared" ca="1" si="252"/>
        <v>-0.10204257891782181</v>
      </c>
      <c r="CZ245" s="20">
        <f t="shared" ca="1" si="253"/>
        <v>-5.4022541780023317E-2</v>
      </c>
      <c r="DA245" s="20">
        <f t="shared" ca="1" si="254"/>
        <v>-2.7829794250315041E-2</v>
      </c>
      <c r="DB245" s="20">
        <f t="shared" ca="1" si="255"/>
        <v>-1.412897246554456E-2</v>
      </c>
      <c r="DC245" s="21">
        <f t="shared" ca="1" si="256"/>
        <v>1.412897246554456E-2</v>
      </c>
      <c r="DD245" s="21">
        <f t="shared" ca="1" si="257"/>
        <v>2.7829794250315041E-2</v>
      </c>
      <c r="DE245" s="21">
        <f t="shared" ca="1" si="258"/>
        <v>5.4022541780023317E-2</v>
      </c>
      <c r="DF245" s="21">
        <f t="shared" ca="1" si="259"/>
        <v>0.10204257891782181</v>
      </c>
      <c r="DG245" s="21">
        <f t="shared" ca="1" si="260"/>
        <v>0.18367664205207929</v>
      </c>
      <c r="DH245" s="21">
        <f t="shared" ca="1" si="261"/>
        <v>0.30612773675346544</v>
      </c>
      <c r="DI245" s="21">
        <f t="shared" ca="1" si="262"/>
        <v>0.45919160513019819</v>
      </c>
      <c r="DK245" s="16" cm="1">
        <f t="array" aca="1" ref="DK245" ca="1">MAX(_xlfn._xlws.FILTER(CV245:DI245,CV245:DI245&lt;BT245))</f>
        <v>1.412897246554456E-2</v>
      </c>
      <c r="DL245" s="16" cm="1">
        <f t="array" aca="1" ref="DL245" ca="1">MIN(_xlfn._xlws.FILTER(CV245:DI245,CV245:DI245&gt;BT245))</f>
        <v>2.7829794250315041E-2</v>
      </c>
      <c r="DM245" s="2" cm="1">
        <f t="array" aca="1" ref="DM245" ca="1">_FV(EB245,"Fechamento anterior",TRUE)</f>
        <v>31.96</v>
      </c>
      <c r="DN245" s="28">
        <f t="shared" ca="1" si="235"/>
        <v>0.38466864824417374</v>
      </c>
      <c r="DO245" s="15">
        <f t="shared" ca="1" si="263"/>
        <v>32.411561959998807</v>
      </c>
      <c r="DP245" s="15">
        <f t="shared" ca="1" si="264"/>
        <v>32.84944022424007</v>
      </c>
      <c r="DQ245" s="9"/>
      <c r="DR245" s="9"/>
      <c r="DS245" s="9"/>
      <c r="DT245" s="89">
        <v>1.3700821784770481E-2</v>
      </c>
      <c r="DU245" s="89">
        <f t="shared" ca="1" si="236"/>
        <v>1.3700821784770481E-2</v>
      </c>
      <c r="DV245" s="72">
        <f t="shared" ca="1" si="237"/>
        <v>0.60516283365062851</v>
      </c>
      <c r="DW245" s="37"/>
      <c r="DX245" s="35">
        <f t="shared" si="247"/>
        <v>1.41284287873776</v>
      </c>
      <c r="DY245" s="56"/>
      <c r="DZ245" s="56"/>
      <c r="EB245" s="2" t="e" vm="247">
        <v>#VALUE!</v>
      </c>
      <c r="ED245" s="10" cm="1">
        <f t="array" aca="1" ref="ED245" ca="1">_FV(EB245,"Ações em circulação",TRUE)</f>
        <v>502630900</v>
      </c>
      <c r="EE245" s="18">
        <f>VLOOKUP(BO245,Fundamentus!A:U,5,FALSE)</f>
        <v>0.55000000000000004</v>
      </c>
      <c r="EF245" s="2">
        <f t="shared" ca="1" si="238"/>
        <v>29774026767.272724</v>
      </c>
      <c r="EG245" s="17">
        <v>-541887287.16436362</v>
      </c>
      <c r="EH245" s="17">
        <f t="shared" ca="1" si="239"/>
        <v>-541887287.16436362</v>
      </c>
      <c r="EJ245" s="16">
        <f t="shared" ca="1" si="226"/>
        <v>0</v>
      </c>
      <c r="EK245" s="32" t="str">
        <f>IF(VLOOKUP(BO245,Fundamentus!A:U,3,FALSE)&lt;15,"Bom",IF(VLOOKUP(BO245,Fundamentus!A:U,3,FALSE)&gt;15,"Ruim","n/a"))</f>
        <v>Bom</v>
      </c>
      <c r="EL245" s="28" t="str">
        <f>IF(VLOOKUP(BO245,Fundamentus!A:U,4,FALSE)&lt;1,"Baixo",IF(VLOOKUP(BO245,Fundamentus!A:U,4,FALSE)&lt;1.5,"Moderado",IF(VLOOKUP(BO245,Fundamentus!A:U,4,FALSE)&gt;1.5,"Alto","n/a")))</f>
        <v>Baixo</v>
      </c>
      <c r="EM245" s="17" t="str">
        <f>IF(VLOOKUP(BO245,Fundamentus!A:U,8,FALSE)&lt;0,"Risco elevado",IF(VLOOKUP(BO245,Fundamentus!A:U,8,FALSE)&lt;1,"Saudável",IF(VLOOKUP(BO245,Fundamentus!A:U,8,FALSE)&lt;3,"Estável",IF(VLOOKUP(BO245,Fundamentus!A:U,8,FALSE)&gt;3,"Alerta","n/a"))))</f>
        <v>Estável</v>
      </c>
      <c r="EN245" s="28" t="str">
        <f t="shared" si="240"/>
        <v>Ruim</v>
      </c>
      <c r="EO245" s="17" t="str">
        <f>IF(VLOOKUP(BO245,Fundamentus!A:U,12,FALSE)&lt;2,"Subvalorizada",IF(VLOOKUP(BO245,Fundamentus!A:U,12,FALSE)&lt;6,"Muita barata",IF(VLOOKUP(BO245,Fundamentus!A:U,12,FALSE)&lt;6,"Barata",IF(VLOOKUP(BO245,Fundamentus!A:U,12,FALSE)&lt;8,"Atrativa",IF(VLOOKUP(BO245,Fundamentus!A:U,12,FALSE)&gt;8,"Supervalorizada","n/a")))))</f>
        <v>Supervalorizada</v>
      </c>
      <c r="EQ245" s="17" t="str">
        <f>IF(VLOOKUP(BO245,Fundamentus!A:U,17,FALSE)&lt;0.1,"Fraco retorno",IF(VLOOKUP(BO245,Fundamentus!A:U,17,FALSE)&gt;0.1,"Bom retorno","n/a"))</f>
        <v>Fraco retorno</v>
      </c>
      <c r="ER245" s="17" t="str">
        <f>IF(VLOOKUP(BO245,Fundamentus!A:U,16,FALSE)&lt;0.1,"Ineficiente",IF(VLOOKUP(BO245,Fundamentus!A:U,16,FALSE)&gt;0.1,"Eficiente","n/a"))</f>
        <v>Ineficiente</v>
      </c>
      <c r="ES245" s="33" t="str">
        <f>IF(VLOOKUP(BO245,Fundamentus!A:U,16,FALSE)&lt;0.1,"Oper. Ineficiente",IF(VLOOKUP(BO245,Fundamentus!A:U,16,FALSE)&gt;0.1,"Oper.Eficiente","n/a"))</f>
        <v>Oper. Ineficiente</v>
      </c>
      <c r="ET245" s="34">
        <f>VLOOKUP(BO245,Fundamentus!A:U,14,FALSE)</f>
        <v>-1.8200000000000001E-2</v>
      </c>
      <c r="EU245" s="17" t="str">
        <f>IF(VLOOKUP(BO245,Fundamentus!A:U,21,FALSE)&lt;0,"Negativo",IF(VLOOKUP(BO245,Fundamentus!A:U,21,FALSE)&lt;0.05,"Fraco",IF(VLOOKUP(BO245,Fundamentus!A:U,21,FALSE)&lt;0.1,"Bom",IF(VLOOKUP(BO245,Fundamentus!A:U,21,FALSE)&gt;0.1,"Muito bom","n/a"))))</f>
        <v>Muito bom</v>
      </c>
      <c r="EW245" s="29" t="str">
        <f>IF(VLOOKUP(BO245,Fundamentus!A:U,15,FALSE)&gt;1,"Bom",IF(VLOOKUP(BO245,Fundamentus!A:U,15,FALSE)&lt;1,"Ruim","n/a"))</f>
        <v>Bom</v>
      </c>
      <c r="EX245" s="17" t="str">
        <f>IF(VLOOKUP(BO245,Fundamentus!A:U,20,FALSE)&lt;0.5,"Baixa",IF(VLOOKUP(BO245,Fundamentus!A:U,20,FALSE)&lt;1,"Moderada",IF(VLOOKUP(BO245,Fundamentus!A:U,20,FALSE)&lt;2,"Alerta",IF(VLOOKUP(BO245,Fundamentus!A:U,20,FALSE)&gt;2,"Alta","n/a"))))</f>
        <v>Baixa</v>
      </c>
    </row>
    <row r="246" spans="1:154" s="2" customFormat="1" ht="11.25"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5">
        <v>2.0099999999999998</v>
      </c>
      <c r="BC246" s="52">
        <v>1.98</v>
      </c>
      <c r="BD246" s="52">
        <v>1.96</v>
      </c>
      <c r="BE246" s="52">
        <v>1.77</v>
      </c>
      <c r="BF246" s="52">
        <v>1.72</v>
      </c>
      <c r="BG246" s="67">
        <v>1.57</v>
      </c>
      <c r="BH246" s="52">
        <v>1.2</v>
      </c>
      <c r="BI246" s="52">
        <v>0.95</v>
      </c>
      <c r="BJ246" s="52">
        <v>1.1200000000000001</v>
      </c>
      <c r="BK246" s="52">
        <v>1.08</v>
      </c>
      <c r="BL246" s="52">
        <v>0.96</v>
      </c>
      <c r="BM246" s="52">
        <v>0.99</v>
      </c>
      <c r="BN246" s="52" cm="1">
        <f t="array" aca="1" ref="BN246" ca="1">_FV(EB246,"Preço")</f>
        <v>0.99</v>
      </c>
      <c r="BO246" s="69" t="s">
        <v>242</v>
      </c>
      <c r="BP246" s="36" cm="1">
        <f t="array" aca="1" ref="BP246" ca="1">_FV(EB246,"Média de volume",TRUE)</f>
        <v>207580</v>
      </c>
      <c r="BQ246" s="36">
        <v>61400</v>
      </c>
      <c r="BR246" s="36" cm="1">
        <f t="array" aca="1" ref="BR246" ca="1">_FV(EB246,"Volume")</f>
        <v>61400</v>
      </c>
      <c r="BS246" s="24" cm="1">
        <f t="array" aca="1" ref="BS246" ca="1">_FV(EB246,"Beta")</f>
        <v>1.7937000000000001</v>
      </c>
      <c r="BT246" s="71" cm="1">
        <f t="array" aca="1" ref="BT246" ca="1">_FV(EB246,"Variação (%)",TRUE)</f>
        <v>-1.9802E-2</v>
      </c>
      <c r="BV246" s="17" cm="1">
        <f t="array" aca="1" ref="BV246" ca="1">_FV(EB246,"Baixo")</f>
        <v>0.99</v>
      </c>
      <c r="BW246" s="17" cm="1">
        <f t="array" aca="1" ref="BW246" ca="1">_FV(EB246,"Alto")</f>
        <v>1.01</v>
      </c>
      <c r="BX246" s="24"/>
      <c r="BY246" s="63">
        <f ca="1">SQRT(22.5*(BN246/VLOOKUP(BO246,Fundamentus!A:U,3,FALSE))*(BN246/VLOOKUP(BO246,Fundamentus!A:U,4,FALSE)))</f>
        <v>79.376588847990035</v>
      </c>
      <c r="CA246" s="62">
        <f t="shared" ca="1" si="241"/>
        <v>0</v>
      </c>
      <c r="CB246" s="8"/>
      <c r="CC246" s="61">
        <f t="shared" si="242"/>
        <v>0.34</v>
      </c>
      <c r="CD246" s="61">
        <f t="shared" si="243"/>
        <v>7.27</v>
      </c>
      <c r="CE246" s="61">
        <f t="shared" si="244"/>
        <v>3.1249230769230758</v>
      </c>
      <c r="CF246" s="14"/>
      <c r="CG246" s="35">
        <f t="shared" si="227"/>
        <v>0.78009618943235914</v>
      </c>
      <c r="CH246" s="15">
        <f t="shared" si="245"/>
        <v>0.91000000000002501</v>
      </c>
      <c r="CI246" s="35">
        <f t="shared" si="228"/>
        <v>1.039903810567691</v>
      </c>
      <c r="CK246" s="14"/>
      <c r="CL246" s="17">
        <f t="shared" si="229"/>
        <v>-8.4866666666666646</v>
      </c>
      <c r="CM246" s="17">
        <f t="shared" si="230"/>
        <v>-4.0733333333333324</v>
      </c>
      <c r="CN246" s="17">
        <f t="shared" si="231"/>
        <v>-1.5566666666666658</v>
      </c>
      <c r="CO246" s="38">
        <f t="shared" si="246"/>
        <v>2.8566666666666669</v>
      </c>
      <c r="CP246" s="17">
        <f t="shared" si="232"/>
        <v>5.373333333333334</v>
      </c>
      <c r="CQ246" s="17">
        <f t="shared" si="233"/>
        <v>9.7866666666666671</v>
      </c>
      <c r="CR246" s="17">
        <f t="shared" si="234"/>
        <v>12.303333333333335</v>
      </c>
      <c r="CS246" s="2" cm="1">
        <f t="array" aca="1" ref="CS246" ca="1">MAX(_xlfn._xlws.FILTER(CL246:CR246,CL246:CR246&lt;BN246))</f>
        <v>-1.5566666666666658</v>
      </c>
      <c r="CT246" s="2" cm="1">
        <f t="array" aca="1" ref="CT246" ca="1">MIN(_xlfn._xlws.FILTER($CL246:$CR246,$CL246:$CR246&gt;BN246))</f>
        <v>2.8566666666666669</v>
      </c>
      <c r="CU246" s="16">
        <f t="shared" ca="1" si="248"/>
        <v>-2.8351177730192729</v>
      </c>
      <c r="CV246" s="20">
        <f t="shared" ca="1" si="249"/>
        <v>1.4175588865096365</v>
      </c>
      <c r="CW246" s="20">
        <f t="shared" ca="1" si="250"/>
        <v>0.94503925767309094</v>
      </c>
      <c r="CX246" s="20">
        <f t="shared" ca="1" si="251"/>
        <v>0.56702355460385456</v>
      </c>
      <c r="CY246" s="20">
        <f t="shared" ca="1" si="252"/>
        <v>0.31501308589103033</v>
      </c>
      <c r="CZ246" s="20">
        <f t="shared" ca="1" si="253"/>
        <v>0.16677163370701606</v>
      </c>
      <c r="DA246" s="20">
        <f t="shared" ca="1" si="254"/>
        <v>8.5912659788462811E-2</v>
      </c>
      <c r="DB246" s="20">
        <f t="shared" ca="1" si="255"/>
        <v>4.3617196507988815E-2</v>
      </c>
      <c r="DC246" s="21">
        <f t="shared" ca="1" si="256"/>
        <v>-4.3617196507988815E-2</v>
      </c>
      <c r="DD246" s="21">
        <f t="shared" ca="1" si="257"/>
        <v>-8.5912659788462811E-2</v>
      </c>
      <c r="DE246" s="21">
        <f t="shared" ca="1" si="258"/>
        <v>-0.16677163370701606</v>
      </c>
      <c r="DF246" s="21">
        <f t="shared" ca="1" si="259"/>
        <v>-0.31501308589103033</v>
      </c>
      <c r="DG246" s="21">
        <f t="shared" ca="1" si="260"/>
        <v>-0.56702355460385456</v>
      </c>
      <c r="DH246" s="21">
        <f t="shared" ca="1" si="261"/>
        <v>-0.94503925767309094</v>
      </c>
      <c r="DI246" s="21">
        <f t="shared" ca="1" si="262"/>
        <v>-1.4175588865096365</v>
      </c>
      <c r="DK246" s="16" cm="1">
        <f t="array" aca="1" ref="DK246" ca="1">MAX(_xlfn._xlws.FILTER(CV246:DI246,CV246:DI246&lt;BT246))</f>
        <v>-4.3617196507988815E-2</v>
      </c>
      <c r="DL246" s="16" cm="1">
        <f t="array" aca="1" ref="DL246" ca="1">MIN(_xlfn._xlws.FILTER(CV246:DI246,CV246:DI246&gt;BT246))</f>
        <v>4.3617196507988815E-2</v>
      </c>
      <c r="DM246" s="2" cm="1">
        <f t="array" aca="1" ref="DM246" ca="1">_FV(EB246,"Fechamento anterior",TRUE)</f>
        <v>1.01</v>
      </c>
      <c r="DN246" s="28">
        <f t="shared" ca="1" si="235"/>
        <v>0.27300260237504148</v>
      </c>
      <c r="DO246" s="15">
        <f t="shared" ca="1" si="263"/>
        <v>0.96594663152693128</v>
      </c>
      <c r="DP246" s="15">
        <f t="shared" ca="1" si="264"/>
        <v>1.0540533684730686</v>
      </c>
      <c r="DQ246" s="9"/>
      <c r="DR246" s="9"/>
      <c r="DS246" s="9"/>
      <c r="DT246" s="89">
        <v>8.7234393015977629E-2</v>
      </c>
      <c r="DU246" s="89">
        <f t="shared" ca="1" si="236"/>
        <v>8.7234393015977629E-2</v>
      </c>
      <c r="DV246" s="72">
        <f t="shared" ca="1" si="237"/>
        <v>0.61584028713540784</v>
      </c>
      <c r="DW246" s="37"/>
      <c r="DX246" s="35">
        <f t="shared" si="247"/>
        <v>6.4951905283832947E-2</v>
      </c>
      <c r="DY246" s="56"/>
      <c r="DZ246" s="56"/>
      <c r="EB246" s="2" t="e" vm="248">
        <v>#VALUE!</v>
      </c>
      <c r="ED246" s="10" cm="1">
        <f t="array" aca="1" ref="ED246" ca="1">_FV(EB246,"Ações em circulação",TRUE)</f>
        <v>50311580</v>
      </c>
      <c r="EE246" s="18">
        <f>VLOOKUP(BO246,Fundamentus!A:U,5,FALSE)</f>
        <v>6.5000000000000002E-2</v>
      </c>
      <c r="EF246" s="2">
        <f t="shared" ca="1" si="238"/>
        <v>766284064.61538458</v>
      </c>
      <c r="EG246" s="17">
        <v>-1273870629.0166154</v>
      </c>
      <c r="EH246" s="17">
        <f t="shared" ca="1" si="239"/>
        <v>-1273870629.0166154</v>
      </c>
      <c r="EJ246" s="16">
        <f t="shared" ca="1" si="226"/>
        <v>0</v>
      </c>
      <c r="EK246" s="32" t="str">
        <f>IF(VLOOKUP(BO246,Fundamentus!A:U,3,FALSE)&lt;15,"Bom",IF(VLOOKUP(BO246,Fundamentus!A:U,3,FALSE)&gt;15,"Ruim","n/a"))</f>
        <v>Bom</v>
      </c>
      <c r="EL246" s="28" t="str">
        <f>IF(VLOOKUP(BO246,Fundamentus!A:U,4,FALSE)&lt;1,"Baixo",IF(VLOOKUP(BO246,Fundamentus!A:U,4,FALSE)&lt;1.5,"Moderado",IF(VLOOKUP(BO246,Fundamentus!A:U,4,FALSE)&gt;1.5,"Alto","n/a")))</f>
        <v>Baixo</v>
      </c>
      <c r="EM246" s="17" t="str">
        <f>IF(VLOOKUP(BO246,Fundamentus!A:U,8,FALSE)&lt;0,"Risco elevado",IF(VLOOKUP(BO246,Fundamentus!A:U,8,FALSE)&lt;1,"Saudável",IF(VLOOKUP(BO246,Fundamentus!A:U,8,FALSE)&lt;3,"Estável",IF(VLOOKUP(BO246,Fundamentus!A:U,8,FALSE)&gt;3,"Alerta","n/a"))))</f>
        <v>Risco elevado</v>
      </c>
      <c r="EN246" s="28" t="str">
        <f t="shared" si="240"/>
        <v>Ruim</v>
      </c>
      <c r="EO246" s="17" t="str">
        <f>IF(VLOOKUP(BO246,Fundamentus!A:U,12,FALSE)&lt;2,"Subvalorizada",IF(VLOOKUP(BO246,Fundamentus!A:U,12,FALSE)&lt;6,"Muita barata",IF(VLOOKUP(BO246,Fundamentus!A:U,12,FALSE)&lt;6,"Barata",IF(VLOOKUP(BO246,Fundamentus!A:U,12,FALSE)&lt;8,"Atrativa",IF(VLOOKUP(BO246,Fundamentus!A:U,12,FALSE)&gt;8,"Supervalorizada","n/a")))))</f>
        <v>Subvalorizada</v>
      </c>
      <c r="EQ246" s="17" t="str">
        <f>IF(VLOOKUP(BO246,Fundamentus!A:U,17,FALSE)&lt;0.1,"Fraco retorno",IF(VLOOKUP(BO246,Fundamentus!A:U,17,FALSE)&gt;0.1,"Bom retorno","n/a"))</f>
        <v>Bom retorno</v>
      </c>
      <c r="ER246" s="17" t="str">
        <f>IF(VLOOKUP(BO246,Fundamentus!A:U,16,FALSE)&lt;0.1,"Ineficiente",IF(VLOOKUP(BO246,Fundamentus!A:U,16,FALSE)&gt;0.1,"Eficiente","n/a"))</f>
        <v>Ineficiente</v>
      </c>
      <c r="ES246" s="33" t="str">
        <f>IF(VLOOKUP(BO246,Fundamentus!A:U,16,FALSE)&lt;0.1,"Oper. Ineficiente",IF(VLOOKUP(BO246,Fundamentus!A:U,16,FALSE)&gt;0.1,"Oper.Eficiente","n/a"))</f>
        <v>Oper. Ineficiente</v>
      </c>
      <c r="ET246" s="34">
        <f>VLOOKUP(BO246,Fundamentus!A:U,14,FALSE)</f>
        <v>-1.6624000000000001</v>
      </c>
      <c r="EU246" s="17" t="str">
        <f>IF(VLOOKUP(BO246,Fundamentus!A:U,21,FALSE)&lt;0,"Negativo",IF(VLOOKUP(BO246,Fundamentus!A:U,21,FALSE)&lt;0.05,"Fraco",IF(VLOOKUP(BO246,Fundamentus!A:U,21,FALSE)&lt;0.1,"Bom",IF(VLOOKUP(BO246,Fundamentus!A:U,21,FALSE)&gt;0.1,"Muito bom","n/a"))))</f>
        <v>Negativo</v>
      </c>
      <c r="EW246" s="29" t="str">
        <f>IF(VLOOKUP(BO246,Fundamentus!A:U,15,FALSE)&gt;1,"Bom",IF(VLOOKUP(BO246,Fundamentus!A:U,15,FALSE)&lt;1,"Ruim","n/a"))</f>
        <v>Ruim</v>
      </c>
      <c r="EX246" s="17" t="str">
        <f>IF(VLOOKUP(BO246,Fundamentus!A:U,20,FALSE)&lt;0.5,"Baixa",IF(VLOOKUP(BO246,Fundamentus!A:U,20,FALSE)&lt;1,"Moderada",IF(VLOOKUP(BO246,Fundamentus!A:U,20,FALSE)&lt;2,"Alerta",IF(VLOOKUP(BO246,Fundamentus!A:U,20,FALSE)&gt;2,"Alta","n/a"))))</f>
        <v>Baixa</v>
      </c>
    </row>
    <row r="247" spans="1:154" s="2" customFormat="1" ht="11.25"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5">
        <v>3</v>
      </c>
      <c r="BC247" s="52">
        <v>3.11</v>
      </c>
      <c r="BD247" s="52">
        <v>3.59</v>
      </c>
      <c r="BE247" s="52">
        <v>3.43</v>
      </c>
      <c r="BF247" s="52">
        <v>3.32</v>
      </c>
      <c r="BG247" s="67">
        <v>3.47</v>
      </c>
      <c r="BH247" s="52">
        <v>3.41</v>
      </c>
      <c r="BI247" s="52">
        <v>3.43</v>
      </c>
      <c r="BJ247" s="52">
        <v>3.4</v>
      </c>
      <c r="BK247" s="52">
        <v>3.38</v>
      </c>
      <c r="BL247" s="52">
        <v>3.4</v>
      </c>
      <c r="BM247" s="52">
        <v>3.47</v>
      </c>
      <c r="BN247" s="52" cm="1">
        <f t="array" aca="1" ref="BN247" ca="1">_FV(EB247,"Preço")</f>
        <v>3.47</v>
      </c>
      <c r="BO247" s="69" t="s">
        <v>243</v>
      </c>
      <c r="BP247" s="36" cm="1">
        <f t="array" aca="1" ref="BP247" ca="1">_FV(EB247,"Média de volume",TRUE)</f>
        <v>510150</v>
      </c>
      <c r="BQ247" s="36">
        <v>178400</v>
      </c>
      <c r="BR247" s="36" cm="1">
        <f t="array" aca="1" ref="BR247" ca="1">_FV(EB247,"Volume")</f>
        <v>178400</v>
      </c>
      <c r="BS247" s="24" cm="1">
        <f t="array" aca="1" ref="BS247" ca="1">_FV(EB247,"Beta")</f>
        <v>1.1822999999999999</v>
      </c>
      <c r="BT247" s="71" cm="1">
        <f t="array" aca="1" ref="BT247" ca="1">_FV(EB247,"Variação (%)",TRUE)</f>
        <v>5.7970000000000001E-3</v>
      </c>
      <c r="BV247" s="17" cm="1">
        <f t="array" aca="1" ref="BV247" ca="1">_FV(EB247,"Baixo")</f>
        <v>3.43</v>
      </c>
      <c r="BW247" s="17" cm="1">
        <f t="array" aca="1" ref="BW247" ca="1">_FV(EB247,"Alto")</f>
        <v>3.48</v>
      </c>
      <c r="BX247" s="24"/>
      <c r="BY247" s="63" t="e">
        <f ca="1">SQRT(22.5*(BN247/VLOOKUP(BO247,Fundamentus!A:U,3,FALSE))*(BN247/VLOOKUP(BO247,Fundamentus!A:U,4,FALSE)))</f>
        <v>#NUM!</v>
      </c>
      <c r="CA247" s="62">
        <f t="shared" ca="1" si="241"/>
        <v>0</v>
      </c>
      <c r="CB247" s="8"/>
      <c r="CC247" s="61">
        <f t="shared" si="242"/>
        <v>2.15</v>
      </c>
      <c r="CD247" s="61">
        <f t="shared" si="243"/>
        <v>3.91</v>
      </c>
      <c r="CE247" s="61">
        <f t="shared" si="244"/>
        <v>3.0319230769230767</v>
      </c>
      <c r="CF247" s="14"/>
      <c r="CG247" s="35">
        <f t="shared" si="227"/>
        <v>3.4016260283441118</v>
      </c>
      <c r="CH247" s="15">
        <f t="shared" si="245"/>
        <v>3.4699999999999989</v>
      </c>
      <c r="CI247" s="35">
        <f t="shared" si="228"/>
        <v>3.538373971655886</v>
      </c>
      <c r="CK247" s="14"/>
      <c r="CL247" s="17">
        <f t="shared" si="229"/>
        <v>0.63666666666666716</v>
      </c>
      <c r="CM247" s="17">
        <f t="shared" si="230"/>
        <v>1.3933333333333335</v>
      </c>
      <c r="CN247" s="17">
        <f t="shared" si="231"/>
        <v>2.3966666666666674</v>
      </c>
      <c r="CO247" s="38">
        <f t="shared" si="246"/>
        <v>3.1533333333333338</v>
      </c>
      <c r="CP247" s="17">
        <f t="shared" si="232"/>
        <v>4.1566666666666681</v>
      </c>
      <c r="CQ247" s="17">
        <f t="shared" si="233"/>
        <v>4.913333333333334</v>
      </c>
      <c r="CR247" s="17">
        <f t="shared" si="234"/>
        <v>5.9166666666666679</v>
      </c>
      <c r="CS247" s="2" cm="1">
        <f t="array" aca="1" ref="CS247" ca="1">MAX(_xlfn._xlws.FILTER(CL247:CR247,CL247:CR247&lt;BN247))</f>
        <v>3.1533333333333338</v>
      </c>
      <c r="CT247" s="2" cm="1">
        <f t="array" aca="1" ref="CT247" ca="1">MIN(_xlfn._xlws.FILTER($CL247:$CR247,$CL247:$CR247&gt;BN247))</f>
        <v>4.1566666666666681</v>
      </c>
      <c r="CU247" s="16">
        <f t="shared" ca="1" si="248"/>
        <v>0.31818181818181834</v>
      </c>
      <c r="CV247" s="20">
        <f t="shared" ca="1" si="249"/>
        <v>-0.15909090909090917</v>
      </c>
      <c r="CW247" s="20">
        <f t="shared" ca="1" si="250"/>
        <v>-0.10606060606060612</v>
      </c>
      <c r="CX247" s="20">
        <f t="shared" ca="1" si="251"/>
        <v>-6.3636363636363671E-2</v>
      </c>
      <c r="CY247" s="20">
        <f t="shared" ca="1" si="252"/>
        <v>-3.5353535353535373E-2</v>
      </c>
      <c r="CZ247" s="20">
        <f t="shared" ca="1" si="253"/>
        <v>-1.8716577540106961E-2</v>
      </c>
      <c r="DA247" s="20">
        <f t="shared" ca="1" si="254"/>
        <v>-9.6418732782369201E-3</v>
      </c>
      <c r="DB247" s="20">
        <f t="shared" ca="1" si="255"/>
        <v>-4.8951048951048973E-3</v>
      </c>
      <c r="DC247" s="21">
        <f t="shared" ca="1" si="256"/>
        <v>4.8951048951048973E-3</v>
      </c>
      <c r="DD247" s="21">
        <f t="shared" ca="1" si="257"/>
        <v>9.6418732782369201E-3</v>
      </c>
      <c r="DE247" s="21">
        <f t="shared" ca="1" si="258"/>
        <v>1.8716577540106961E-2</v>
      </c>
      <c r="DF247" s="21">
        <f t="shared" ca="1" si="259"/>
        <v>3.5353535353535373E-2</v>
      </c>
      <c r="DG247" s="21">
        <f t="shared" ca="1" si="260"/>
        <v>6.3636363636363671E-2</v>
      </c>
      <c r="DH247" s="21">
        <f t="shared" ca="1" si="261"/>
        <v>0.10606060606060612</v>
      </c>
      <c r="DI247" s="21">
        <f t="shared" ca="1" si="262"/>
        <v>0.15909090909090917</v>
      </c>
      <c r="DK247" s="16" cm="1">
        <f t="array" aca="1" ref="DK247" ca="1">MAX(_xlfn._xlws.FILTER(CV247:DI247,CV247:DI247&lt;BT247))</f>
        <v>4.8951048951048973E-3</v>
      </c>
      <c r="DL247" s="16" cm="1">
        <f t="array" aca="1" ref="DL247" ca="1">MIN(_xlfn._xlws.FILTER(CV247:DI247,CV247:DI247&gt;BT247))</f>
        <v>9.6418732782369201E-3</v>
      </c>
      <c r="DM247" s="2" cm="1">
        <f t="array" aca="1" ref="DM247" ca="1">_FV(EB247,"Fechamento anterior",TRUE)</f>
        <v>3.45</v>
      </c>
      <c r="DN247" s="28">
        <f t="shared" ca="1" si="235"/>
        <v>0.19002329192546508</v>
      </c>
      <c r="DO247" s="15">
        <f t="shared" ca="1" si="263"/>
        <v>3.4668881118881121</v>
      </c>
      <c r="DP247" s="15">
        <f t="shared" ca="1" si="264"/>
        <v>3.4832644628099176</v>
      </c>
      <c r="DQ247" s="9"/>
      <c r="DR247" s="9"/>
      <c r="DS247" s="9"/>
      <c r="DT247" s="89">
        <v>4.7467683831320228E-3</v>
      </c>
      <c r="DU247" s="89">
        <f t="shared" ca="1" si="236"/>
        <v>4.7467683831320228E-3</v>
      </c>
      <c r="DV247" s="72">
        <f t="shared" ca="1" si="237"/>
        <v>1.9485011580945329E-14</v>
      </c>
      <c r="DW247" s="37"/>
      <c r="DX247" s="35">
        <f t="shared" si="247"/>
        <v>3.4186985827943481E-2</v>
      </c>
      <c r="DY247" s="56"/>
      <c r="DZ247" s="56"/>
      <c r="EB247" s="2" t="e" vm="249">
        <v>#VALUE!</v>
      </c>
      <c r="ED247" s="10" cm="1">
        <f t="array" aca="1" ref="ED247" ca="1">_FV(EB247,"Ações em circulação",TRUE)</f>
        <v>406934400</v>
      </c>
      <c r="EE247" s="18">
        <f>VLOOKUP(BO247,Fundamentus!A:U,5,FALSE)</f>
        <v>0.30199999999999999</v>
      </c>
      <c r="EF247" s="2">
        <f t="shared" ca="1" si="238"/>
        <v>4675703205.2980137</v>
      </c>
      <c r="EG247" s="17">
        <v>-143544088.40264902</v>
      </c>
      <c r="EH247" s="17">
        <f t="shared" ca="1" si="239"/>
        <v>-143544088.40264902</v>
      </c>
      <c r="EJ247" s="16">
        <f t="shared" ca="1" si="226"/>
        <v>0</v>
      </c>
      <c r="EK247" s="32" t="str">
        <f>IF(VLOOKUP(BO247,Fundamentus!A:U,3,FALSE)&lt;15,"Bom",IF(VLOOKUP(BO247,Fundamentus!A:U,3,FALSE)&gt;15,"Ruim","n/a"))</f>
        <v>Bom</v>
      </c>
      <c r="EL247" s="28" t="str">
        <f>IF(VLOOKUP(BO247,Fundamentus!A:U,4,FALSE)&lt;1,"Baixo",IF(VLOOKUP(BO247,Fundamentus!A:U,4,FALSE)&lt;1.5,"Moderado",IF(VLOOKUP(BO247,Fundamentus!A:U,4,FALSE)&gt;1.5,"Alto","n/a")))</f>
        <v>Baixo</v>
      </c>
      <c r="EM247" s="17" t="str">
        <f>IF(VLOOKUP(BO247,Fundamentus!A:U,8,FALSE)&lt;0,"Risco elevado",IF(VLOOKUP(BO247,Fundamentus!A:U,8,FALSE)&lt;1,"Saudável",IF(VLOOKUP(BO247,Fundamentus!A:U,8,FALSE)&lt;3,"Estável",IF(VLOOKUP(BO247,Fundamentus!A:U,8,FALSE)&gt;3,"Alerta","n/a"))))</f>
        <v>Alerta</v>
      </c>
      <c r="EN247" s="28" t="str">
        <f t="shared" si="240"/>
        <v>Ruim</v>
      </c>
      <c r="EO247" s="17" t="str">
        <f>IF(VLOOKUP(BO247,Fundamentus!A:U,12,FALSE)&lt;2,"Subvalorizada",IF(VLOOKUP(BO247,Fundamentus!A:U,12,FALSE)&lt;6,"Muita barata",IF(VLOOKUP(BO247,Fundamentus!A:U,12,FALSE)&lt;6,"Barata",IF(VLOOKUP(BO247,Fundamentus!A:U,12,FALSE)&lt;8,"Atrativa",IF(VLOOKUP(BO247,Fundamentus!A:U,12,FALSE)&gt;8,"Supervalorizada","n/a")))))</f>
        <v>Muita barata</v>
      </c>
      <c r="EQ247" s="17" t="str">
        <f>IF(VLOOKUP(BO247,Fundamentus!A:U,17,FALSE)&lt;0.1,"Fraco retorno",IF(VLOOKUP(BO247,Fundamentus!A:U,17,FALSE)&gt;0.1,"Bom retorno","n/a"))</f>
        <v>Fraco retorno</v>
      </c>
      <c r="ER247" s="17" t="str">
        <f>IF(VLOOKUP(BO247,Fundamentus!A:U,16,FALSE)&lt;0.1,"Ineficiente",IF(VLOOKUP(BO247,Fundamentus!A:U,16,FALSE)&gt;0.1,"Eficiente","n/a"))</f>
        <v>Ineficiente</v>
      </c>
      <c r="ES247" s="33" t="str">
        <f>IF(VLOOKUP(BO247,Fundamentus!A:U,16,FALSE)&lt;0.1,"Oper. Ineficiente",IF(VLOOKUP(BO247,Fundamentus!A:U,16,FALSE)&gt;0.1,"Oper.Eficiente","n/a"))</f>
        <v>Oper. Ineficiente</v>
      </c>
      <c r="ET247" s="34">
        <f>VLOOKUP(BO247,Fundamentus!A:U,14,FALSE)</f>
        <v>-3.0700000000000002E-2</v>
      </c>
      <c r="EU247" s="17" t="str">
        <f>IF(VLOOKUP(BO247,Fundamentus!A:U,21,FALSE)&lt;0,"Negativo",IF(VLOOKUP(BO247,Fundamentus!A:U,21,FALSE)&lt;0.05,"Fraco",IF(VLOOKUP(BO247,Fundamentus!A:U,21,FALSE)&lt;0.1,"Bom",IF(VLOOKUP(BO247,Fundamentus!A:U,21,FALSE)&gt;0.1,"Muito bom","n/a"))))</f>
        <v>Muito bom</v>
      </c>
      <c r="EW247" s="29" t="str">
        <f>IF(VLOOKUP(BO247,Fundamentus!A:U,15,FALSE)&gt;1,"Bom",IF(VLOOKUP(BO247,Fundamentus!A:U,15,FALSE)&lt;1,"Ruim","n/a"))</f>
        <v>Bom</v>
      </c>
      <c r="EX247" s="17" t="str">
        <f>IF(VLOOKUP(BO247,Fundamentus!A:U,20,FALSE)&lt;0.5,"Baixa",IF(VLOOKUP(BO247,Fundamentus!A:U,20,FALSE)&lt;1,"Moderada",IF(VLOOKUP(BO247,Fundamentus!A:U,20,FALSE)&lt;2,"Alerta",IF(VLOOKUP(BO247,Fundamentus!A:U,20,FALSE)&gt;2,"Alta","n/a"))))</f>
        <v>Moderada</v>
      </c>
    </row>
    <row r="248" spans="1:154" s="2" customFormat="1" ht="11.25"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5">
        <v>2</v>
      </c>
      <c r="BC248" s="52">
        <v>1.81</v>
      </c>
      <c r="BD248" s="52">
        <v>1.65</v>
      </c>
      <c r="BE248" s="52">
        <v>1.62</v>
      </c>
      <c r="BF248" s="52">
        <v>1.66</v>
      </c>
      <c r="BG248" s="67">
        <v>1.75</v>
      </c>
      <c r="BH248" s="52">
        <v>1.68</v>
      </c>
      <c r="BI248" s="52">
        <v>1.64</v>
      </c>
      <c r="BJ248" s="52">
        <v>1.69</v>
      </c>
      <c r="BK248" s="52">
        <v>1.65</v>
      </c>
      <c r="BL248" s="52">
        <v>1.59</v>
      </c>
      <c r="BM248" s="52">
        <v>1.51</v>
      </c>
      <c r="BN248" s="52" cm="1">
        <f t="array" aca="1" ref="BN248" ca="1">_FV(EB248,"Preço")</f>
        <v>1.51</v>
      </c>
      <c r="BO248" s="69" t="s">
        <v>244</v>
      </c>
      <c r="BP248" s="36" cm="1">
        <f t="array" aca="1" ref="BP248" ca="1">_FV(EB248,"Média de volume",TRUE)</f>
        <v>9930</v>
      </c>
      <c r="BQ248" s="36">
        <v>1000</v>
      </c>
      <c r="BR248" s="36" cm="1">
        <f t="array" aca="1" ref="BR248" ca="1">_FV(EB248,"Volume")</f>
        <v>1000</v>
      </c>
      <c r="BS248" s="24" cm="1">
        <f t="array" aca="1" ref="BS248" ca="1">_FV(EB248,"Beta")</f>
        <v>1.9459</v>
      </c>
      <c r="BT248" s="71" cm="1">
        <f t="array" aca="1" ref="BT248" ca="1">_FV(EB248,"Variação (%)",TRUE)</f>
        <v>-6.5790000000000006E-3</v>
      </c>
      <c r="BV248" s="17" cm="1">
        <f t="array" aca="1" ref="BV248" ca="1">_FV(EB248,"Baixo")</f>
        <v>1.5</v>
      </c>
      <c r="BW248" s="17" cm="1">
        <f t="array" aca="1" ref="BW248" ca="1">_FV(EB248,"Alto")</f>
        <v>1.51</v>
      </c>
      <c r="BX248" s="24"/>
      <c r="BY248" s="63">
        <f ca="1">SQRT(22.5*(BN248/VLOOKUP(BO248,Fundamentus!A:U,3,FALSE))*(BN248/VLOOKUP(BO248,Fundamentus!A:U,4,FALSE)))</f>
        <v>59.481814085454317</v>
      </c>
      <c r="CA248" s="62">
        <f t="shared" ca="1" si="241"/>
        <v>0</v>
      </c>
      <c r="CB248" s="8"/>
      <c r="CC248" s="61">
        <f t="shared" si="242"/>
        <v>1.25</v>
      </c>
      <c r="CD248" s="61">
        <f t="shared" si="243"/>
        <v>3.03</v>
      </c>
      <c r="CE248" s="61">
        <f t="shared" si="244"/>
        <v>1.6820000000000004</v>
      </c>
      <c r="CF248" s="14"/>
      <c r="CG248" s="35">
        <f t="shared" si="227"/>
        <v>1.324353400337531</v>
      </c>
      <c r="CH248" s="15">
        <f t="shared" si="245"/>
        <v>1.4600000000000364</v>
      </c>
      <c r="CI248" s="35">
        <f t="shared" si="228"/>
        <v>1.5956465996625417</v>
      </c>
      <c r="CK248" s="14"/>
      <c r="CL248" s="17">
        <f t="shared" si="229"/>
        <v>-0.89666666666666694</v>
      </c>
      <c r="CM248" s="17">
        <f t="shared" si="230"/>
        <v>0.17666666666666653</v>
      </c>
      <c r="CN248" s="17">
        <f t="shared" si="231"/>
        <v>0.88333333333333286</v>
      </c>
      <c r="CO248" s="38">
        <f t="shared" si="246"/>
        <v>1.9566666666666663</v>
      </c>
      <c r="CP248" s="17">
        <f t="shared" si="232"/>
        <v>2.6633333333333327</v>
      </c>
      <c r="CQ248" s="17">
        <f t="shared" si="233"/>
        <v>3.7366666666666664</v>
      </c>
      <c r="CR248" s="17">
        <f t="shared" si="234"/>
        <v>4.4433333333333325</v>
      </c>
      <c r="CS248" s="2" cm="1">
        <f t="array" aca="1" ref="CS248" ca="1">MAX(_xlfn._xlws.FILTER(CL248:CR248,CL248:CR248&lt;BN248))</f>
        <v>0.88333333333333286</v>
      </c>
      <c r="CT248" s="2" cm="1">
        <f t="array" aca="1" ref="CT248" ca="1">MIN(_xlfn._xlws.FILTER($CL248:$CR248,$CL248:$CR248&gt;BN248))</f>
        <v>1.9566666666666663</v>
      </c>
      <c r="CU248" s="16">
        <f t="shared" ca="1" si="248"/>
        <v>1.2150943396226421</v>
      </c>
      <c r="CV248" s="20">
        <f t="shared" ca="1" si="249"/>
        <v>-0.60754716981132106</v>
      </c>
      <c r="CW248" s="20">
        <f t="shared" ca="1" si="250"/>
        <v>-0.40503144654088069</v>
      </c>
      <c r="CX248" s="20">
        <f t="shared" ca="1" si="251"/>
        <v>-0.24301886792452843</v>
      </c>
      <c r="CY248" s="20">
        <f t="shared" ca="1" si="252"/>
        <v>-0.13501048218029357</v>
      </c>
      <c r="CZ248" s="20">
        <f t="shared" ca="1" si="253"/>
        <v>-7.1476137624861297E-2</v>
      </c>
      <c r="DA248" s="20">
        <f t="shared" ca="1" si="254"/>
        <v>-3.6821040594625522E-2</v>
      </c>
      <c r="DB248" s="20">
        <f t="shared" ca="1" si="255"/>
        <v>-1.8693759071117571E-2</v>
      </c>
      <c r="DC248" s="21">
        <f t="shared" ca="1" si="256"/>
        <v>1.8693759071117571E-2</v>
      </c>
      <c r="DD248" s="21">
        <f t="shared" ca="1" si="257"/>
        <v>3.6821040594625522E-2</v>
      </c>
      <c r="DE248" s="21">
        <f t="shared" ca="1" si="258"/>
        <v>7.1476137624861297E-2</v>
      </c>
      <c r="DF248" s="21">
        <f t="shared" ca="1" si="259"/>
        <v>0.13501048218029357</v>
      </c>
      <c r="DG248" s="21">
        <f t="shared" ca="1" si="260"/>
        <v>0.24301886792452843</v>
      </c>
      <c r="DH248" s="21">
        <f t="shared" ca="1" si="261"/>
        <v>0.40503144654088069</v>
      </c>
      <c r="DI248" s="21">
        <f t="shared" ca="1" si="262"/>
        <v>0.60754716981132106</v>
      </c>
      <c r="DK248" s="16" cm="1">
        <f t="array" aca="1" ref="DK248" ca="1">MAX(_xlfn._xlws.FILTER(CV248:DI248,CV248:DI248&lt;BT248))</f>
        <v>-1.8693759071117571E-2</v>
      </c>
      <c r="DL248" s="16" cm="1">
        <f t="array" aca="1" ref="DL248" ca="1">MIN(_xlfn._xlws.FILTER(CV248:DI248,CV248:DI248&gt;BT248))</f>
        <v>1.8693759071117571E-2</v>
      </c>
      <c r="DM248" s="2" cm="1">
        <f t="array" aca="1" ref="DM248" ca="1">_FV(EB248,"Fechamento anterior",TRUE)</f>
        <v>1.52</v>
      </c>
      <c r="DN248" s="28">
        <f t="shared" ca="1" si="235"/>
        <v>0.32403358940830307</v>
      </c>
      <c r="DO248" s="15">
        <f t="shared" ca="1" si="263"/>
        <v>1.4915854862119013</v>
      </c>
      <c r="DP248" s="15">
        <f t="shared" ca="1" si="264"/>
        <v>1.5484145137880987</v>
      </c>
      <c r="DQ248" s="9"/>
      <c r="DR248" s="9"/>
      <c r="DS248" s="9"/>
      <c r="DT248" s="89">
        <v>3.7387518142235142E-2</v>
      </c>
      <c r="DU248" s="89">
        <f t="shared" ca="1" si="236"/>
        <v>3.7387518142235142E-2</v>
      </c>
      <c r="DV248" s="72">
        <f t="shared" ca="1" si="237"/>
        <v>0.36860489038697469</v>
      </c>
      <c r="DW248" s="37"/>
      <c r="DX248" s="35">
        <f t="shared" si="247"/>
        <v>6.782329983125264E-2</v>
      </c>
      <c r="DY248" s="56"/>
      <c r="DZ248" s="56"/>
      <c r="EB248" s="2" t="e" vm="250">
        <v>#VALUE!</v>
      </c>
      <c r="ED248" s="10" cm="1">
        <f t="array" aca="1" ref="ED248" ca="1">_FV(EB248,"Ações em circulação",TRUE)</f>
        <v>44895590</v>
      </c>
      <c r="EE248" s="18">
        <f>VLOOKUP(BO248,Fundamentus!A:U,5,FALSE)</f>
        <v>15.2</v>
      </c>
      <c r="EF248" s="2">
        <f t="shared" ca="1" si="238"/>
        <v>4460022.4276315793</v>
      </c>
      <c r="EG248" s="17">
        <v>-239893902.32847634</v>
      </c>
      <c r="EH248" s="17">
        <f t="shared" ca="1" si="239"/>
        <v>-239893902.32847634</v>
      </c>
      <c r="EJ248" s="16">
        <f t="shared" ca="1" si="226"/>
        <v>0</v>
      </c>
      <c r="EK248" s="32" t="str">
        <f>IF(VLOOKUP(BO248,Fundamentus!A:U,3,FALSE)&lt;15,"Bom",IF(VLOOKUP(BO248,Fundamentus!A:U,3,FALSE)&gt;15,"Ruim","n/a"))</f>
        <v>Bom</v>
      </c>
      <c r="EL248" s="28" t="str">
        <f>IF(VLOOKUP(BO248,Fundamentus!A:U,4,FALSE)&lt;1,"Baixo",IF(VLOOKUP(BO248,Fundamentus!A:U,4,FALSE)&lt;1.5,"Moderado",IF(VLOOKUP(BO248,Fundamentus!A:U,4,FALSE)&gt;1.5,"Alto","n/a")))</f>
        <v>Baixo</v>
      </c>
      <c r="EM248" s="17" t="str">
        <f>IF(VLOOKUP(BO248,Fundamentus!A:U,8,FALSE)&lt;0,"Risco elevado",IF(VLOOKUP(BO248,Fundamentus!A:U,8,FALSE)&lt;1,"Saudável",IF(VLOOKUP(BO248,Fundamentus!A:U,8,FALSE)&lt;3,"Estável",IF(VLOOKUP(BO248,Fundamentus!A:U,8,FALSE)&gt;3,"Alerta","n/a"))))</f>
        <v>Risco elevado</v>
      </c>
      <c r="EN248" s="28" t="str">
        <f t="shared" si="240"/>
        <v>Bom</v>
      </c>
      <c r="EO248" s="17" t="str">
        <f>IF(VLOOKUP(BO248,Fundamentus!A:U,12,FALSE)&lt;2,"Subvalorizada",IF(VLOOKUP(BO248,Fundamentus!A:U,12,FALSE)&lt;6,"Muita barata",IF(VLOOKUP(BO248,Fundamentus!A:U,12,FALSE)&lt;6,"Barata",IF(VLOOKUP(BO248,Fundamentus!A:U,12,FALSE)&lt;8,"Atrativa",IF(VLOOKUP(BO248,Fundamentus!A:U,12,FALSE)&gt;8,"Supervalorizada","n/a")))))</f>
        <v>Subvalorizada</v>
      </c>
      <c r="EQ248" s="17" t="str">
        <f>IF(VLOOKUP(BO248,Fundamentus!A:U,17,FALSE)&lt;0.1,"Fraco retorno",IF(VLOOKUP(BO248,Fundamentus!A:U,17,FALSE)&gt;0.1,"Bom retorno","n/a"))</f>
        <v>Bom retorno</v>
      </c>
      <c r="ER248" s="17" t="str">
        <f>IF(VLOOKUP(BO248,Fundamentus!A:U,16,FALSE)&lt;0.1,"Ineficiente",IF(VLOOKUP(BO248,Fundamentus!A:U,16,FALSE)&gt;0.1,"Eficiente","n/a"))</f>
        <v>Ineficiente</v>
      </c>
      <c r="ES248" s="33" t="str">
        <f>IF(VLOOKUP(BO248,Fundamentus!A:U,16,FALSE)&lt;0.1,"Oper. Ineficiente",IF(VLOOKUP(BO248,Fundamentus!A:U,16,FALSE)&gt;0.1,"Oper.Eficiente","n/a"))</f>
        <v>Oper. Ineficiente</v>
      </c>
      <c r="ET248" s="34">
        <f>VLOOKUP(BO248,Fundamentus!A:U,14,FALSE)</f>
        <v>-53.787599999999998</v>
      </c>
      <c r="EU248" s="17" t="str">
        <f>IF(VLOOKUP(BO248,Fundamentus!A:U,21,FALSE)&lt;0,"Negativo",IF(VLOOKUP(BO248,Fundamentus!A:U,21,FALSE)&lt;0.05,"Fraco",IF(VLOOKUP(BO248,Fundamentus!A:U,21,FALSE)&lt;0.1,"Bom",IF(VLOOKUP(BO248,Fundamentus!A:U,21,FALSE)&gt;0.1,"Muito bom","n/a"))))</f>
        <v>Negativo</v>
      </c>
      <c r="EW248" s="29" t="str">
        <f>IF(VLOOKUP(BO248,Fundamentus!A:U,15,FALSE)&gt;1,"Bom",IF(VLOOKUP(BO248,Fundamentus!A:U,15,FALSE)&lt;1,"Ruim","n/a"))</f>
        <v>Ruim</v>
      </c>
      <c r="EX248" s="17" t="str">
        <f>IF(VLOOKUP(BO248,Fundamentus!A:U,20,FALSE)&lt;0.5,"Baixa",IF(VLOOKUP(BO248,Fundamentus!A:U,20,FALSE)&lt;1,"Moderada",IF(VLOOKUP(BO248,Fundamentus!A:U,20,FALSE)&lt;2,"Alerta",IF(VLOOKUP(BO248,Fundamentus!A:U,20,FALSE)&gt;2,"Alta","n/a"))))</f>
        <v>Baixa</v>
      </c>
    </row>
    <row r="249" spans="1:154" s="2" customFormat="1" ht="11.25"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5">
        <v>0.65</v>
      </c>
      <c r="BC249" s="52">
        <v>0.66</v>
      </c>
      <c r="BD249" s="52">
        <v>0.63</v>
      </c>
      <c r="BE249" s="52">
        <v>0.63</v>
      </c>
      <c r="BF249" s="52">
        <v>0.67</v>
      </c>
      <c r="BG249" s="67">
        <v>0.71</v>
      </c>
      <c r="BH249" s="52">
        <v>0.63</v>
      </c>
      <c r="BI249" s="52">
        <v>0.64</v>
      </c>
      <c r="BJ249" s="52">
        <v>0.63</v>
      </c>
      <c r="BK249" s="52">
        <v>0.56999999999999995</v>
      </c>
      <c r="BL249" s="52">
        <v>0.56999999999999995</v>
      </c>
      <c r="BM249" s="52">
        <v>0.5</v>
      </c>
      <c r="BN249" s="52" cm="1">
        <f t="array" aca="1" ref="BN249" ca="1">_FV(EB249,"Preço")</f>
        <v>0.5</v>
      </c>
      <c r="BO249" s="69" t="s">
        <v>245</v>
      </c>
      <c r="BP249" s="36" cm="1">
        <f t="array" aca="1" ref="BP249" ca="1">_FV(EB249,"Média de volume",TRUE)</f>
        <v>22370</v>
      </c>
      <c r="BQ249" s="36">
        <v>501700</v>
      </c>
      <c r="BR249" s="36" cm="1">
        <f t="array" aca="1" ref="BR249" ca="1">_FV(EB249,"Volume")</f>
        <v>501700</v>
      </c>
      <c r="BS249" s="24" cm="1">
        <f t="array" aca="1" ref="BS249" ca="1">_FV(EB249,"Beta")</f>
        <v>1.3792</v>
      </c>
      <c r="BT249" s="71" cm="1">
        <f t="array" aca="1" ref="BT249" ca="1">_FV(EB249,"Variação (%)",TRUE)</f>
        <v>2.0407999999999999E-2</v>
      </c>
      <c r="BV249" s="17" cm="1">
        <f t="array" aca="1" ref="BV249" ca="1">_FV(EB249,"Baixo")</f>
        <v>0.49</v>
      </c>
      <c r="BW249" s="17" cm="1">
        <f t="array" aca="1" ref="BW249" ca="1">_FV(EB249,"Alto")</f>
        <v>0.5</v>
      </c>
      <c r="BX249" s="24"/>
      <c r="BY249" s="63" t="e">
        <f ca="1">SQRT(22.5*(BN249/VLOOKUP(BO249,Fundamentus!A:U,3,FALSE))*(BN249/VLOOKUP(BO249,Fundamentus!A:U,4,FALSE)))</f>
        <v>#NUM!</v>
      </c>
      <c r="CA249" s="62">
        <f t="shared" ca="1" si="241"/>
        <v>0</v>
      </c>
      <c r="CB249" s="8"/>
      <c r="CC249" s="61">
        <f t="shared" si="242"/>
        <v>0.48</v>
      </c>
      <c r="CD249" s="61">
        <f t="shared" si="243"/>
        <v>6.24</v>
      </c>
      <c r="CE249" s="61">
        <f t="shared" si="244"/>
        <v>2.1942307692307681</v>
      </c>
      <c r="CF249" s="14"/>
      <c r="CG249" s="35">
        <f t="shared" si="227"/>
        <v>0.37794023680238903</v>
      </c>
      <c r="CH249" s="15">
        <f t="shared" si="245"/>
        <v>0.46999999999999886</v>
      </c>
      <c r="CI249" s="35">
        <f t="shared" si="228"/>
        <v>0.56205976319760875</v>
      </c>
      <c r="CK249" s="14"/>
      <c r="CL249" s="17">
        <f t="shared" si="229"/>
        <v>-7.1400000000000006</v>
      </c>
      <c r="CM249" s="17">
        <f t="shared" si="230"/>
        <v>-3.3299999999999996</v>
      </c>
      <c r="CN249" s="17">
        <f t="shared" si="231"/>
        <v>-1.38</v>
      </c>
      <c r="CO249" s="38">
        <f t="shared" si="246"/>
        <v>2.4300000000000002</v>
      </c>
      <c r="CP249" s="17">
        <f t="shared" si="232"/>
        <v>4.3800000000000008</v>
      </c>
      <c r="CQ249" s="17">
        <f t="shared" si="233"/>
        <v>8.19</v>
      </c>
      <c r="CR249" s="17">
        <f t="shared" si="234"/>
        <v>10.14</v>
      </c>
      <c r="CS249" s="2" cm="1">
        <f t="array" aca="1" ref="CS249" ca="1">MAX(_xlfn._xlws.FILTER(CL249:CR249,CL249:CR249&lt;BN249))</f>
        <v>-1.38</v>
      </c>
      <c r="CT249" s="2" cm="1">
        <f t="array" aca="1" ref="CT249" ca="1">MIN(_xlfn._xlws.FILTER($CL249:$CR249,$CL249:$CR249&gt;BN249))</f>
        <v>2.4300000000000002</v>
      </c>
      <c r="CU249" s="16">
        <f t="shared" ca="1" si="248"/>
        <v>-2.7608695652173916</v>
      </c>
      <c r="CV249" s="20">
        <f t="shared" ca="1" si="249"/>
        <v>1.3804347826086958</v>
      </c>
      <c r="CW249" s="20">
        <f t="shared" ca="1" si="250"/>
        <v>0.92028985507246386</v>
      </c>
      <c r="CX249" s="20">
        <f t="shared" ca="1" si="251"/>
        <v>0.55217391304347829</v>
      </c>
      <c r="CY249" s="20">
        <f t="shared" ca="1" si="252"/>
        <v>0.30676328502415462</v>
      </c>
      <c r="CZ249" s="20">
        <f t="shared" ca="1" si="253"/>
        <v>0.16240409207161127</v>
      </c>
      <c r="DA249" s="20">
        <f t="shared" ca="1" si="254"/>
        <v>8.3662714097496718E-2</v>
      </c>
      <c r="DB249" s="20">
        <f t="shared" ca="1" si="255"/>
        <v>4.2474916387959867E-2</v>
      </c>
      <c r="DC249" s="21">
        <f t="shared" ca="1" si="256"/>
        <v>-4.2474916387959867E-2</v>
      </c>
      <c r="DD249" s="21">
        <f t="shared" ca="1" si="257"/>
        <v>-8.3662714097496718E-2</v>
      </c>
      <c r="DE249" s="21">
        <f t="shared" ca="1" si="258"/>
        <v>-0.16240409207161127</v>
      </c>
      <c r="DF249" s="21">
        <f t="shared" ca="1" si="259"/>
        <v>-0.30676328502415462</v>
      </c>
      <c r="DG249" s="21">
        <f t="shared" ca="1" si="260"/>
        <v>-0.55217391304347829</v>
      </c>
      <c r="DH249" s="21">
        <f t="shared" ca="1" si="261"/>
        <v>-0.92028985507246386</v>
      </c>
      <c r="DI249" s="21">
        <f t="shared" ca="1" si="262"/>
        <v>-1.3804347826086958</v>
      </c>
      <c r="DK249" s="16" cm="1">
        <f t="array" aca="1" ref="DK249" ca="1">MAX(_xlfn._xlws.FILTER(CV249:DI249,CV249:DI249&lt;BT249))</f>
        <v>-4.2474916387959867E-2</v>
      </c>
      <c r="DL249" s="16" cm="1">
        <f t="array" aca="1" ref="DL249" ca="1">MIN(_xlfn._xlws.FILTER(CV249:DI249,CV249:DI249&gt;BT249))</f>
        <v>4.2474916387959867E-2</v>
      </c>
      <c r="DM249" s="2" cm="1">
        <f t="array" aca="1" ref="DM249" ca="1">_FV(EB249,"Fechamento anterior",TRUE)</f>
        <v>0.49</v>
      </c>
      <c r="DN249" s="28">
        <f t="shared" ca="1" si="235"/>
        <v>0.74023782741443034</v>
      </c>
      <c r="DO249" s="15">
        <f t="shared" ca="1" si="263"/>
        <v>0.46918729096989964</v>
      </c>
      <c r="DP249" s="15">
        <f t="shared" ca="1" si="264"/>
        <v>0.51081270903010034</v>
      </c>
      <c r="DQ249" s="9"/>
      <c r="DR249" s="9"/>
      <c r="DS249" s="9"/>
      <c r="DT249" s="89">
        <v>8.4949832775919734E-2</v>
      </c>
      <c r="DU249" s="89">
        <f t="shared" ca="1" si="236"/>
        <v>8.4949832775919734E-2</v>
      </c>
      <c r="DV249" s="72">
        <f t="shared" ca="1" si="237"/>
        <v>0.32587526795615346</v>
      </c>
      <c r="DW249" s="37"/>
      <c r="DX249" s="35">
        <f t="shared" si="247"/>
        <v>4.6029881598804924E-2</v>
      </c>
      <c r="DY249" s="56"/>
      <c r="DZ249" s="56"/>
      <c r="EB249" s="2" t="e" vm="251">
        <v>#VALUE!</v>
      </c>
      <c r="ED249" s="10" cm="1">
        <f t="array" aca="1" ref="ED249" ca="1">_FV(EB249,"Ações em circulação",TRUE)</f>
        <v>330121700</v>
      </c>
      <c r="EE249" s="18">
        <f>VLOOKUP(BO249,Fundamentus!A:U,5,FALSE)</f>
        <v>9.8000000000000004E-2</v>
      </c>
      <c r="EF249" s="2">
        <f t="shared" ca="1" si="238"/>
        <v>1684294387.7551019</v>
      </c>
      <c r="EG249" s="17">
        <v>14273215930.153059</v>
      </c>
      <c r="EH249" s="17">
        <f t="shared" ca="1" si="239"/>
        <v>14273215930.153059</v>
      </c>
      <c r="EJ249" s="16">
        <f t="shared" ca="1" si="226"/>
        <v>0</v>
      </c>
      <c r="EK249" s="32" t="str">
        <f>IF(VLOOKUP(BO249,Fundamentus!A:U,3,FALSE)&lt;15,"Bom",IF(VLOOKUP(BO249,Fundamentus!A:U,3,FALSE)&gt;15,"Ruim","n/a"))</f>
        <v>Bom</v>
      </c>
      <c r="EL249" s="28" t="str">
        <f>IF(VLOOKUP(BO249,Fundamentus!A:U,4,FALSE)&lt;1,"Baixo",IF(VLOOKUP(BO249,Fundamentus!A:U,4,FALSE)&lt;1.5,"Moderado",IF(VLOOKUP(BO249,Fundamentus!A:U,4,FALSE)&gt;1.5,"Alto","n/a")))</f>
        <v>Baixo</v>
      </c>
      <c r="EM249" s="17" t="str">
        <f>IF(VLOOKUP(BO249,Fundamentus!A:U,8,FALSE)&lt;0,"Risco elevado",IF(VLOOKUP(BO249,Fundamentus!A:U,8,FALSE)&lt;1,"Saudável",IF(VLOOKUP(BO249,Fundamentus!A:U,8,FALSE)&lt;3,"Estável",IF(VLOOKUP(BO249,Fundamentus!A:U,8,FALSE)&gt;3,"Alerta","n/a"))))</f>
        <v>Risco elevado</v>
      </c>
      <c r="EN249" s="28" t="str">
        <f t="shared" si="240"/>
        <v>Ruim</v>
      </c>
      <c r="EO249" s="17" t="str">
        <f>IF(VLOOKUP(BO249,Fundamentus!A:U,12,FALSE)&lt;2,"Subvalorizada",IF(VLOOKUP(BO249,Fundamentus!A:U,12,FALSE)&lt;6,"Muita barata",IF(VLOOKUP(BO249,Fundamentus!A:U,12,FALSE)&lt;6,"Barata",IF(VLOOKUP(BO249,Fundamentus!A:U,12,FALSE)&lt;8,"Atrativa",IF(VLOOKUP(BO249,Fundamentus!A:U,12,FALSE)&gt;8,"Supervalorizada","n/a")))))</f>
        <v>Subvalorizada</v>
      </c>
      <c r="EQ249" s="17" t="str">
        <f>IF(VLOOKUP(BO249,Fundamentus!A:U,17,FALSE)&lt;0.1,"Fraco retorno",IF(VLOOKUP(BO249,Fundamentus!A:U,17,FALSE)&gt;0.1,"Bom retorno","n/a"))</f>
        <v>Fraco retorno</v>
      </c>
      <c r="ER249" s="17" t="str">
        <f>IF(VLOOKUP(BO249,Fundamentus!A:U,16,FALSE)&lt;0.1,"Ineficiente",IF(VLOOKUP(BO249,Fundamentus!A:U,16,FALSE)&gt;0.1,"Eficiente","n/a"))</f>
        <v>Ineficiente</v>
      </c>
      <c r="ES249" s="33" t="str">
        <f>IF(VLOOKUP(BO249,Fundamentus!A:U,16,FALSE)&lt;0.1,"Oper. Ineficiente",IF(VLOOKUP(BO249,Fundamentus!A:U,16,FALSE)&gt;0.1,"Oper.Eficiente","n/a"))</f>
        <v>Oper. Ineficiente</v>
      </c>
      <c r="ET249" s="34">
        <f>VLOOKUP(BO249,Fundamentus!A:U,14,FALSE)</f>
        <v>8.4742999999999995</v>
      </c>
      <c r="EU249" s="17" t="str">
        <f>IF(VLOOKUP(BO249,Fundamentus!A:U,21,FALSE)&lt;0,"Negativo",IF(VLOOKUP(BO249,Fundamentus!A:U,21,FALSE)&lt;0.05,"Fraco",IF(VLOOKUP(BO249,Fundamentus!A:U,21,FALSE)&lt;0.1,"Bom",IF(VLOOKUP(BO249,Fundamentus!A:U,21,FALSE)&gt;0.1,"Muito bom","n/a"))))</f>
        <v>Negativo</v>
      </c>
      <c r="EW249" s="29" t="str">
        <f>IF(VLOOKUP(BO249,Fundamentus!A:U,15,FALSE)&gt;1,"Bom",IF(VLOOKUP(BO249,Fundamentus!A:U,15,FALSE)&lt;1,"Ruim","n/a"))</f>
        <v>Ruim</v>
      </c>
      <c r="EX249" s="17" t="str">
        <f>IF(VLOOKUP(BO249,Fundamentus!A:U,20,FALSE)&lt;0.5,"Baixa",IF(VLOOKUP(BO249,Fundamentus!A:U,20,FALSE)&lt;1,"Moderada",IF(VLOOKUP(BO249,Fundamentus!A:U,20,FALSE)&lt;2,"Alerta",IF(VLOOKUP(BO249,Fundamentus!A:U,20,FALSE)&gt;2,"Alta","n/a"))))</f>
        <v>Baixa</v>
      </c>
    </row>
    <row r="250" spans="1:154" s="2" customFormat="1" ht="11.25"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5">
        <v>7.99</v>
      </c>
      <c r="BC250" s="52">
        <v>7.72</v>
      </c>
      <c r="BD250" s="52">
        <v>8.02</v>
      </c>
      <c r="BE250" s="52">
        <v>8.23</v>
      </c>
      <c r="BF250" s="52">
        <v>8.06</v>
      </c>
      <c r="BG250" s="67">
        <v>8.1199999999999992</v>
      </c>
      <c r="BH250" s="52">
        <v>7.28</v>
      </c>
      <c r="BI250" s="52">
        <v>6.74</v>
      </c>
      <c r="BJ250" s="52">
        <v>7.14</v>
      </c>
      <c r="BK250" s="52">
        <v>6.38</v>
      </c>
      <c r="BL250" s="52">
        <v>5.96</v>
      </c>
      <c r="BM250" s="52">
        <v>6.02</v>
      </c>
      <c r="BN250" s="52" cm="1">
        <f t="array" aca="1" ref="BN250" ca="1">_FV(EB250,"Preço")</f>
        <v>6.02</v>
      </c>
      <c r="BO250" s="69" t="s">
        <v>246</v>
      </c>
      <c r="BP250" s="36" cm="1">
        <f t="array" aca="1" ref="BP250" ca="1">_FV(EB250,"Média de volume",TRUE)</f>
        <v>18889410</v>
      </c>
      <c r="BQ250" s="36">
        <v>17980700</v>
      </c>
      <c r="BR250" s="36" cm="1">
        <f t="array" aca="1" ref="BR250" ca="1">_FV(EB250,"Volume")</f>
        <v>17980700</v>
      </c>
      <c r="BS250" s="24" cm="1">
        <f t="array" aca="1" ref="BS250" ca="1">_FV(EB250,"Beta")</f>
        <v>1.1603000000000001</v>
      </c>
      <c r="BT250" s="71" cm="1">
        <f t="array" aca="1" ref="BT250" ca="1">_FV(EB250,"Variação (%)",TRUE)</f>
        <v>2.0338999999999999E-2</v>
      </c>
      <c r="BV250" s="17" cm="1">
        <f t="array" aca="1" ref="BV250" ca="1">_FV(EB250,"Baixo")</f>
        <v>5.85</v>
      </c>
      <c r="BW250" s="17" cm="1">
        <f t="array" aca="1" ref="BW250" ca="1">_FV(EB250,"Alto")</f>
        <v>6.07</v>
      </c>
      <c r="BX250" s="24"/>
      <c r="BY250" s="63" t="e">
        <f ca="1">SQRT(22.5*(BN250/VLOOKUP(BO250,Fundamentus!A:U,3,FALSE))*(BN250/VLOOKUP(BO250,Fundamentus!A:U,4,FALSE)))</f>
        <v>#NUM!</v>
      </c>
      <c r="CA250" s="62">
        <f t="shared" ca="1" si="241"/>
        <v>0</v>
      </c>
      <c r="CB250" s="8"/>
      <c r="CC250" s="61">
        <f t="shared" si="242"/>
        <v>5.96</v>
      </c>
      <c r="CD250" s="61">
        <f t="shared" si="243"/>
        <v>14.74</v>
      </c>
      <c r="CE250" s="61">
        <f t="shared" si="244"/>
        <v>10.171538461538461</v>
      </c>
      <c r="CF250" s="14"/>
      <c r="CG250" s="35">
        <f t="shared" si="227"/>
        <v>4.4900531929942487</v>
      </c>
      <c r="CH250" s="15">
        <f t="shared" si="245"/>
        <v>5.4299999999998363</v>
      </c>
      <c r="CI250" s="35">
        <f t="shared" si="228"/>
        <v>6.3699468070054239</v>
      </c>
      <c r="CK250" s="14"/>
      <c r="CL250" s="17">
        <f t="shared" si="229"/>
        <v>-5.746666666666667</v>
      </c>
      <c r="CM250" s="17">
        <f t="shared" si="230"/>
        <v>0.10666666666666558</v>
      </c>
      <c r="CN250" s="17">
        <f t="shared" si="231"/>
        <v>3.0333333333333332</v>
      </c>
      <c r="CO250" s="38">
        <f t="shared" si="246"/>
        <v>8.8866666666666667</v>
      </c>
      <c r="CP250" s="17">
        <f t="shared" si="232"/>
        <v>11.813333333333333</v>
      </c>
      <c r="CQ250" s="17">
        <f t="shared" si="233"/>
        <v>17.666666666666668</v>
      </c>
      <c r="CR250" s="17">
        <f t="shared" si="234"/>
        <v>20.593333333333334</v>
      </c>
      <c r="CS250" s="2" cm="1">
        <f t="array" aca="1" ref="CS250" ca="1">MAX(_xlfn._xlws.FILTER(CL250:CR250,CL250:CR250&lt;BN250))</f>
        <v>3.0333333333333332</v>
      </c>
      <c r="CT250" s="2" cm="1">
        <f t="array" aca="1" ref="CT250" ca="1">MIN(_xlfn._xlws.FILTER($CL250:$CR250,$CL250:$CR250&gt;BN250))</f>
        <v>8.8866666666666667</v>
      </c>
      <c r="CU250" s="16">
        <f t="shared" ca="1" si="248"/>
        <v>1.9296703296703299</v>
      </c>
      <c r="CV250" s="20">
        <f t="shared" ca="1" si="249"/>
        <v>-0.96483516483516496</v>
      </c>
      <c r="CW250" s="20">
        <f t="shared" ca="1" si="250"/>
        <v>-0.64322344322344327</v>
      </c>
      <c r="CX250" s="20">
        <f t="shared" ca="1" si="251"/>
        <v>-0.38593406593406598</v>
      </c>
      <c r="CY250" s="20">
        <f t="shared" ca="1" si="252"/>
        <v>-0.21440781440781442</v>
      </c>
      <c r="CZ250" s="20">
        <f t="shared" ca="1" si="253"/>
        <v>-0.11351001939237235</v>
      </c>
      <c r="DA250" s="20">
        <f t="shared" ca="1" si="254"/>
        <v>-5.8474858474858483E-2</v>
      </c>
      <c r="DB250" s="20">
        <f t="shared" ca="1" si="255"/>
        <v>-2.9687235841081999E-2</v>
      </c>
      <c r="DC250" s="21">
        <f t="shared" ca="1" si="256"/>
        <v>2.9687235841081999E-2</v>
      </c>
      <c r="DD250" s="21">
        <f t="shared" ca="1" si="257"/>
        <v>5.8474858474858483E-2</v>
      </c>
      <c r="DE250" s="21">
        <f t="shared" ca="1" si="258"/>
        <v>0.11351001939237235</v>
      </c>
      <c r="DF250" s="21">
        <f t="shared" ca="1" si="259"/>
        <v>0.21440781440781442</v>
      </c>
      <c r="DG250" s="21">
        <f t="shared" ca="1" si="260"/>
        <v>0.38593406593406598</v>
      </c>
      <c r="DH250" s="21">
        <f t="shared" ca="1" si="261"/>
        <v>0.64322344322344327</v>
      </c>
      <c r="DI250" s="21">
        <f t="shared" ca="1" si="262"/>
        <v>0.96483516483516496</v>
      </c>
      <c r="DK250" s="16" cm="1">
        <f t="array" aca="1" ref="DK250" ca="1">MAX(_xlfn._xlws.FILTER(CV250:DI250,CV250:DI250&lt;BT250))</f>
        <v>-2.9687235841081999E-2</v>
      </c>
      <c r="DL250" s="16" cm="1">
        <f t="array" aca="1" ref="DL250" ca="1">MIN(_xlfn._xlws.FILTER(CV250:DI250,CV250:DI250&gt;BT250))</f>
        <v>2.9687235841081999E-2</v>
      </c>
      <c r="DM250" s="2" cm="1">
        <f t="array" aca="1" ref="DM250" ca="1">_FV(EB250,"Fechamento anterior",TRUE)</f>
        <v>5.9</v>
      </c>
      <c r="DN250" s="28">
        <f t="shared" ca="1" si="235"/>
        <v>0.84255434153121356</v>
      </c>
      <c r="DO250" s="15">
        <f t="shared" ca="1" si="263"/>
        <v>5.724845308537617</v>
      </c>
      <c r="DP250" s="15">
        <f t="shared" ca="1" si="264"/>
        <v>6.0751546914623837</v>
      </c>
      <c r="DQ250" s="9"/>
      <c r="DR250" s="9"/>
      <c r="DS250" s="9"/>
      <c r="DT250" s="89">
        <v>5.9374471682163997E-2</v>
      </c>
      <c r="DU250" s="89">
        <f t="shared" ca="1" si="236"/>
        <v>5.9374471682163997E-2</v>
      </c>
      <c r="DV250" s="72">
        <f t="shared" ca="1" si="237"/>
        <v>0.62769509466151729</v>
      </c>
      <c r="DW250" s="37"/>
      <c r="DX250" s="35">
        <f t="shared" si="247"/>
        <v>0.46997340350279398</v>
      </c>
      <c r="DY250" s="56"/>
      <c r="DZ250" s="56"/>
      <c r="EB250" s="2" t="e" vm="252">
        <v>#VALUE!</v>
      </c>
      <c r="ED250" s="10" cm="1">
        <f t="array" aca="1" ref="ED250" ca="1">_FV(EB250,"Ações em circulação",TRUE)</f>
        <v>1866571000</v>
      </c>
      <c r="EE250" s="18">
        <f>VLOOKUP(BO250,Fundamentus!A:U,5,FALSE)</f>
        <v>0.25</v>
      </c>
      <c r="EF250" s="2">
        <f t="shared" ca="1" si="238"/>
        <v>44947029680</v>
      </c>
      <c r="EG250" s="17">
        <v>-10638961925.256001</v>
      </c>
      <c r="EH250" s="17">
        <f t="shared" ca="1" si="239"/>
        <v>-10638961925.256001</v>
      </c>
      <c r="EJ250" s="16">
        <f t="shared" ca="1" si="226"/>
        <v>0</v>
      </c>
      <c r="EK250" s="32" t="str">
        <f>IF(VLOOKUP(BO250,Fundamentus!A:U,3,FALSE)&lt;15,"Bom",IF(VLOOKUP(BO250,Fundamentus!A:U,3,FALSE)&gt;15,"Ruim","n/a"))</f>
        <v>Bom</v>
      </c>
      <c r="EL250" s="28" t="str">
        <f>IF(VLOOKUP(BO250,Fundamentus!A:U,4,FALSE)&lt;1,"Baixo",IF(VLOOKUP(BO250,Fundamentus!A:U,4,FALSE)&lt;1.5,"Moderado",IF(VLOOKUP(BO250,Fundamentus!A:U,4,FALSE)&gt;1.5,"Alto","n/a")))</f>
        <v>Moderado</v>
      </c>
      <c r="EM250" s="17" t="str">
        <f>IF(VLOOKUP(BO250,Fundamentus!A:U,8,FALSE)&lt;0,"Risco elevado",IF(VLOOKUP(BO250,Fundamentus!A:U,8,FALSE)&lt;1,"Saudável",IF(VLOOKUP(BO250,Fundamentus!A:U,8,FALSE)&lt;3,"Estável",IF(VLOOKUP(BO250,Fundamentus!A:U,8,FALSE)&gt;3,"Alerta","n/a"))))</f>
        <v>Saudável</v>
      </c>
      <c r="EN250" s="28" t="str">
        <f t="shared" si="240"/>
        <v>Ruim</v>
      </c>
      <c r="EO250" s="17" t="str">
        <f>IF(VLOOKUP(BO250,Fundamentus!A:U,12,FALSE)&lt;2,"Subvalorizada",IF(VLOOKUP(BO250,Fundamentus!A:U,12,FALSE)&lt;6,"Muita barata",IF(VLOOKUP(BO250,Fundamentus!A:U,12,FALSE)&lt;6,"Barata",IF(VLOOKUP(BO250,Fundamentus!A:U,12,FALSE)&lt;8,"Atrativa",IF(VLOOKUP(BO250,Fundamentus!A:U,12,FALSE)&gt;8,"Supervalorizada","n/a")))))</f>
        <v>Muita barata</v>
      </c>
      <c r="EQ250" s="17" t="str">
        <f>IF(VLOOKUP(BO250,Fundamentus!A:U,17,FALSE)&lt;0.1,"Fraco retorno",IF(VLOOKUP(BO250,Fundamentus!A:U,17,FALSE)&gt;0.1,"Bom retorno","n/a"))</f>
        <v>Fraco retorno</v>
      </c>
      <c r="ER250" s="17" t="str">
        <f>IF(VLOOKUP(BO250,Fundamentus!A:U,16,FALSE)&lt;0.1,"Ineficiente",IF(VLOOKUP(BO250,Fundamentus!A:U,16,FALSE)&gt;0.1,"Eficiente","n/a"))</f>
        <v>Ineficiente</v>
      </c>
      <c r="ES250" s="33" t="str">
        <f>IF(VLOOKUP(BO250,Fundamentus!A:U,16,FALSE)&lt;0.1,"Oper. Ineficiente",IF(VLOOKUP(BO250,Fundamentus!A:U,16,FALSE)&gt;0.1,"Oper.Eficiente","n/a"))</f>
        <v>Oper. Ineficiente</v>
      </c>
      <c r="ET250" s="34">
        <f>VLOOKUP(BO250,Fundamentus!A:U,14,FALSE)</f>
        <v>-0.23669999999999999</v>
      </c>
      <c r="EU250" s="17" t="str">
        <f>IF(VLOOKUP(BO250,Fundamentus!A:U,21,FALSE)&lt;0,"Negativo",IF(VLOOKUP(BO250,Fundamentus!A:U,21,FALSE)&lt;0.05,"Fraco",IF(VLOOKUP(BO250,Fundamentus!A:U,21,FALSE)&lt;0.1,"Bom",IF(VLOOKUP(BO250,Fundamentus!A:U,21,FALSE)&gt;0.1,"Muito bom","n/a"))))</f>
        <v>Muito bom</v>
      </c>
      <c r="EW250" s="29" t="str">
        <f>IF(VLOOKUP(BO250,Fundamentus!A:U,15,FALSE)&gt;1,"Bom",IF(VLOOKUP(BO250,Fundamentus!A:U,15,FALSE)&lt;1,"Ruim","n/a"))</f>
        <v>Bom</v>
      </c>
      <c r="EX250" s="17" t="str">
        <f>IF(VLOOKUP(BO250,Fundamentus!A:U,20,FALSE)&lt;0.5,"Baixa",IF(VLOOKUP(BO250,Fundamentus!A:U,20,FALSE)&lt;1,"Moderada",IF(VLOOKUP(BO250,Fundamentus!A:U,20,FALSE)&lt;2,"Alerta",IF(VLOOKUP(BO250,Fundamentus!A:U,20,FALSE)&gt;2,"Alta","n/a"))))</f>
        <v>Alta</v>
      </c>
    </row>
    <row r="251" spans="1:154" s="2" customFormat="1" ht="11.25"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5">
        <v>11.18</v>
      </c>
      <c r="BC251" s="52">
        <v>10.65</v>
      </c>
      <c r="BD251" s="52">
        <v>10.99</v>
      </c>
      <c r="BE251" s="52">
        <v>11.65</v>
      </c>
      <c r="BF251" s="52">
        <v>10.97</v>
      </c>
      <c r="BG251" s="67">
        <v>11.01</v>
      </c>
      <c r="BH251" s="52">
        <v>10.4</v>
      </c>
      <c r="BI251" s="52">
        <v>9.5</v>
      </c>
      <c r="BJ251" s="52">
        <v>9.8000000000000007</v>
      </c>
      <c r="BK251" s="52">
        <v>10.02</v>
      </c>
      <c r="BL251" s="52">
        <v>9</v>
      </c>
      <c r="BM251" s="52">
        <v>9.32</v>
      </c>
      <c r="BN251" s="52" cm="1">
        <f t="array" aca="1" ref="BN251" ca="1">_FV(EB251,"Preço")</f>
        <v>9.32</v>
      </c>
      <c r="BO251" s="69" t="s">
        <v>247</v>
      </c>
      <c r="BP251" s="36" cm="1">
        <f t="array" aca="1" ref="BP251" ca="1">_FV(EB251,"Média de volume",TRUE)</f>
        <v>4843410</v>
      </c>
      <c r="BQ251" s="36">
        <v>42600</v>
      </c>
      <c r="BR251" s="36" cm="1">
        <f t="array" aca="1" ref="BR251" ca="1">_FV(EB251,"Volume")</f>
        <v>42600</v>
      </c>
      <c r="BS251" s="24" cm="1">
        <f t="array" aca="1" ref="BS251" ca="1">_FV(EB251,"Beta")</f>
        <v>1.0709</v>
      </c>
      <c r="BT251" s="71" cm="1">
        <f t="array" aca="1" ref="BT251" ca="1">_FV(EB251,"Variação (%)",TRUE)</f>
        <v>1.6357999999999998E-2</v>
      </c>
      <c r="BV251" s="17" cm="1">
        <f t="array" aca="1" ref="BV251" ca="1">_FV(EB251,"Baixo")</f>
        <v>9.11</v>
      </c>
      <c r="BW251" s="17" cm="1">
        <f t="array" aca="1" ref="BW251" ca="1">_FV(EB251,"Alto")</f>
        <v>9.32</v>
      </c>
      <c r="BX251" s="24"/>
      <c r="BY251" s="63">
        <f ca="1">SQRT(22.5*(BN251/VLOOKUP(BO251,Fundamentus!A:U,3,FALSE))*(BN251/VLOOKUP(BO251,Fundamentus!A:U,4,FALSE)))</f>
        <v>37.925332960811318</v>
      </c>
      <c r="CA251" s="62">
        <f t="shared" ca="1" si="241"/>
        <v>0</v>
      </c>
      <c r="CB251" s="8"/>
      <c r="CC251" s="61">
        <f t="shared" si="242"/>
        <v>9</v>
      </c>
      <c r="CD251" s="61">
        <f t="shared" si="243"/>
        <v>22.31</v>
      </c>
      <c r="CE251" s="61">
        <f t="shared" si="244"/>
        <v>14.66230769230769</v>
      </c>
      <c r="CF251" s="14"/>
      <c r="CG251" s="35">
        <f t="shared" si="227"/>
        <v>8.1213135784302555</v>
      </c>
      <c r="CH251" s="15">
        <f t="shared" si="245"/>
        <v>8.9200000000000728</v>
      </c>
      <c r="CI251" s="35">
        <f t="shared" si="228"/>
        <v>9.71868642156989</v>
      </c>
      <c r="CK251" s="14"/>
      <c r="CL251" s="17">
        <f t="shared" si="229"/>
        <v>-8.7466666666666626</v>
      </c>
      <c r="CM251" s="17">
        <f t="shared" si="230"/>
        <v>0.1266666666666687</v>
      </c>
      <c r="CN251" s="17">
        <f t="shared" si="231"/>
        <v>4.5633333333333361</v>
      </c>
      <c r="CO251" s="38">
        <f t="shared" si="246"/>
        <v>13.436666666666667</v>
      </c>
      <c r="CP251" s="17">
        <f t="shared" si="232"/>
        <v>17.873333333333335</v>
      </c>
      <c r="CQ251" s="17">
        <f t="shared" si="233"/>
        <v>26.746666666666666</v>
      </c>
      <c r="CR251" s="17">
        <f t="shared" si="234"/>
        <v>31.183333333333334</v>
      </c>
      <c r="CS251" s="2" cm="1">
        <f t="array" aca="1" ref="CS251" ca="1">MAX(_xlfn._xlws.FILTER(CL251:CR251,CL251:CR251&lt;BN251))</f>
        <v>4.5633333333333361</v>
      </c>
      <c r="CT251" s="2" cm="1">
        <f t="array" aca="1" ref="CT251" ca="1">MIN(_xlfn._xlws.FILTER($CL251:$CR251,$CL251:$CR251&gt;BN251))</f>
        <v>13.436666666666667</v>
      </c>
      <c r="CU251" s="16">
        <f t="shared" ca="1" si="248"/>
        <v>1.944485025566105</v>
      </c>
      <c r="CV251" s="20">
        <f t="shared" ca="1" si="249"/>
        <v>-0.97224251278305251</v>
      </c>
      <c r="CW251" s="20">
        <f t="shared" ca="1" si="250"/>
        <v>-0.64816167518870171</v>
      </c>
      <c r="CX251" s="20">
        <f t="shared" ca="1" si="251"/>
        <v>-0.38889700511322101</v>
      </c>
      <c r="CY251" s="20">
        <f t="shared" ca="1" si="252"/>
        <v>-0.21605389172956724</v>
      </c>
      <c r="CZ251" s="20">
        <f t="shared" ca="1" si="253"/>
        <v>-0.11438147209212382</v>
      </c>
      <c r="DA251" s="20">
        <f t="shared" ca="1" si="254"/>
        <v>-5.8923788653518334E-2</v>
      </c>
      <c r="DB251" s="20">
        <f t="shared" ca="1" si="255"/>
        <v>-2.9915154239478541E-2</v>
      </c>
      <c r="DC251" s="21">
        <f t="shared" ca="1" si="256"/>
        <v>2.9915154239478541E-2</v>
      </c>
      <c r="DD251" s="21">
        <f t="shared" ca="1" si="257"/>
        <v>5.8923788653518334E-2</v>
      </c>
      <c r="DE251" s="21">
        <f t="shared" ca="1" si="258"/>
        <v>0.11438147209212382</v>
      </c>
      <c r="DF251" s="21">
        <f t="shared" ca="1" si="259"/>
        <v>0.21605389172956724</v>
      </c>
      <c r="DG251" s="21">
        <f t="shared" ca="1" si="260"/>
        <v>0.38889700511322101</v>
      </c>
      <c r="DH251" s="21">
        <f t="shared" ca="1" si="261"/>
        <v>0.64816167518870171</v>
      </c>
      <c r="DI251" s="21">
        <f t="shared" ca="1" si="262"/>
        <v>0.97224251278305251</v>
      </c>
      <c r="DK251" s="16" cm="1">
        <f t="array" aca="1" ref="DK251" ca="1">MAX(_xlfn._xlws.FILTER(CV251:DI251,CV251:DI251&lt;BT251))</f>
        <v>-2.9915154239478541E-2</v>
      </c>
      <c r="DL251" s="16" cm="1">
        <f t="array" aca="1" ref="DL251" ca="1">MIN(_xlfn._xlws.FILTER(CV251:DI251,CV251:DI251&gt;BT251))</f>
        <v>2.9915154239478541E-2</v>
      </c>
      <c r="DM251" s="2" cm="1">
        <f t="array" aca="1" ref="DM251" ca="1">_FV(EB251,"Fechamento anterior",TRUE)</f>
        <v>9.17</v>
      </c>
      <c r="DN251" s="28">
        <f t="shared" ca="1" si="235"/>
        <v>0.77340136678664351</v>
      </c>
      <c r="DO251" s="15">
        <f t="shared" ca="1" si="263"/>
        <v>8.8956780356239822</v>
      </c>
      <c r="DP251" s="15">
        <f t="shared" ca="1" si="264"/>
        <v>9.4443219643760177</v>
      </c>
      <c r="DQ251" s="9"/>
      <c r="DR251" s="9"/>
      <c r="DS251" s="9"/>
      <c r="DT251" s="89">
        <v>5.9830308478957081E-2</v>
      </c>
      <c r="DU251" s="89">
        <f t="shared" ca="1" si="236"/>
        <v>5.9830308478957081E-2</v>
      </c>
      <c r="DV251" s="72">
        <f t="shared" ca="1" si="237"/>
        <v>0.50082233677358379</v>
      </c>
      <c r="DW251" s="37"/>
      <c r="DX251" s="35">
        <f t="shared" si="247"/>
        <v>0.39934321078490864</v>
      </c>
      <c r="DY251" s="56"/>
      <c r="DZ251" s="56"/>
      <c r="EB251" s="2" t="e" vm="253">
        <v>#VALUE!</v>
      </c>
      <c r="ED251" s="10" cm="1">
        <f t="array" aca="1" ref="ED251" ca="1">_FV(EB251,"Ações em circulação",TRUE)</f>
        <v>797207800</v>
      </c>
      <c r="EE251" s="18">
        <f>VLOOKUP(BO251,Fundamentus!A:U,5,FALSE)</f>
        <v>9.1999999999999998E-2</v>
      </c>
      <c r="EF251" s="2">
        <f t="shared" ca="1" si="238"/>
        <v>80760616260.869568</v>
      </c>
      <c r="EG251" s="17">
        <v>-10256598265.130436</v>
      </c>
      <c r="EH251" s="17">
        <f t="shared" ca="1" si="239"/>
        <v>-10256598265.130436</v>
      </c>
      <c r="EJ251" s="16">
        <f t="shared" ca="1" si="226"/>
        <v>0</v>
      </c>
      <c r="EK251" s="32" t="str">
        <f>IF(VLOOKUP(BO251,Fundamentus!A:U,3,FALSE)&lt;15,"Bom",IF(VLOOKUP(BO251,Fundamentus!A:U,3,FALSE)&gt;15,"Ruim","n/a"))</f>
        <v>Bom</v>
      </c>
      <c r="EL251" s="28" t="str">
        <f>IF(VLOOKUP(BO251,Fundamentus!A:U,4,FALSE)&lt;1,"Baixo",IF(VLOOKUP(BO251,Fundamentus!A:U,4,FALSE)&lt;1.5,"Moderado",IF(VLOOKUP(BO251,Fundamentus!A:U,4,FALSE)&gt;1.5,"Alto","n/a")))</f>
        <v>Baixo</v>
      </c>
      <c r="EM251" s="17" t="str">
        <f>IF(VLOOKUP(BO251,Fundamentus!A:U,8,FALSE)&lt;0,"Risco elevado",IF(VLOOKUP(BO251,Fundamentus!A:U,8,FALSE)&lt;1,"Saudável",IF(VLOOKUP(BO251,Fundamentus!A:U,8,FALSE)&lt;3,"Estável",IF(VLOOKUP(BO251,Fundamentus!A:U,8,FALSE)&gt;3,"Alerta","n/a"))))</f>
        <v>Saudável</v>
      </c>
      <c r="EN251" s="28" t="str">
        <f t="shared" si="240"/>
        <v>Ruim</v>
      </c>
      <c r="EO251" s="17" t="str">
        <f>IF(VLOOKUP(BO251,Fundamentus!A:U,12,FALSE)&lt;2,"Subvalorizada",IF(VLOOKUP(BO251,Fundamentus!A:U,12,FALSE)&lt;6,"Muita barata",IF(VLOOKUP(BO251,Fundamentus!A:U,12,FALSE)&lt;6,"Barata",IF(VLOOKUP(BO251,Fundamentus!A:U,12,FALSE)&lt;8,"Atrativa",IF(VLOOKUP(BO251,Fundamentus!A:U,12,FALSE)&gt;8,"Supervalorizada","n/a")))))</f>
        <v>Atrativa</v>
      </c>
      <c r="EQ251" s="17" t="str">
        <f>IF(VLOOKUP(BO251,Fundamentus!A:U,17,FALSE)&lt;0.1,"Fraco retorno",IF(VLOOKUP(BO251,Fundamentus!A:U,17,FALSE)&gt;0.1,"Bom retorno","n/a"))</f>
        <v>Bom retorno</v>
      </c>
      <c r="ER251" s="17" t="str">
        <f>IF(VLOOKUP(BO251,Fundamentus!A:U,16,FALSE)&lt;0.1,"Ineficiente",IF(VLOOKUP(BO251,Fundamentus!A:U,16,FALSE)&gt;0.1,"Eficiente","n/a"))</f>
        <v>Ineficiente</v>
      </c>
      <c r="ES251" s="33" t="str">
        <f>IF(VLOOKUP(BO251,Fundamentus!A:U,16,FALSE)&lt;0.1,"Oper. Ineficiente",IF(VLOOKUP(BO251,Fundamentus!A:U,16,FALSE)&gt;0.1,"Oper.Eficiente","n/a"))</f>
        <v>Oper. Ineficiente</v>
      </c>
      <c r="ET251" s="34">
        <f>VLOOKUP(BO251,Fundamentus!A:U,14,FALSE)</f>
        <v>-0.127</v>
      </c>
      <c r="EU251" s="17" t="str">
        <f>IF(VLOOKUP(BO251,Fundamentus!A:U,21,FALSE)&lt;0,"Negativo",IF(VLOOKUP(BO251,Fundamentus!A:U,21,FALSE)&lt;0.05,"Fraco",IF(VLOOKUP(BO251,Fundamentus!A:U,21,FALSE)&lt;0.1,"Bom",IF(VLOOKUP(BO251,Fundamentus!A:U,21,FALSE)&gt;0.1,"Muito bom","n/a"))))</f>
        <v>Negativo</v>
      </c>
      <c r="EW251" s="29" t="str">
        <f>IF(VLOOKUP(BO251,Fundamentus!A:U,15,FALSE)&gt;1,"Bom",IF(VLOOKUP(BO251,Fundamentus!A:U,15,FALSE)&lt;1,"Ruim","n/a"))</f>
        <v>Bom</v>
      </c>
      <c r="EX251" s="17" t="str">
        <f>IF(VLOOKUP(BO251,Fundamentus!A:U,20,FALSE)&lt;0.5,"Baixa",IF(VLOOKUP(BO251,Fundamentus!A:U,20,FALSE)&lt;1,"Moderada",IF(VLOOKUP(BO251,Fundamentus!A:U,20,FALSE)&lt;2,"Alerta",IF(VLOOKUP(BO251,Fundamentus!A:U,20,FALSE)&gt;2,"Alta","n/a"))))</f>
        <v>Baixa</v>
      </c>
    </row>
    <row r="252" spans="1:154" s="2" customFormat="1" ht="11.25"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5">
        <v>0.72</v>
      </c>
      <c r="BC252" s="52">
        <v>0.74</v>
      </c>
      <c r="BD252" s="52">
        <v>0.7</v>
      </c>
      <c r="BE252" s="52">
        <v>7</v>
      </c>
      <c r="BF252" s="52">
        <v>6.41</v>
      </c>
      <c r="BG252" s="67">
        <v>6.5</v>
      </c>
      <c r="BH252" s="52">
        <v>6.7</v>
      </c>
      <c r="BI252" s="52">
        <v>6.44</v>
      </c>
      <c r="BJ252" s="52">
        <v>6.74</v>
      </c>
      <c r="BK252" s="52">
        <v>6.44</v>
      </c>
      <c r="BL252" s="52">
        <v>6.66</v>
      </c>
      <c r="BM252" s="52">
        <v>6.43</v>
      </c>
      <c r="BN252" s="52" cm="1">
        <f t="array" aca="1" ref="BN252" ca="1">_FV(EB252,"Preço")</f>
        <v>6.43</v>
      </c>
      <c r="BO252" s="69" t="s">
        <v>248</v>
      </c>
      <c r="BP252" s="36" cm="1">
        <f t="array" aca="1" ref="BP252" ca="1">_FV(EB252,"Média de volume",TRUE)</f>
        <v>16720</v>
      </c>
      <c r="BQ252" s="36">
        <v>13200</v>
      </c>
      <c r="BR252" s="36" cm="1">
        <f t="array" aca="1" ref="BR252" ca="1">_FV(EB252,"Volume")</f>
        <v>13200</v>
      </c>
      <c r="BS252" s="24" cm="1">
        <f t="array" aca="1" ref="BS252" ca="1">_FV(EB252,"Beta")</f>
        <v>1.8834</v>
      </c>
      <c r="BT252" s="71" cm="1">
        <f t="array" aca="1" ref="BT252" ca="1">_FV(EB252,"Variação (%)",TRUE)</f>
        <v>0</v>
      </c>
      <c r="BV252" s="17" cm="1">
        <f t="array" aca="1" ref="BV252" ca="1">_FV(EB252,"Baixo")</f>
        <v>6.43</v>
      </c>
      <c r="BW252" s="17" cm="1">
        <f t="array" aca="1" ref="BW252" ca="1">_FV(EB252,"Alto")</f>
        <v>6.57</v>
      </c>
      <c r="BX252" s="24"/>
      <c r="BY252" s="63" t="e">
        <f ca="1">SQRT(22.5*(BN252/VLOOKUP(BO252,Fundamentus!A:U,3,FALSE))*(BN252/VLOOKUP(BO252,Fundamentus!A:U,4,FALSE)))</f>
        <v>#NUM!</v>
      </c>
      <c r="CA252" s="62">
        <f t="shared" ca="1" si="241"/>
        <v>0</v>
      </c>
      <c r="CB252" s="8"/>
      <c r="CC252" s="61">
        <f t="shared" si="242"/>
        <v>0.63</v>
      </c>
      <c r="CD252" s="61">
        <f t="shared" si="243"/>
        <v>7</v>
      </c>
      <c r="CE252" s="61">
        <f t="shared" si="244"/>
        <v>1.8216923076923077</v>
      </c>
      <c r="CF252" s="14"/>
      <c r="CG252" s="35">
        <f t="shared" si="227"/>
        <v>6.1189372766313905</v>
      </c>
      <c r="CH252" s="15">
        <f t="shared" si="245"/>
        <v>6.3899999999999864</v>
      </c>
      <c r="CI252" s="35">
        <f t="shared" si="228"/>
        <v>6.6610627233685822</v>
      </c>
      <c r="CK252" s="14"/>
      <c r="CL252" s="17">
        <f t="shared" si="229"/>
        <v>-3.8433333333333346</v>
      </c>
      <c r="CM252" s="17">
        <f t="shared" si="230"/>
        <v>-1.6066666666666674</v>
      </c>
      <c r="CN252" s="17">
        <f t="shared" si="231"/>
        <v>2.5266666666666655</v>
      </c>
      <c r="CO252" s="38">
        <f t="shared" si="246"/>
        <v>4.7633333333333328</v>
      </c>
      <c r="CP252" s="17">
        <f t="shared" si="232"/>
        <v>8.8966666666666647</v>
      </c>
      <c r="CQ252" s="17">
        <f t="shared" si="233"/>
        <v>11.133333333333333</v>
      </c>
      <c r="CR252" s="17">
        <f t="shared" si="234"/>
        <v>15.266666666666666</v>
      </c>
      <c r="CS252" s="2" cm="1">
        <f t="array" aca="1" ref="CS252" ca="1">MAX(_xlfn._xlws.FILTER(CL252:CR252,CL252:CR252&lt;BN252))</f>
        <v>4.7633333333333328</v>
      </c>
      <c r="CT252" s="2" cm="1">
        <f t="array" aca="1" ref="CT252" ca="1">MIN(_xlfn._xlws.FILTER($CL252:$CR252,$CL252:$CR252&gt;BN252))</f>
        <v>8.8966666666666647</v>
      </c>
      <c r="CU252" s="16">
        <f t="shared" ca="1" si="248"/>
        <v>0.86773967809657093</v>
      </c>
      <c r="CV252" s="20">
        <f t="shared" ca="1" si="249"/>
        <v>-0.43386983904828547</v>
      </c>
      <c r="CW252" s="20">
        <f t="shared" ca="1" si="250"/>
        <v>-0.28924655936552363</v>
      </c>
      <c r="CX252" s="20">
        <f t="shared" ca="1" si="251"/>
        <v>-0.1735479356193142</v>
      </c>
      <c r="CY252" s="20">
        <f t="shared" ca="1" si="252"/>
        <v>-9.6415519788507875E-2</v>
      </c>
      <c r="CZ252" s="20">
        <f t="shared" ca="1" si="253"/>
        <v>-5.1043510476268879E-2</v>
      </c>
      <c r="DA252" s="20">
        <f t="shared" ca="1" si="254"/>
        <v>-2.6295141760502148E-2</v>
      </c>
      <c r="DB252" s="20">
        <f t="shared" ca="1" si="255"/>
        <v>-1.3349841201485706E-2</v>
      </c>
      <c r="DC252" s="21">
        <f t="shared" ca="1" si="256"/>
        <v>1.3349841201485706E-2</v>
      </c>
      <c r="DD252" s="21">
        <f t="shared" ca="1" si="257"/>
        <v>2.6295141760502148E-2</v>
      </c>
      <c r="DE252" s="21">
        <f t="shared" ca="1" si="258"/>
        <v>5.1043510476268879E-2</v>
      </c>
      <c r="DF252" s="21">
        <f t="shared" ca="1" si="259"/>
        <v>9.6415519788507875E-2</v>
      </c>
      <c r="DG252" s="21">
        <f t="shared" ca="1" si="260"/>
        <v>0.1735479356193142</v>
      </c>
      <c r="DH252" s="21">
        <f t="shared" ca="1" si="261"/>
        <v>0.28924655936552363</v>
      </c>
      <c r="DI252" s="21">
        <f t="shared" ca="1" si="262"/>
        <v>0.43386983904828547</v>
      </c>
      <c r="DK252" s="16" cm="1">
        <f t="array" aca="1" ref="DK252" ca="1">MAX(_xlfn._xlws.FILTER(CV252:DI252,CV252:DI252&lt;BT252))</f>
        <v>-1.3349841201485706E-2</v>
      </c>
      <c r="DL252" s="16" cm="1">
        <f t="array" aca="1" ref="DL252" ca="1">MIN(_xlfn._xlws.FILTER(CV252:DI252,CV252:DI252&gt;BT252))</f>
        <v>1.3349841201485706E-2</v>
      </c>
      <c r="DM252" s="2" cm="1">
        <f t="array" aca="1" ref="DM252" ca="1">_FV(EB252,"Fechamento anterior",TRUE)</f>
        <v>6.43</v>
      </c>
      <c r="DN252" s="28">
        <f t="shared" ca="1" si="235"/>
        <v>0.5</v>
      </c>
      <c r="DO252" s="15">
        <f t="shared" ca="1" si="263"/>
        <v>6.3441605210744463</v>
      </c>
      <c r="DP252" s="15">
        <f t="shared" ca="1" si="264"/>
        <v>6.5158394789255532</v>
      </c>
      <c r="DQ252" s="9"/>
      <c r="DR252" s="9"/>
      <c r="DS252" s="9"/>
      <c r="DT252" s="89">
        <v>2.6699682402971412E-2</v>
      </c>
      <c r="DU252" s="89">
        <f t="shared" ca="1" si="236"/>
        <v>2.6699682402971412E-2</v>
      </c>
      <c r="DV252" s="72">
        <f t="shared" ca="1" si="237"/>
        <v>0.14756732133035003</v>
      </c>
      <c r="DW252" s="37"/>
      <c r="DX252" s="35">
        <f t="shared" si="247"/>
        <v>0.13553136168429805</v>
      </c>
      <c r="DY252" s="56"/>
      <c r="DZ252" s="56"/>
      <c r="EB252" s="2" t="e" vm="254">
        <v>#VALUE!</v>
      </c>
      <c r="ED252" s="10" cm="1">
        <f t="array" aca="1" ref="ED252" ca="1">_FV(EB252,"Ações em circulação",TRUE)</f>
        <v>67412640</v>
      </c>
      <c r="EE252" s="18">
        <f>VLOOKUP(BO252,Fundamentus!A:U,5,FALSE)</f>
        <v>0.29199999999999998</v>
      </c>
      <c r="EF252" s="2">
        <f t="shared" ca="1" si="238"/>
        <v>1484463271.2328768</v>
      </c>
      <c r="EG252" s="17">
        <v>-741192511.3265754</v>
      </c>
      <c r="EH252" s="17">
        <f t="shared" ca="1" si="239"/>
        <v>-741192511.3265754</v>
      </c>
      <c r="EJ252" s="16">
        <f t="shared" ca="1" si="226"/>
        <v>0</v>
      </c>
      <c r="EK252" s="32" t="str">
        <f>IF(VLOOKUP(BO252,Fundamentus!A:U,3,FALSE)&lt;15,"Bom",IF(VLOOKUP(BO252,Fundamentus!A:U,3,FALSE)&gt;15,"Ruim","n/a"))</f>
        <v>Bom</v>
      </c>
      <c r="EL252" s="28" t="str">
        <f>IF(VLOOKUP(BO252,Fundamentus!A:U,4,FALSE)&lt;1,"Baixo",IF(VLOOKUP(BO252,Fundamentus!A:U,4,FALSE)&lt;1.5,"Moderado",IF(VLOOKUP(BO252,Fundamentus!A:U,4,FALSE)&gt;1.5,"Alto","n/a")))</f>
        <v>Baixo</v>
      </c>
      <c r="EM252" s="17" t="str">
        <f>IF(VLOOKUP(BO252,Fundamentus!A:U,8,FALSE)&lt;0,"Risco elevado",IF(VLOOKUP(BO252,Fundamentus!A:U,8,FALSE)&lt;1,"Saudável",IF(VLOOKUP(BO252,Fundamentus!A:U,8,FALSE)&lt;3,"Estável",IF(VLOOKUP(BO252,Fundamentus!A:U,8,FALSE)&gt;3,"Alerta","n/a"))))</f>
        <v>Saudável</v>
      </c>
      <c r="EN252" s="28" t="str">
        <f t="shared" si="240"/>
        <v>Ruim</v>
      </c>
      <c r="EO252" s="17" t="str">
        <f>IF(VLOOKUP(BO252,Fundamentus!A:U,12,FALSE)&lt;2,"Subvalorizada",IF(VLOOKUP(BO252,Fundamentus!A:U,12,FALSE)&lt;6,"Muita barata",IF(VLOOKUP(BO252,Fundamentus!A:U,12,FALSE)&lt;6,"Barata",IF(VLOOKUP(BO252,Fundamentus!A:U,12,FALSE)&lt;8,"Atrativa",IF(VLOOKUP(BO252,Fundamentus!A:U,12,FALSE)&gt;8,"Supervalorizada","n/a")))))</f>
        <v>Subvalorizada</v>
      </c>
      <c r="EQ252" s="17" t="str">
        <f>IF(VLOOKUP(BO252,Fundamentus!A:U,17,FALSE)&lt;0.1,"Fraco retorno",IF(VLOOKUP(BO252,Fundamentus!A:U,17,FALSE)&gt;0.1,"Bom retorno","n/a"))</f>
        <v>Fraco retorno</v>
      </c>
      <c r="ER252" s="17" t="str">
        <f>IF(VLOOKUP(BO252,Fundamentus!A:U,16,FALSE)&lt;0.1,"Ineficiente",IF(VLOOKUP(BO252,Fundamentus!A:U,16,FALSE)&gt;0.1,"Eficiente","n/a"))</f>
        <v>Ineficiente</v>
      </c>
      <c r="ES252" s="33" t="str">
        <f>IF(VLOOKUP(BO252,Fundamentus!A:U,16,FALSE)&lt;0.1,"Oper. Ineficiente",IF(VLOOKUP(BO252,Fundamentus!A:U,16,FALSE)&gt;0.1,"Oper.Eficiente","n/a"))</f>
        <v>Oper. Ineficiente</v>
      </c>
      <c r="ET252" s="34">
        <f>VLOOKUP(BO252,Fundamentus!A:U,14,FALSE)</f>
        <v>-0.49930000000000002</v>
      </c>
      <c r="EU252" s="17" t="str">
        <f>IF(VLOOKUP(BO252,Fundamentus!A:U,21,FALSE)&lt;0,"Negativo",IF(VLOOKUP(BO252,Fundamentus!A:U,21,FALSE)&lt;0.05,"Fraco",IF(VLOOKUP(BO252,Fundamentus!A:U,21,FALSE)&lt;0.1,"Bom",IF(VLOOKUP(BO252,Fundamentus!A:U,21,FALSE)&gt;0.1,"Muito bom","n/a"))))</f>
        <v>Muito bom</v>
      </c>
      <c r="EW252" s="29" t="str">
        <f>IF(VLOOKUP(BO252,Fundamentus!A:U,15,FALSE)&gt;1,"Bom",IF(VLOOKUP(BO252,Fundamentus!A:U,15,FALSE)&lt;1,"Ruim","n/a"))</f>
        <v>Bom</v>
      </c>
      <c r="EX252" s="17" t="str">
        <f>IF(VLOOKUP(BO252,Fundamentus!A:U,20,FALSE)&lt;0.5,"Baixa",IF(VLOOKUP(BO252,Fundamentus!A:U,20,FALSE)&lt;1,"Moderada",IF(VLOOKUP(BO252,Fundamentus!A:U,20,FALSE)&lt;2,"Alerta",IF(VLOOKUP(BO252,Fundamentus!A:U,20,FALSE)&gt;2,"Alta","n/a"))))</f>
        <v>Moderada</v>
      </c>
    </row>
    <row r="253" spans="1:154" s="2" customFormat="1" ht="11.25"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5">
        <v>0.74</v>
      </c>
      <c r="BC253" s="52">
        <v>0.71</v>
      </c>
      <c r="BD253" s="52">
        <v>0.59</v>
      </c>
      <c r="BE253" s="52">
        <v>0.56000000000000005</v>
      </c>
      <c r="BF253" s="52">
        <v>0.56999999999999995</v>
      </c>
      <c r="BG253" s="67">
        <v>0.5</v>
      </c>
      <c r="BH253" s="52">
        <v>0.46</v>
      </c>
      <c r="BI253" s="52">
        <v>0.46</v>
      </c>
      <c r="BJ253" s="52">
        <v>0.46</v>
      </c>
      <c r="BK253" s="52">
        <v>0.61</v>
      </c>
      <c r="BL253" s="52">
        <v>0.55000000000000004</v>
      </c>
      <c r="BM253" s="52">
        <v>0.52</v>
      </c>
      <c r="BN253" s="52" cm="1">
        <f t="array" aca="1" ref="BN253" ca="1">_FV(EB253,"Preço")</f>
        <v>0.52</v>
      </c>
      <c r="BO253" s="69" t="s">
        <v>249</v>
      </c>
      <c r="BP253" s="36" cm="1">
        <f t="array" aca="1" ref="BP253" ca="1">_FV(EB253,"Média de volume",TRUE)</f>
        <v>2103020</v>
      </c>
      <c r="BQ253" s="36">
        <v>300600</v>
      </c>
      <c r="BR253" s="36" cm="1">
        <f t="array" aca="1" ref="BR253" ca="1">_FV(EB253,"Volume")</f>
        <v>300600</v>
      </c>
      <c r="BS253" s="24" cm="1">
        <f t="array" aca="1" ref="BS253" ca="1">_FV(EB253,"Beta")</f>
        <v>1.0755999999999999</v>
      </c>
      <c r="BT253" s="71" cm="1">
        <f t="array" aca="1" ref="BT253" ca="1">_FV(EB253,"Variação (%)",TRUE)</f>
        <v>0</v>
      </c>
      <c r="BV253" s="17" cm="1">
        <f t="array" aca="1" ref="BV253" ca="1">_FV(EB253,"Baixo")</f>
        <v>0.52</v>
      </c>
      <c r="BW253" s="17" cm="1">
        <f t="array" aca="1" ref="BW253" ca="1">_FV(EB253,"Alto")</f>
        <v>0.54</v>
      </c>
      <c r="BX253" s="24"/>
      <c r="BY253" s="63" t="e">
        <f ca="1">SQRT(22.5*(BN253/VLOOKUP(BO253,Fundamentus!A:U,3,FALSE))*(BN253/VLOOKUP(BO253,Fundamentus!A:U,4,FALSE)))</f>
        <v>#NUM!</v>
      </c>
      <c r="CA253" s="62">
        <f t="shared" ca="1" si="241"/>
        <v>0</v>
      </c>
      <c r="CB253" s="8"/>
      <c r="CC253" s="61">
        <f t="shared" si="242"/>
        <v>0.46</v>
      </c>
      <c r="CD253" s="61">
        <f t="shared" si="243"/>
        <v>1.69</v>
      </c>
      <c r="CE253" s="61">
        <f t="shared" si="244"/>
        <v>1.0736923076923071</v>
      </c>
      <c r="CF253" s="14"/>
      <c r="CG253" s="35">
        <f t="shared" si="227"/>
        <v>0.45683346173607786</v>
      </c>
      <c r="CH253" s="15">
        <f t="shared" si="245"/>
        <v>0.56499999999999773</v>
      </c>
      <c r="CI253" s="35">
        <f t="shared" si="228"/>
        <v>0.67316653826391759</v>
      </c>
      <c r="CK253" s="14"/>
      <c r="CL253" s="17">
        <f t="shared" si="229"/>
        <v>-1.1199999999999999</v>
      </c>
      <c r="CM253" s="17">
        <f t="shared" si="230"/>
        <v>-0.32999999999999996</v>
      </c>
      <c r="CN253" s="17">
        <f t="shared" si="231"/>
        <v>0.1100000000000001</v>
      </c>
      <c r="CO253" s="38">
        <f t="shared" si="246"/>
        <v>0.9</v>
      </c>
      <c r="CP253" s="17">
        <f t="shared" si="232"/>
        <v>1.34</v>
      </c>
      <c r="CQ253" s="17">
        <f t="shared" si="233"/>
        <v>2.13</v>
      </c>
      <c r="CR253" s="17">
        <f t="shared" si="234"/>
        <v>2.57</v>
      </c>
      <c r="CS253" s="2" cm="1">
        <f t="array" aca="1" ref="CS253" ca="1">MAX(_xlfn._xlws.FILTER(CL253:CR253,CL253:CR253&lt;BN253))</f>
        <v>0.1100000000000001</v>
      </c>
      <c r="CT253" s="2" cm="1">
        <f t="array" aca="1" ref="CT253" ca="1">MIN(_xlfn._xlws.FILTER($CL253:$CR253,$CL253:$CR253&gt;BN253))</f>
        <v>0.9</v>
      </c>
      <c r="CU253" s="16">
        <f t="shared" ca="1" si="248"/>
        <v>7.1818181818181746</v>
      </c>
      <c r="CV253" s="20">
        <f t="shared" ca="1" si="249"/>
        <v>-3.5909090909090873</v>
      </c>
      <c r="CW253" s="20">
        <f t="shared" ca="1" si="250"/>
        <v>-2.3939393939393914</v>
      </c>
      <c r="CX253" s="20">
        <f t="shared" ca="1" si="251"/>
        <v>-1.436363636363635</v>
      </c>
      <c r="CY253" s="20">
        <f t="shared" ca="1" si="252"/>
        <v>-0.79797979797979712</v>
      </c>
      <c r="CZ253" s="20">
        <f t="shared" ca="1" si="253"/>
        <v>-0.42245989304812792</v>
      </c>
      <c r="DA253" s="20">
        <f t="shared" ca="1" si="254"/>
        <v>-0.21763085399449014</v>
      </c>
      <c r="DB253" s="20">
        <f t="shared" ca="1" si="255"/>
        <v>-0.11048951048951038</v>
      </c>
      <c r="DC253" s="21">
        <f t="shared" ca="1" si="256"/>
        <v>0.11048951048951038</v>
      </c>
      <c r="DD253" s="21">
        <f t="shared" ca="1" si="257"/>
        <v>0.21763085399449014</v>
      </c>
      <c r="DE253" s="21">
        <f t="shared" ca="1" si="258"/>
        <v>0.42245989304812792</v>
      </c>
      <c r="DF253" s="21">
        <f t="shared" ca="1" si="259"/>
        <v>0.79797979797979712</v>
      </c>
      <c r="DG253" s="21">
        <f t="shared" ca="1" si="260"/>
        <v>1.436363636363635</v>
      </c>
      <c r="DH253" s="21">
        <f t="shared" ca="1" si="261"/>
        <v>2.3939393939393914</v>
      </c>
      <c r="DI253" s="21">
        <f t="shared" ca="1" si="262"/>
        <v>3.5909090909090873</v>
      </c>
      <c r="DK253" s="16" cm="1">
        <f t="array" aca="1" ref="DK253" ca="1">MAX(_xlfn._xlws.FILTER(CV253:DI253,CV253:DI253&lt;BT253))</f>
        <v>-0.11048951048951038</v>
      </c>
      <c r="DL253" s="16" cm="1">
        <f t="array" aca="1" ref="DL253" ca="1">MIN(_xlfn._xlws.FILTER(CV253:DI253,CV253:DI253&gt;BT253))</f>
        <v>0.11048951048951038</v>
      </c>
      <c r="DM253" s="2" cm="1">
        <f t="array" aca="1" ref="DM253" ca="1">_FV(EB253,"Fechamento anterior",TRUE)</f>
        <v>0.52</v>
      </c>
      <c r="DN253" s="28">
        <f t="shared" ca="1" si="235"/>
        <v>0.5</v>
      </c>
      <c r="DO253" s="15">
        <f t="shared" ca="1" si="263"/>
        <v>0.46254545454545459</v>
      </c>
      <c r="DP253" s="15">
        <f t="shared" ca="1" si="264"/>
        <v>0.57745454545454544</v>
      </c>
      <c r="DQ253" s="9"/>
      <c r="DR253" s="9"/>
      <c r="DS253" s="9"/>
      <c r="DT253" s="89">
        <v>0.22097902097902075</v>
      </c>
      <c r="DU253" s="89">
        <f t="shared" ca="1" si="236"/>
        <v>0.22097902097902075</v>
      </c>
      <c r="DV253" s="72">
        <f t="shared" ca="1" si="237"/>
        <v>-0.41602514716889993</v>
      </c>
      <c r="DW253" s="37"/>
      <c r="DX253" s="35">
        <f t="shared" si="247"/>
        <v>5.4083269131959939E-2</v>
      </c>
      <c r="DY253" s="56"/>
      <c r="DZ253" s="56"/>
      <c r="EB253" s="2" t="e" vm="255">
        <v>#VALUE!</v>
      </c>
      <c r="ED253" s="10" cm="1">
        <f t="array" aca="1" ref="ED253" ca="1">_FV(EB253,"Ações em circulação",TRUE)</f>
        <v>592753700</v>
      </c>
      <c r="EE253" s="18">
        <f>VLOOKUP(BO253,Fundamentus!A:U,5,FALSE)</f>
        <v>2.044</v>
      </c>
      <c r="EF253" s="2">
        <f t="shared" ca="1" si="238"/>
        <v>150798397.26027396</v>
      </c>
      <c r="EG253" s="17">
        <v>-258181935.94931504</v>
      </c>
      <c r="EH253" s="17">
        <f t="shared" ca="1" si="239"/>
        <v>-258181935.94931504</v>
      </c>
      <c r="EJ253" s="16">
        <f t="shared" ca="1" si="226"/>
        <v>0</v>
      </c>
      <c r="EK253" s="32" t="str">
        <f>IF(VLOOKUP(BO253,Fundamentus!A:U,3,FALSE)&lt;15,"Bom",IF(VLOOKUP(BO253,Fundamentus!A:U,3,FALSE)&gt;15,"Ruim","n/a"))</f>
        <v>Bom</v>
      </c>
      <c r="EL253" s="28" t="str">
        <f>IF(VLOOKUP(BO253,Fundamentus!A:U,4,FALSE)&lt;1,"Baixo",IF(VLOOKUP(BO253,Fundamentus!A:U,4,FALSE)&lt;1.5,"Moderado",IF(VLOOKUP(BO253,Fundamentus!A:U,4,FALSE)&gt;1.5,"Alto","n/a")))</f>
        <v>Baixo</v>
      </c>
      <c r="EM253" s="17" t="str">
        <f>IF(VLOOKUP(BO253,Fundamentus!A:U,8,FALSE)&lt;0,"Risco elevado",IF(VLOOKUP(BO253,Fundamentus!A:U,8,FALSE)&lt;1,"Saudável",IF(VLOOKUP(BO253,Fundamentus!A:U,8,FALSE)&lt;3,"Estável",IF(VLOOKUP(BO253,Fundamentus!A:U,8,FALSE)&gt;3,"Alerta","n/a"))))</f>
        <v>Risco elevado</v>
      </c>
      <c r="EN253" s="28" t="str">
        <f t="shared" si="240"/>
        <v>Bom</v>
      </c>
      <c r="EO253" s="17" t="str">
        <f>IF(VLOOKUP(BO253,Fundamentus!A:U,12,FALSE)&lt;2,"Subvalorizada",IF(VLOOKUP(BO253,Fundamentus!A:U,12,FALSE)&lt;6,"Muita barata",IF(VLOOKUP(BO253,Fundamentus!A:U,12,FALSE)&lt;6,"Barata",IF(VLOOKUP(BO253,Fundamentus!A:U,12,FALSE)&lt;8,"Atrativa",IF(VLOOKUP(BO253,Fundamentus!A:U,12,FALSE)&gt;8,"Supervalorizada","n/a")))))</f>
        <v>Subvalorizada</v>
      </c>
      <c r="EQ253" s="17" t="str">
        <f>IF(VLOOKUP(BO253,Fundamentus!A:U,17,FALSE)&lt;0.1,"Fraco retorno",IF(VLOOKUP(BO253,Fundamentus!A:U,17,FALSE)&gt;0.1,"Bom retorno","n/a"))</f>
        <v>Fraco retorno</v>
      </c>
      <c r="ER253" s="17" t="str">
        <f>IF(VLOOKUP(BO253,Fundamentus!A:U,16,FALSE)&lt;0.1,"Ineficiente",IF(VLOOKUP(BO253,Fundamentus!A:U,16,FALSE)&gt;0.1,"Eficiente","n/a"))</f>
        <v>Ineficiente</v>
      </c>
      <c r="ES253" s="33" t="str">
        <f>IF(VLOOKUP(BO253,Fundamentus!A:U,16,FALSE)&lt;0.1,"Oper. Ineficiente",IF(VLOOKUP(BO253,Fundamentus!A:U,16,FALSE)&gt;0.1,"Oper.Eficiente","n/a"))</f>
        <v>Oper. Ineficiente</v>
      </c>
      <c r="ET253" s="34">
        <f>VLOOKUP(BO253,Fundamentus!A:U,14,FALSE)</f>
        <v>-1.7121</v>
      </c>
      <c r="EU253" s="17" t="str">
        <f>IF(VLOOKUP(BO253,Fundamentus!A:U,21,FALSE)&lt;0,"Negativo",IF(VLOOKUP(BO253,Fundamentus!A:U,21,FALSE)&lt;0.05,"Fraco",IF(VLOOKUP(BO253,Fundamentus!A:U,21,FALSE)&lt;0.1,"Bom",IF(VLOOKUP(BO253,Fundamentus!A:U,21,FALSE)&gt;0.1,"Muito bom","n/a"))))</f>
        <v>Muito bom</v>
      </c>
      <c r="EW253" s="29" t="str">
        <f>IF(VLOOKUP(BO253,Fundamentus!A:U,15,FALSE)&gt;1,"Bom",IF(VLOOKUP(BO253,Fundamentus!A:U,15,FALSE)&lt;1,"Ruim","n/a"))</f>
        <v>Ruim</v>
      </c>
      <c r="EX253" s="17" t="str">
        <f>IF(VLOOKUP(BO253,Fundamentus!A:U,20,FALSE)&lt;0.5,"Baixa",IF(VLOOKUP(BO253,Fundamentus!A:U,20,FALSE)&lt;1,"Moderada",IF(VLOOKUP(BO253,Fundamentus!A:U,20,FALSE)&lt;2,"Alerta",IF(VLOOKUP(BO253,Fundamentus!A:U,20,FALSE)&gt;2,"Alta","n/a"))))</f>
        <v>Baixa</v>
      </c>
    </row>
    <row r="254" spans="1:154" s="2" customFormat="1" ht="11.25"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5">
        <v>1.19</v>
      </c>
      <c r="BC254" s="52">
        <v>0.95</v>
      </c>
      <c r="BD254" s="52">
        <v>1.3</v>
      </c>
      <c r="BE254" s="52">
        <v>1.47</v>
      </c>
      <c r="BF254" s="52">
        <v>1.1000000000000001</v>
      </c>
      <c r="BG254" s="67">
        <v>701</v>
      </c>
      <c r="BH254" s="52">
        <v>162.16</v>
      </c>
      <c r="BI254" s="52">
        <v>118</v>
      </c>
      <c r="BJ254" s="52">
        <v>151.31</v>
      </c>
      <c r="BK254" s="52">
        <v>40.380000000000003</v>
      </c>
      <c r="BL254" s="52">
        <v>3.57</v>
      </c>
      <c r="BM254" s="52">
        <v>6.8</v>
      </c>
      <c r="BN254" s="52" cm="1">
        <f t="array" aca="1" ref="BN254" ca="1">_FV(EB254,"Preço")</f>
        <v>6.8</v>
      </c>
      <c r="BO254" s="69" t="s">
        <v>250</v>
      </c>
      <c r="BP254" s="36" cm="1">
        <f t="array" aca="1" ref="BP254" ca="1">_FV(EB254,"Média de volume",TRUE)</f>
        <v>2045290320</v>
      </c>
      <c r="BQ254" s="36">
        <v>1749828</v>
      </c>
      <c r="BR254" s="36" cm="1">
        <f t="array" aca="1" ref="BR254" ca="1">_FV(EB254,"Volume")</f>
        <v>1749828</v>
      </c>
      <c r="BS254" s="24" cm="1">
        <f t="array" aca="1" ref="BS254" ca="1">_FV(EB254,"Beta")</f>
        <v>2.0024999999999999</v>
      </c>
      <c r="BT254" s="71" cm="1">
        <f t="array" aca="1" ref="BT254" ca="1">_FV(EB254,"Variação (%)",TRUE)</f>
        <v>-0.15212000000000001</v>
      </c>
      <c r="BV254" s="17" cm="1">
        <f t="array" aca="1" ref="BV254" ca="1">_FV(EB254,"Baixo")</f>
        <v>6.57</v>
      </c>
      <c r="BW254" s="17" cm="1">
        <f t="array" aca="1" ref="BW254" ca="1">_FV(EB254,"Alto")</f>
        <v>9</v>
      </c>
      <c r="BX254" s="24"/>
      <c r="BY254" s="63">
        <f ca="1">SQRT(22.5*(BN254/VLOOKUP(BO254,Fundamentus!A:U,3,FALSE))*(BN254/VLOOKUP(BO254,Fundamentus!A:U,4,FALSE)))</f>
        <v>0.51980339929048347</v>
      </c>
      <c r="CA254" s="62">
        <f t="shared" ca="1" si="241"/>
        <v>0</v>
      </c>
      <c r="CB254" s="8"/>
      <c r="CC254" s="61">
        <f t="shared" si="242"/>
        <v>0.95</v>
      </c>
      <c r="CD254" s="61">
        <f t="shared" si="243"/>
        <v>701</v>
      </c>
      <c r="CE254" s="61">
        <f t="shared" si="244"/>
        <v>19.329153846153847</v>
      </c>
      <c r="CF254" s="14"/>
      <c r="CG254" s="35">
        <f t="shared" si="227"/>
        <v>-186.97489773150085</v>
      </c>
      <c r="CH254" s="15">
        <f t="shared" si="245"/>
        <v>-67.070000000006985</v>
      </c>
      <c r="CI254" s="35">
        <f t="shared" si="228"/>
        <v>52.834897731486876</v>
      </c>
      <c r="CK254" s="14"/>
      <c r="CL254" s="17">
        <f t="shared" si="229"/>
        <v>-930.70333333333315</v>
      </c>
      <c r="CM254" s="17">
        <f t="shared" si="230"/>
        <v>-464.87666666666655</v>
      </c>
      <c r="CN254" s="17">
        <f t="shared" si="231"/>
        <v>-230.65333333333325</v>
      </c>
      <c r="CO254" s="38">
        <f t="shared" si="246"/>
        <v>235.17333333333337</v>
      </c>
      <c r="CP254" s="17">
        <f t="shared" si="232"/>
        <v>469.39666666666676</v>
      </c>
      <c r="CQ254" s="17">
        <f t="shared" si="233"/>
        <v>935.22333333333336</v>
      </c>
      <c r="CR254" s="17">
        <f t="shared" si="234"/>
        <v>1169.4466666666667</v>
      </c>
      <c r="CS254" s="2" cm="1">
        <f t="array" aca="1" ref="CS254" ca="1">MAX(_xlfn._xlws.FILTER(CL254:CR254,CL254:CR254&lt;BN254))</f>
        <v>-230.65333333333325</v>
      </c>
      <c r="CT254" s="2" cm="1">
        <f t="array" aca="1" ref="CT254" ca="1">MIN(_xlfn._xlws.FILTER($CL254:$CR254,$CL254:$CR254&gt;BN254))</f>
        <v>235.17333333333337</v>
      </c>
      <c r="CU254" s="16">
        <f t="shared" ca="1" si="248"/>
        <v>-2.0195965084686982</v>
      </c>
      <c r="CV254" s="20">
        <f t="shared" ca="1" si="249"/>
        <v>1.0097982542343491</v>
      </c>
      <c r="CW254" s="20">
        <f t="shared" ca="1" si="250"/>
        <v>0.67319883615623277</v>
      </c>
      <c r="CX254" s="20">
        <f t="shared" ca="1" si="251"/>
        <v>0.40391930169373963</v>
      </c>
      <c r="CY254" s="20">
        <f t="shared" ca="1" si="252"/>
        <v>0.22439961205207759</v>
      </c>
      <c r="CZ254" s="20">
        <f t="shared" ca="1" si="253"/>
        <v>0.11879979461580578</v>
      </c>
      <c r="DA254" s="20">
        <f t="shared" ca="1" si="254"/>
        <v>6.1199894196021155E-2</v>
      </c>
      <c r="DB254" s="20">
        <f t="shared" ca="1" si="255"/>
        <v>3.107071551490305E-2</v>
      </c>
      <c r="DC254" s="21">
        <f t="shared" ca="1" si="256"/>
        <v>-3.107071551490305E-2</v>
      </c>
      <c r="DD254" s="21">
        <f t="shared" ca="1" si="257"/>
        <v>-6.1199894196021155E-2</v>
      </c>
      <c r="DE254" s="21">
        <f t="shared" ca="1" si="258"/>
        <v>-0.11879979461580578</v>
      </c>
      <c r="DF254" s="21">
        <f t="shared" ca="1" si="259"/>
        <v>-0.22439961205207759</v>
      </c>
      <c r="DG254" s="21">
        <f t="shared" ca="1" si="260"/>
        <v>-0.40391930169373963</v>
      </c>
      <c r="DH254" s="21">
        <f t="shared" ca="1" si="261"/>
        <v>-0.67319883615623277</v>
      </c>
      <c r="DI254" s="21">
        <f t="shared" ca="1" si="262"/>
        <v>-1.0097982542343491</v>
      </c>
      <c r="DK254" s="16" cm="1">
        <f t="array" aca="1" ref="DK254" ca="1">MAX(_xlfn._xlws.FILTER(CV254:DI254,CV254:DI254&lt;BT254))</f>
        <v>-0.22439961205207759</v>
      </c>
      <c r="DL254" s="16" cm="1">
        <f t="array" aca="1" ref="DL254" ca="1">MIN(_xlfn._xlws.FILTER(CV254:DI254,CV254:DI254&gt;BT254))</f>
        <v>-0.11879979461580578</v>
      </c>
      <c r="DM254" s="2" cm="1">
        <f t="array" aca="1" ref="DM254" ca="1">_FV(EB254,"Fechamento anterior",TRUE)</f>
        <v>8.02</v>
      </c>
      <c r="DN254" s="28">
        <f t="shared" ca="1" si="235"/>
        <v>0.68447004037263592</v>
      </c>
      <c r="DO254" s="15">
        <f t="shared" ca="1" si="263"/>
        <v>6.2203151113423374</v>
      </c>
      <c r="DP254" s="15">
        <f t="shared" ca="1" si="264"/>
        <v>7.0672256471812371</v>
      </c>
      <c r="DQ254" s="9"/>
      <c r="DR254" s="9"/>
      <c r="DS254" s="9"/>
      <c r="DT254" s="89">
        <v>0.10559981743627181</v>
      </c>
      <c r="DU254" s="89">
        <f t="shared" ca="1" si="236"/>
        <v>0.10559981743627181</v>
      </c>
      <c r="DV254" s="72">
        <f t="shared" ca="1" si="237"/>
        <v>0.61607158170824672</v>
      </c>
      <c r="DW254" s="37"/>
      <c r="DX254" s="35">
        <f t="shared" si="247"/>
        <v>59.952448865746931</v>
      </c>
      <c r="DY254" s="56"/>
      <c r="DZ254" s="56"/>
      <c r="EB254" s="2" t="e" vm="256">
        <v>#VALUE!</v>
      </c>
      <c r="ED254" s="10" cm="1">
        <f t="array" aca="1" ref="ED254" ca="1">_FV(EB254,"Ações em circulação",TRUE)</f>
        <v>3202277000000</v>
      </c>
      <c r="EE254" s="18">
        <f>VLOOKUP(BO254,Fundamentus!A:U,5,FALSE)</f>
        <v>47.427</v>
      </c>
      <c r="EF254" s="2">
        <f t="shared" ca="1" si="238"/>
        <v>459136854534.33698</v>
      </c>
      <c r="EG254" s="17">
        <v>-194214889468.02454</v>
      </c>
      <c r="EH254" s="17">
        <f t="shared" ca="1" si="239"/>
        <v>-194214889468.02454</v>
      </c>
      <c r="EJ254" s="16">
        <f t="shared" ca="1" si="226"/>
        <v>0</v>
      </c>
      <c r="EK254" s="32" t="str">
        <f>IF(VLOOKUP(BO254,Fundamentus!A:U,3,FALSE)&lt;15,"Bom",IF(VLOOKUP(BO254,Fundamentus!A:U,3,FALSE)&gt;15,"Ruim","n/a"))</f>
        <v>Bom</v>
      </c>
      <c r="EL254" s="28" t="str">
        <f>IF(VLOOKUP(BO254,Fundamentus!A:U,4,FALSE)&lt;1,"Baixo",IF(VLOOKUP(BO254,Fundamentus!A:U,4,FALSE)&lt;1.5,"Moderado",IF(VLOOKUP(BO254,Fundamentus!A:U,4,FALSE)&gt;1.5,"Alto","n/a")))</f>
        <v>Baixo</v>
      </c>
      <c r="EM254" s="17" t="str">
        <f>IF(VLOOKUP(BO254,Fundamentus!A:U,8,FALSE)&lt;0,"Risco elevado",IF(VLOOKUP(BO254,Fundamentus!A:U,8,FALSE)&lt;1,"Saudável",IF(VLOOKUP(BO254,Fundamentus!A:U,8,FALSE)&lt;3,"Estável",IF(VLOOKUP(BO254,Fundamentus!A:U,8,FALSE)&gt;3,"Alerta","n/a"))))</f>
        <v>Risco elevado</v>
      </c>
      <c r="EN254" s="28" t="str">
        <f t="shared" si="240"/>
        <v>Bom</v>
      </c>
      <c r="EO254" s="17" t="str">
        <f>IF(VLOOKUP(BO254,Fundamentus!A:U,12,FALSE)&lt;2,"Subvalorizada",IF(VLOOKUP(BO254,Fundamentus!A:U,12,FALSE)&lt;6,"Muita barata",IF(VLOOKUP(BO254,Fundamentus!A:U,12,FALSE)&lt;6,"Barata",IF(VLOOKUP(BO254,Fundamentus!A:U,12,FALSE)&lt;8,"Atrativa",IF(VLOOKUP(BO254,Fundamentus!A:U,12,FALSE)&gt;8,"Supervalorizada","n/a")))))</f>
        <v>Supervalorizada</v>
      </c>
      <c r="EQ254" s="17" t="str">
        <f>IF(VLOOKUP(BO254,Fundamentus!A:U,17,FALSE)&lt;0.1,"Fraco retorno",IF(VLOOKUP(BO254,Fundamentus!A:U,17,FALSE)&gt;0.1,"Bom retorno","n/a"))</f>
        <v>Bom retorno</v>
      </c>
      <c r="ER254" s="17" t="str">
        <f>IF(VLOOKUP(BO254,Fundamentus!A:U,16,FALSE)&lt;0.1,"Ineficiente",IF(VLOOKUP(BO254,Fundamentus!A:U,16,FALSE)&gt;0.1,"Eficiente","n/a"))</f>
        <v>Ineficiente</v>
      </c>
      <c r="ES254" s="33" t="str">
        <f>IF(VLOOKUP(BO254,Fundamentus!A:U,16,FALSE)&lt;0.1,"Oper. Ineficiente",IF(VLOOKUP(BO254,Fundamentus!A:U,16,FALSE)&gt;0.1,"Oper.Eficiente","n/a"))</f>
        <v>Oper. Ineficiente</v>
      </c>
      <c r="ET254" s="34">
        <f>VLOOKUP(BO254,Fundamentus!A:U,14,FALSE)</f>
        <v>-0.42299999999999999</v>
      </c>
      <c r="EU254" s="17" t="str">
        <f>IF(VLOOKUP(BO254,Fundamentus!A:U,21,FALSE)&lt;0,"Negativo",IF(VLOOKUP(BO254,Fundamentus!A:U,21,FALSE)&lt;0.05,"Fraco",IF(VLOOKUP(BO254,Fundamentus!A:U,21,FALSE)&lt;0.1,"Bom",IF(VLOOKUP(BO254,Fundamentus!A:U,21,FALSE)&gt;0.1,"Muito bom","n/a"))))</f>
        <v>Muito bom</v>
      </c>
      <c r="EW254" s="29" t="str">
        <f>IF(VLOOKUP(BO254,Fundamentus!A:U,15,FALSE)&gt;1,"Bom",IF(VLOOKUP(BO254,Fundamentus!A:U,15,FALSE)&lt;1,"Ruim","n/a"))</f>
        <v>Ruim</v>
      </c>
      <c r="EX254" s="17" t="str">
        <f>IF(VLOOKUP(BO254,Fundamentus!A:U,20,FALSE)&lt;0.5,"Baixa",IF(VLOOKUP(BO254,Fundamentus!A:U,20,FALSE)&lt;1,"Moderada",IF(VLOOKUP(BO254,Fundamentus!A:U,20,FALSE)&lt;2,"Alerta",IF(VLOOKUP(BO254,Fundamentus!A:U,20,FALSE)&gt;2,"Alta","n/a"))))</f>
        <v>Baixa</v>
      </c>
    </row>
    <row r="255" spans="1:154" s="2" customFormat="1" ht="11.25"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5">
        <v>6.69</v>
      </c>
      <c r="BC255" s="52">
        <v>8.5</v>
      </c>
      <c r="BD255" s="52">
        <v>10</v>
      </c>
      <c r="BE255" s="52">
        <v>10.119999999999999</v>
      </c>
      <c r="BF255" s="52">
        <v>9.58</v>
      </c>
      <c r="BG255" s="67">
        <v>10.38</v>
      </c>
      <c r="BH255" s="52">
        <v>10.119999999999999</v>
      </c>
      <c r="BI255" s="52">
        <v>9.01</v>
      </c>
      <c r="BJ255" s="52">
        <v>9.42</v>
      </c>
      <c r="BK255" s="52">
        <v>8.69</v>
      </c>
      <c r="BL255" s="52">
        <v>8.4</v>
      </c>
      <c r="BM255" s="52">
        <v>7.96</v>
      </c>
      <c r="BN255" s="52" cm="1">
        <f t="array" aca="1" ref="BN255" ca="1">_FV(EB255,"Preço")</f>
        <v>7.96</v>
      </c>
      <c r="BO255" s="69" t="s">
        <v>198</v>
      </c>
      <c r="BP255" s="36" cm="1">
        <f t="array" aca="1" ref="BP255" ca="1">_FV(EB255,"Média de volume",TRUE)</f>
        <v>511600</v>
      </c>
      <c r="BQ255" s="36">
        <v>370300</v>
      </c>
      <c r="BR255" s="36" cm="1">
        <f t="array" aca="1" ref="BR255" ca="1">_FV(EB255,"Volume")</f>
        <v>370300</v>
      </c>
      <c r="BS255" s="24" cm="1">
        <f t="array" aca="1" ref="BS255" ca="1">_FV(EB255,"Beta")</f>
        <v>1.8149999999999999</v>
      </c>
      <c r="BT255" s="71" cm="1">
        <f t="array" aca="1" ref="BT255" ca="1">_FV(EB255,"Variação (%)",TRUE)</f>
        <v>-1.9703999999999999E-2</v>
      </c>
      <c r="BV255" s="17" cm="1">
        <f t="array" aca="1" ref="BV255" ca="1">_FV(EB255,"Baixo")</f>
        <v>7.95</v>
      </c>
      <c r="BW255" s="17" cm="1">
        <f t="array" aca="1" ref="BW255" ca="1">_FV(EB255,"Alto")</f>
        <v>8.17</v>
      </c>
      <c r="BX255" s="24"/>
      <c r="BY255" s="63">
        <f ca="1">SQRT(22.5*(BN255/VLOOKUP(BO255,Fundamentus!A:U,3,FALSE))*(BN255/VLOOKUP(BO255,Fundamentus!A:U,4,FALSE)))</f>
        <v>9.739882857248876</v>
      </c>
      <c r="CA255" s="62">
        <f t="shared" ca="1" si="241"/>
        <v>0</v>
      </c>
      <c r="CB255" s="8"/>
      <c r="CC255" s="61">
        <f t="shared" si="242"/>
        <v>4.21</v>
      </c>
      <c r="CD255" s="61">
        <f t="shared" si="243"/>
        <v>10.38</v>
      </c>
      <c r="CE255" s="61">
        <f t="shared" si="244"/>
        <v>6.0969230769230771</v>
      </c>
      <c r="CF255" s="14"/>
      <c r="CG255" s="35">
        <f t="shared" si="227"/>
        <v>6.3875147059839437</v>
      </c>
      <c r="CH255" s="15">
        <f t="shared" si="245"/>
        <v>7.4499999999998181</v>
      </c>
      <c r="CI255" s="35">
        <f t="shared" si="228"/>
        <v>8.5124852940156934</v>
      </c>
      <c r="CK255" s="14"/>
      <c r="CL255" s="17">
        <f t="shared" si="229"/>
        <v>-1.2233333333333336</v>
      </c>
      <c r="CM255" s="17">
        <f t="shared" si="230"/>
        <v>1.4933333333333332</v>
      </c>
      <c r="CN255" s="17">
        <f t="shared" si="231"/>
        <v>4.9466666666666672</v>
      </c>
      <c r="CO255" s="38">
        <f t="shared" si="246"/>
        <v>7.663333333333334</v>
      </c>
      <c r="CP255" s="17">
        <f t="shared" si="232"/>
        <v>11.116666666666667</v>
      </c>
      <c r="CQ255" s="17">
        <f t="shared" si="233"/>
        <v>13.833333333333336</v>
      </c>
      <c r="CR255" s="17">
        <f t="shared" si="234"/>
        <v>17.286666666666669</v>
      </c>
      <c r="CS255" s="2" cm="1">
        <f t="array" aca="1" ref="CS255" ca="1">MAX(_xlfn._xlws.FILTER(CL255:CR255,CL255:CR255&lt;BN255))</f>
        <v>7.663333333333334</v>
      </c>
      <c r="CT255" s="2" cm="1">
        <f t="array" aca="1" ref="CT255" ca="1">MIN(_xlfn._xlws.FILTER($CL255:$CR255,$CL255:$CR255&gt;BN255))</f>
        <v>11.116666666666667</v>
      </c>
      <c r="CU255" s="16">
        <f t="shared" ca="1" si="248"/>
        <v>0.45063070900391478</v>
      </c>
      <c r="CV255" s="20">
        <f t="shared" ca="1" si="249"/>
        <v>-0.22531535450195739</v>
      </c>
      <c r="CW255" s="20">
        <f t="shared" ca="1" si="250"/>
        <v>-0.15021023633463826</v>
      </c>
      <c r="CX255" s="20">
        <f t="shared" ca="1" si="251"/>
        <v>-9.0126141800782961E-2</v>
      </c>
      <c r="CY255" s="20">
        <f t="shared" ca="1" si="252"/>
        <v>-5.0070078778212755E-2</v>
      </c>
      <c r="CZ255" s="20">
        <f t="shared" ca="1" si="253"/>
        <v>-2.6507688764936164E-2</v>
      </c>
      <c r="DA255" s="20">
        <f t="shared" ca="1" si="254"/>
        <v>-1.365547603042166E-2</v>
      </c>
      <c r="DB255" s="20">
        <f t="shared" ca="1" si="255"/>
        <v>-6.9327801385217656E-3</v>
      </c>
      <c r="DC255" s="21">
        <f t="shared" ca="1" si="256"/>
        <v>6.9327801385217656E-3</v>
      </c>
      <c r="DD255" s="21">
        <f t="shared" ca="1" si="257"/>
        <v>1.365547603042166E-2</v>
      </c>
      <c r="DE255" s="21">
        <f t="shared" ca="1" si="258"/>
        <v>2.6507688764936164E-2</v>
      </c>
      <c r="DF255" s="21">
        <f t="shared" ca="1" si="259"/>
        <v>5.0070078778212755E-2</v>
      </c>
      <c r="DG255" s="21">
        <f t="shared" ca="1" si="260"/>
        <v>9.0126141800782961E-2</v>
      </c>
      <c r="DH255" s="21">
        <f t="shared" ca="1" si="261"/>
        <v>0.15021023633463826</v>
      </c>
      <c r="DI255" s="21">
        <f t="shared" ca="1" si="262"/>
        <v>0.22531535450195739</v>
      </c>
      <c r="DK255" s="16" cm="1">
        <f t="array" aca="1" ref="DK255" ca="1">MAX(_xlfn._xlws.FILTER(CV255:DI255,CV255:DI255&lt;BT255))</f>
        <v>-2.6507688764936164E-2</v>
      </c>
      <c r="DL255" s="16" cm="1">
        <f t="array" aca="1" ref="DL255" ca="1">MIN(_xlfn._xlws.FILTER(CV255:DI255,CV255:DI255&gt;BT255))</f>
        <v>-1.365547603042166E-2</v>
      </c>
      <c r="DM255" s="2" cm="1">
        <f t="array" aca="1" ref="DM255" ca="1">_FV(EB255,"Fechamento anterior",TRUE)</f>
        <v>8.1199999999999992</v>
      </c>
      <c r="DN255" s="28">
        <f t="shared" ca="1" si="235"/>
        <v>0.52934505582289348</v>
      </c>
      <c r="DO255" s="15">
        <f t="shared" ca="1" si="263"/>
        <v>7.9047575672287174</v>
      </c>
      <c r="DP255" s="15">
        <f t="shared" ca="1" si="264"/>
        <v>8.0091175346329759</v>
      </c>
      <c r="DQ255" s="9"/>
      <c r="DR255" s="9"/>
      <c r="DS255" s="9"/>
      <c r="DT255" s="89">
        <v>1.2852212734514505E-2</v>
      </c>
      <c r="DU255" s="89">
        <f t="shared" ca="1" si="236"/>
        <v>1.2852212734514505E-2</v>
      </c>
      <c r="DV255" s="72">
        <f t="shared" ca="1" si="237"/>
        <v>0.48000664373671981</v>
      </c>
      <c r="DW255" s="37"/>
      <c r="DX255" s="35">
        <f t="shared" si="247"/>
        <v>0.53124264700793733</v>
      </c>
      <c r="DY255" s="56"/>
      <c r="DZ255" s="56"/>
      <c r="EB255" s="2" t="e" vm="257">
        <v>#VALUE!</v>
      </c>
      <c r="ED255" s="10" cm="1">
        <f t="array" aca="1" ref="ED255" ca="1">_FV(EB255,"Ações em circulação",TRUE)</f>
        <v>128721600</v>
      </c>
      <c r="EE255" s="18">
        <f>VLOOKUP(BO255,Fundamentus!A:U,5,FALSE)</f>
        <v>0.51200000000000001</v>
      </c>
      <c r="EF255" s="2">
        <f t="shared" ca="1" si="238"/>
        <v>2001218625</v>
      </c>
      <c r="EG255" s="17">
        <v>58035340.125</v>
      </c>
      <c r="EH255" s="17">
        <f t="shared" ca="1" si="239"/>
        <v>58035340.125</v>
      </c>
      <c r="EJ255" s="16">
        <f t="shared" ca="1" si="226"/>
        <v>0</v>
      </c>
      <c r="EK255" s="32" t="str">
        <f>IF(VLOOKUP(BO255,Fundamentus!A:U,3,FALSE)&lt;15,"Bom",IF(VLOOKUP(BO255,Fundamentus!A:U,3,FALSE)&gt;15,"Ruim","n/a"))</f>
        <v>Ruim</v>
      </c>
      <c r="EL255" s="28" t="str">
        <f>IF(VLOOKUP(BO255,Fundamentus!A:U,4,FALSE)&lt;1,"Baixo",IF(VLOOKUP(BO255,Fundamentus!A:U,4,FALSE)&lt;1.5,"Moderado",IF(VLOOKUP(BO255,Fundamentus!A:U,4,FALSE)&gt;1.5,"Alto","n/a")))</f>
        <v>Baixo</v>
      </c>
      <c r="EM255" s="17" t="str">
        <f>IF(VLOOKUP(BO255,Fundamentus!A:U,8,FALSE)&lt;0,"Risco elevado",IF(VLOOKUP(BO255,Fundamentus!A:U,8,FALSE)&lt;1,"Saudável",IF(VLOOKUP(BO255,Fundamentus!A:U,8,FALSE)&lt;3,"Estável",IF(VLOOKUP(BO255,Fundamentus!A:U,8,FALSE)&gt;3,"Alerta","n/a"))))</f>
        <v>Alerta</v>
      </c>
      <c r="EN255" s="28" t="str">
        <f t="shared" si="240"/>
        <v>Ruim</v>
      </c>
      <c r="EO255" s="17" t="str">
        <f>IF(VLOOKUP(BO255,Fundamentus!A:U,12,FALSE)&lt;2,"Subvalorizada",IF(VLOOKUP(BO255,Fundamentus!A:U,12,FALSE)&lt;6,"Muita barata",IF(VLOOKUP(BO255,Fundamentus!A:U,12,FALSE)&lt;6,"Barata",IF(VLOOKUP(BO255,Fundamentus!A:U,12,FALSE)&lt;8,"Atrativa",IF(VLOOKUP(BO255,Fundamentus!A:U,12,FALSE)&gt;8,"Supervalorizada","n/a")))))</f>
        <v>Muita barata</v>
      </c>
      <c r="EQ255" s="17" t="str">
        <f>IF(VLOOKUP(BO255,Fundamentus!A:U,17,FALSE)&lt;0.1,"Fraco retorno",IF(VLOOKUP(BO255,Fundamentus!A:U,17,FALSE)&gt;0.1,"Bom retorno","n/a"))</f>
        <v>Fraco retorno</v>
      </c>
      <c r="ER255" s="17" t="str">
        <f>IF(VLOOKUP(BO255,Fundamentus!A:U,16,FALSE)&lt;0.1,"Ineficiente",IF(VLOOKUP(BO255,Fundamentus!A:U,16,FALSE)&gt;0.1,"Eficiente","n/a"))</f>
        <v>Eficiente</v>
      </c>
      <c r="ES255" s="33" t="str">
        <f>IF(VLOOKUP(BO255,Fundamentus!A:U,16,FALSE)&lt;0.1,"Oper. Ineficiente",IF(VLOOKUP(BO255,Fundamentus!A:U,16,FALSE)&gt;0.1,"Oper.Eficiente","n/a"))</f>
        <v>Oper.Eficiente</v>
      </c>
      <c r="ET255" s="34">
        <f>VLOOKUP(BO255,Fundamentus!A:U,14,FALSE)</f>
        <v>2.9000000000000001E-2</v>
      </c>
      <c r="EU255" s="17" t="str">
        <f>IF(VLOOKUP(BO255,Fundamentus!A:U,21,FALSE)&lt;0,"Negativo",IF(VLOOKUP(BO255,Fundamentus!A:U,21,FALSE)&lt;0.05,"Fraco",IF(VLOOKUP(BO255,Fundamentus!A:U,21,FALSE)&lt;0.1,"Bom",IF(VLOOKUP(BO255,Fundamentus!A:U,21,FALSE)&gt;0.1,"Muito bom","n/a"))))</f>
        <v>Muito bom</v>
      </c>
      <c r="EW255" s="29" t="str">
        <f>IF(VLOOKUP(BO255,Fundamentus!A:U,15,FALSE)&gt;1,"Bom",IF(VLOOKUP(BO255,Fundamentus!A:U,15,FALSE)&lt;1,"Ruim","n/a"))</f>
        <v>Bom</v>
      </c>
      <c r="EX255" s="17" t="str">
        <f>IF(VLOOKUP(BO255,Fundamentus!A:U,20,FALSE)&lt;0.5,"Baixa",IF(VLOOKUP(BO255,Fundamentus!A:U,20,FALSE)&lt;1,"Moderada",IF(VLOOKUP(BO255,Fundamentus!A:U,20,FALSE)&lt;2,"Alerta",IF(VLOOKUP(BO255,Fundamentus!A:U,20,FALSE)&gt;2,"Alta","n/a"))))</f>
        <v>Moderada</v>
      </c>
    </row>
    <row r="256" spans="1:154" s="2" customFormat="1" ht="11.25"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5">
        <v>7.15</v>
      </c>
      <c r="BC256" s="52">
        <v>7.08</v>
      </c>
      <c r="BD256" s="52">
        <v>6.92</v>
      </c>
      <c r="BE256" s="52">
        <v>7.02</v>
      </c>
      <c r="BF256" s="52">
        <v>7.06</v>
      </c>
      <c r="BG256" s="67">
        <v>7.02</v>
      </c>
      <c r="BH256" s="52">
        <v>6.79</v>
      </c>
      <c r="BI256" s="52">
        <v>6.8</v>
      </c>
      <c r="BJ256" s="52">
        <v>6.94</v>
      </c>
      <c r="BK256" s="52">
        <v>6.83</v>
      </c>
      <c r="BL256" s="52">
        <v>6.6</v>
      </c>
      <c r="BM256" s="52">
        <v>6.73</v>
      </c>
      <c r="BN256" s="52" cm="1">
        <f t="array" aca="1" ref="BN256" ca="1">_FV(EB256,"Preço")</f>
        <v>6.73</v>
      </c>
      <c r="BO256" s="69" t="s">
        <v>252</v>
      </c>
      <c r="BP256" s="36" cm="1">
        <f t="array" aca="1" ref="BP256" ca="1">_FV(EB256,"Média de volume",TRUE)</f>
        <v>441730</v>
      </c>
      <c r="BQ256" s="36">
        <v>310400</v>
      </c>
      <c r="BR256" s="36" cm="1">
        <f t="array" aca="1" ref="BR256" ca="1">_FV(EB256,"Volume")</f>
        <v>310400</v>
      </c>
      <c r="BS256" s="24" cm="1">
        <f t="array" aca="1" ref="BS256" ca="1">_FV(EB256,"Beta")</f>
        <v>0.34520000000000001</v>
      </c>
      <c r="BT256" s="71" cm="1">
        <f t="array" aca="1" ref="BT256" ca="1">_FV(EB256,"Variação (%)",TRUE)</f>
        <v>-1.4840000000000001E-3</v>
      </c>
      <c r="BV256" s="17" cm="1">
        <f t="array" aca="1" ref="BV256" ca="1">_FV(EB256,"Baixo")</f>
        <v>6.67</v>
      </c>
      <c r="BW256" s="17" cm="1">
        <f t="array" aca="1" ref="BW256" ca="1">_FV(EB256,"Alto")</f>
        <v>6.75</v>
      </c>
      <c r="BX256" s="24"/>
      <c r="BY256" s="63">
        <f ca="1">SQRT(22.5*(BN256/VLOOKUP(BO256,Fundamentus!A:U,3,FALSE))*(BN256/VLOOKUP(BO256,Fundamentus!A:U,4,FALSE)))</f>
        <v>13.635419342955686</v>
      </c>
      <c r="CA256" s="62">
        <f t="shared" ca="1" si="241"/>
        <v>0</v>
      </c>
      <c r="CB256" s="8"/>
      <c r="CC256" s="61">
        <f t="shared" si="242"/>
        <v>6.6</v>
      </c>
      <c r="CD256" s="61">
        <f t="shared" si="243"/>
        <v>8.9</v>
      </c>
      <c r="CE256" s="61">
        <f t="shared" si="244"/>
        <v>7.6486153846153844</v>
      </c>
      <c r="CF256" s="14"/>
      <c r="CG256" s="35">
        <f t="shared" si="227"/>
        <v>6.3092012759202563</v>
      </c>
      <c r="CH256" s="15">
        <f t="shared" si="245"/>
        <v>6.5599999999999454</v>
      </c>
      <c r="CI256" s="35">
        <f t="shared" si="228"/>
        <v>6.8107987240796346</v>
      </c>
      <c r="CK256" s="14"/>
      <c r="CL256" s="17">
        <f t="shared" si="229"/>
        <v>3.5333333333333332</v>
      </c>
      <c r="CM256" s="17">
        <f t="shared" si="230"/>
        <v>5.0666666666666664</v>
      </c>
      <c r="CN256" s="17">
        <f t="shared" si="231"/>
        <v>5.8333333333333339</v>
      </c>
      <c r="CO256" s="38">
        <f t="shared" si="246"/>
        <v>7.3666666666666671</v>
      </c>
      <c r="CP256" s="17">
        <f t="shared" si="232"/>
        <v>8.1333333333333346</v>
      </c>
      <c r="CQ256" s="17">
        <f t="shared" si="233"/>
        <v>9.6666666666666679</v>
      </c>
      <c r="CR256" s="17">
        <f t="shared" si="234"/>
        <v>10.433333333333335</v>
      </c>
      <c r="CS256" s="2" cm="1">
        <f t="array" aca="1" ref="CS256" ca="1">MAX(_xlfn._xlws.FILTER(CL256:CR256,CL256:CR256&lt;BN256))</f>
        <v>5.8333333333333339</v>
      </c>
      <c r="CT256" s="2" cm="1">
        <f t="array" aca="1" ref="CT256" ca="1">MIN(_xlfn._xlws.FILTER($CL256:$CR256,$CL256:$CR256&gt;BN256))</f>
        <v>7.3666666666666671</v>
      </c>
      <c r="CU256" s="16">
        <f t="shared" ref="CU256:CU261" ca="1" si="265">(CT256/CS256)-1</f>
        <v>0.2628571428571429</v>
      </c>
      <c r="CV256" s="20">
        <f t="shared" ref="CV256:CV261" ca="1" si="266">-$CU256/2</f>
        <v>-0.13142857142857145</v>
      </c>
      <c r="CW256" s="20">
        <f t="shared" ref="CW256:CW261" ca="1" si="267">-$CU256/3</f>
        <v>-8.7619047619047638E-2</v>
      </c>
      <c r="CX256" s="20">
        <f t="shared" ref="CX256:CX261" ca="1" si="268">-$CU256/5</f>
        <v>-5.2571428571428581E-2</v>
      </c>
      <c r="CY256" s="20">
        <f t="shared" ref="CY256:CY261" ca="1" si="269">-$CU256/9</f>
        <v>-2.9206349206349212E-2</v>
      </c>
      <c r="CZ256" s="20">
        <f t="shared" ref="CZ256:CZ263" ca="1" si="270">-$CU256/17</f>
        <v>-1.5462184873949583E-2</v>
      </c>
      <c r="DA256" s="20">
        <f t="shared" ref="DA256:DA263" ca="1" si="271">-$CU256/33</f>
        <v>-7.9653679653679671E-3</v>
      </c>
      <c r="DB256" s="20">
        <f t="shared" ref="DB256:DB263" ca="1" si="272">-$CU256/65</f>
        <v>-4.043956043956045E-3</v>
      </c>
      <c r="DC256" s="21">
        <f t="shared" ref="DC256:DC263" ca="1" si="273">-$CU256/65*-1</f>
        <v>4.043956043956045E-3</v>
      </c>
      <c r="DD256" s="21">
        <f t="shared" ref="DD256:DD263" ca="1" si="274">-$CU256/33*-1</f>
        <v>7.9653679653679671E-3</v>
      </c>
      <c r="DE256" s="21">
        <f t="shared" ref="DE256:DE263" ca="1" si="275">-$CU256/17*-1</f>
        <v>1.5462184873949583E-2</v>
      </c>
      <c r="DF256" s="21">
        <f t="shared" ref="DF256:DF261" ca="1" si="276">-$CU256/9*-1</f>
        <v>2.9206349206349212E-2</v>
      </c>
      <c r="DG256" s="21">
        <f t="shared" ref="DG256:DG261" ca="1" si="277">-$CU256/5*-1</f>
        <v>5.2571428571428581E-2</v>
      </c>
      <c r="DH256" s="21">
        <f t="shared" ref="DH256:DH261" ca="1" si="278">-$CU256/3*-1</f>
        <v>8.7619047619047638E-2</v>
      </c>
      <c r="DI256" s="21">
        <f t="shared" ref="DI256:DI261" ca="1" si="279">-$CU256/2*-1</f>
        <v>0.13142857142857145</v>
      </c>
      <c r="DK256" s="16" cm="1">
        <f t="array" aca="1" ref="DK256" ca="1">MAX(_xlfn._xlws.FILTER(CV256:DI256,CV256:DI256&lt;BT256))</f>
        <v>-4.043956043956045E-3</v>
      </c>
      <c r="DL256" s="16" cm="1">
        <f t="array" aca="1" ref="DL256" ca="1">MIN(_xlfn._xlws.FILTER(CV256:DI256,CV256:DI256&gt;BT256))</f>
        <v>4.043956043956045E-3</v>
      </c>
      <c r="DM256" s="2" cm="1">
        <f t="array" aca="1" ref="DM256" ca="1">_FV(EB256,"Fechamento anterior",TRUE)</f>
        <v>6.74</v>
      </c>
      <c r="DN256" s="28">
        <f t="shared" ca="1" si="235"/>
        <v>0.31655592826732226</v>
      </c>
      <c r="DO256" s="15">
        <f t="shared" ref="DO256:DO260" ca="1" si="280">DM256+(DM256*DK256)</f>
        <v>6.7127437362637368</v>
      </c>
      <c r="DP256" s="15">
        <f t="shared" ref="DP256:DP260" ca="1" si="281">DM256+(DM256*DL256)</f>
        <v>6.7672562637362637</v>
      </c>
      <c r="DQ256" s="9"/>
      <c r="DR256" s="9"/>
      <c r="DS256" s="9"/>
      <c r="DT256" s="89">
        <v>8.08791208791209E-3</v>
      </c>
      <c r="DU256" s="89">
        <f t="shared" ca="1" si="236"/>
        <v>8.08791208791209E-3</v>
      </c>
      <c r="DV256" s="72">
        <f t="shared" ca="1" si="237"/>
        <v>0.67783438940478391</v>
      </c>
      <c r="DW256" s="37"/>
      <c r="DX256" s="35">
        <f t="shared" si="247"/>
        <v>0.12539936203984475</v>
      </c>
      <c r="DY256" s="56"/>
      <c r="DZ256" s="56"/>
      <c r="EB256" s="2" t="e" vm="258">
        <v>#VALUE!</v>
      </c>
      <c r="ED256" s="10" cm="1">
        <f t="array" aca="1" ref="ED256" ca="1">_FV(EB256,"Ações em circulação",TRUE)</f>
        <v>353175000</v>
      </c>
      <c r="EE256" s="18">
        <f>VLOOKUP(BO256,Fundamentus!A:U,5,FALSE)</f>
        <v>1.0529999999999999</v>
      </c>
      <c r="EF256" s="2">
        <f t="shared" ca="1" si="238"/>
        <v>2257234330.4843307</v>
      </c>
      <c r="EG256" s="17">
        <v>308112486.11111116</v>
      </c>
      <c r="EH256" s="17">
        <f t="shared" ca="1" si="239"/>
        <v>308112486.11111116</v>
      </c>
      <c r="EJ256" s="16">
        <f t="shared" ca="1" si="226"/>
        <v>0</v>
      </c>
      <c r="EK256" s="32" t="str">
        <f>IF(VLOOKUP(BO256,Fundamentus!A:U,3,FALSE)&lt;15,"Bom",IF(VLOOKUP(BO256,Fundamentus!A:U,3,FALSE)&gt;15,"Ruim","n/a"))</f>
        <v>Bom</v>
      </c>
      <c r="EL256" s="28" t="str">
        <f>IF(VLOOKUP(BO256,Fundamentus!A:U,4,FALSE)&lt;1,"Baixo",IF(VLOOKUP(BO256,Fundamentus!A:U,4,FALSE)&lt;1.5,"Moderado",IF(VLOOKUP(BO256,Fundamentus!A:U,4,FALSE)&gt;1.5,"Alto","n/a")))</f>
        <v>Baixo</v>
      </c>
      <c r="EM256" s="17" t="str">
        <f>IF(VLOOKUP(BO256,Fundamentus!A:U,8,FALSE)&lt;0,"Risco elevado",IF(VLOOKUP(BO256,Fundamentus!A:U,8,FALSE)&lt;1,"Saudável",IF(VLOOKUP(BO256,Fundamentus!A:U,8,FALSE)&lt;3,"Estável",IF(VLOOKUP(BO256,Fundamentus!A:U,8,FALSE)&gt;3,"Alerta","n/a"))))</f>
        <v>Estável</v>
      </c>
      <c r="EN256" s="28" t="str">
        <f t="shared" si="240"/>
        <v>Bom</v>
      </c>
      <c r="EO256" s="17" t="str">
        <f>IF(VLOOKUP(BO256,Fundamentus!A:U,12,FALSE)&lt;2,"Subvalorizada",IF(VLOOKUP(BO256,Fundamentus!A:U,12,FALSE)&lt;6,"Muita barata",IF(VLOOKUP(BO256,Fundamentus!A:U,12,FALSE)&lt;6,"Barata",IF(VLOOKUP(BO256,Fundamentus!A:U,12,FALSE)&lt;8,"Atrativa",IF(VLOOKUP(BO256,Fundamentus!A:U,12,FALSE)&gt;8,"Supervalorizada","n/a")))))</f>
        <v>Muita barata</v>
      </c>
      <c r="EQ256" s="17" t="str">
        <f>IF(VLOOKUP(BO256,Fundamentus!A:U,17,FALSE)&lt;0.1,"Fraco retorno",IF(VLOOKUP(BO256,Fundamentus!A:U,17,FALSE)&gt;0.1,"Bom retorno","n/a"))</f>
        <v>Fraco retorno</v>
      </c>
      <c r="ER256" s="17" t="str">
        <f>IF(VLOOKUP(BO256,Fundamentus!A:U,16,FALSE)&lt;0.1,"Ineficiente",IF(VLOOKUP(BO256,Fundamentus!A:U,16,FALSE)&gt;0.1,"Eficiente","n/a"))</f>
        <v>Ineficiente</v>
      </c>
      <c r="ES256" s="33" t="str">
        <f>IF(VLOOKUP(BO256,Fundamentus!A:U,16,FALSE)&lt;0.1,"Oper. Ineficiente",IF(VLOOKUP(BO256,Fundamentus!A:U,16,FALSE)&gt;0.1,"Oper.Eficiente","n/a"))</f>
        <v>Oper. Ineficiente</v>
      </c>
      <c r="ET256" s="34">
        <f>VLOOKUP(BO256,Fundamentus!A:U,14,FALSE)</f>
        <v>0.13650000000000001</v>
      </c>
      <c r="EU256" s="17" t="str">
        <f>IF(VLOOKUP(BO256,Fundamentus!A:U,21,FALSE)&lt;0,"Negativo",IF(VLOOKUP(BO256,Fundamentus!A:U,21,FALSE)&lt;0.05,"Fraco",IF(VLOOKUP(BO256,Fundamentus!A:U,21,FALSE)&lt;0.1,"Bom",IF(VLOOKUP(BO256,Fundamentus!A:U,21,FALSE)&gt;0.1,"Muito bom","n/a"))))</f>
        <v>Fraco</v>
      </c>
      <c r="EW256" s="29" t="str">
        <f>IF(VLOOKUP(BO256,Fundamentus!A:U,15,FALSE)&gt;1,"Bom",IF(VLOOKUP(BO256,Fundamentus!A:U,15,FALSE)&lt;1,"Ruim","n/a"))</f>
        <v>Bom</v>
      </c>
      <c r="EX256" s="17" t="str">
        <f>IF(VLOOKUP(BO256,Fundamentus!A:U,20,FALSE)&lt;0.5,"Baixa",IF(VLOOKUP(BO256,Fundamentus!A:U,20,FALSE)&lt;1,"Moderada",IF(VLOOKUP(BO256,Fundamentus!A:U,20,FALSE)&lt;2,"Alerta",IF(VLOOKUP(BO256,Fundamentus!A:U,20,FALSE)&gt;2,"Alta","n/a"))))</f>
        <v>Baixa</v>
      </c>
    </row>
    <row r="257" spans="1:154" s="2" customFormat="1" ht="11.25"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5">
        <v>2.75</v>
      </c>
      <c r="BC257" s="52">
        <v>3.02</v>
      </c>
      <c r="BD257" s="52">
        <v>3.08</v>
      </c>
      <c r="BE257" s="52">
        <v>2.88</v>
      </c>
      <c r="BF257" s="52">
        <v>2.71</v>
      </c>
      <c r="BG257" s="67">
        <v>2.5099999999999998</v>
      </c>
      <c r="BH257" s="52">
        <v>2.5299999999999998</v>
      </c>
      <c r="BI257" s="52">
        <v>2.54</v>
      </c>
      <c r="BJ257" s="52">
        <v>2.6</v>
      </c>
      <c r="BK257" s="52">
        <v>2.39</v>
      </c>
      <c r="BL257" s="52">
        <v>2.37</v>
      </c>
      <c r="BM257" s="52">
        <v>2.48</v>
      </c>
      <c r="BN257" s="52" cm="1">
        <f t="array" aca="1" ref="BN257" ca="1">_FV(EB257,"Preço")</f>
        <v>2.48</v>
      </c>
      <c r="BO257" s="69" t="s">
        <v>253</v>
      </c>
      <c r="BP257" s="36" cm="1">
        <f t="array" aca="1" ref="BP257" ca="1">_FV(EB257,"Média de volume",TRUE)</f>
        <v>1445210</v>
      </c>
      <c r="BQ257" s="36">
        <v>970800</v>
      </c>
      <c r="BR257" s="36" cm="1">
        <f t="array" aca="1" ref="BR257" ca="1">_FV(EB257,"Volume")</f>
        <v>970800</v>
      </c>
      <c r="BS257" s="24" cm="1">
        <f t="array" aca="1" ref="BS257" ca="1">_FV(EB257,"Beta")</f>
        <v>1.7990999999999999</v>
      </c>
      <c r="BT257" s="71" cm="1">
        <f t="array" aca="1" ref="BT257" ca="1">_FV(EB257,"Variação (%)",TRUE)</f>
        <v>0</v>
      </c>
      <c r="BV257" s="17" cm="1">
        <f t="array" aca="1" ref="BV257" ca="1">_FV(EB257,"Baixo")</f>
        <v>2.4500000000000002</v>
      </c>
      <c r="BW257" s="17" cm="1">
        <f t="array" aca="1" ref="BW257" ca="1">_FV(EB257,"Alto")</f>
        <v>2.5099999999999998</v>
      </c>
      <c r="BX257" s="24"/>
      <c r="BY257" s="63" t="e">
        <f ca="1">SQRT(22.5*(BN257/VLOOKUP(BO257,Fundamentus!A:U,3,FALSE))*(BN257/VLOOKUP(BO257,Fundamentus!A:U,4,FALSE)))</f>
        <v>#NUM!</v>
      </c>
      <c r="CA257" s="62">
        <f t="shared" ca="1" si="241"/>
        <v>0</v>
      </c>
      <c r="CB257" s="8"/>
      <c r="CC257" s="61">
        <f t="shared" si="242"/>
        <v>2.06</v>
      </c>
      <c r="CD257" s="61">
        <f t="shared" si="243"/>
        <v>5.27</v>
      </c>
      <c r="CE257" s="61">
        <f t="shared" si="244"/>
        <v>3.1182307692307685</v>
      </c>
      <c r="CF257" s="14"/>
      <c r="CG257" s="35">
        <f t="shared" si="227"/>
        <v>2.1833409787541598</v>
      </c>
      <c r="CH257" s="15">
        <f t="shared" si="245"/>
        <v>2.3650000000000091</v>
      </c>
      <c r="CI257" s="35">
        <f t="shared" si="228"/>
        <v>2.5466590212458584</v>
      </c>
      <c r="CK257" s="14"/>
      <c r="CL257" s="17">
        <f t="shared" si="229"/>
        <v>-2.0133333333333332</v>
      </c>
      <c r="CM257" s="17">
        <f t="shared" si="230"/>
        <v>2.3333333333333428E-2</v>
      </c>
      <c r="CN257" s="17">
        <f t="shared" si="231"/>
        <v>1.1966666666666663</v>
      </c>
      <c r="CO257" s="38">
        <f t="shared" si="246"/>
        <v>3.2333333333333329</v>
      </c>
      <c r="CP257" s="17">
        <f t="shared" si="232"/>
        <v>4.4066666666666663</v>
      </c>
      <c r="CQ257" s="17">
        <f t="shared" si="233"/>
        <v>6.4433333333333325</v>
      </c>
      <c r="CR257" s="17">
        <f t="shared" si="234"/>
        <v>7.6166666666666654</v>
      </c>
      <c r="CS257" s="2" cm="1">
        <f t="array" aca="1" ref="CS257" ca="1">MAX(_xlfn._xlws.FILTER(CL257:CR257,CL257:CR257&lt;BN257))</f>
        <v>1.1966666666666663</v>
      </c>
      <c r="CT257" s="2" cm="1">
        <f t="array" aca="1" ref="CT257" ca="1">MIN(_xlfn._xlws.FILTER($CL257:$CR257,$CL257:$CR257&gt;BN257))</f>
        <v>3.2333333333333329</v>
      </c>
      <c r="CU257" s="16">
        <f t="shared" ca="1" si="265"/>
        <v>1.7019498607242345</v>
      </c>
      <c r="CV257" s="20">
        <f t="shared" ca="1" si="266"/>
        <v>-0.85097493036211724</v>
      </c>
      <c r="CW257" s="20">
        <f t="shared" ca="1" si="267"/>
        <v>-0.5673166202414115</v>
      </c>
      <c r="CX257" s="20">
        <f t="shared" ca="1" si="268"/>
        <v>-0.3403899721448469</v>
      </c>
      <c r="CY257" s="20">
        <f t="shared" ca="1" si="269"/>
        <v>-0.18910554008047051</v>
      </c>
      <c r="CZ257" s="20">
        <f t="shared" ca="1" si="270"/>
        <v>-0.10011469768966086</v>
      </c>
      <c r="DA257" s="20">
        <f t="shared" ca="1" si="271"/>
        <v>-5.157423820376468E-2</v>
      </c>
      <c r="DB257" s="20">
        <f t="shared" ca="1" si="272"/>
        <v>-2.6183844011142068E-2</v>
      </c>
      <c r="DC257" s="21">
        <f t="shared" ca="1" si="273"/>
        <v>2.6183844011142068E-2</v>
      </c>
      <c r="DD257" s="21">
        <f t="shared" ca="1" si="274"/>
        <v>5.157423820376468E-2</v>
      </c>
      <c r="DE257" s="21">
        <f t="shared" ca="1" si="275"/>
        <v>0.10011469768966086</v>
      </c>
      <c r="DF257" s="21">
        <f t="shared" ca="1" si="276"/>
        <v>0.18910554008047051</v>
      </c>
      <c r="DG257" s="21">
        <f t="shared" ca="1" si="277"/>
        <v>0.3403899721448469</v>
      </c>
      <c r="DH257" s="21">
        <f t="shared" ca="1" si="278"/>
        <v>0.5673166202414115</v>
      </c>
      <c r="DI257" s="21">
        <f t="shared" ca="1" si="279"/>
        <v>0.85097493036211724</v>
      </c>
      <c r="DK257" s="16" cm="1">
        <f t="array" aca="1" ref="DK257" ca="1">MAX(_xlfn._xlws.FILTER(CV257:DI257,CV257:DI257&lt;BT257))</f>
        <v>-2.6183844011142068E-2</v>
      </c>
      <c r="DL257" s="16" cm="1">
        <f t="array" aca="1" ref="DL257" ca="1">MIN(_xlfn._xlws.FILTER(CV257:DI257,CV257:DI257&gt;BT257))</f>
        <v>2.6183844011142068E-2</v>
      </c>
      <c r="DM257" s="2" cm="1">
        <f t="array" aca="1" ref="DM257" ca="1">_FV(EB257,"Fechamento anterior",TRUE)</f>
        <v>2.48</v>
      </c>
      <c r="DN257" s="28">
        <f t="shared" ca="1" si="235"/>
        <v>0.5</v>
      </c>
      <c r="DO257" s="15">
        <f t="shared" ca="1" si="280"/>
        <v>2.4150640668523677</v>
      </c>
      <c r="DP257" s="15">
        <f t="shared" ca="1" si="281"/>
        <v>2.5449359331476322</v>
      </c>
      <c r="DQ257" s="9"/>
      <c r="DR257" s="9"/>
      <c r="DS257" s="9"/>
      <c r="DT257" s="89">
        <v>5.2367688022284135E-2</v>
      </c>
      <c r="DU257" s="89">
        <f t="shared" ca="1" si="236"/>
        <v>5.2367688022284135E-2</v>
      </c>
      <c r="DV257" s="72">
        <f t="shared" ca="1" si="237"/>
        <v>0.6330541649476078</v>
      </c>
      <c r="DW257" s="37"/>
      <c r="DX257" s="35">
        <f t="shared" si="247"/>
        <v>9.0829510622924728E-2</v>
      </c>
      <c r="DY257" s="56"/>
      <c r="DZ257" s="56"/>
      <c r="EB257" s="2" t="e" vm="259">
        <v>#VALUE!</v>
      </c>
      <c r="ED257" s="10" cm="1">
        <f t="array" aca="1" ref="ED257" ca="1">_FV(EB257,"Ações em circulação",TRUE)</f>
        <v>206917300</v>
      </c>
      <c r="EE257" s="18">
        <f>VLOOKUP(BO257,Fundamentus!A:U,5,FALSE)</f>
        <v>0.17899999999999999</v>
      </c>
      <c r="EF257" s="2">
        <f t="shared" ca="1" si="238"/>
        <v>2866787173.1843576</v>
      </c>
      <c r="EG257" s="17">
        <v>-88583723.651396647</v>
      </c>
      <c r="EH257" s="17">
        <f t="shared" ca="1" si="239"/>
        <v>-88583723.651396647</v>
      </c>
      <c r="EJ257" s="16">
        <f t="shared" ca="1" si="226"/>
        <v>0</v>
      </c>
      <c r="EK257" s="32" t="str">
        <f>IF(VLOOKUP(BO257,Fundamentus!A:U,3,FALSE)&lt;15,"Bom",IF(VLOOKUP(BO257,Fundamentus!A:U,3,FALSE)&gt;15,"Ruim","n/a"))</f>
        <v>Bom</v>
      </c>
      <c r="EL257" s="28" t="str">
        <f>IF(VLOOKUP(BO257,Fundamentus!A:U,4,FALSE)&lt;1,"Baixo",IF(VLOOKUP(BO257,Fundamentus!A:U,4,FALSE)&lt;1.5,"Moderado",IF(VLOOKUP(BO257,Fundamentus!A:U,4,FALSE)&gt;1.5,"Alto","n/a")))</f>
        <v>Baixo</v>
      </c>
      <c r="EM257" s="17" t="str">
        <f>IF(VLOOKUP(BO257,Fundamentus!A:U,8,FALSE)&lt;0,"Risco elevado",IF(VLOOKUP(BO257,Fundamentus!A:U,8,FALSE)&lt;1,"Saudável",IF(VLOOKUP(BO257,Fundamentus!A:U,8,FALSE)&lt;3,"Estável",IF(VLOOKUP(BO257,Fundamentus!A:U,8,FALSE)&gt;3,"Alerta","n/a"))))</f>
        <v>Saudável</v>
      </c>
      <c r="EN257" s="28" t="str">
        <f t="shared" si="240"/>
        <v>Ruim</v>
      </c>
      <c r="EO257" s="17" t="str">
        <f>IF(VLOOKUP(BO257,Fundamentus!A:U,12,FALSE)&lt;2,"Subvalorizada",IF(VLOOKUP(BO257,Fundamentus!A:U,12,FALSE)&lt;6,"Muita barata",IF(VLOOKUP(BO257,Fundamentus!A:U,12,FALSE)&lt;6,"Barata",IF(VLOOKUP(BO257,Fundamentus!A:U,12,FALSE)&lt;8,"Atrativa",IF(VLOOKUP(BO257,Fundamentus!A:U,12,FALSE)&gt;8,"Supervalorizada","n/a")))))</f>
        <v>Muita barata</v>
      </c>
      <c r="EQ257" s="17" t="str">
        <f>IF(VLOOKUP(BO257,Fundamentus!A:U,17,FALSE)&lt;0.1,"Fraco retorno",IF(VLOOKUP(BO257,Fundamentus!A:U,17,FALSE)&gt;0.1,"Bom retorno","n/a"))</f>
        <v>Fraco retorno</v>
      </c>
      <c r="ER257" s="17" t="str">
        <f>IF(VLOOKUP(BO257,Fundamentus!A:U,16,FALSE)&lt;0.1,"Ineficiente",IF(VLOOKUP(BO257,Fundamentus!A:U,16,FALSE)&gt;0.1,"Eficiente","n/a"))</f>
        <v>Ineficiente</v>
      </c>
      <c r="ES257" s="33" t="str">
        <f>IF(VLOOKUP(BO257,Fundamentus!A:U,16,FALSE)&lt;0.1,"Oper. Ineficiente",IF(VLOOKUP(BO257,Fundamentus!A:U,16,FALSE)&gt;0.1,"Oper.Eficiente","n/a"))</f>
        <v>Oper. Ineficiente</v>
      </c>
      <c r="ET257" s="34">
        <f>VLOOKUP(BO257,Fundamentus!A:U,14,FALSE)</f>
        <v>-3.09E-2</v>
      </c>
      <c r="EU257" s="17" t="str">
        <f>IF(VLOOKUP(BO257,Fundamentus!A:U,21,FALSE)&lt;0,"Negativo",IF(VLOOKUP(BO257,Fundamentus!A:U,21,FALSE)&lt;0.05,"Fraco",IF(VLOOKUP(BO257,Fundamentus!A:U,21,FALSE)&lt;0.1,"Bom",IF(VLOOKUP(BO257,Fundamentus!A:U,21,FALSE)&gt;0.1,"Muito bom","n/a"))))</f>
        <v>Muito bom</v>
      </c>
      <c r="EW257" s="29" t="str">
        <f>IF(VLOOKUP(BO257,Fundamentus!A:U,15,FALSE)&gt;1,"Bom",IF(VLOOKUP(BO257,Fundamentus!A:U,15,FALSE)&lt;1,"Ruim","n/a"))</f>
        <v>Bom</v>
      </c>
      <c r="EX257" s="17" t="str">
        <f>IF(VLOOKUP(BO257,Fundamentus!A:U,20,FALSE)&lt;0.5,"Baixa",IF(VLOOKUP(BO257,Fundamentus!A:U,20,FALSE)&lt;1,"Moderada",IF(VLOOKUP(BO257,Fundamentus!A:U,20,FALSE)&lt;2,"Alerta",IF(VLOOKUP(BO257,Fundamentus!A:U,20,FALSE)&gt;2,"Alta","n/a"))))</f>
        <v>Moderada</v>
      </c>
    </row>
    <row r="258" spans="1:154" s="2" customFormat="1" ht="11.25"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5">
        <v>0.94</v>
      </c>
      <c r="BC258" s="52">
        <v>0.91</v>
      </c>
      <c r="BD258" s="52">
        <v>0.92</v>
      </c>
      <c r="BE258" s="52">
        <v>0.91</v>
      </c>
      <c r="BF258" s="52">
        <v>0.89</v>
      </c>
      <c r="BG258" s="67">
        <v>0.88</v>
      </c>
      <c r="BH258" s="52">
        <v>0.88</v>
      </c>
      <c r="BI258" s="52">
        <v>0.87</v>
      </c>
      <c r="BJ258" s="52">
        <v>0.88</v>
      </c>
      <c r="BK258" s="52">
        <v>0.85</v>
      </c>
      <c r="BL258" s="52">
        <v>0.83</v>
      </c>
      <c r="BM258" s="52">
        <v>0.82</v>
      </c>
      <c r="BN258" s="52" cm="1">
        <f t="array" aca="1" ref="BN258" ca="1">_FV(EB258,"Preço")</f>
        <v>0.82</v>
      </c>
      <c r="BO258" s="69" t="s">
        <v>254</v>
      </c>
      <c r="BP258" s="36" cm="1">
        <f t="array" aca="1" ref="BP258" ca="1">_FV(EB258,"Média de volume",TRUE)</f>
        <v>13040</v>
      </c>
      <c r="BQ258" s="36">
        <v>23600</v>
      </c>
      <c r="BR258" s="36" cm="1">
        <f t="array" aca="1" ref="BR258" ca="1">_FV(EB258,"Volume")</f>
        <v>23600</v>
      </c>
      <c r="BS258" s="24" cm="1">
        <f t="array" aca="1" ref="BS258" ca="1">_FV(EB258,"Beta")</f>
        <v>1.6879999999999999</v>
      </c>
      <c r="BT258" s="71" cm="1">
        <f t="array" aca="1" ref="BT258" ca="1">_FV(EB258,"Variação (%)",TRUE)</f>
        <v>-1.2048000000000001E-2</v>
      </c>
      <c r="BV258" s="17" cm="1">
        <f t="array" aca="1" ref="BV258" ca="1">_FV(EB258,"Baixo")</f>
        <v>0.82</v>
      </c>
      <c r="BW258" s="17" cm="1">
        <f t="array" aca="1" ref="BW258" ca="1">_FV(EB258,"Alto")</f>
        <v>0.84</v>
      </c>
      <c r="BX258" s="24"/>
      <c r="BY258" s="63" t="e">
        <f ca="1">SQRT(22.5*(BN258/VLOOKUP(BO258,Fundamentus!A:U,3,FALSE))*(BN258/VLOOKUP(BO258,Fundamentus!A:U,4,FALSE)))</f>
        <v>#NUM!</v>
      </c>
      <c r="CA258" s="62">
        <f t="shared" ca="1" si="241"/>
        <v>0</v>
      </c>
      <c r="CB258" s="8"/>
      <c r="CC258" s="61">
        <f t="shared" si="242"/>
        <v>0.82</v>
      </c>
      <c r="CD258" s="61">
        <f t="shared" si="243"/>
        <v>2.98</v>
      </c>
      <c r="CE258" s="61">
        <f t="shared" si="244"/>
        <v>1.5553846153846145</v>
      </c>
      <c r="CF258" s="14"/>
      <c r="CG258" s="35">
        <f t="shared" si="227"/>
        <v>0.74917424305045743</v>
      </c>
      <c r="CH258" s="15">
        <f t="shared" si="245"/>
        <v>0.79500000000001592</v>
      </c>
      <c r="CI258" s="35">
        <f t="shared" si="228"/>
        <v>0.8408257569495744</v>
      </c>
      <c r="CK258" s="14"/>
      <c r="CL258" s="17">
        <f t="shared" si="229"/>
        <v>-2.0533333333333337</v>
      </c>
      <c r="CM258" s="17">
        <f t="shared" si="230"/>
        <v>-0.61666666666666692</v>
      </c>
      <c r="CN258" s="17">
        <f t="shared" si="231"/>
        <v>0.10666666666666647</v>
      </c>
      <c r="CO258" s="38">
        <f t="shared" si="246"/>
        <v>1.5433333333333332</v>
      </c>
      <c r="CP258" s="17">
        <f t="shared" si="232"/>
        <v>2.2666666666666666</v>
      </c>
      <c r="CQ258" s="17">
        <f t="shared" si="233"/>
        <v>3.7033333333333331</v>
      </c>
      <c r="CR258" s="17">
        <f t="shared" si="234"/>
        <v>4.4266666666666667</v>
      </c>
      <c r="CS258" s="2" cm="1">
        <f t="array" aca="1" ref="CS258" ca="1">MAX(_xlfn._xlws.FILTER(CL258:CR258,CL258:CR258&lt;BN258))</f>
        <v>0.10666666666666647</v>
      </c>
      <c r="CT258" s="2" cm="1">
        <f t="array" aca="1" ref="CT258" ca="1">MIN(_xlfn._xlws.FILTER($CL258:$CR258,$CL258:$CR258&gt;BN258))</f>
        <v>1.5433333333333332</v>
      </c>
      <c r="CU258" s="16">
        <f t="shared" ca="1" si="265"/>
        <v>13.468750000000027</v>
      </c>
      <c r="CV258" s="20">
        <f t="shared" ca="1" si="266"/>
        <v>-6.7343750000000133</v>
      </c>
      <c r="CW258" s="20">
        <f t="shared" ca="1" si="267"/>
        <v>-4.4895833333333419</v>
      </c>
      <c r="CX258" s="20">
        <f t="shared" ca="1" si="268"/>
        <v>-2.6937500000000054</v>
      </c>
      <c r="CY258" s="20">
        <f t="shared" ca="1" si="269"/>
        <v>-1.4965277777777808</v>
      </c>
      <c r="CZ258" s="20">
        <f t="shared" ca="1" si="270"/>
        <v>-0.7922794117647074</v>
      </c>
      <c r="DA258" s="20">
        <f t="shared" ca="1" si="271"/>
        <v>-0.40814393939394022</v>
      </c>
      <c r="DB258" s="20">
        <f t="shared" ca="1" si="272"/>
        <v>-0.20721153846153886</v>
      </c>
      <c r="DC258" s="21">
        <f t="shared" ca="1" si="273"/>
        <v>0.20721153846153886</v>
      </c>
      <c r="DD258" s="21">
        <f t="shared" ca="1" si="274"/>
        <v>0.40814393939394022</v>
      </c>
      <c r="DE258" s="21">
        <f t="shared" ca="1" si="275"/>
        <v>0.7922794117647074</v>
      </c>
      <c r="DF258" s="21">
        <f t="shared" ca="1" si="276"/>
        <v>1.4965277777777808</v>
      </c>
      <c r="DG258" s="21">
        <f t="shared" ca="1" si="277"/>
        <v>2.6937500000000054</v>
      </c>
      <c r="DH258" s="21">
        <f t="shared" ca="1" si="278"/>
        <v>4.4895833333333419</v>
      </c>
      <c r="DI258" s="21">
        <f t="shared" ca="1" si="279"/>
        <v>6.7343750000000133</v>
      </c>
      <c r="DK258" s="16" cm="1">
        <f t="array" aca="1" ref="DK258" ca="1">MAX(_xlfn._xlws.FILTER(CV258:DI258,CV258:DI258&lt;BT258))</f>
        <v>-0.20721153846153886</v>
      </c>
      <c r="DL258" s="16" cm="1">
        <f t="array" aca="1" ref="DL258" ca="1">MIN(_xlfn._xlws.FILTER(CV258:DI258,CV258:DI258&gt;BT258))</f>
        <v>0.20721153846153886</v>
      </c>
      <c r="DM258" s="2" cm="1">
        <f t="array" aca="1" ref="DM258" ca="1">_FV(EB258,"Fechamento anterior",TRUE)</f>
        <v>0.83</v>
      </c>
      <c r="DN258" s="28">
        <f t="shared" ca="1" si="235"/>
        <v>0.47092779470550417</v>
      </c>
      <c r="DO258" s="15">
        <f t="shared" ca="1" si="280"/>
        <v>0.65801442307692271</v>
      </c>
      <c r="DP258" s="15">
        <f t="shared" ca="1" si="281"/>
        <v>1.0019855769230772</v>
      </c>
      <c r="DQ258" s="9"/>
      <c r="DR258" s="9"/>
      <c r="DS258" s="9"/>
      <c r="DT258" s="89">
        <v>0.41442307692307773</v>
      </c>
      <c r="DU258" s="89">
        <f t="shared" ca="1" si="236"/>
        <v>0.41442307692307773</v>
      </c>
      <c r="DV258" s="72">
        <f t="shared" ca="1" si="237"/>
        <v>0.54554472558963163</v>
      </c>
      <c r="DW258" s="37"/>
      <c r="DX258" s="35">
        <f t="shared" si="247"/>
        <v>2.2912878474779221E-2</v>
      </c>
      <c r="DY258" s="56"/>
      <c r="DZ258" s="56"/>
      <c r="EB258" s="2" t="e" vm="260">
        <v>#VALUE!</v>
      </c>
      <c r="ED258" s="10" cm="1">
        <f t="array" aca="1" ref="ED258" ca="1">_FV(EB258,"Ações em circulação",TRUE)</f>
        <v>38366080</v>
      </c>
      <c r="EE258" s="18">
        <f>VLOOKUP(BO258,Fundamentus!A:U,5,FALSE)</f>
        <v>0.28199999999999997</v>
      </c>
      <c r="EF258" s="2">
        <f t="shared" ca="1" si="238"/>
        <v>111560941.84397164</v>
      </c>
      <c r="EG258" s="17">
        <v>-42783621.197163127</v>
      </c>
      <c r="EH258" s="17">
        <f t="shared" ca="1" si="239"/>
        <v>-42783621.197163127</v>
      </c>
      <c r="EJ258" s="16">
        <f t="shared" ca="1" si="226"/>
        <v>0</v>
      </c>
      <c r="EK258" s="32" t="str">
        <f>IF(VLOOKUP(BO258,Fundamentus!A:U,3,FALSE)&lt;15,"Bom",IF(VLOOKUP(BO258,Fundamentus!A:U,3,FALSE)&gt;15,"Ruim","n/a"))</f>
        <v>Bom</v>
      </c>
      <c r="EL258" s="28" t="str">
        <f>IF(VLOOKUP(BO258,Fundamentus!A:U,4,FALSE)&lt;1,"Baixo",IF(VLOOKUP(BO258,Fundamentus!A:U,4,FALSE)&lt;1.5,"Moderado",IF(VLOOKUP(BO258,Fundamentus!A:U,4,FALSE)&gt;1.5,"Alto","n/a")))</f>
        <v>Baixo</v>
      </c>
      <c r="EM258" s="17" t="str">
        <f>IF(VLOOKUP(BO258,Fundamentus!A:U,8,FALSE)&lt;0,"Risco elevado",IF(VLOOKUP(BO258,Fundamentus!A:U,8,FALSE)&lt;1,"Saudável",IF(VLOOKUP(BO258,Fundamentus!A:U,8,FALSE)&lt;3,"Estável",IF(VLOOKUP(BO258,Fundamentus!A:U,8,FALSE)&gt;3,"Alerta","n/a"))))</f>
        <v>Saudável</v>
      </c>
      <c r="EN258" s="28" t="str">
        <f t="shared" si="240"/>
        <v>Ruim</v>
      </c>
      <c r="EO258" s="17" t="str">
        <f>IF(VLOOKUP(BO258,Fundamentus!A:U,12,FALSE)&lt;2,"Subvalorizada",IF(VLOOKUP(BO258,Fundamentus!A:U,12,FALSE)&lt;6,"Muita barata",IF(VLOOKUP(BO258,Fundamentus!A:U,12,FALSE)&lt;6,"Barata",IF(VLOOKUP(BO258,Fundamentus!A:U,12,FALSE)&lt;8,"Atrativa",IF(VLOOKUP(BO258,Fundamentus!A:U,12,FALSE)&gt;8,"Supervalorizada","n/a")))))</f>
        <v>Supervalorizada</v>
      </c>
      <c r="EQ258" s="17" t="str">
        <f>IF(VLOOKUP(BO258,Fundamentus!A:U,17,FALSE)&lt;0.1,"Fraco retorno",IF(VLOOKUP(BO258,Fundamentus!A:U,17,FALSE)&gt;0.1,"Bom retorno","n/a"))</f>
        <v>Fraco retorno</v>
      </c>
      <c r="ER258" s="17" t="str">
        <f>IF(VLOOKUP(BO258,Fundamentus!A:U,16,FALSE)&lt;0.1,"Ineficiente",IF(VLOOKUP(BO258,Fundamentus!A:U,16,FALSE)&gt;0.1,"Eficiente","n/a"))</f>
        <v>Ineficiente</v>
      </c>
      <c r="ES258" s="33" t="str">
        <f>IF(VLOOKUP(BO258,Fundamentus!A:U,16,FALSE)&lt;0.1,"Oper. Ineficiente",IF(VLOOKUP(BO258,Fundamentus!A:U,16,FALSE)&gt;0.1,"Oper.Eficiente","n/a"))</f>
        <v>Oper. Ineficiente</v>
      </c>
      <c r="ET258" s="34">
        <f>VLOOKUP(BO258,Fundamentus!A:U,14,FALSE)</f>
        <v>-0.38350000000000001</v>
      </c>
      <c r="EU258" s="17" t="str">
        <f>IF(VLOOKUP(BO258,Fundamentus!A:U,21,FALSE)&lt;0,"Negativo",IF(VLOOKUP(BO258,Fundamentus!A:U,21,FALSE)&lt;0.05,"Fraco",IF(VLOOKUP(BO258,Fundamentus!A:U,21,FALSE)&lt;0.1,"Bom",IF(VLOOKUP(BO258,Fundamentus!A:U,21,FALSE)&gt;0.1,"Muito bom","n/a"))))</f>
        <v>Muito bom</v>
      </c>
      <c r="EW258" s="29" t="str">
        <f>IF(VLOOKUP(BO258,Fundamentus!A:U,15,FALSE)&gt;1,"Bom",IF(VLOOKUP(BO258,Fundamentus!A:U,15,FALSE)&lt;1,"Ruim","n/a"))</f>
        <v>Bom</v>
      </c>
      <c r="EX258" s="17" t="str">
        <f>IF(VLOOKUP(BO258,Fundamentus!A:U,20,FALSE)&lt;0.5,"Baixa",IF(VLOOKUP(BO258,Fundamentus!A:U,20,FALSE)&lt;1,"Moderada",IF(VLOOKUP(BO258,Fundamentus!A:U,20,FALSE)&lt;2,"Alerta",IF(VLOOKUP(BO258,Fundamentus!A:U,20,FALSE)&gt;2,"Alta","n/a"))))</f>
        <v>Baixa</v>
      </c>
    </row>
    <row r="259" spans="1:154" s="2" customFormat="1" ht="11.25"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5">
        <v>1.76</v>
      </c>
      <c r="BC259" s="52">
        <v>1.86</v>
      </c>
      <c r="BD259" s="52">
        <v>1.7</v>
      </c>
      <c r="BE259" s="52">
        <v>1.59</v>
      </c>
      <c r="BF259" s="52">
        <v>1.53</v>
      </c>
      <c r="BG259" s="67">
        <v>1.5</v>
      </c>
      <c r="BH259" s="52">
        <v>1.33</v>
      </c>
      <c r="BI259" s="52">
        <v>1.29</v>
      </c>
      <c r="BJ259" s="52">
        <v>1.37</v>
      </c>
      <c r="BK259" s="52">
        <v>1.31</v>
      </c>
      <c r="BL259" s="52">
        <v>1.24</v>
      </c>
      <c r="BM259" s="52">
        <v>1.24</v>
      </c>
      <c r="BN259" s="52" cm="1">
        <f t="array" aca="1" ref="BN259" ca="1">_FV(EB259,"Preço")</f>
        <v>1.24</v>
      </c>
      <c r="BO259" s="69" t="s">
        <v>255</v>
      </c>
      <c r="BP259" s="36" cm="1">
        <f t="array" aca="1" ref="BP259" ca="1">_FV(EB259,"Média de volume",TRUE)</f>
        <v>580730</v>
      </c>
      <c r="BQ259" s="36">
        <v>436900</v>
      </c>
      <c r="BR259" s="36" cm="1">
        <f t="array" aca="1" ref="BR259" ca="1">_FV(EB259,"Volume")</f>
        <v>436900</v>
      </c>
      <c r="BS259" s="24" cm="1">
        <f t="array" aca="1" ref="BS259" ca="1">_FV(EB259,"Beta")</f>
        <v>1.0165</v>
      </c>
      <c r="BT259" s="71" cm="1">
        <f t="array" aca="1" ref="BT259" ca="1">_FV(EB259,"Variação (%)",TRUE)</f>
        <v>0</v>
      </c>
      <c r="BV259" s="17" cm="1">
        <f t="array" aca="1" ref="BV259" ca="1">_FV(EB259,"Baixo")</f>
        <v>1.22</v>
      </c>
      <c r="BW259" s="17" cm="1">
        <f t="array" aca="1" ref="BW259" ca="1">_FV(EB259,"Alto")</f>
        <v>1.26</v>
      </c>
      <c r="BX259" s="24"/>
      <c r="BY259" s="63" t="e">
        <f ca="1">SQRT(22.5*(BN259/VLOOKUP(BO259,Fundamentus!A:U,3,FALSE))*(BN259/VLOOKUP(BO259,Fundamentus!A:U,4,FALSE)))</f>
        <v>#NUM!</v>
      </c>
      <c r="CA259" s="62">
        <f t="shared" ca="1" si="241"/>
        <v>0</v>
      </c>
      <c r="CB259" s="8"/>
      <c r="CC259" s="61">
        <f t="shared" si="242"/>
        <v>1.24</v>
      </c>
      <c r="CD259" s="61">
        <f t="shared" si="243"/>
        <v>4.6900000000000004</v>
      </c>
      <c r="CE259" s="61">
        <f t="shared" si="244"/>
        <v>2.3895384615384625</v>
      </c>
      <c r="CF259" s="14"/>
      <c r="CG259" s="35">
        <f t="shared" si="227"/>
        <v>1.0663721950880092</v>
      </c>
      <c r="CH259" s="15">
        <f t="shared" si="245"/>
        <v>1.1750000000000114</v>
      </c>
      <c r="CI259" s="35">
        <f t="shared" si="228"/>
        <v>1.2836278049120136</v>
      </c>
      <c r="CK259" s="14"/>
      <c r="CL259" s="17">
        <f t="shared" si="229"/>
        <v>-3.3600000000000003</v>
      </c>
      <c r="CM259" s="17">
        <f t="shared" si="230"/>
        <v>-1.06</v>
      </c>
      <c r="CN259" s="17">
        <f t="shared" si="231"/>
        <v>8.9999999999999858E-2</v>
      </c>
      <c r="CO259" s="38">
        <f t="shared" si="246"/>
        <v>2.39</v>
      </c>
      <c r="CP259" s="17">
        <f t="shared" si="232"/>
        <v>3.54</v>
      </c>
      <c r="CQ259" s="17">
        <f t="shared" si="233"/>
        <v>5.84</v>
      </c>
      <c r="CR259" s="17">
        <f t="shared" si="234"/>
        <v>6.99</v>
      </c>
      <c r="CS259" s="2" cm="1">
        <f t="array" aca="1" ref="CS259" ca="1">MAX(_xlfn._xlws.FILTER(CL259:CR259,CL259:CR259&lt;BN259))</f>
        <v>8.9999999999999858E-2</v>
      </c>
      <c r="CT259" s="2" cm="1">
        <f t="array" aca="1" ref="CT259" ca="1">MIN(_xlfn._xlws.FILTER($CL259:$CR259,$CL259:$CR259&gt;BN259))</f>
        <v>2.39</v>
      </c>
      <c r="CU259" s="16">
        <f t="shared" ca="1" si="265"/>
        <v>25.5555555555556</v>
      </c>
      <c r="CV259" s="20">
        <f t="shared" ca="1" si="266"/>
        <v>-12.7777777777778</v>
      </c>
      <c r="CW259" s="20">
        <f t="shared" ca="1" si="267"/>
        <v>-8.5185185185185333</v>
      </c>
      <c r="CX259" s="20">
        <f t="shared" ca="1" si="268"/>
        <v>-5.1111111111111196</v>
      </c>
      <c r="CY259" s="20">
        <f t="shared" ca="1" si="269"/>
        <v>-2.8395061728395112</v>
      </c>
      <c r="CZ259" s="20">
        <f t="shared" ca="1" si="270"/>
        <v>-1.5032679738562118</v>
      </c>
      <c r="DA259" s="20">
        <f t="shared" ca="1" si="271"/>
        <v>-0.77441077441077577</v>
      </c>
      <c r="DB259" s="20">
        <f t="shared" ca="1" si="272"/>
        <v>-0.39316239316239382</v>
      </c>
      <c r="DC259" s="21">
        <f t="shared" ca="1" si="273"/>
        <v>0.39316239316239382</v>
      </c>
      <c r="DD259" s="21">
        <f t="shared" ca="1" si="274"/>
        <v>0.77441077441077577</v>
      </c>
      <c r="DE259" s="21">
        <f t="shared" ca="1" si="275"/>
        <v>1.5032679738562118</v>
      </c>
      <c r="DF259" s="21">
        <f t="shared" ca="1" si="276"/>
        <v>2.8395061728395112</v>
      </c>
      <c r="DG259" s="21">
        <f t="shared" ca="1" si="277"/>
        <v>5.1111111111111196</v>
      </c>
      <c r="DH259" s="21">
        <f t="shared" ca="1" si="278"/>
        <v>8.5185185185185333</v>
      </c>
      <c r="DI259" s="21">
        <f t="shared" ca="1" si="279"/>
        <v>12.7777777777778</v>
      </c>
      <c r="DK259" s="16" cm="1">
        <f t="array" aca="1" ref="DK259" ca="1">MAX(_xlfn._xlws.FILTER(CV259:DI259,CV259:DI259&lt;BT259))</f>
        <v>-0.39316239316239382</v>
      </c>
      <c r="DL259" s="16" cm="1">
        <f t="array" aca="1" ref="DL259" ca="1">MIN(_xlfn._xlws.FILTER(CV259:DI259,CV259:DI259&gt;BT259))</f>
        <v>0.39316239316239382</v>
      </c>
      <c r="DM259" s="2" cm="1">
        <f t="array" aca="1" ref="DM259" ca="1">_FV(EB259,"Fechamento anterior",TRUE)</f>
        <v>1.24</v>
      </c>
      <c r="DN259" s="28">
        <f t="shared" ca="1" si="235"/>
        <v>0.5</v>
      </c>
      <c r="DO259" s="15">
        <f t="shared" ca="1" si="280"/>
        <v>0.75247863247863167</v>
      </c>
      <c r="DP259" s="15">
        <f t="shared" ca="1" si="281"/>
        <v>1.7275213675213683</v>
      </c>
      <c r="DQ259" s="9"/>
      <c r="DR259" s="9"/>
      <c r="DS259" s="9"/>
      <c r="DT259" s="89">
        <v>0.78632478632478764</v>
      </c>
      <c r="DU259" s="89">
        <f t="shared" ca="1" si="236"/>
        <v>0.78632478632478764</v>
      </c>
      <c r="DV259" s="72">
        <f t="shared" ca="1" si="237"/>
        <v>0.59837350163380532</v>
      </c>
      <c r="DW259" s="37"/>
      <c r="DX259" s="35">
        <f t="shared" si="247"/>
        <v>5.4313902456001123E-2</v>
      </c>
      <c r="DY259" s="56"/>
      <c r="DZ259" s="56"/>
      <c r="EB259" s="2" t="e" vm="261">
        <v>#VALUE!</v>
      </c>
      <c r="ED259" s="10" cm="1">
        <f t="array" aca="1" ref="ED259" ca="1">_FV(EB259,"Ações em circulação",TRUE)</f>
        <v>1255007000</v>
      </c>
      <c r="EE259" s="18">
        <f>VLOOKUP(BO259,Fundamentus!A:U,5,FALSE)</f>
        <v>9.9000000000000005E-2</v>
      </c>
      <c r="EF259" s="2">
        <f t="shared" ca="1" si="238"/>
        <v>15719279595.959595</v>
      </c>
      <c r="EG259" s="17">
        <v>-1153795122.3434343</v>
      </c>
      <c r="EH259" s="17">
        <f t="shared" ca="1" si="239"/>
        <v>-1153795122.3434343</v>
      </c>
      <c r="EJ259" s="16">
        <f t="shared" ref="EJ259:EJ271" ca="1" si="282">(EH259/EG259)-1</f>
        <v>0</v>
      </c>
      <c r="EK259" s="32" t="str">
        <f>IF(VLOOKUP(BO259,Fundamentus!A:U,3,FALSE)&lt;15,"Bom",IF(VLOOKUP(BO259,Fundamentus!A:U,3,FALSE)&gt;15,"Ruim","n/a"))</f>
        <v>Bom</v>
      </c>
      <c r="EL259" s="28" t="str">
        <f>IF(VLOOKUP(BO259,Fundamentus!A:U,4,FALSE)&lt;1,"Baixo",IF(VLOOKUP(BO259,Fundamentus!A:U,4,FALSE)&lt;1.5,"Moderado",IF(VLOOKUP(BO259,Fundamentus!A:U,4,FALSE)&gt;1.5,"Alto","n/a")))</f>
        <v>Baixo</v>
      </c>
      <c r="EM259" s="17" t="str">
        <f>IF(VLOOKUP(BO259,Fundamentus!A:U,8,FALSE)&lt;0,"Risco elevado",IF(VLOOKUP(BO259,Fundamentus!A:U,8,FALSE)&lt;1,"Saudável",IF(VLOOKUP(BO259,Fundamentus!A:U,8,FALSE)&lt;3,"Estável",IF(VLOOKUP(BO259,Fundamentus!A:U,8,FALSE)&gt;3,"Alerta","n/a"))))</f>
        <v>Saudável</v>
      </c>
      <c r="EN259" s="28" t="str">
        <f t="shared" si="240"/>
        <v>Ruim</v>
      </c>
      <c r="EO259" s="17" t="str">
        <f>IF(VLOOKUP(BO259,Fundamentus!A:U,12,FALSE)&lt;2,"Subvalorizada",IF(VLOOKUP(BO259,Fundamentus!A:U,12,FALSE)&lt;6,"Muita barata",IF(VLOOKUP(BO259,Fundamentus!A:U,12,FALSE)&lt;6,"Barata",IF(VLOOKUP(BO259,Fundamentus!A:U,12,FALSE)&lt;8,"Atrativa",IF(VLOOKUP(BO259,Fundamentus!A:U,12,FALSE)&gt;8,"Supervalorizada","n/a")))))</f>
        <v>Muita barata</v>
      </c>
      <c r="EQ259" s="17" t="str">
        <f>IF(VLOOKUP(BO259,Fundamentus!A:U,17,FALSE)&lt;0.1,"Fraco retorno",IF(VLOOKUP(BO259,Fundamentus!A:U,17,FALSE)&gt;0.1,"Bom retorno","n/a"))</f>
        <v>Fraco retorno</v>
      </c>
      <c r="ER259" s="17" t="str">
        <f>IF(VLOOKUP(BO259,Fundamentus!A:U,16,FALSE)&lt;0.1,"Ineficiente",IF(VLOOKUP(BO259,Fundamentus!A:U,16,FALSE)&gt;0.1,"Eficiente","n/a"))</f>
        <v>Ineficiente</v>
      </c>
      <c r="ES259" s="33" t="str">
        <f>IF(VLOOKUP(BO259,Fundamentus!A:U,16,FALSE)&lt;0.1,"Oper. Ineficiente",IF(VLOOKUP(BO259,Fundamentus!A:U,16,FALSE)&gt;0.1,"Oper.Eficiente","n/a"))</f>
        <v>Oper. Ineficiente</v>
      </c>
      <c r="ET259" s="34">
        <f>VLOOKUP(BO259,Fundamentus!A:U,14,FALSE)</f>
        <v>-7.3400000000000007E-2</v>
      </c>
      <c r="EU259" s="17" t="str">
        <f>IF(VLOOKUP(BO259,Fundamentus!A:U,21,FALSE)&lt;0,"Negativo",IF(VLOOKUP(BO259,Fundamentus!A:U,21,FALSE)&lt;0.05,"Fraco",IF(VLOOKUP(BO259,Fundamentus!A:U,21,FALSE)&lt;0.1,"Bom",IF(VLOOKUP(BO259,Fundamentus!A:U,21,FALSE)&gt;0.1,"Muito bom","n/a"))))</f>
        <v>Muito bom</v>
      </c>
      <c r="EW259" s="29" t="str">
        <f>IF(VLOOKUP(BO259,Fundamentus!A:U,15,FALSE)&gt;1,"Bom",IF(VLOOKUP(BO259,Fundamentus!A:U,15,FALSE)&lt;1,"Ruim","n/a"))</f>
        <v>Bom</v>
      </c>
      <c r="EX259" s="17" t="str">
        <f>IF(VLOOKUP(BO259,Fundamentus!A:U,20,FALSE)&lt;0.5,"Baixa",IF(VLOOKUP(BO259,Fundamentus!A:U,20,FALSE)&lt;1,"Moderada",IF(VLOOKUP(BO259,Fundamentus!A:U,20,FALSE)&lt;2,"Alerta",IF(VLOOKUP(BO259,Fundamentus!A:U,20,FALSE)&gt;2,"Alta","n/a"))))</f>
        <v>Alerta</v>
      </c>
    </row>
    <row r="260" spans="1:154" s="2" customFormat="1" ht="11.25"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5">
        <v>2.17</v>
      </c>
      <c r="BC260" s="52">
        <v>1.97</v>
      </c>
      <c r="BD260" s="52">
        <v>1.92</v>
      </c>
      <c r="BE260" s="52">
        <v>1.86</v>
      </c>
      <c r="BF260" s="52">
        <v>1.97</v>
      </c>
      <c r="BG260" s="67">
        <v>2.14</v>
      </c>
      <c r="BH260" s="52">
        <v>2.09</v>
      </c>
      <c r="BI260" s="52">
        <v>2.04</v>
      </c>
      <c r="BJ260" s="52">
        <v>2.06</v>
      </c>
      <c r="BK260" s="52">
        <v>2.06</v>
      </c>
      <c r="BL260" s="52">
        <v>2.06</v>
      </c>
      <c r="BM260" s="52">
        <v>1.99</v>
      </c>
      <c r="BN260" s="52" cm="1">
        <f t="array" aca="1" ref="BN260" ca="1">_FV(EB260,"Preço")</f>
        <v>1.99</v>
      </c>
      <c r="BO260" s="69" t="s">
        <v>256</v>
      </c>
      <c r="BP260" s="36" cm="1">
        <f t="array" aca="1" ref="BP260" ca="1">_FV(EB260,"Média de volume",TRUE)</f>
        <v>6670</v>
      </c>
      <c r="BQ260" s="36">
        <v>2900</v>
      </c>
      <c r="BR260" s="36" cm="1">
        <f t="array" aca="1" ref="BR260" ca="1">_FV(EB260,"Volume")</f>
        <v>2900</v>
      </c>
      <c r="BS260" s="24" cm="1">
        <f t="array" aca="1" ref="BS260" ca="1">_FV(EB260,"Beta")</f>
        <v>0.76590000000000003</v>
      </c>
      <c r="BT260" s="71" cm="1">
        <f t="array" aca="1" ref="BT260" ca="1">_FV(EB260,"Variação (%)",TRUE)</f>
        <v>0</v>
      </c>
      <c r="BV260" s="17" cm="1">
        <f t="array" aca="1" ref="BV260" ca="1">_FV(EB260,"Baixo")</f>
        <v>1.92</v>
      </c>
      <c r="BW260" s="17" cm="1">
        <f t="array" aca="1" ref="BW260" ca="1">_FV(EB260,"Alto")</f>
        <v>2.02</v>
      </c>
      <c r="BX260" s="24"/>
      <c r="BY260" s="63" t="e">
        <f ca="1">SQRT(22.5*(BN260/VLOOKUP(BO260,Fundamentus!A:U,3,FALSE))*(BN260/VLOOKUP(BO260,Fundamentus!A:U,4,FALSE)))</f>
        <v>#NUM!</v>
      </c>
      <c r="CA260" s="62">
        <f t="shared" ca="1" si="241"/>
        <v>0</v>
      </c>
      <c r="CB260" s="8"/>
      <c r="CC260" s="61">
        <f t="shared" si="242"/>
        <v>1.86</v>
      </c>
      <c r="CD260" s="61">
        <f t="shared" si="243"/>
        <v>5.86</v>
      </c>
      <c r="CE260" s="61">
        <f t="shared" si="244"/>
        <v>3.2746923076923071</v>
      </c>
      <c r="CF260" s="14"/>
      <c r="CG260" s="35">
        <f t="shared" si="227"/>
        <v>1.9293782217350699</v>
      </c>
      <c r="CH260" s="15">
        <f t="shared" si="245"/>
        <v>1.9899999999999807</v>
      </c>
      <c r="CI260" s="35">
        <f t="shared" si="228"/>
        <v>2.0506217782648912</v>
      </c>
      <c r="CK260" s="14"/>
      <c r="CL260" s="17">
        <f t="shared" si="229"/>
        <v>-3.34</v>
      </c>
      <c r="CM260" s="17">
        <f t="shared" si="230"/>
        <v>-0.73999999999999977</v>
      </c>
      <c r="CN260" s="17">
        <f t="shared" si="231"/>
        <v>0.66000000000000014</v>
      </c>
      <c r="CO260" s="38">
        <f t="shared" si="246"/>
        <v>3.2600000000000002</v>
      </c>
      <c r="CP260" s="17">
        <f t="shared" si="232"/>
        <v>4.66</v>
      </c>
      <c r="CQ260" s="17">
        <f t="shared" si="233"/>
        <v>7.26</v>
      </c>
      <c r="CR260" s="17">
        <f t="shared" si="234"/>
        <v>8.66</v>
      </c>
      <c r="CS260" s="2" cm="1">
        <f t="array" aca="1" ref="CS260" ca="1">MAX(_xlfn._xlws.FILTER(CL260:CR260,CL260:CR260&lt;BN260))</f>
        <v>0.66000000000000014</v>
      </c>
      <c r="CT260" s="2" cm="1">
        <f t="array" aca="1" ref="CT260" ca="1">MIN(_xlfn._xlws.FILTER($CL260:$CR260,$CL260:$CR260&gt;BN260))</f>
        <v>3.2600000000000002</v>
      </c>
      <c r="CU260" s="16">
        <f t="shared" ca="1" si="265"/>
        <v>3.9393939393939386</v>
      </c>
      <c r="CV260" s="20">
        <f t="shared" ca="1" si="266"/>
        <v>-1.9696969696969693</v>
      </c>
      <c r="CW260" s="20">
        <f t="shared" ca="1" si="267"/>
        <v>-1.3131313131313129</v>
      </c>
      <c r="CX260" s="20">
        <f t="shared" ca="1" si="268"/>
        <v>-0.78787878787878773</v>
      </c>
      <c r="CY260" s="20">
        <f t="shared" ca="1" si="269"/>
        <v>-0.43771043771043761</v>
      </c>
      <c r="CZ260" s="20">
        <f t="shared" ca="1" si="270"/>
        <v>-0.23172905525846699</v>
      </c>
      <c r="DA260" s="20">
        <f t="shared" ca="1" si="271"/>
        <v>-0.11937557392102845</v>
      </c>
      <c r="DB260" s="20">
        <f t="shared" ca="1" si="272"/>
        <v>-6.0606060606060594E-2</v>
      </c>
      <c r="DC260" s="21">
        <f t="shared" ca="1" si="273"/>
        <v>6.0606060606060594E-2</v>
      </c>
      <c r="DD260" s="21">
        <f t="shared" ca="1" si="274"/>
        <v>0.11937557392102845</v>
      </c>
      <c r="DE260" s="21">
        <f t="shared" ca="1" si="275"/>
        <v>0.23172905525846699</v>
      </c>
      <c r="DF260" s="21">
        <f t="shared" ca="1" si="276"/>
        <v>0.43771043771043761</v>
      </c>
      <c r="DG260" s="21">
        <f t="shared" ca="1" si="277"/>
        <v>0.78787878787878773</v>
      </c>
      <c r="DH260" s="21">
        <f t="shared" ca="1" si="278"/>
        <v>1.3131313131313129</v>
      </c>
      <c r="DI260" s="21">
        <f t="shared" ca="1" si="279"/>
        <v>1.9696969696969693</v>
      </c>
      <c r="DK260" s="16" cm="1">
        <f t="array" aca="1" ref="DK260" ca="1">MAX(_xlfn._xlws.FILTER(CV260:DI260,CV260:DI260&lt;BT260))</f>
        <v>-6.0606060606060594E-2</v>
      </c>
      <c r="DL260" s="16" cm="1">
        <f t="array" aca="1" ref="DL260" ca="1">MIN(_xlfn._xlws.FILTER(CV260:DI260,CV260:DI260&gt;BT260))</f>
        <v>6.0606060606060594E-2</v>
      </c>
      <c r="DM260" s="2" cm="1">
        <f t="array" aca="1" ref="DM260" ca="1">_FV(EB260,"Fechamento anterior",TRUE)</f>
        <v>1.99</v>
      </c>
      <c r="DN260" s="28">
        <f t="shared" ca="1" si="235"/>
        <v>0.50000000000000044</v>
      </c>
      <c r="DO260" s="15">
        <f t="shared" ca="1" si="280"/>
        <v>1.8693939393939394</v>
      </c>
      <c r="DP260" s="15">
        <f t="shared" ca="1" si="281"/>
        <v>2.1106060606060604</v>
      </c>
      <c r="DQ260" s="9"/>
      <c r="DR260" s="9"/>
      <c r="DS260" s="9"/>
      <c r="DT260" s="89">
        <v>0.12121212121212119</v>
      </c>
      <c r="DU260" s="89">
        <f t="shared" ca="1" si="236"/>
        <v>0.12121212121212119</v>
      </c>
      <c r="DV260" s="72">
        <f t="shared" ca="1" si="237"/>
        <v>3.1866238802927593E-13</v>
      </c>
      <c r="DW260" s="37"/>
      <c r="DX260" s="35">
        <f t="shared" si="247"/>
        <v>3.0310889132455381E-2</v>
      </c>
      <c r="DY260" s="56"/>
      <c r="DZ260" s="56"/>
      <c r="EB260" s="2" t="e" vm="262">
        <v>#VALUE!</v>
      </c>
      <c r="ED260" s="10" cm="1">
        <f t="array" aca="1" ref="ED260" ca="1">_FV(EB260,"Ações em circulação",TRUE)</f>
        <v>20272200</v>
      </c>
      <c r="EE260" s="18">
        <f>VLOOKUP(BO260,Fundamentus!A:U,5,FALSE)</f>
        <v>0.47099999999999997</v>
      </c>
      <c r="EF260" s="2">
        <f t="shared" ca="1" si="238"/>
        <v>85651121.019108281</v>
      </c>
      <c r="EG260" s="17">
        <v>281338237.21146494</v>
      </c>
      <c r="EH260" s="17">
        <f t="shared" ca="1" si="239"/>
        <v>281338237.21146494</v>
      </c>
      <c r="EJ260" s="16">
        <f t="shared" ca="1" si="282"/>
        <v>0</v>
      </c>
      <c r="EK260" s="32" t="str">
        <f>IF(VLOOKUP(BO260,Fundamentus!A:U,3,FALSE)&lt;15,"Bom",IF(VLOOKUP(BO260,Fundamentus!A:U,3,FALSE)&gt;15,"Ruim","n/a"))</f>
        <v>Bom</v>
      </c>
      <c r="EL260" s="28" t="str">
        <f>IF(VLOOKUP(BO260,Fundamentus!A:U,4,FALSE)&lt;1,"Baixo",IF(VLOOKUP(BO260,Fundamentus!A:U,4,FALSE)&lt;1.5,"Moderado",IF(VLOOKUP(BO260,Fundamentus!A:U,4,FALSE)&gt;1.5,"Alto","n/a")))</f>
        <v>Baixo</v>
      </c>
      <c r="EM260" s="17" t="str">
        <f>IF(VLOOKUP(BO260,Fundamentus!A:U,8,FALSE)&lt;0,"Risco elevado",IF(VLOOKUP(BO260,Fundamentus!A:U,8,FALSE)&lt;1,"Saudável",IF(VLOOKUP(BO260,Fundamentus!A:U,8,FALSE)&lt;3,"Estável",IF(VLOOKUP(BO260,Fundamentus!A:U,8,FALSE)&gt;3,"Alerta","n/a"))))</f>
        <v>Risco elevado</v>
      </c>
      <c r="EN260" s="28" t="str">
        <f t="shared" si="240"/>
        <v>Ruim</v>
      </c>
      <c r="EO260" s="17" t="str">
        <f>IF(VLOOKUP(BO260,Fundamentus!A:U,12,FALSE)&lt;2,"Subvalorizada",IF(VLOOKUP(BO260,Fundamentus!A:U,12,FALSE)&lt;6,"Muita barata",IF(VLOOKUP(BO260,Fundamentus!A:U,12,FALSE)&lt;6,"Barata",IF(VLOOKUP(BO260,Fundamentus!A:U,12,FALSE)&lt;8,"Atrativa",IF(VLOOKUP(BO260,Fundamentus!A:U,12,FALSE)&gt;8,"Supervalorizada","n/a")))))</f>
        <v>Subvalorizada</v>
      </c>
      <c r="EQ260" s="17" t="str">
        <f>IF(VLOOKUP(BO260,Fundamentus!A:U,17,FALSE)&lt;0.1,"Fraco retorno",IF(VLOOKUP(BO260,Fundamentus!A:U,17,FALSE)&gt;0.1,"Bom retorno","n/a"))</f>
        <v>Fraco retorno</v>
      </c>
      <c r="ER260" s="17" t="str">
        <f>IF(VLOOKUP(BO260,Fundamentus!A:U,16,FALSE)&lt;0.1,"Ineficiente",IF(VLOOKUP(BO260,Fundamentus!A:U,16,FALSE)&gt;0.1,"Eficiente","n/a"))</f>
        <v>Ineficiente</v>
      </c>
      <c r="ES260" s="33" t="str">
        <f>IF(VLOOKUP(BO260,Fundamentus!A:U,16,FALSE)&lt;0.1,"Oper. Ineficiente",IF(VLOOKUP(BO260,Fundamentus!A:U,16,FALSE)&gt;0.1,"Oper.Eficiente","n/a"))</f>
        <v>Oper. Ineficiente</v>
      </c>
      <c r="ET260" s="34">
        <f>VLOOKUP(BO260,Fundamentus!A:U,14,FALSE)</f>
        <v>3.2847</v>
      </c>
      <c r="EU260" s="17" t="str">
        <f>IF(VLOOKUP(BO260,Fundamentus!A:U,21,FALSE)&lt;0,"Negativo",IF(VLOOKUP(BO260,Fundamentus!A:U,21,FALSE)&lt;0.05,"Fraco",IF(VLOOKUP(BO260,Fundamentus!A:U,21,FALSE)&lt;0.1,"Bom",IF(VLOOKUP(BO260,Fundamentus!A:U,21,FALSE)&gt;0.1,"Muito bom","n/a"))))</f>
        <v>Fraco</v>
      </c>
      <c r="EW260" s="29" t="str">
        <f>IF(VLOOKUP(BO260,Fundamentus!A:U,15,FALSE)&gt;1,"Bom",IF(VLOOKUP(BO260,Fundamentus!A:U,15,FALSE)&lt;1,"Ruim","n/a"))</f>
        <v>Ruim</v>
      </c>
      <c r="EX260" s="17" t="str">
        <f>IF(VLOOKUP(BO260,Fundamentus!A:U,20,FALSE)&lt;0.5,"Baixa",IF(VLOOKUP(BO260,Fundamentus!A:U,20,FALSE)&lt;1,"Moderada",IF(VLOOKUP(BO260,Fundamentus!A:U,20,FALSE)&lt;2,"Alerta",IF(VLOOKUP(BO260,Fundamentus!A:U,20,FALSE)&gt;2,"Alta","n/a"))))</f>
        <v>Baixa</v>
      </c>
    </row>
    <row r="261" spans="1:154" s="2" customFormat="1" ht="11.25"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5">
        <v>1.29</v>
      </c>
      <c r="BC261" s="52">
        <v>1.26</v>
      </c>
      <c r="BD261" s="52">
        <v>1.25</v>
      </c>
      <c r="BE261" s="52">
        <v>1.2</v>
      </c>
      <c r="BF261" s="52">
        <v>1.19</v>
      </c>
      <c r="BG261" s="67">
        <v>1.18</v>
      </c>
      <c r="BH261" s="52">
        <v>1.17</v>
      </c>
      <c r="BI261" s="52">
        <v>1.22</v>
      </c>
      <c r="BJ261" s="52">
        <v>1.61</v>
      </c>
      <c r="BK261" s="52">
        <v>1.94</v>
      </c>
      <c r="BL261" s="52">
        <v>1.8</v>
      </c>
      <c r="BM261" s="52">
        <v>1.7</v>
      </c>
      <c r="BN261" s="52" cm="1">
        <f t="array" aca="1" ref="BN261" ca="1">_FV(EB261,"Preço")</f>
        <v>1.7</v>
      </c>
      <c r="BO261" s="69" t="s">
        <v>257</v>
      </c>
      <c r="BP261" s="36" cm="1">
        <f t="array" aca="1" ref="BP261" ca="1">_FV(EB261,"Média de volume",TRUE)</f>
        <v>90430</v>
      </c>
      <c r="BQ261" s="36">
        <v>27100</v>
      </c>
      <c r="BR261" s="36" cm="1">
        <f t="array" aca="1" ref="BR261" ca="1">_FV(EB261,"Volume")</f>
        <v>27100</v>
      </c>
      <c r="BS261" s="24" cm="1">
        <f t="array" aca="1" ref="BS261" ca="1">_FV(EB261,"Beta")</f>
        <v>1.6253</v>
      </c>
      <c r="BT261" s="71" cm="1">
        <f t="array" aca="1" ref="BT261" ca="1">_FV(EB261,"Variação (%)",TRUE)</f>
        <v>-2.8570999999999999E-2</v>
      </c>
      <c r="BV261" s="17" cm="1">
        <f t="array" aca="1" ref="BV261" ca="1">_FV(EB261,"Baixo")</f>
        <v>1.7</v>
      </c>
      <c r="BW261" s="17" cm="1">
        <f t="array" aca="1" ref="BW261" ca="1">_FV(EB261,"Alto")</f>
        <v>1.75</v>
      </c>
      <c r="BX261" s="24"/>
      <c r="BY261" s="63" t="e">
        <f ca="1">SQRT(22.5*(BN261/VLOOKUP(BO261,Fundamentus!A:U,3,FALSE))*(BN261/VLOOKUP(BO261,Fundamentus!A:U,4,FALSE)))</f>
        <v>#NUM!</v>
      </c>
      <c r="CA261" s="62">
        <f t="shared" ca="1" si="241"/>
        <v>0</v>
      </c>
      <c r="CB261" s="8"/>
      <c r="CC261" s="61">
        <f t="shared" si="242"/>
        <v>1.17</v>
      </c>
      <c r="CD261" s="61">
        <f t="shared" si="243"/>
        <v>2.64</v>
      </c>
      <c r="CE261" s="61">
        <f t="shared" si="244"/>
        <v>1.6547692307692312</v>
      </c>
      <c r="CF261" s="14"/>
      <c r="CG261" s="35">
        <f t="shared" si="227"/>
        <v>1.549897980424479</v>
      </c>
      <c r="CH261" s="15">
        <f t="shared" si="245"/>
        <v>1.7950000000000017</v>
      </c>
      <c r="CI261" s="35">
        <f t="shared" si="228"/>
        <v>2.0401020195755244</v>
      </c>
      <c r="CK261" s="14"/>
      <c r="CL261" s="17">
        <f t="shared" si="229"/>
        <v>-0.37000000000000011</v>
      </c>
      <c r="CM261" s="17">
        <f t="shared" si="230"/>
        <v>0.39999999999999991</v>
      </c>
      <c r="CN261" s="17">
        <f t="shared" si="231"/>
        <v>1.1000000000000001</v>
      </c>
      <c r="CO261" s="38">
        <f t="shared" si="246"/>
        <v>1.87</v>
      </c>
      <c r="CP261" s="17">
        <f t="shared" si="232"/>
        <v>2.5700000000000003</v>
      </c>
      <c r="CQ261" s="17">
        <f t="shared" si="233"/>
        <v>3.3400000000000003</v>
      </c>
      <c r="CR261" s="17">
        <f t="shared" si="234"/>
        <v>4.0400000000000009</v>
      </c>
      <c r="CS261" s="2" cm="1">
        <f t="array" aca="1" ref="CS261" ca="1">MAX(_xlfn._xlws.FILTER(CL261:CR261,CL261:CR261&lt;BN261))</f>
        <v>1.1000000000000001</v>
      </c>
      <c r="CT261" s="2" cm="1">
        <f t="array" aca="1" ref="CT261" ca="1">MIN(_xlfn._xlws.FILTER($CL261:$CR261,$CL261:$CR261&gt;BN261))</f>
        <v>1.87</v>
      </c>
      <c r="CU261" s="16">
        <f t="shared" ca="1" si="265"/>
        <v>0.7</v>
      </c>
      <c r="CV261" s="20">
        <f t="shared" ca="1" si="266"/>
        <v>-0.35</v>
      </c>
      <c r="CW261" s="20">
        <f t="shared" ca="1" si="267"/>
        <v>-0.23333333333333331</v>
      </c>
      <c r="CX261" s="20">
        <f t="shared" ca="1" si="268"/>
        <v>-0.13999999999999999</v>
      </c>
      <c r="CY261" s="20">
        <f t="shared" ca="1" si="269"/>
        <v>-7.7777777777777779E-2</v>
      </c>
      <c r="CZ261" s="20">
        <f t="shared" ca="1" si="270"/>
        <v>-4.1176470588235294E-2</v>
      </c>
      <c r="DA261" s="20">
        <f t="shared" ca="1" si="271"/>
        <v>-2.121212121212121E-2</v>
      </c>
      <c r="DB261" s="20">
        <f t="shared" ca="1" si="272"/>
        <v>-1.0769230769230769E-2</v>
      </c>
      <c r="DC261" s="21">
        <f t="shared" ca="1" si="273"/>
        <v>1.0769230769230769E-2</v>
      </c>
      <c r="DD261" s="21">
        <f t="shared" ca="1" si="274"/>
        <v>2.121212121212121E-2</v>
      </c>
      <c r="DE261" s="21">
        <f t="shared" ca="1" si="275"/>
        <v>4.1176470588235294E-2</v>
      </c>
      <c r="DF261" s="21">
        <f t="shared" ca="1" si="276"/>
        <v>7.7777777777777779E-2</v>
      </c>
      <c r="DG261" s="21">
        <f t="shared" ca="1" si="277"/>
        <v>0.13999999999999999</v>
      </c>
      <c r="DH261" s="21">
        <f t="shared" ca="1" si="278"/>
        <v>0.23333333333333331</v>
      </c>
      <c r="DI261" s="21">
        <f t="shared" ca="1" si="279"/>
        <v>0.35</v>
      </c>
      <c r="DK261" s="16" cm="1">
        <f t="array" aca="1" ref="DK261" ca="1">MAX(_xlfn._xlws.FILTER(CV261:DI261,CV261:DI261&lt;BT261))</f>
        <v>-4.1176470588235294E-2</v>
      </c>
      <c r="DL261" s="16" cm="1">
        <f t="array" aca="1" ref="DL261" ca="1">MIN(_xlfn._xlws.FILTER(CV261:DI261,CV261:DI261&gt;BT261))</f>
        <v>-2.121212121212121E-2</v>
      </c>
      <c r="DM261" s="2" cm="1">
        <f t="array" aca="1" ref="DM261" ca="1">_FV(EB261,"Fechamento anterior",TRUE)</f>
        <v>1.75</v>
      </c>
      <c r="DN261" s="28">
        <f t="shared" ca="1" si="235"/>
        <v>0.63137755102040638</v>
      </c>
      <c r="DO261" s="15">
        <f t="shared" ref="DO261:DO271" ca="1" si="283">DM261+(DM261*DK261)</f>
        <v>1.6779411764705883</v>
      </c>
      <c r="DP261" s="15">
        <f t="shared" ref="DP261:DP271" ca="1" si="284">DM261+(DM261*DL261)</f>
        <v>1.7128787878787879</v>
      </c>
      <c r="DQ261" s="9"/>
      <c r="DR261" s="9"/>
      <c r="DS261" s="9"/>
      <c r="DT261" s="89">
        <v>1.9964349376114084E-2</v>
      </c>
      <c r="DU261" s="89">
        <f t="shared" ca="1" si="236"/>
        <v>1.9964349376114084E-2</v>
      </c>
      <c r="DV261" s="72">
        <f t="shared" ca="1" si="237"/>
        <v>-0.3875937055293403</v>
      </c>
      <c r="DW261" s="37"/>
      <c r="DX261" s="35">
        <f t="shared" si="247"/>
        <v>0.1225510097877614</v>
      </c>
      <c r="DY261" s="56"/>
      <c r="DZ261" s="56"/>
      <c r="EB261" s="2" t="e" vm="263">
        <v>#VALUE!</v>
      </c>
      <c r="ED261" s="10" cm="1">
        <f t="array" aca="1" ref="ED261" ca="1">_FV(EB261,"Ações em circulação",TRUE)</f>
        <v>90511120</v>
      </c>
      <c r="EE261" s="18">
        <f>VLOOKUP(BO261,Fundamentus!A:U,5,FALSE)</f>
        <v>0.3</v>
      </c>
      <c r="EF261" s="2">
        <f t="shared" ca="1" si="238"/>
        <v>512896346.66666669</v>
      </c>
      <c r="EG261" s="17">
        <v>-165255202.896</v>
      </c>
      <c r="EH261" s="17">
        <f t="shared" ca="1" si="239"/>
        <v>-165255202.896</v>
      </c>
      <c r="EJ261" s="16">
        <f t="shared" ca="1" si="282"/>
        <v>0</v>
      </c>
      <c r="EK261" s="32" t="str">
        <f>IF(VLOOKUP(BO261,Fundamentus!A:U,3,FALSE)&lt;15,"Bom",IF(VLOOKUP(BO261,Fundamentus!A:U,3,FALSE)&gt;15,"Ruim","n/a"))</f>
        <v>Bom</v>
      </c>
      <c r="EL261" s="28" t="str">
        <f>IF(VLOOKUP(BO261,Fundamentus!A:U,4,FALSE)&lt;1,"Baixo",IF(VLOOKUP(BO261,Fundamentus!A:U,4,FALSE)&lt;1.5,"Moderado",IF(VLOOKUP(BO261,Fundamentus!A:U,4,FALSE)&gt;1.5,"Alto","n/a")))</f>
        <v>Baixo</v>
      </c>
      <c r="EM261" s="17" t="str">
        <f>IF(VLOOKUP(BO261,Fundamentus!A:U,8,FALSE)&lt;0,"Risco elevado",IF(VLOOKUP(BO261,Fundamentus!A:U,8,FALSE)&lt;1,"Saudável",IF(VLOOKUP(BO261,Fundamentus!A:U,8,FALSE)&lt;3,"Estável",IF(VLOOKUP(BO261,Fundamentus!A:U,8,FALSE)&gt;3,"Alerta","n/a"))))</f>
        <v>Alerta</v>
      </c>
      <c r="EN261" s="28" t="str">
        <f t="shared" si="240"/>
        <v>Ruim</v>
      </c>
      <c r="EO261" s="17" t="str">
        <f>IF(VLOOKUP(BO261,Fundamentus!A:U,12,FALSE)&lt;2,"Subvalorizada",IF(VLOOKUP(BO261,Fundamentus!A:U,12,FALSE)&lt;6,"Muita barata",IF(VLOOKUP(BO261,Fundamentus!A:U,12,FALSE)&lt;6,"Barata",IF(VLOOKUP(BO261,Fundamentus!A:U,12,FALSE)&lt;8,"Atrativa",IF(VLOOKUP(BO261,Fundamentus!A:U,12,FALSE)&gt;8,"Supervalorizada","n/a")))))</f>
        <v>Subvalorizada</v>
      </c>
      <c r="EQ261" s="17" t="str">
        <f>IF(VLOOKUP(BO261,Fundamentus!A:U,17,FALSE)&lt;0.1,"Fraco retorno",IF(VLOOKUP(BO261,Fundamentus!A:U,17,FALSE)&gt;0.1,"Bom retorno","n/a"))</f>
        <v>Fraco retorno</v>
      </c>
      <c r="ER261" s="17" t="str">
        <f>IF(VLOOKUP(BO261,Fundamentus!A:U,16,FALSE)&lt;0.1,"Ineficiente",IF(VLOOKUP(BO261,Fundamentus!A:U,16,FALSE)&gt;0.1,"Eficiente","n/a"))</f>
        <v>Ineficiente</v>
      </c>
      <c r="ES261" s="33" t="str">
        <f>IF(VLOOKUP(BO261,Fundamentus!A:U,16,FALSE)&lt;0.1,"Oper. Ineficiente",IF(VLOOKUP(BO261,Fundamentus!A:U,16,FALSE)&gt;0.1,"Oper.Eficiente","n/a"))</f>
        <v>Oper. Ineficiente</v>
      </c>
      <c r="ET261" s="34">
        <f>VLOOKUP(BO261,Fundamentus!A:U,14,FALSE)</f>
        <v>-0.32219999999999999</v>
      </c>
      <c r="EU261" s="17" t="str">
        <f>IF(VLOOKUP(BO261,Fundamentus!A:U,21,FALSE)&lt;0,"Negativo",IF(VLOOKUP(BO261,Fundamentus!A:U,21,FALSE)&lt;0.05,"Fraco",IF(VLOOKUP(BO261,Fundamentus!A:U,21,FALSE)&lt;0.1,"Bom",IF(VLOOKUP(BO261,Fundamentus!A:U,21,FALSE)&gt;0.1,"Muito bom","n/a"))))</f>
        <v>Muito bom</v>
      </c>
      <c r="EW261" s="29" t="str">
        <f>IF(VLOOKUP(BO261,Fundamentus!A:U,15,FALSE)&gt;1,"Bom",IF(VLOOKUP(BO261,Fundamentus!A:U,15,FALSE)&lt;1,"Ruim","n/a"))</f>
        <v>Bom</v>
      </c>
      <c r="EX261" s="17" t="str">
        <f>IF(VLOOKUP(BO261,Fundamentus!A:U,20,FALSE)&lt;0.5,"Baixa",IF(VLOOKUP(BO261,Fundamentus!A:U,20,FALSE)&lt;1,"Moderada",IF(VLOOKUP(BO261,Fundamentus!A:U,20,FALSE)&lt;2,"Alerta",IF(VLOOKUP(BO261,Fundamentus!A:U,20,FALSE)&gt;2,"Alta","n/a"))))</f>
        <v>Alerta</v>
      </c>
    </row>
    <row r="262" spans="1:154" s="2" customFormat="1" ht="11.25"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5">
        <v>1.43</v>
      </c>
      <c r="BC262" s="52">
        <v>1.1399999999999999</v>
      </c>
      <c r="BD262" s="52">
        <v>1.04</v>
      </c>
      <c r="BE262" s="52">
        <v>0.9</v>
      </c>
      <c r="BF262" s="52">
        <v>0.96</v>
      </c>
      <c r="BG262" s="67">
        <v>0.99</v>
      </c>
      <c r="BH262" s="52">
        <v>0.98</v>
      </c>
      <c r="BI262" s="52">
        <v>0.94</v>
      </c>
      <c r="BJ262" s="52">
        <v>0.93</v>
      </c>
      <c r="BK262" s="52">
        <v>0.8</v>
      </c>
      <c r="BL262" s="52">
        <v>0.63</v>
      </c>
      <c r="BM262" s="52">
        <v>0.73</v>
      </c>
      <c r="BN262" s="52" cm="1">
        <f t="array" aca="1" ref="BN262" ca="1">_FV(EB262,"Preço")</f>
        <v>0.73</v>
      </c>
      <c r="BO262" s="69" t="s">
        <v>258</v>
      </c>
      <c r="BP262" s="36" cm="1">
        <f t="array" aca="1" ref="BP262" ca="1">_FV(EB262,"Média de volume",TRUE)</f>
        <v>26483690</v>
      </c>
      <c r="BQ262" s="36">
        <v>25868100</v>
      </c>
      <c r="BR262" s="36" cm="1">
        <f t="array" aca="1" ref="BR262" ca="1">_FV(EB262,"Volume")</f>
        <v>25868100</v>
      </c>
      <c r="BS262" s="24" cm="1">
        <f t="array" aca="1" ref="BS262" ca="1">_FV(EB262,"Beta")</f>
        <v>2.0425</v>
      </c>
      <c r="BT262" s="71" cm="1">
        <f t="array" aca="1" ref="BT262" ca="1">_FV(EB262,"Variação (%)",TRUE)</f>
        <v>2.8169E-2</v>
      </c>
      <c r="BV262" s="17" cm="1">
        <f t="array" aca="1" ref="BV262" ca="1">_FV(EB262,"Baixo")</f>
        <v>0.72</v>
      </c>
      <c r="BW262" s="17" cm="1">
        <f t="array" aca="1" ref="BW262" ca="1">_FV(EB262,"Alto")</f>
        <v>0.77</v>
      </c>
      <c r="BX262" s="24"/>
      <c r="BY262" s="63" t="e">
        <f ca="1">SQRT(22.5*(BN262/VLOOKUP(BO262,Fundamentus!A:U,3,FALSE))*(BN262/VLOOKUP(BO262,Fundamentus!A:U,4,FALSE)))</f>
        <v>#NUM!</v>
      </c>
      <c r="CA262" s="62">
        <f t="shared" ca="1" si="241"/>
        <v>0</v>
      </c>
      <c r="CB262" s="8"/>
      <c r="CC262" s="61">
        <f t="shared" si="242"/>
        <v>0.63</v>
      </c>
      <c r="CD262" s="61">
        <f t="shared" si="243"/>
        <v>11.08</v>
      </c>
      <c r="CE262" s="61">
        <f t="shared" si="244"/>
        <v>4.8496923076923073</v>
      </c>
      <c r="CF262" s="14"/>
      <c r="CG262" s="35">
        <f t="shared" ref="CG262:CG271" si="285">CH262-DX262*2</f>
        <v>0.36165394439100279</v>
      </c>
      <c r="CH262" s="15">
        <f t="shared" si="245"/>
        <v>0.57999999999998408</v>
      </c>
      <c r="CI262" s="35">
        <f t="shared" ref="CI262:CI271" si="286">CH262+DX262*2</f>
        <v>0.79834605560896543</v>
      </c>
      <c r="CK262" s="14"/>
      <c r="CL262" s="17">
        <f t="shared" ref="CL262:CL271" si="287">CC262-2*(CD262-CO262)</f>
        <v>-13.303333333333331</v>
      </c>
      <c r="CM262" s="17">
        <f t="shared" ref="CM262:CM271" si="288">CO262-(CD262-CC262)</f>
        <v>-6.3366666666666651</v>
      </c>
      <c r="CN262" s="17">
        <f t="shared" ref="CN262:CN271" si="289">2*CO262-CD262</f>
        <v>-2.8533333333333317</v>
      </c>
      <c r="CO262" s="38">
        <f t="shared" si="246"/>
        <v>4.1133333333333342</v>
      </c>
      <c r="CP262" s="17">
        <f t="shared" ref="CP262:CP271" si="290">2*CO262-CC262</f>
        <v>7.5966666666666685</v>
      </c>
      <c r="CQ262" s="17">
        <f t="shared" ref="CQ262:CQ271" si="291">CO262+(CD262-CC262)</f>
        <v>14.563333333333333</v>
      </c>
      <c r="CR262" s="17">
        <f t="shared" ref="CR262:CR271" si="292">CD262+2*(CO262-CC262)</f>
        <v>18.046666666666667</v>
      </c>
      <c r="CS262" s="2" cm="1">
        <f t="array" aca="1" ref="CS262" ca="1">MAX(_xlfn._xlws.FILTER(CL262:CR262,CL262:CR262&lt;BN262))</f>
        <v>-2.8533333333333317</v>
      </c>
      <c r="CT262" s="2" cm="1">
        <f t="array" aca="1" ref="CT262" ca="1">MIN(_xlfn._xlws.FILTER($CL262:$CR262,$CL262:$CR262&gt;BN262))</f>
        <v>4.1133333333333342</v>
      </c>
      <c r="CU262" s="16">
        <f t="shared" ref="CU262:CU271" ca="1" si="293">(CT262/CS262)-1</f>
        <v>-2.4415887850467302</v>
      </c>
      <c r="CV262" s="20">
        <f t="shared" ref="CV262:CV271" ca="1" si="294">-$CU262/2</f>
        <v>1.2207943925233651</v>
      </c>
      <c r="CW262" s="20">
        <f t="shared" ref="CW262:CW271" ca="1" si="295">-$CU262/3</f>
        <v>0.81386292834891005</v>
      </c>
      <c r="CX262" s="20">
        <f t="shared" ref="CX262:CX271" ca="1" si="296">-$CU262/5</f>
        <v>0.48831775700934604</v>
      </c>
      <c r="CY262" s="20">
        <f t="shared" ref="CY262:CY271" ca="1" si="297">-$CU262/9</f>
        <v>0.27128764278297002</v>
      </c>
      <c r="CZ262" s="20">
        <f t="shared" ca="1" si="270"/>
        <v>0.1436228697086312</v>
      </c>
      <c r="DA262" s="20">
        <f t="shared" ca="1" si="271"/>
        <v>7.3987538940810005E-2</v>
      </c>
      <c r="DB262" s="20">
        <f t="shared" ca="1" si="272"/>
        <v>3.7562904385334307E-2</v>
      </c>
      <c r="DC262" s="21">
        <f t="shared" ca="1" si="273"/>
        <v>-3.7562904385334307E-2</v>
      </c>
      <c r="DD262" s="21">
        <f t="shared" ca="1" si="274"/>
        <v>-7.3987538940810005E-2</v>
      </c>
      <c r="DE262" s="21">
        <f t="shared" ca="1" si="275"/>
        <v>-0.1436228697086312</v>
      </c>
      <c r="DF262" s="21">
        <f t="shared" ref="DF262:DF271" ca="1" si="298">-$CU262/9*-1</f>
        <v>-0.27128764278297002</v>
      </c>
      <c r="DG262" s="21">
        <f t="shared" ref="DG262:DG271" ca="1" si="299">-$CU262/5*-1</f>
        <v>-0.48831775700934604</v>
      </c>
      <c r="DH262" s="21">
        <f t="shared" ref="DH262:DH271" ca="1" si="300">-$CU262/3*-1</f>
        <v>-0.81386292834891005</v>
      </c>
      <c r="DI262" s="21">
        <f t="shared" ref="DI262:DI271" ca="1" si="301">-$CU262/2*-1</f>
        <v>-1.2207943925233651</v>
      </c>
      <c r="DK262" s="16" cm="1">
        <f t="array" aca="1" ref="DK262" ca="1">MAX(_xlfn._xlws.FILTER(CV262:DI262,CV262:DI262&lt;BT262))</f>
        <v>-3.7562904385334307E-2</v>
      </c>
      <c r="DL262" s="16" cm="1">
        <f t="array" aca="1" ref="DL262" ca="1">MIN(_xlfn._xlws.FILTER(CV262:DI262,CV262:DI262&gt;BT262))</f>
        <v>3.7562904385334307E-2</v>
      </c>
      <c r="DM262" s="2" cm="1">
        <f t="array" aca="1" ref="DM262" ca="1">_FV(EB262,"Fechamento anterior",TRUE)</f>
        <v>0.71</v>
      </c>
      <c r="DN262" s="28">
        <f t="shared" ref="DN262:DN271" ca="1" si="302">(BN262-DO262)/(DP262-DO262)</f>
        <v>0.87495788125884533</v>
      </c>
      <c r="DO262" s="15">
        <f t="shared" ca="1" si="283"/>
        <v>0.68333033788641262</v>
      </c>
      <c r="DP262" s="15">
        <f t="shared" ca="1" si="284"/>
        <v>0.73666966211358731</v>
      </c>
      <c r="DQ262" s="9"/>
      <c r="DR262" s="9"/>
      <c r="DS262" s="9"/>
      <c r="DT262" s="89">
        <v>7.5125808770668615E-2</v>
      </c>
      <c r="DU262" s="89">
        <f t="shared" ref="DU262:DU271" ca="1" si="303">DL262-DK262</f>
        <v>7.5125808770668615E-2</v>
      </c>
      <c r="DV262" s="72">
        <f t="shared" ref="DV262:DV271" ca="1" si="304">(BN262-CH262)/(CH262-CG262)</f>
        <v>0.68698287029576144</v>
      </c>
      <c r="DW262" s="37"/>
      <c r="DX262" s="35">
        <f t="shared" si="247"/>
        <v>0.10917302780449065</v>
      </c>
      <c r="DY262" s="56"/>
      <c r="DZ262" s="56"/>
      <c r="EB262" s="2" t="e" vm="264">
        <v>#VALUE!</v>
      </c>
      <c r="ED262" s="10" cm="1">
        <f t="array" aca="1" ref="ED262" ca="1">_FV(EB262,"Ações em circulação",TRUE)</f>
        <v>896039700</v>
      </c>
      <c r="EE262" s="18">
        <f>VLOOKUP(BO262,Fundamentus!A:U,5,FALSE)</f>
        <v>3.1E-2</v>
      </c>
      <c r="EF262" s="2">
        <f t="shared" ref="EF262:EF271" ca="1" si="305">(BN262*ED262)/EE262</f>
        <v>21100289709.677418</v>
      </c>
      <c r="EG262" s="17">
        <v>12398530233.40645</v>
      </c>
      <c r="EH262" s="17">
        <f t="shared" ref="EH262:EH271" ca="1" si="306">EF262*ET262</f>
        <v>12398530233.40645</v>
      </c>
      <c r="EJ262" s="16">
        <f t="shared" ca="1" si="282"/>
        <v>0</v>
      </c>
      <c r="EK262" s="32" t="str">
        <f>IF(VLOOKUP(BO262,Fundamentus!A:U,3,FALSE)&lt;15,"Bom",IF(VLOOKUP(BO262,Fundamentus!A:U,3,FALSE)&gt;15,"Ruim","n/a"))</f>
        <v>Bom</v>
      </c>
      <c r="EL262" s="28" t="str">
        <f>IF(VLOOKUP(BO262,Fundamentus!A:U,4,FALSE)&lt;1,"Baixo",IF(VLOOKUP(BO262,Fundamentus!A:U,4,FALSE)&lt;1.5,"Moderado",IF(VLOOKUP(BO262,Fundamentus!A:U,4,FALSE)&gt;1.5,"Alto","n/a")))</f>
        <v>Baixo</v>
      </c>
      <c r="EM262" s="17" t="str">
        <f>IF(VLOOKUP(BO262,Fundamentus!A:U,8,FALSE)&lt;0,"Risco elevado",IF(VLOOKUP(BO262,Fundamentus!A:U,8,FALSE)&lt;1,"Saudável",IF(VLOOKUP(BO262,Fundamentus!A:U,8,FALSE)&lt;3,"Estável",IF(VLOOKUP(BO262,Fundamentus!A:U,8,FALSE)&gt;3,"Alerta","n/a"))))</f>
        <v>Risco elevado</v>
      </c>
      <c r="EN262" s="28" t="str">
        <f t="shared" ref="EN262:EN271" si="307">IF(EE262&gt;1,"Bom","Ruim")</f>
        <v>Ruim</v>
      </c>
      <c r="EO262" s="17" t="str">
        <f>IF(VLOOKUP(BO262,Fundamentus!A:U,12,FALSE)&lt;2,"Subvalorizada",IF(VLOOKUP(BO262,Fundamentus!A:U,12,FALSE)&lt;6,"Muita barata",IF(VLOOKUP(BO262,Fundamentus!A:U,12,FALSE)&lt;6,"Barata",IF(VLOOKUP(BO262,Fundamentus!A:U,12,FALSE)&lt;8,"Atrativa",IF(VLOOKUP(BO262,Fundamentus!A:U,12,FALSE)&gt;8,"Supervalorizada","n/a")))))</f>
        <v>Muita barata</v>
      </c>
      <c r="EQ262" s="17" t="str">
        <f>IF(VLOOKUP(BO262,Fundamentus!A:U,17,FALSE)&lt;0.1,"Fraco retorno",IF(VLOOKUP(BO262,Fundamentus!A:U,17,FALSE)&gt;0.1,"Bom retorno","n/a"))</f>
        <v>Fraco retorno</v>
      </c>
      <c r="ER262" s="17" t="str">
        <f>IF(VLOOKUP(BO262,Fundamentus!A:U,16,FALSE)&lt;0.1,"Ineficiente",IF(VLOOKUP(BO262,Fundamentus!A:U,16,FALSE)&gt;0.1,"Eficiente","n/a"))</f>
        <v>Eficiente</v>
      </c>
      <c r="ES262" s="33" t="str">
        <f>IF(VLOOKUP(BO262,Fundamentus!A:U,16,FALSE)&lt;0.1,"Oper. Ineficiente",IF(VLOOKUP(BO262,Fundamentus!A:U,16,FALSE)&gt;0.1,"Oper.Eficiente","n/a"))</f>
        <v>Oper.Eficiente</v>
      </c>
      <c r="ET262" s="34">
        <f>VLOOKUP(BO262,Fundamentus!A:U,14,FALSE)</f>
        <v>0.58760000000000001</v>
      </c>
      <c r="EU262" s="17" t="str">
        <f>IF(VLOOKUP(BO262,Fundamentus!A:U,21,FALSE)&lt;0,"Negativo",IF(VLOOKUP(BO262,Fundamentus!A:U,21,FALSE)&lt;0.05,"Fraco",IF(VLOOKUP(BO262,Fundamentus!A:U,21,FALSE)&lt;0.1,"Bom",IF(VLOOKUP(BO262,Fundamentus!A:U,21,FALSE)&gt;0.1,"Muito bom","n/a"))))</f>
        <v>Muito bom</v>
      </c>
      <c r="EW262" s="29" t="str">
        <f>IF(VLOOKUP(BO262,Fundamentus!A:U,15,FALSE)&gt;1,"Bom",IF(VLOOKUP(BO262,Fundamentus!A:U,15,FALSE)&lt;1,"Ruim","n/a"))</f>
        <v>Ruim</v>
      </c>
      <c r="EX262" s="17" t="str">
        <f>IF(VLOOKUP(BO262,Fundamentus!A:U,20,FALSE)&lt;0.5,"Baixa",IF(VLOOKUP(BO262,Fundamentus!A:U,20,FALSE)&lt;1,"Moderada",IF(VLOOKUP(BO262,Fundamentus!A:U,20,FALSE)&lt;2,"Alerta",IF(VLOOKUP(BO262,Fundamentus!A:U,20,FALSE)&gt;2,"Alta","n/a"))))</f>
        <v>Baixa</v>
      </c>
    </row>
    <row r="263" spans="1:154" s="2" customFormat="1" ht="11.25"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5">
        <v>5.01</v>
      </c>
      <c r="BC263" s="52">
        <v>4.96</v>
      </c>
      <c r="BD263" s="52">
        <v>6.74</v>
      </c>
      <c r="BE263" s="52">
        <v>7.97</v>
      </c>
      <c r="BF263" s="52">
        <v>7.93</v>
      </c>
      <c r="BG263" s="67">
        <v>7.76</v>
      </c>
      <c r="BH263" s="52">
        <v>7.36</v>
      </c>
      <c r="BI263" s="52">
        <v>7.01</v>
      </c>
      <c r="BJ263" s="52">
        <v>6.62</v>
      </c>
      <c r="BK263" s="52">
        <v>5.16</v>
      </c>
      <c r="BL263" s="52">
        <v>4.9800000000000004</v>
      </c>
      <c r="BM263" s="52">
        <v>5.04</v>
      </c>
      <c r="BN263" s="52" cm="1">
        <f t="array" aca="1" ref="BN263" ca="1">_FV(EB263,"Preço")</f>
        <v>5.04</v>
      </c>
      <c r="BO263" s="69" t="s">
        <v>259</v>
      </c>
      <c r="BP263" s="36" cm="1">
        <f t="array" aca="1" ref="BP263" ca="1">_FV(EB263,"Média de volume",TRUE)</f>
        <v>11720</v>
      </c>
      <c r="BQ263" s="36">
        <v>10500</v>
      </c>
      <c r="BR263" s="36" cm="1">
        <f t="array" aca="1" ref="BR263" ca="1">_FV(EB263,"Volume")</f>
        <v>10500</v>
      </c>
      <c r="BS263" s="24" cm="1">
        <f t="array" aca="1" ref="BS263" ca="1">_FV(EB263,"Beta")</f>
        <v>1.6857</v>
      </c>
      <c r="BT263" s="71" cm="1">
        <f t="array" aca="1" ref="BT263" ca="1">_FV(EB263,"Variação (%)",TRUE)</f>
        <v>0</v>
      </c>
      <c r="BV263" s="17" cm="1">
        <f t="array" aca="1" ref="BV263" ca="1">_FV(EB263,"Baixo")</f>
        <v>4.92</v>
      </c>
      <c r="BW263" s="17" cm="1">
        <f t="array" aca="1" ref="BW263" ca="1">_FV(EB263,"Alto")</f>
        <v>5.04</v>
      </c>
      <c r="BX263" s="24"/>
      <c r="BY263" s="63">
        <f ca="1">SQRT(22.5*(BN263/VLOOKUP(BO263,Fundamentus!A:U,3,FALSE))*(BN263/VLOOKUP(BO263,Fundamentus!A:U,4,FALSE)))</f>
        <v>15.210005335143112</v>
      </c>
      <c r="CA263" s="62">
        <f t="shared" ref="CA263:CA271" ca="1" si="308">(BN263 - BM263) / BM263</f>
        <v>0</v>
      </c>
      <c r="CB263" s="8"/>
      <c r="CC263" s="61">
        <f t="shared" ref="CC263:CC271" si="309">MIN(A263:BM263)</f>
        <v>2.85</v>
      </c>
      <c r="CD263" s="61">
        <f t="shared" ref="CD263:CD271" si="310">MAX(A263:BM263)</f>
        <v>8.83</v>
      </c>
      <c r="CE263" s="61">
        <f t="shared" ref="CE263:CE271" si="311">AVERAGE(A263:BM263)</f>
        <v>5.5216153846153864</v>
      </c>
      <c r="CF263" s="14"/>
      <c r="CG263" s="35">
        <f t="shared" si="285"/>
        <v>2.8627969938143663</v>
      </c>
      <c r="CH263" s="15">
        <f t="shared" ref="CH263:CH271" si="312">FORECAST("01/08/2025", BJ263:BM263, $BJ$5:$BM$5)</f>
        <v>4.2200000000002547</v>
      </c>
      <c r="CI263" s="35">
        <f t="shared" si="286"/>
        <v>5.5772030061861431</v>
      </c>
      <c r="CK263" s="14"/>
      <c r="CL263" s="17">
        <f t="shared" si="287"/>
        <v>-3.7033333333333327</v>
      </c>
      <c r="CM263" s="17">
        <f t="shared" si="288"/>
        <v>-0.42666666666666675</v>
      </c>
      <c r="CN263" s="17">
        <f t="shared" si="289"/>
        <v>2.2766666666666673</v>
      </c>
      <c r="CO263" s="38">
        <f t="shared" ref="CO263:CO271" si="313">(CD263+CC263+BL263)/3</f>
        <v>5.5533333333333337</v>
      </c>
      <c r="CP263" s="17">
        <f t="shared" si="290"/>
        <v>8.2566666666666677</v>
      </c>
      <c r="CQ263" s="17">
        <f t="shared" si="291"/>
        <v>11.533333333333335</v>
      </c>
      <c r="CR263" s="17">
        <f t="shared" si="292"/>
        <v>14.236666666666668</v>
      </c>
      <c r="CS263" s="2" cm="1">
        <f t="array" aca="1" ref="CS263" ca="1">MAX(_xlfn._xlws.FILTER(CL263:CR263,CL263:CR263&lt;BN263))</f>
        <v>2.2766666666666673</v>
      </c>
      <c r="CT263" s="2" cm="1">
        <f t="array" aca="1" ref="CT263" ca="1">MIN(_xlfn._xlws.FILTER($CL263:$CR263,$CL263:$CR263&gt;BN263))</f>
        <v>5.5533333333333337</v>
      </c>
      <c r="CU263" s="16">
        <f t="shared" ca="1" si="293"/>
        <v>1.4392386530014636</v>
      </c>
      <c r="CV263" s="20">
        <f t="shared" ca="1" si="294"/>
        <v>-0.71961932650073179</v>
      </c>
      <c r="CW263" s="20">
        <f t="shared" ca="1" si="295"/>
        <v>-0.47974621766715453</v>
      </c>
      <c r="CX263" s="20">
        <f t="shared" ca="1" si="296"/>
        <v>-0.28784773060029273</v>
      </c>
      <c r="CY263" s="20">
        <f t="shared" ca="1" si="297"/>
        <v>-0.15991540588905151</v>
      </c>
      <c r="CZ263" s="20">
        <f t="shared" ca="1" si="270"/>
        <v>-8.4661097235380206E-2</v>
      </c>
      <c r="DA263" s="20">
        <f t="shared" ca="1" si="271"/>
        <v>-4.3613292515195863E-2</v>
      </c>
      <c r="DB263" s="20">
        <f t="shared" ca="1" si="272"/>
        <v>-2.2142133123099438E-2</v>
      </c>
      <c r="DC263" s="21">
        <f t="shared" ca="1" si="273"/>
        <v>2.2142133123099438E-2</v>
      </c>
      <c r="DD263" s="21">
        <f t="shared" ca="1" si="274"/>
        <v>4.3613292515195863E-2</v>
      </c>
      <c r="DE263" s="21">
        <f t="shared" ca="1" si="275"/>
        <v>8.4661097235380206E-2</v>
      </c>
      <c r="DF263" s="21">
        <f t="shared" ca="1" si="298"/>
        <v>0.15991540588905151</v>
      </c>
      <c r="DG263" s="21">
        <f t="shared" ca="1" si="299"/>
        <v>0.28784773060029273</v>
      </c>
      <c r="DH263" s="21">
        <f t="shared" ca="1" si="300"/>
        <v>0.47974621766715453</v>
      </c>
      <c r="DI263" s="21">
        <f t="shared" ca="1" si="301"/>
        <v>0.71961932650073179</v>
      </c>
      <c r="DK263" s="16" cm="1">
        <f t="array" aca="1" ref="DK263" ca="1">MAX(_xlfn._xlws.FILTER(CV263:DI263,CV263:DI263&lt;BT263))</f>
        <v>-2.2142133123099438E-2</v>
      </c>
      <c r="DL263" s="16" cm="1">
        <f t="array" aca="1" ref="DL263" ca="1">MIN(_xlfn._xlws.FILTER(CV263:DI263,CV263:DI263&gt;BT263))</f>
        <v>2.2142133123099438E-2</v>
      </c>
      <c r="DM263" s="2" cm="1">
        <f t="array" aca="1" ref="DM263" ca="1">_FV(EB263,"Fechamento anterior",TRUE)</f>
        <v>5.04</v>
      </c>
      <c r="DN263" s="28">
        <f t="shared" ca="1" si="302"/>
        <v>0.5</v>
      </c>
      <c r="DO263" s="15">
        <f t="shared" ca="1" si="283"/>
        <v>4.9284036490595788</v>
      </c>
      <c r="DP263" s="15">
        <f t="shared" ca="1" si="284"/>
        <v>5.1515963509404212</v>
      </c>
      <c r="DQ263" s="9"/>
      <c r="DR263" s="9"/>
      <c r="DS263" s="9"/>
      <c r="DT263" s="89">
        <v>4.4284266246198876E-2</v>
      </c>
      <c r="DU263" s="89">
        <f t="shared" ca="1" si="303"/>
        <v>4.4284266246198876E-2</v>
      </c>
      <c r="DV263" s="72">
        <f t="shared" ca="1" si="304"/>
        <v>0.60418374868190838</v>
      </c>
      <c r="DW263" s="37"/>
      <c r="DX263" s="35">
        <f t="shared" ref="DX263:DX271" si="314">_xlfn.STDEV.P(BJ263:BM263)</f>
        <v>0.67860150309294431</v>
      </c>
      <c r="DY263" s="56"/>
      <c r="DZ263" s="56"/>
      <c r="EB263" s="2" t="e" vm="265">
        <v>#VALUE!</v>
      </c>
      <c r="ED263" s="10" cm="1">
        <f t="array" aca="1" ref="ED263" ca="1">_FV(EB263,"Ações em circulação",TRUE)</f>
        <v>13321980</v>
      </c>
      <c r="EE263" s="18">
        <f>VLOOKUP(BO263,Fundamentus!A:U,5,FALSE)</f>
        <v>0.41</v>
      </c>
      <c r="EF263" s="2">
        <f t="shared" ca="1" si="305"/>
        <v>163762876.097561</v>
      </c>
      <c r="EG263" s="17">
        <v>-7336576.8491707332</v>
      </c>
      <c r="EH263" s="17">
        <f t="shared" ca="1" si="306"/>
        <v>-7336576.8491707332</v>
      </c>
      <c r="EJ263" s="16">
        <f t="shared" ca="1" si="282"/>
        <v>0</v>
      </c>
      <c r="EK263" s="32" t="str">
        <f>IF(VLOOKUP(BO263,Fundamentus!A:U,3,FALSE)&lt;15,"Bom",IF(VLOOKUP(BO263,Fundamentus!A:U,3,FALSE)&gt;15,"Ruim","n/a"))</f>
        <v>Bom</v>
      </c>
      <c r="EL263" s="28" t="str">
        <f>IF(VLOOKUP(BO263,Fundamentus!A:U,4,FALSE)&lt;1,"Baixo",IF(VLOOKUP(BO263,Fundamentus!A:U,4,FALSE)&lt;1.5,"Moderado",IF(VLOOKUP(BO263,Fundamentus!A:U,4,FALSE)&gt;1.5,"Alto","n/a")))</f>
        <v>Baixo</v>
      </c>
      <c r="EM263" s="17" t="str">
        <f>IF(VLOOKUP(BO263,Fundamentus!A:U,8,FALSE)&lt;0,"Risco elevado",IF(VLOOKUP(BO263,Fundamentus!A:U,8,FALSE)&lt;1,"Saudável",IF(VLOOKUP(BO263,Fundamentus!A:U,8,FALSE)&lt;3,"Estável",IF(VLOOKUP(BO263,Fundamentus!A:U,8,FALSE)&gt;3,"Alerta","n/a"))))</f>
        <v>Risco elevado</v>
      </c>
      <c r="EN263" s="28" t="str">
        <f t="shared" si="307"/>
        <v>Ruim</v>
      </c>
      <c r="EO263" s="17" t="str">
        <f>IF(VLOOKUP(BO263,Fundamentus!A:U,12,FALSE)&lt;2,"Subvalorizada",IF(VLOOKUP(BO263,Fundamentus!A:U,12,FALSE)&lt;6,"Muita barata",IF(VLOOKUP(BO263,Fundamentus!A:U,12,FALSE)&lt;6,"Barata",IF(VLOOKUP(BO263,Fundamentus!A:U,12,FALSE)&lt;8,"Atrativa",IF(VLOOKUP(BO263,Fundamentus!A:U,12,FALSE)&gt;8,"Supervalorizada","n/a")))))</f>
        <v>Muita barata</v>
      </c>
      <c r="EQ263" s="17" t="str">
        <f>IF(VLOOKUP(BO263,Fundamentus!A:U,17,FALSE)&lt;0.1,"Fraco retorno",IF(VLOOKUP(BO263,Fundamentus!A:U,17,FALSE)&gt;0.1,"Bom retorno","n/a"))</f>
        <v>Fraco retorno</v>
      </c>
      <c r="ER263" s="17" t="str">
        <f>IF(VLOOKUP(BO263,Fundamentus!A:U,16,FALSE)&lt;0.1,"Ineficiente",IF(VLOOKUP(BO263,Fundamentus!A:U,16,FALSE)&gt;0.1,"Eficiente","n/a"))</f>
        <v>Ineficiente</v>
      </c>
      <c r="ES263" s="33" t="str">
        <f>IF(VLOOKUP(BO263,Fundamentus!A:U,16,FALSE)&lt;0.1,"Oper. Ineficiente",IF(VLOOKUP(BO263,Fundamentus!A:U,16,FALSE)&gt;0.1,"Oper.Eficiente","n/a"))</f>
        <v>Oper. Ineficiente</v>
      </c>
      <c r="ET263" s="34">
        <f>VLOOKUP(BO263,Fundamentus!A:U,14,FALSE)</f>
        <v>-4.48E-2</v>
      </c>
      <c r="EU263" s="17" t="str">
        <f>IF(VLOOKUP(BO263,Fundamentus!A:U,21,FALSE)&lt;0,"Negativo",IF(VLOOKUP(BO263,Fundamentus!A:U,21,FALSE)&lt;0.05,"Fraco",IF(VLOOKUP(BO263,Fundamentus!A:U,21,FALSE)&lt;0.1,"Bom",IF(VLOOKUP(BO263,Fundamentus!A:U,21,FALSE)&gt;0.1,"Muito bom","n/a"))))</f>
        <v>Bom</v>
      </c>
      <c r="EW263" s="29" t="str">
        <f>IF(VLOOKUP(BO263,Fundamentus!A:U,15,FALSE)&gt;1,"Bom",IF(VLOOKUP(BO263,Fundamentus!A:U,15,FALSE)&lt;1,"Ruim","n/a"))</f>
        <v>Ruim</v>
      </c>
      <c r="EX263" s="17" t="str">
        <f>IF(VLOOKUP(BO263,Fundamentus!A:U,20,FALSE)&lt;0.5,"Baixa",IF(VLOOKUP(BO263,Fundamentus!A:U,20,FALSE)&lt;1,"Moderada",IF(VLOOKUP(BO263,Fundamentus!A:U,20,FALSE)&lt;2,"Alerta",IF(VLOOKUP(BO263,Fundamentus!A:U,20,FALSE)&gt;2,"Alta","n/a"))))</f>
        <v>Baixa</v>
      </c>
    </row>
    <row r="264" spans="1:154" s="2" customFormat="1" ht="11.25"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5">
        <v>2.12</v>
      </c>
      <c r="BC264" s="52">
        <v>2.16</v>
      </c>
      <c r="BD264" s="52">
        <v>2.11</v>
      </c>
      <c r="BE264" s="52">
        <v>2.2200000000000002</v>
      </c>
      <c r="BF264" s="52">
        <v>2.15</v>
      </c>
      <c r="BG264" s="67">
        <v>1.92</v>
      </c>
      <c r="BH264" s="52">
        <v>1.88</v>
      </c>
      <c r="BI264" s="52">
        <v>1.82</v>
      </c>
      <c r="BJ264" s="52">
        <v>1.7</v>
      </c>
      <c r="BK264" s="52">
        <v>1.67</v>
      </c>
      <c r="BL264" s="52">
        <v>1.64</v>
      </c>
      <c r="BM264" s="52">
        <v>1.71</v>
      </c>
      <c r="BN264" s="52" cm="1">
        <f t="array" aca="1" ref="BN264" ca="1">_FV(EB264,"Preço")</f>
        <v>1.71</v>
      </c>
      <c r="BO264" s="69" t="s">
        <v>260</v>
      </c>
      <c r="BP264" s="36" cm="1">
        <f t="array" aca="1" ref="BP264" ca="1">_FV(EB264,"Média de volume",TRUE)</f>
        <v>213350</v>
      </c>
      <c r="BQ264" s="36">
        <v>118200</v>
      </c>
      <c r="BR264" s="36" cm="1">
        <f t="array" aca="1" ref="BR264" ca="1">_FV(EB264,"Volume")</f>
        <v>118200</v>
      </c>
      <c r="BS264" s="24" cm="1">
        <f t="array" aca="1" ref="BS264" ca="1">_FV(EB264,"Beta")</f>
        <v>1.3065</v>
      </c>
      <c r="BT264" s="71" cm="1">
        <f t="array" aca="1" ref="BT264" ca="1">_FV(EB264,"Variação (%)",TRUE)</f>
        <v>3.6364E-2</v>
      </c>
      <c r="BV264" s="17" cm="1">
        <f t="array" aca="1" ref="BV264" ca="1">_FV(EB264,"Baixo")</f>
        <v>1.64</v>
      </c>
      <c r="BW264" s="17" cm="1">
        <f t="array" aca="1" ref="BW264" ca="1">_FV(EB264,"Alto")</f>
        <v>1.71</v>
      </c>
      <c r="BX264" s="24"/>
      <c r="BY264" s="63">
        <f ca="1">SQRT(22.5*(BN264/VLOOKUP(BO264,Fundamentus!A:U,3,FALSE))*(BN264/VLOOKUP(BO264,Fundamentus!A:U,4,FALSE)))</f>
        <v>216.78206633786451</v>
      </c>
      <c r="CA264" s="62">
        <f t="shared" ca="1" si="308"/>
        <v>0</v>
      </c>
      <c r="CB264" s="8"/>
      <c r="CC264" s="61">
        <f t="shared" si="309"/>
        <v>0.97</v>
      </c>
      <c r="CD264" s="61">
        <f t="shared" si="310"/>
        <v>2.73</v>
      </c>
      <c r="CE264" s="61">
        <f t="shared" si="311"/>
        <v>1.7244615384615385</v>
      </c>
      <c r="CF264" s="14"/>
      <c r="CG264" s="35">
        <f t="shared" si="285"/>
        <v>1.6252277442494834</v>
      </c>
      <c r="CH264" s="15">
        <f t="shared" si="312"/>
        <v>1.68</v>
      </c>
      <c r="CI264" s="35">
        <f t="shared" si="286"/>
        <v>1.7347722557505165</v>
      </c>
      <c r="CK264" s="14"/>
      <c r="CL264" s="17">
        <f t="shared" si="287"/>
        <v>-0.92999999999999994</v>
      </c>
      <c r="CM264" s="17">
        <f t="shared" si="288"/>
        <v>2.0000000000000018E-2</v>
      </c>
      <c r="CN264" s="17">
        <f t="shared" si="289"/>
        <v>0.83000000000000007</v>
      </c>
      <c r="CO264" s="38">
        <f t="shared" si="313"/>
        <v>1.78</v>
      </c>
      <c r="CP264" s="17">
        <f t="shared" si="290"/>
        <v>2.59</v>
      </c>
      <c r="CQ264" s="17">
        <f t="shared" si="291"/>
        <v>3.54</v>
      </c>
      <c r="CR264" s="17">
        <f t="shared" si="292"/>
        <v>4.3499999999999996</v>
      </c>
      <c r="CS264" s="2" cm="1">
        <f t="array" aca="1" ref="CS264" ca="1">MAX(_xlfn._xlws.FILTER(CL264:CR264,CL264:CR264&lt;BN264))</f>
        <v>0.83000000000000007</v>
      </c>
      <c r="CT264" s="2" cm="1">
        <f t="array" aca="1" ref="CT264" ca="1">MIN(_xlfn._xlws.FILTER($CL264:$CR264,$CL264:$CR264&gt;BN264))</f>
        <v>1.78</v>
      </c>
      <c r="CU264" s="16">
        <f t="shared" ca="1" si="293"/>
        <v>1.1445783132530121</v>
      </c>
      <c r="CV264" s="20">
        <f t="shared" ca="1" si="294"/>
        <v>-0.57228915662650603</v>
      </c>
      <c r="CW264" s="20">
        <f t="shared" ca="1" si="295"/>
        <v>-0.38152610441767071</v>
      </c>
      <c r="CX264" s="20">
        <f t="shared" ca="1" si="296"/>
        <v>-0.22891566265060243</v>
      </c>
      <c r="CY264" s="20">
        <f t="shared" ca="1" si="297"/>
        <v>-0.12717536813922356</v>
      </c>
      <c r="CZ264" s="20">
        <f t="shared" ref="CZ264:CZ271" ca="1" si="315">-$CU264/17</f>
        <v>-6.7328136073706593E-2</v>
      </c>
      <c r="DA264" s="20">
        <f t="shared" ref="DA264:DA271" ca="1" si="316">-$CU264/33</f>
        <v>-3.4684191310697332E-2</v>
      </c>
      <c r="DB264" s="20">
        <f t="shared" ref="DB264:DB271" ca="1" si="317">-$CU264/65</f>
        <v>-1.7608897126969416E-2</v>
      </c>
      <c r="DC264" s="21">
        <f t="shared" ref="DC264:DC271" ca="1" si="318">-$CU264/65*-1</f>
        <v>1.7608897126969416E-2</v>
      </c>
      <c r="DD264" s="21">
        <f t="shared" ref="DD264:DD271" ca="1" si="319">-$CU264/33*-1</f>
        <v>3.4684191310697332E-2</v>
      </c>
      <c r="DE264" s="21">
        <f t="shared" ref="DE264:DE271" ca="1" si="320">-$CU264/17*-1</f>
        <v>6.7328136073706593E-2</v>
      </c>
      <c r="DF264" s="21">
        <f t="shared" ca="1" si="298"/>
        <v>0.12717536813922356</v>
      </c>
      <c r="DG264" s="21">
        <f t="shared" ca="1" si="299"/>
        <v>0.22891566265060243</v>
      </c>
      <c r="DH264" s="21">
        <f t="shared" ca="1" si="300"/>
        <v>0.38152610441767071</v>
      </c>
      <c r="DI264" s="21">
        <f t="shared" ca="1" si="301"/>
        <v>0.57228915662650603</v>
      </c>
      <c r="DK264" s="16" cm="1">
        <f t="array" aca="1" ref="DK264" ca="1">MAX(_xlfn._xlws.FILTER(CV264:DI264,CV264:DI264&lt;BT264))</f>
        <v>3.4684191310697332E-2</v>
      </c>
      <c r="DL264" s="16" cm="1">
        <f t="array" aca="1" ref="DL264" ca="1">MIN(_xlfn._xlws.FILTER(CV264:DI264,CV264:DI264&gt;BT264))</f>
        <v>6.7328136073706593E-2</v>
      </c>
      <c r="DM264" s="2" cm="1">
        <f t="array" aca="1" ref="DM264" ca="1">_FV(EB264,"Fechamento anterior",TRUE)</f>
        <v>1.65</v>
      </c>
      <c r="DN264" s="28">
        <f t="shared" ca="1" si="302"/>
        <v>5.1447368421052783E-2</v>
      </c>
      <c r="DO264" s="15">
        <f t="shared" ca="1" si="283"/>
        <v>1.7072289156626506</v>
      </c>
      <c r="DP264" s="15">
        <f t="shared" ca="1" si="284"/>
        <v>1.7610914245216158</v>
      </c>
      <c r="DQ264" s="9"/>
      <c r="DR264" s="9"/>
      <c r="DS264" s="9"/>
      <c r="DT264" s="89">
        <v>3.2643944763009261E-2</v>
      </c>
      <c r="DU264" s="89">
        <f t="shared" ca="1" si="303"/>
        <v>3.2643944763009261E-2</v>
      </c>
      <c r="DV264" s="72">
        <f t="shared" ca="1" si="304"/>
        <v>0.54772255750516685</v>
      </c>
      <c r="DW264" s="37"/>
      <c r="DX264" s="35">
        <f t="shared" si="314"/>
        <v>2.7386127875258331E-2</v>
      </c>
      <c r="DY264" s="56"/>
      <c r="DZ264" s="56"/>
      <c r="EB264" s="2" t="e" vm="266">
        <v>#VALUE!</v>
      </c>
      <c r="ED264" s="10" cm="1">
        <f t="array" aca="1" ref="ED264" ca="1">_FV(EB264,"Ações em circulação",TRUE)</f>
        <v>511363900</v>
      </c>
      <c r="EE264" s="18">
        <f>VLOOKUP(BO264,Fundamentus!A:U,5,FALSE)</f>
        <v>0.25600000000000001</v>
      </c>
      <c r="EF264" s="2">
        <f t="shared" ca="1" si="305"/>
        <v>3415751050.78125</v>
      </c>
      <c r="EG264" s="17">
        <v>-12864401607.452343</v>
      </c>
      <c r="EH264" s="17">
        <f t="shared" ca="1" si="306"/>
        <v>-12864401607.452343</v>
      </c>
      <c r="EJ264" s="16">
        <f t="shared" ca="1" si="282"/>
        <v>0</v>
      </c>
      <c r="EK264" s="32" t="str">
        <f>IF(VLOOKUP(BO264,Fundamentus!A:U,3,FALSE)&lt;15,"Bom",IF(VLOOKUP(BO264,Fundamentus!A:U,3,FALSE)&gt;15,"Ruim","n/a"))</f>
        <v>Bom</v>
      </c>
      <c r="EL264" s="28" t="str">
        <f>IF(VLOOKUP(BO264,Fundamentus!A:U,4,FALSE)&lt;1,"Baixo",IF(VLOOKUP(BO264,Fundamentus!A:U,4,FALSE)&lt;1.5,"Moderado",IF(VLOOKUP(BO264,Fundamentus!A:U,4,FALSE)&gt;1.5,"Alto","n/a")))</f>
        <v>Baixo</v>
      </c>
      <c r="EM264" s="17" t="str">
        <f>IF(VLOOKUP(BO264,Fundamentus!A:U,8,FALSE)&lt;0,"Risco elevado",IF(VLOOKUP(BO264,Fundamentus!A:U,8,FALSE)&lt;1,"Saudável",IF(VLOOKUP(BO264,Fundamentus!A:U,8,FALSE)&lt;3,"Estável",IF(VLOOKUP(BO264,Fundamentus!A:U,8,FALSE)&gt;3,"Alerta","n/a"))))</f>
        <v>Risco elevado</v>
      </c>
      <c r="EN264" s="28" t="str">
        <f t="shared" si="307"/>
        <v>Ruim</v>
      </c>
      <c r="EO264" s="17" t="str">
        <f>IF(VLOOKUP(BO264,Fundamentus!A:U,12,FALSE)&lt;2,"Subvalorizada",IF(VLOOKUP(BO264,Fundamentus!A:U,12,FALSE)&lt;6,"Muita barata",IF(VLOOKUP(BO264,Fundamentus!A:U,12,FALSE)&lt;6,"Barata",IF(VLOOKUP(BO264,Fundamentus!A:U,12,FALSE)&lt;8,"Atrativa",IF(VLOOKUP(BO264,Fundamentus!A:U,12,FALSE)&gt;8,"Supervalorizada","n/a")))))</f>
        <v>Subvalorizada</v>
      </c>
      <c r="EQ264" s="17" t="str">
        <f>IF(VLOOKUP(BO264,Fundamentus!A:U,17,FALSE)&lt;0.1,"Fraco retorno",IF(VLOOKUP(BO264,Fundamentus!A:U,17,FALSE)&gt;0.1,"Bom retorno","n/a"))</f>
        <v>Bom retorno</v>
      </c>
      <c r="ER264" s="17" t="str">
        <f>IF(VLOOKUP(BO264,Fundamentus!A:U,16,FALSE)&lt;0.1,"Ineficiente",IF(VLOOKUP(BO264,Fundamentus!A:U,16,FALSE)&gt;0.1,"Eficiente","n/a"))</f>
        <v>Ineficiente</v>
      </c>
      <c r="ES264" s="33" t="str">
        <f>IF(VLOOKUP(BO264,Fundamentus!A:U,16,FALSE)&lt;0.1,"Oper. Ineficiente",IF(VLOOKUP(BO264,Fundamentus!A:U,16,FALSE)&gt;0.1,"Oper.Eficiente","n/a"))</f>
        <v>Oper. Ineficiente</v>
      </c>
      <c r="ET264" s="34">
        <f>VLOOKUP(BO264,Fundamentus!A:U,14,FALSE)</f>
        <v>-3.7662</v>
      </c>
      <c r="EU264" s="17" t="str">
        <f>IF(VLOOKUP(BO264,Fundamentus!A:U,21,FALSE)&lt;0,"Negativo",IF(VLOOKUP(BO264,Fundamentus!A:U,21,FALSE)&lt;0.05,"Fraco",IF(VLOOKUP(BO264,Fundamentus!A:U,21,FALSE)&lt;0.1,"Bom",IF(VLOOKUP(BO264,Fundamentus!A:U,21,FALSE)&gt;0.1,"Muito bom","n/a"))))</f>
        <v>Negativo</v>
      </c>
      <c r="EW264" s="29" t="str">
        <f>IF(VLOOKUP(BO264,Fundamentus!A:U,15,FALSE)&gt;1,"Bom",IF(VLOOKUP(BO264,Fundamentus!A:U,15,FALSE)&lt;1,"Ruim","n/a"))</f>
        <v>Ruim</v>
      </c>
      <c r="EX264" s="17" t="str">
        <f>IF(VLOOKUP(BO264,Fundamentus!A:U,20,FALSE)&lt;0.5,"Baixa",IF(VLOOKUP(BO264,Fundamentus!A:U,20,FALSE)&lt;1,"Moderada",IF(VLOOKUP(BO264,Fundamentus!A:U,20,FALSE)&lt;2,"Alerta",IF(VLOOKUP(BO264,Fundamentus!A:U,20,FALSE)&gt;2,"Alta","n/a"))))</f>
        <v>Baixa</v>
      </c>
    </row>
    <row r="265" spans="1:154" s="2" customFormat="1" ht="11.25"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5">
        <v>6.37</v>
      </c>
      <c r="BC265" s="52">
        <v>6.19</v>
      </c>
      <c r="BD265" s="52">
        <v>6.04</v>
      </c>
      <c r="BE265" s="52">
        <v>6.01</v>
      </c>
      <c r="BF265" s="52">
        <v>5.99</v>
      </c>
      <c r="BG265" s="67">
        <v>6.01</v>
      </c>
      <c r="BH265" s="52">
        <v>5.91</v>
      </c>
      <c r="BI265" s="52">
        <v>6.07</v>
      </c>
      <c r="BJ265" s="52">
        <v>6.07</v>
      </c>
      <c r="BK265" s="52">
        <v>6.07</v>
      </c>
      <c r="BL265" s="52">
        <v>6.03</v>
      </c>
      <c r="BM265" s="52">
        <v>5.98</v>
      </c>
      <c r="BN265" s="52" cm="1">
        <f t="array" aca="1" ref="BN265" ca="1">_FV(EB265,"Preço")</f>
        <v>5.98</v>
      </c>
      <c r="BO265" s="69" t="s">
        <v>261</v>
      </c>
      <c r="BP265" s="36" cm="1">
        <f t="array" aca="1" ref="BP265" ca="1">_FV(EB265,"Média de volume",TRUE)</f>
        <v>8820</v>
      </c>
      <c r="BQ265" s="36">
        <v>9500</v>
      </c>
      <c r="BR265" s="36" cm="1">
        <f t="array" aca="1" ref="BR265" ca="1">_FV(EB265,"Volume")</f>
        <v>9500</v>
      </c>
      <c r="BS265" s="24" cm="1">
        <f t="array" aca="1" ref="BS265" ca="1">_FV(EB265,"Beta")</f>
        <v>1.4542999999999999</v>
      </c>
      <c r="BT265" s="71" cm="1">
        <f t="array" aca="1" ref="BT265" ca="1">_FV(EB265,"Variação (%)",TRUE)</f>
        <v>1.6750000000000001E-3</v>
      </c>
      <c r="BV265" s="17" cm="1">
        <f t="array" aca="1" ref="BV265" ca="1">_FV(EB265,"Baixo")</f>
        <v>5.93</v>
      </c>
      <c r="BW265" s="17" cm="1">
        <f t="array" aca="1" ref="BW265" ca="1">_FV(EB265,"Alto")</f>
        <v>6</v>
      </c>
      <c r="BX265" s="24"/>
      <c r="BY265" s="63" t="e">
        <f ca="1">SQRT(22.5*(BN265/VLOOKUP(BO265,Fundamentus!A:U,3,FALSE))*(BN265/VLOOKUP(BO265,Fundamentus!A:U,4,FALSE)))</f>
        <v>#NUM!</v>
      </c>
      <c r="CA265" s="62">
        <f t="shared" ca="1" si="308"/>
        <v>0</v>
      </c>
      <c r="CB265" s="8"/>
      <c r="CC265" s="61">
        <f t="shared" si="309"/>
        <v>5.53</v>
      </c>
      <c r="CD265" s="61">
        <f t="shared" si="310"/>
        <v>17.3</v>
      </c>
      <c r="CE265" s="61">
        <f t="shared" si="311"/>
        <v>9.5543846153846186</v>
      </c>
      <c r="CF265" s="14"/>
      <c r="CG265" s="35">
        <f t="shared" si="285"/>
        <v>5.8860067570652648</v>
      </c>
      <c r="CH265" s="15">
        <f t="shared" si="312"/>
        <v>5.960000000000008</v>
      </c>
      <c r="CI265" s="35">
        <f t="shared" si="286"/>
        <v>6.0339932429347511</v>
      </c>
      <c r="CK265" s="14"/>
      <c r="CL265" s="17">
        <f t="shared" si="287"/>
        <v>-9.8299999999999983</v>
      </c>
      <c r="CM265" s="17">
        <f t="shared" si="288"/>
        <v>-2.1499999999999986</v>
      </c>
      <c r="CN265" s="17">
        <f t="shared" si="289"/>
        <v>1.9400000000000013</v>
      </c>
      <c r="CO265" s="38">
        <f t="shared" si="313"/>
        <v>9.620000000000001</v>
      </c>
      <c r="CP265" s="17">
        <f t="shared" si="290"/>
        <v>13.71</v>
      </c>
      <c r="CQ265" s="17">
        <f t="shared" si="291"/>
        <v>21.39</v>
      </c>
      <c r="CR265" s="17">
        <f t="shared" si="292"/>
        <v>25.480000000000004</v>
      </c>
      <c r="CS265" s="2" cm="1">
        <f t="array" aca="1" ref="CS265" ca="1">MAX(_xlfn._xlws.FILTER(CL265:CR265,CL265:CR265&lt;BN265))</f>
        <v>1.9400000000000013</v>
      </c>
      <c r="CT265" s="2" cm="1">
        <f t="array" aca="1" ref="CT265" ca="1">MIN(_xlfn._xlws.FILTER($CL265:$CR265,$CL265:$CR265&gt;BN265))</f>
        <v>9.620000000000001</v>
      </c>
      <c r="CU265" s="16">
        <f t="shared" ca="1" si="293"/>
        <v>3.9587628865979356</v>
      </c>
      <c r="CV265" s="20">
        <f t="shared" ca="1" si="294"/>
        <v>-1.9793814432989678</v>
      </c>
      <c r="CW265" s="20">
        <f t="shared" ca="1" si="295"/>
        <v>-1.3195876288659785</v>
      </c>
      <c r="CX265" s="20">
        <f t="shared" ca="1" si="296"/>
        <v>-0.79175257731958715</v>
      </c>
      <c r="CY265" s="20">
        <f t="shared" ca="1" si="297"/>
        <v>-0.43986254295532617</v>
      </c>
      <c r="CZ265" s="20">
        <f t="shared" ca="1" si="315"/>
        <v>-0.2328684050939962</v>
      </c>
      <c r="DA265" s="20">
        <f t="shared" ca="1" si="316"/>
        <v>-0.11996251171508895</v>
      </c>
      <c r="DB265" s="20">
        <f t="shared" ca="1" si="317"/>
        <v>-6.0904044409199012E-2</v>
      </c>
      <c r="DC265" s="21">
        <f t="shared" ca="1" si="318"/>
        <v>6.0904044409199012E-2</v>
      </c>
      <c r="DD265" s="21">
        <f t="shared" ca="1" si="319"/>
        <v>0.11996251171508895</v>
      </c>
      <c r="DE265" s="21">
        <f t="shared" ca="1" si="320"/>
        <v>0.2328684050939962</v>
      </c>
      <c r="DF265" s="21">
        <f t="shared" ca="1" si="298"/>
        <v>0.43986254295532617</v>
      </c>
      <c r="DG265" s="21">
        <f t="shared" ca="1" si="299"/>
        <v>0.79175257731958715</v>
      </c>
      <c r="DH265" s="21">
        <f t="shared" ca="1" si="300"/>
        <v>1.3195876288659785</v>
      </c>
      <c r="DI265" s="21">
        <f t="shared" ca="1" si="301"/>
        <v>1.9793814432989678</v>
      </c>
      <c r="DK265" s="16" cm="1">
        <f t="array" aca="1" ref="DK265" ca="1">MAX(_xlfn._xlws.FILTER(CV265:DI265,CV265:DI265&lt;BT265))</f>
        <v>-6.0904044409199012E-2</v>
      </c>
      <c r="DL265" s="16" cm="1">
        <f t="array" aca="1" ref="DL265" ca="1">MIN(_xlfn._xlws.FILTER(CV265:DI265,CV265:DI265&gt;BT265))</f>
        <v>6.0904044409199012E-2</v>
      </c>
      <c r="DM265" s="2" cm="1">
        <f t="array" aca="1" ref="DM265" ca="1">_FV(EB265,"Fechamento anterior",TRUE)</f>
        <v>5.97</v>
      </c>
      <c r="DN265" s="28">
        <f t="shared" ca="1" si="302"/>
        <v>0.51375148310999541</v>
      </c>
      <c r="DO265" s="15">
        <f t="shared" ca="1" si="283"/>
        <v>5.6064028548770821</v>
      </c>
      <c r="DP265" s="15">
        <f t="shared" ca="1" si="284"/>
        <v>6.3335971451229174</v>
      </c>
      <c r="DQ265" s="9"/>
      <c r="DR265" s="9"/>
      <c r="DS265" s="9"/>
      <c r="DT265" s="89">
        <v>0.12180808881839802</v>
      </c>
      <c r="DU265" s="89">
        <f t="shared" ca="1" si="303"/>
        <v>0.12180808881839802</v>
      </c>
      <c r="DV265" s="72">
        <f t="shared" ca="1" si="304"/>
        <v>0.2702949513596945</v>
      </c>
      <c r="DW265" s="37"/>
      <c r="DX265" s="35">
        <f t="shared" si="314"/>
        <v>3.6996621467371801E-2</v>
      </c>
      <c r="DY265" s="56"/>
      <c r="DZ265" s="56"/>
      <c r="EB265" s="2" t="e" vm="267">
        <v>#VALUE!</v>
      </c>
      <c r="ED265" s="10" cm="1">
        <f t="array" aca="1" ref="ED265" ca="1">_FV(EB265,"Ações em circulação",TRUE)</f>
        <v>114333800</v>
      </c>
      <c r="EE265" s="18">
        <f>VLOOKUP(BO265,Fundamentus!A:U,5,FALSE)</f>
        <v>0.60599999999999998</v>
      </c>
      <c r="EF265" s="2">
        <f t="shared" ca="1" si="305"/>
        <v>1128244429.0429044</v>
      </c>
      <c r="EG265" s="17">
        <v>-9364428.7610561065</v>
      </c>
      <c r="EH265" s="17">
        <f t="shared" ca="1" si="306"/>
        <v>-9364428.7610561065</v>
      </c>
      <c r="EJ265" s="16">
        <f t="shared" ca="1" si="282"/>
        <v>0</v>
      </c>
      <c r="EK265" s="32" t="str">
        <f>IF(VLOOKUP(BO265,Fundamentus!A:U,3,FALSE)&lt;15,"Bom",IF(VLOOKUP(BO265,Fundamentus!A:U,3,FALSE)&gt;15,"Ruim","n/a"))</f>
        <v>Bom</v>
      </c>
      <c r="EL265" s="28" t="str">
        <f>IF(VLOOKUP(BO265,Fundamentus!A:U,4,FALSE)&lt;1,"Baixo",IF(VLOOKUP(BO265,Fundamentus!A:U,4,FALSE)&lt;1.5,"Moderado",IF(VLOOKUP(BO265,Fundamentus!A:U,4,FALSE)&gt;1.5,"Alto","n/a")))</f>
        <v>Baixo</v>
      </c>
      <c r="EM265" s="17" t="str">
        <f>IF(VLOOKUP(BO265,Fundamentus!A:U,8,FALSE)&lt;0,"Risco elevado",IF(VLOOKUP(BO265,Fundamentus!A:U,8,FALSE)&lt;1,"Saudável",IF(VLOOKUP(BO265,Fundamentus!A:U,8,FALSE)&lt;3,"Estável",IF(VLOOKUP(BO265,Fundamentus!A:U,8,FALSE)&gt;3,"Alerta","n/a"))))</f>
        <v>Alerta</v>
      </c>
      <c r="EN265" s="28" t="str">
        <f t="shared" si="307"/>
        <v>Ruim</v>
      </c>
      <c r="EO265" s="17" t="str">
        <f>IF(VLOOKUP(BO265,Fundamentus!A:U,12,FALSE)&lt;2,"Subvalorizada",IF(VLOOKUP(BO265,Fundamentus!A:U,12,FALSE)&lt;6,"Muita barata",IF(VLOOKUP(BO265,Fundamentus!A:U,12,FALSE)&lt;6,"Barata",IF(VLOOKUP(BO265,Fundamentus!A:U,12,FALSE)&lt;8,"Atrativa",IF(VLOOKUP(BO265,Fundamentus!A:U,12,FALSE)&gt;8,"Supervalorizada","n/a")))))</f>
        <v>Muita barata</v>
      </c>
      <c r="EQ265" s="17" t="str">
        <f>IF(VLOOKUP(BO265,Fundamentus!A:U,17,FALSE)&lt;0.1,"Fraco retorno",IF(VLOOKUP(BO265,Fundamentus!A:U,17,FALSE)&gt;0.1,"Bom retorno","n/a"))</f>
        <v>Fraco retorno</v>
      </c>
      <c r="ER265" s="17" t="str">
        <f>IF(VLOOKUP(BO265,Fundamentus!A:U,16,FALSE)&lt;0.1,"Ineficiente",IF(VLOOKUP(BO265,Fundamentus!A:U,16,FALSE)&gt;0.1,"Eficiente","n/a"))</f>
        <v>Ineficiente</v>
      </c>
      <c r="ES265" s="33" t="str">
        <f>IF(VLOOKUP(BO265,Fundamentus!A:U,16,FALSE)&lt;0.1,"Oper. Ineficiente",IF(VLOOKUP(BO265,Fundamentus!A:U,16,FALSE)&gt;0.1,"Oper.Eficiente","n/a"))</f>
        <v>Oper. Ineficiente</v>
      </c>
      <c r="ET265" s="34">
        <f>VLOOKUP(BO265,Fundamentus!A:U,14,FALSE)</f>
        <v>-8.3000000000000001E-3</v>
      </c>
      <c r="EU265" s="17" t="str">
        <f>IF(VLOOKUP(BO265,Fundamentus!A:U,21,FALSE)&lt;0,"Negativo",IF(VLOOKUP(BO265,Fundamentus!A:U,21,FALSE)&lt;0.05,"Fraco",IF(VLOOKUP(BO265,Fundamentus!A:U,21,FALSE)&lt;0.1,"Bom",IF(VLOOKUP(BO265,Fundamentus!A:U,21,FALSE)&gt;0.1,"Muito bom","n/a"))))</f>
        <v>Muito bom</v>
      </c>
      <c r="EW265" s="29" t="str">
        <f>IF(VLOOKUP(BO265,Fundamentus!A:U,15,FALSE)&gt;1,"Bom",IF(VLOOKUP(BO265,Fundamentus!A:U,15,FALSE)&lt;1,"Ruim","n/a"))</f>
        <v>Bom</v>
      </c>
      <c r="EX265" s="17" t="str">
        <f>IF(VLOOKUP(BO265,Fundamentus!A:U,20,FALSE)&lt;0.5,"Baixa",IF(VLOOKUP(BO265,Fundamentus!A:U,20,FALSE)&lt;1,"Moderada",IF(VLOOKUP(BO265,Fundamentus!A:U,20,FALSE)&lt;2,"Alerta",IF(VLOOKUP(BO265,Fundamentus!A:U,20,FALSE)&gt;2,"Alta","n/a"))))</f>
        <v>Baixa</v>
      </c>
    </row>
    <row r="266" spans="1:154" s="2" customFormat="1" ht="11.25"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5">
        <v>5.97</v>
      </c>
      <c r="BC266" s="52">
        <v>5.95</v>
      </c>
      <c r="BD266" s="52">
        <v>5.13</v>
      </c>
      <c r="BE266" s="52">
        <v>5.21</v>
      </c>
      <c r="BF266" s="52">
        <v>5.0999999999999996</v>
      </c>
      <c r="BG266" s="67">
        <v>5.08</v>
      </c>
      <c r="BH266" s="52">
        <v>4.53</v>
      </c>
      <c r="BI266" s="52">
        <v>4.03</v>
      </c>
      <c r="BJ266" s="52">
        <v>3.99</v>
      </c>
      <c r="BK266" s="52">
        <v>4.05</v>
      </c>
      <c r="BL266" s="52">
        <v>4.0199999999999996</v>
      </c>
      <c r="BM266" s="52">
        <v>4.05</v>
      </c>
      <c r="BN266" s="52" cm="1">
        <f t="array" aca="1" ref="BN266" ca="1">_FV(EB266,"Preço")</f>
        <v>4.05</v>
      </c>
      <c r="BO266" s="69" t="s">
        <v>262</v>
      </c>
      <c r="BP266" s="36" cm="1">
        <f t="array" aca="1" ref="BP266" ca="1">_FV(EB266,"Média de volume",TRUE)</f>
        <v>3950</v>
      </c>
      <c r="BQ266" s="36">
        <v>1100</v>
      </c>
      <c r="BR266" s="36" cm="1">
        <f t="array" aca="1" ref="BR266" ca="1">_FV(EB266,"Volume")</f>
        <v>1100</v>
      </c>
      <c r="BS266" s="24" cm="1">
        <f t="array" aca="1" ref="BS266" ca="1">_FV(EB266,"Beta")</f>
        <v>1.2130000000000001</v>
      </c>
      <c r="BT266" s="71" cm="1">
        <f t="array" aca="1" ref="BT266" ca="1">_FV(EB266,"Variação (%)",TRUE)</f>
        <v>2.4749999999999998E-3</v>
      </c>
      <c r="BV266" s="17" cm="1">
        <f t="array" aca="1" ref="BV266" ca="1">_FV(EB266,"Baixo")</f>
        <v>4.03</v>
      </c>
      <c r="BW266" s="17" cm="1">
        <f t="array" aca="1" ref="BW266" ca="1">_FV(EB266,"Alto")</f>
        <v>4.05</v>
      </c>
      <c r="BX266" s="24"/>
      <c r="BY266" s="63" t="e">
        <f ca="1">SQRT(22.5*(BN266/VLOOKUP(BO266,Fundamentus!A:U,3,FALSE))*(BN266/VLOOKUP(BO266,Fundamentus!A:U,4,FALSE)))</f>
        <v>#NUM!</v>
      </c>
      <c r="CA266" s="62">
        <f t="shared" ca="1" si="308"/>
        <v>0</v>
      </c>
      <c r="CB266" s="8"/>
      <c r="CC266" s="61">
        <f t="shared" si="309"/>
        <v>3.99</v>
      </c>
      <c r="CD266" s="61">
        <f t="shared" si="310"/>
        <v>17.399999999999999</v>
      </c>
      <c r="CE266" s="61">
        <f t="shared" si="311"/>
        <v>8.7583846153846157</v>
      </c>
      <c r="CF266" s="14"/>
      <c r="CG266" s="35">
        <f t="shared" si="285"/>
        <v>4.0152506281446669</v>
      </c>
      <c r="CH266" s="15">
        <f t="shared" si="312"/>
        <v>4.0649999999999977</v>
      </c>
      <c r="CI266" s="35">
        <f t="shared" si="286"/>
        <v>4.1147493718553285</v>
      </c>
      <c r="CK266" s="14"/>
      <c r="CL266" s="17">
        <f t="shared" si="287"/>
        <v>-13.869999999999996</v>
      </c>
      <c r="CM266" s="17">
        <f t="shared" si="288"/>
        <v>-4.9399999999999977</v>
      </c>
      <c r="CN266" s="17">
        <f t="shared" si="289"/>
        <v>-0.4599999999999973</v>
      </c>
      <c r="CO266" s="38">
        <f t="shared" si="313"/>
        <v>8.4700000000000006</v>
      </c>
      <c r="CP266" s="17">
        <f t="shared" si="290"/>
        <v>12.950000000000001</v>
      </c>
      <c r="CQ266" s="17">
        <f t="shared" si="291"/>
        <v>21.88</v>
      </c>
      <c r="CR266" s="17">
        <f t="shared" si="292"/>
        <v>26.36</v>
      </c>
      <c r="CS266" s="2" cm="1">
        <f t="array" aca="1" ref="CS266" ca="1">MAX(_xlfn._xlws.FILTER(CL266:CR266,CL266:CR266&lt;BN266))</f>
        <v>-0.4599999999999973</v>
      </c>
      <c r="CT266" s="2" cm="1">
        <f t="array" aca="1" ref="CT266" ca="1">MIN(_xlfn._xlws.FILTER($CL266:$CR266,$CL266:$CR266&gt;BN266))</f>
        <v>8.4700000000000006</v>
      </c>
      <c r="CU266" s="16">
        <f t="shared" ca="1" si="293"/>
        <v>-19.413043478260978</v>
      </c>
      <c r="CV266" s="20">
        <f t="shared" ca="1" si="294"/>
        <v>9.7065217391304888</v>
      </c>
      <c r="CW266" s="20">
        <f t="shared" ca="1" si="295"/>
        <v>6.4710144927536595</v>
      </c>
      <c r="CX266" s="20">
        <f t="shared" ca="1" si="296"/>
        <v>3.8826086956521957</v>
      </c>
      <c r="CY266" s="20">
        <f t="shared" ca="1" si="297"/>
        <v>2.1570048309178862</v>
      </c>
      <c r="CZ266" s="20">
        <f t="shared" ca="1" si="315"/>
        <v>1.1419437340153515</v>
      </c>
      <c r="DA266" s="20">
        <f t="shared" ca="1" si="316"/>
        <v>0.58827404479578715</v>
      </c>
      <c r="DB266" s="20">
        <f t="shared" ca="1" si="317"/>
        <v>0.2986622073578612</v>
      </c>
      <c r="DC266" s="21">
        <f t="shared" ca="1" si="318"/>
        <v>-0.2986622073578612</v>
      </c>
      <c r="DD266" s="21">
        <f t="shared" ca="1" si="319"/>
        <v>-0.58827404479578715</v>
      </c>
      <c r="DE266" s="21">
        <f t="shared" ca="1" si="320"/>
        <v>-1.1419437340153515</v>
      </c>
      <c r="DF266" s="21">
        <f t="shared" ca="1" si="298"/>
        <v>-2.1570048309178862</v>
      </c>
      <c r="DG266" s="21">
        <f t="shared" ca="1" si="299"/>
        <v>-3.8826086956521957</v>
      </c>
      <c r="DH266" s="21">
        <f t="shared" ca="1" si="300"/>
        <v>-6.4710144927536595</v>
      </c>
      <c r="DI266" s="21">
        <f t="shared" ca="1" si="301"/>
        <v>-9.7065217391304888</v>
      </c>
      <c r="DK266" s="16" cm="1">
        <f t="array" aca="1" ref="DK266" ca="1">MAX(_xlfn._xlws.FILTER(CV266:DI266,CV266:DI266&lt;BT266))</f>
        <v>-0.2986622073578612</v>
      </c>
      <c r="DL266" s="16" cm="1">
        <f t="array" aca="1" ref="DL266" ca="1">MIN(_xlfn._xlws.FILTER(CV266:DI266,CV266:DI266&gt;BT266))</f>
        <v>0.2986622073578612</v>
      </c>
      <c r="DM266" s="2" cm="1">
        <f t="array" aca="1" ref="DM266" ca="1">_FV(EB266,"Fechamento anterior",TRUE)</f>
        <v>4.04</v>
      </c>
      <c r="DN266" s="28">
        <f t="shared" ca="1" si="302"/>
        <v>0.50414389143281613</v>
      </c>
      <c r="DO266" s="15">
        <f t="shared" ca="1" si="283"/>
        <v>2.8334046822742405</v>
      </c>
      <c r="DP266" s="15">
        <f t="shared" ca="1" si="284"/>
        <v>5.2465953177257596</v>
      </c>
      <c r="DQ266" s="9"/>
      <c r="DR266" s="9"/>
      <c r="DS266" s="9"/>
      <c r="DT266" s="89">
        <v>0.5973244147157224</v>
      </c>
      <c r="DU266" s="89">
        <f t="shared" ca="1" si="303"/>
        <v>0.5973244147157224</v>
      </c>
      <c r="DV266" s="72">
        <f t="shared" ca="1" si="304"/>
        <v>-0.30151134457772272</v>
      </c>
      <c r="DW266" s="37"/>
      <c r="DX266" s="35">
        <f t="shared" si="314"/>
        <v>2.4874685927665372E-2</v>
      </c>
      <c r="DY266" s="56"/>
      <c r="DZ266" s="56"/>
      <c r="EB266" s="2" t="e" vm="268">
        <v>#VALUE!</v>
      </c>
      <c r="ED266" s="10" cm="1">
        <f t="array" aca="1" ref="ED266" ca="1">_FV(EB266,"Ações em circulação",TRUE)</f>
        <v>5783210</v>
      </c>
      <c r="EE266" s="18">
        <f>VLOOKUP(BO266,Fundamentus!A:U,5,FALSE)</f>
        <v>2.4E-2</v>
      </c>
      <c r="EF266" s="2">
        <f t="shared" ca="1" si="305"/>
        <v>975916687.5</v>
      </c>
      <c r="EG266" s="17">
        <v>-25276242.206250001</v>
      </c>
      <c r="EH266" s="17">
        <f t="shared" ca="1" si="306"/>
        <v>-25276242.206250001</v>
      </c>
      <c r="EJ266" s="16">
        <f t="shared" ca="1" si="282"/>
        <v>0</v>
      </c>
      <c r="EK266" s="32" t="str">
        <f>IF(VLOOKUP(BO266,Fundamentus!A:U,3,FALSE)&lt;15,"Bom",IF(VLOOKUP(BO266,Fundamentus!A:U,3,FALSE)&gt;15,"Ruim","n/a"))</f>
        <v>Bom</v>
      </c>
      <c r="EL266" s="28" t="str">
        <f>IF(VLOOKUP(BO266,Fundamentus!A:U,4,FALSE)&lt;1,"Baixo",IF(VLOOKUP(BO266,Fundamentus!A:U,4,FALSE)&lt;1.5,"Moderado",IF(VLOOKUP(BO266,Fundamentus!A:U,4,FALSE)&gt;1.5,"Alto","n/a")))</f>
        <v>Alto</v>
      </c>
      <c r="EM266" s="17" t="str">
        <f>IF(VLOOKUP(BO266,Fundamentus!A:U,8,FALSE)&lt;0,"Risco elevado",IF(VLOOKUP(BO266,Fundamentus!A:U,8,FALSE)&lt;1,"Saudável",IF(VLOOKUP(BO266,Fundamentus!A:U,8,FALSE)&lt;3,"Estável",IF(VLOOKUP(BO266,Fundamentus!A:U,8,FALSE)&gt;3,"Alerta","n/a"))))</f>
        <v>Saudável</v>
      </c>
      <c r="EN266" s="28" t="str">
        <f t="shared" si="307"/>
        <v>Ruim</v>
      </c>
      <c r="EO266" s="17" t="str">
        <f>IF(VLOOKUP(BO266,Fundamentus!A:U,12,FALSE)&lt;2,"Subvalorizada",IF(VLOOKUP(BO266,Fundamentus!A:U,12,FALSE)&lt;6,"Muita barata",IF(VLOOKUP(BO266,Fundamentus!A:U,12,FALSE)&lt;6,"Barata",IF(VLOOKUP(BO266,Fundamentus!A:U,12,FALSE)&lt;8,"Atrativa",IF(VLOOKUP(BO266,Fundamentus!A:U,12,FALSE)&gt;8,"Supervalorizada","n/a")))))</f>
        <v>Atrativa</v>
      </c>
      <c r="EQ266" s="17" t="str">
        <f>IF(VLOOKUP(BO266,Fundamentus!A:U,17,FALSE)&lt;0.1,"Fraco retorno",IF(VLOOKUP(BO266,Fundamentus!A:U,17,FALSE)&gt;0.1,"Bom retorno","n/a"))</f>
        <v>Fraco retorno</v>
      </c>
      <c r="ER266" s="17" t="str">
        <f>IF(VLOOKUP(BO266,Fundamentus!A:U,16,FALSE)&lt;0.1,"Ineficiente",IF(VLOOKUP(BO266,Fundamentus!A:U,16,FALSE)&gt;0.1,"Eficiente","n/a"))</f>
        <v>Eficiente</v>
      </c>
      <c r="ES266" s="33" t="str">
        <f>IF(VLOOKUP(BO266,Fundamentus!A:U,16,FALSE)&lt;0.1,"Oper. Ineficiente",IF(VLOOKUP(BO266,Fundamentus!A:U,16,FALSE)&gt;0.1,"Oper.Eficiente","n/a"))</f>
        <v>Oper.Eficiente</v>
      </c>
      <c r="ET266" s="34">
        <f>VLOOKUP(BO266,Fundamentus!A:U,14,FALSE)</f>
        <v>-2.5899999999999999E-2</v>
      </c>
      <c r="EU266" s="17" t="str">
        <f>IF(VLOOKUP(BO266,Fundamentus!A:U,21,FALSE)&lt;0,"Negativo",IF(VLOOKUP(BO266,Fundamentus!A:U,21,FALSE)&lt;0.05,"Fraco",IF(VLOOKUP(BO266,Fundamentus!A:U,21,FALSE)&lt;0.1,"Bom",IF(VLOOKUP(BO266,Fundamentus!A:U,21,FALSE)&gt;0.1,"Muito bom","n/a"))))</f>
        <v>Bom</v>
      </c>
      <c r="EW266" s="29" t="str">
        <f>IF(VLOOKUP(BO266,Fundamentus!A:U,15,FALSE)&gt;1,"Bom",IF(VLOOKUP(BO266,Fundamentus!A:U,15,FALSE)&lt;1,"Ruim","n/a"))</f>
        <v>Bom</v>
      </c>
      <c r="EX266" s="17" t="str">
        <f>IF(VLOOKUP(BO266,Fundamentus!A:U,20,FALSE)&lt;0.5,"Baixa",IF(VLOOKUP(BO266,Fundamentus!A:U,20,FALSE)&lt;1,"Moderada",IF(VLOOKUP(BO266,Fundamentus!A:U,20,FALSE)&lt;2,"Alerta",IF(VLOOKUP(BO266,Fundamentus!A:U,20,FALSE)&gt;2,"Alta","n/a"))))</f>
        <v>Alta</v>
      </c>
    </row>
    <row r="267" spans="1:154" s="2" customFormat="1" ht="11.25"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5">
        <v>2.63</v>
      </c>
      <c r="BC267" s="52">
        <v>2.88</v>
      </c>
      <c r="BD267" s="52">
        <v>2.79</v>
      </c>
      <c r="BE267" s="52">
        <v>2.72</v>
      </c>
      <c r="BF267" s="52">
        <v>2.6</v>
      </c>
      <c r="BG267" s="67">
        <v>2.5</v>
      </c>
      <c r="BH267" s="52">
        <v>2.41</v>
      </c>
      <c r="BI267" s="52">
        <v>2.33</v>
      </c>
      <c r="BJ267" s="52">
        <v>2.2999999999999998</v>
      </c>
      <c r="BK267" s="52">
        <v>2.12</v>
      </c>
      <c r="BL267" s="52">
        <v>2.0299999999999998</v>
      </c>
      <c r="BM267" s="52">
        <v>1.99</v>
      </c>
      <c r="BN267" s="52" cm="1">
        <f t="array" aca="1" ref="BN267" ca="1">_FV(EB267,"Preço")</f>
        <v>1.99</v>
      </c>
      <c r="BO267" s="69" t="s">
        <v>263</v>
      </c>
      <c r="BP267" s="36" cm="1">
        <f t="array" aca="1" ref="BP267" ca="1">_FV(EB267,"Média de volume",TRUE)</f>
        <v>5658680</v>
      </c>
      <c r="BQ267" s="36">
        <v>101700</v>
      </c>
      <c r="BR267" s="36" cm="1">
        <f t="array" aca="1" ref="BR267" ca="1">_FV(EB267,"Volume")</f>
        <v>101700</v>
      </c>
      <c r="BS267" s="24" cm="1">
        <f t="array" aca="1" ref="BS267" ca="1">_FV(EB267,"Beta")</f>
        <v>1.4360999999999999</v>
      </c>
      <c r="BT267" s="71" cm="1">
        <f t="array" aca="1" ref="BT267" ca="1">_FV(EB267,"Variação (%)",TRUE)</f>
        <v>-5.0000000000000001E-3</v>
      </c>
      <c r="BV267" s="17" cm="1">
        <f t="array" aca="1" ref="BV267" ca="1">_FV(EB267,"Baixo")</f>
        <v>1.97</v>
      </c>
      <c r="BW267" s="17" cm="1">
        <f t="array" aca="1" ref="BW267" ca="1">_FV(EB267,"Alto")</f>
        <v>2.0499999999999998</v>
      </c>
      <c r="BX267" s="24"/>
      <c r="BY267" s="63">
        <f ca="1">SQRT(22.5*(BN267/VLOOKUP(BO267,Fundamentus!A:U,3,FALSE))*(BN267/VLOOKUP(BO267,Fundamentus!A:U,4,FALSE)))</f>
        <v>2.8605420901768821</v>
      </c>
      <c r="CA267" s="62">
        <f t="shared" ca="1" si="308"/>
        <v>0</v>
      </c>
      <c r="CB267" s="8"/>
      <c r="CC267" s="61">
        <f t="shared" si="309"/>
        <v>1.61</v>
      </c>
      <c r="CD267" s="61">
        <f t="shared" si="310"/>
        <v>7.56</v>
      </c>
      <c r="CE267" s="61">
        <f t="shared" si="311"/>
        <v>3.5586153846153845</v>
      </c>
      <c r="CF267" s="14"/>
      <c r="CG267" s="35">
        <f t="shared" si="285"/>
        <v>1.6162532722736382</v>
      </c>
      <c r="CH267" s="15">
        <f t="shared" si="312"/>
        <v>1.8549999999999045</v>
      </c>
      <c r="CI267" s="35">
        <f t="shared" si="286"/>
        <v>2.0937467277261708</v>
      </c>
      <c r="CK267" s="14"/>
      <c r="CL267" s="17">
        <f t="shared" si="287"/>
        <v>-6.043333333333333</v>
      </c>
      <c r="CM267" s="17">
        <f t="shared" si="288"/>
        <v>-2.2166666666666663</v>
      </c>
      <c r="CN267" s="17">
        <f t="shared" si="289"/>
        <v>-9.3333333333333712E-2</v>
      </c>
      <c r="CO267" s="38">
        <f t="shared" si="313"/>
        <v>3.7333333333333329</v>
      </c>
      <c r="CP267" s="17">
        <f t="shared" si="290"/>
        <v>5.8566666666666656</v>
      </c>
      <c r="CQ267" s="17">
        <f t="shared" si="291"/>
        <v>9.6833333333333318</v>
      </c>
      <c r="CR267" s="17">
        <f t="shared" si="292"/>
        <v>11.806666666666665</v>
      </c>
      <c r="CS267" s="2" cm="1">
        <f t="array" aca="1" ref="CS267" ca="1">MAX(_xlfn._xlws.FILTER(CL267:CR267,CL267:CR267&lt;BN267))</f>
        <v>-9.3333333333333712E-2</v>
      </c>
      <c r="CT267" s="2" cm="1">
        <f t="array" aca="1" ref="CT267" ca="1">MIN(_xlfn._xlws.FILTER($CL267:$CR267,$CL267:$CR267&gt;BN267))</f>
        <v>3.7333333333333329</v>
      </c>
      <c r="CU267" s="16">
        <f t="shared" ca="1" si="293"/>
        <v>-40.999999999999837</v>
      </c>
      <c r="CV267" s="20">
        <f t="shared" ca="1" si="294"/>
        <v>20.499999999999918</v>
      </c>
      <c r="CW267" s="20">
        <f t="shared" ca="1" si="295"/>
        <v>13.666666666666613</v>
      </c>
      <c r="CX267" s="20">
        <f t="shared" ca="1" si="296"/>
        <v>8.1999999999999673</v>
      </c>
      <c r="CY267" s="20">
        <f t="shared" ca="1" si="297"/>
        <v>4.5555555555555376</v>
      </c>
      <c r="CZ267" s="20">
        <f t="shared" ca="1" si="315"/>
        <v>2.4117647058823435</v>
      </c>
      <c r="DA267" s="20">
        <f t="shared" ca="1" si="316"/>
        <v>1.2424242424242375</v>
      </c>
      <c r="DB267" s="20">
        <f t="shared" ca="1" si="317"/>
        <v>0.63076923076922831</v>
      </c>
      <c r="DC267" s="21">
        <f t="shared" ca="1" si="318"/>
        <v>-0.63076923076922831</v>
      </c>
      <c r="DD267" s="21">
        <f t="shared" ca="1" si="319"/>
        <v>-1.2424242424242375</v>
      </c>
      <c r="DE267" s="21">
        <f t="shared" ca="1" si="320"/>
        <v>-2.4117647058823435</v>
      </c>
      <c r="DF267" s="21">
        <f t="shared" ca="1" si="298"/>
        <v>-4.5555555555555376</v>
      </c>
      <c r="DG267" s="21">
        <f t="shared" ca="1" si="299"/>
        <v>-8.1999999999999673</v>
      </c>
      <c r="DH267" s="21">
        <f t="shared" ca="1" si="300"/>
        <v>-13.666666666666613</v>
      </c>
      <c r="DI267" s="21">
        <f t="shared" ca="1" si="301"/>
        <v>-20.499999999999918</v>
      </c>
      <c r="DK267" s="16" cm="1">
        <f t="array" aca="1" ref="DK267" ca="1">MAX(_xlfn._xlws.FILTER(CV267:DI267,CV267:DI267&lt;BT267))</f>
        <v>-0.63076923076922831</v>
      </c>
      <c r="DL267" s="16" cm="1">
        <f t="array" aca="1" ref="DL267" ca="1">MIN(_xlfn._xlws.FILTER(CV267:DI267,CV267:DI267&gt;BT267))</f>
        <v>0.63076923076922831</v>
      </c>
      <c r="DM267" s="2" cm="1">
        <f t="array" aca="1" ref="DM267" ca="1">_FV(EB267,"Fechamento anterior",TRUE)</f>
        <v>2</v>
      </c>
      <c r="DN267" s="28">
        <f t="shared" ca="1" si="302"/>
        <v>0.49603658536585366</v>
      </c>
      <c r="DO267" s="15">
        <f t="shared" ca="1" si="283"/>
        <v>0.73846153846154339</v>
      </c>
      <c r="DP267" s="15">
        <f t="shared" ca="1" si="284"/>
        <v>3.2615384615384566</v>
      </c>
      <c r="DQ267" s="9"/>
      <c r="DR267" s="9"/>
      <c r="DS267" s="9"/>
      <c r="DT267" s="89">
        <v>1.2615384615384566</v>
      </c>
      <c r="DU267" s="89">
        <f t="shared" ca="1" si="303"/>
        <v>1.2615384615384566</v>
      </c>
      <c r="DV267" s="72">
        <f t="shared" ca="1" si="304"/>
        <v>0.56545277619418932</v>
      </c>
      <c r="DW267" s="37"/>
      <c r="DX267" s="35">
        <f t="shared" si="314"/>
        <v>0.11937336386313319</v>
      </c>
      <c r="DY267" s="56"/>
      <c r="DZ267" s="56"/>
      <c r="EB267" s="2" t="e" vm="269">
        <v>#VALUE!</v>
      </c>
      <c r="ED267" s="10" cm="1">
        <f t="array" aca="1" ref="ED267" ca="1">_FV(EB267,"Ações em circulação",TRUE)</f>
        <v>31822290</v>
      </c>
      <c r="EE267" s="18">
        <f>VLOOKUP(BO267,Fundamentus!A:U,5,FALSE)</f>
        <v>5.8079999999999998</v>
      </c>
      <c r="EF267" s="2">
        <f t="shared" ca="1" si="305"/>
        <v>10903298.398760332</v>
      </c>
      <c r="EG267" s="17">
        <v>-20348825.801606409</v>
      </c>
      <c r="EH267" s="17">
        <f t="shared" ca="1" si="306"/>
        <v>-20348825.801606409</v>
      </c>
      <c r="EJ267" s="16">
        <f t="shared" ca="1" si="282"/>
        <v>0</v>
      </c>
      <c r="EK267" s="32" t="str">
        <f>IF(VLOOKUP(BO267,Fundamentus!A:U,3,FALSE)&lt;15,"Bom",IF(VLOOKUP(BO267,Fundamentus!A:U,3,FALSE)&gt;15,"Ruim","n/a"))</f>
        <v>Bom</v>
      </c>
      <c r="EL267" s="28" t="str">
        <f>IF(VLOOKUP(BO267,Fundamentus!A:U,4,FALSE)&lt;1,"Baixo",IF(VLOOKUP(BO267,Fundamentus!A:U,4,FALSE)&lt;1.5,"Moderado",IF(VLOOKUP(BO267,Fundamentus!A:U,4,FALSE)&gt;1.5,"Alto","n/a")))</f>
        <v>Baixo</v>
      </c>
      <c r="EM267" s="17" t="str">
        <f>IF(VLOOKUP(BO267,Fundamentus!A:U,8,FALSE)&lt;0,"Risco elevado",IF(VLOOKUP(BO267,Fundamentus!A:U,8,FALSE)&lt;1,"Saudável",IF(VLOOKUP(BO267,Fundamentus!A:U,8,FALSE)&lt;3,"Estável",IF(VLOOKUP(BO267,Fundamentus!A:U,8,FALSE)&gt;3,"Alerta","n/a"))))</f>
        <v>Risco elevado</v>
      </c>
      <c r="EN267" s="28" t="str">
        <f t="shared" si="307"/>
        <v>Bom</v>
      </c>
      <c r="EO267" s="17" t="str">
        <f>IF(VLOOKUP(BO267,Fundamentus!A:U,12,FALSE)&lt;2,"Subvalorizada",IF(VLOOKUP(BO267,Fundamentus!A:U,12,FALSE)&lt;6,"Muita barata",IF(VLOOKUP(BO267,Fundamentus!A:U,12,FALSE)&lt;6,"Barata",IF(VLOOKUP(BO267,Fundamentus!A:U,12,FALSE)&lt;8,"Atrativa",IF(VLOOKUP(BO267,Fundamentus!A:U,12,FALSE)&gt;8,"Supervalorizada","n/a")))))</f>
        <v>Subvalorizada</v>
      </c>
      <c r="EQ267" s="17" t="str">
        <f>IF(VLOOKUP(BO267,Fundamentus!A:U,17,FALSE)&lt;0.1,"Fraco retorno",IF(VLOOKUP(BO267,Fundamentus!A:U,17,FALSE)&gt;0.1,"Bom retorno","n/a"))</f>
        <v>Bom retorno</v>
      </c>
      <c r="ER267" s="17" t="str">
        <f>IF(VLOOKUP(BO267,Fundamentus!A:U,16,FALSE)&lt;0.1,"Ineficiente",IF(VLOOKUP(BO267,Fundamentus!A:U,16,FALSE)&gt;0.1,"Eficiente","n/a"))</f>
        <v>Ineficiente</v>
      </c>
      <c r="ES267" s="33" t="str">
        <f>IF(VLOOKUP(BO267,Fundamentus!A:U,16,FALSE)&lt;0.1,"Oper. Ineficiente",IF(VLOOKUP(BO267,Fundamentus!A:U,16,FALSE)&gt;0.1,"Oper.Eficiente","n/a"))</f>
        <v>Oper. Ineficiente</v>
      </c>
      <c r="ET267" s="34">
        <f>VLOOKUP(BO267,Fundamentus!A:U,14,FALSE)</f>
        <v>-1.8663000000000001</v>
      </c>
      <c r="EU267" s="17" t="str">
        <f>IF(VLOOKUP(BO267,Fundamentus!A:U,21,FALSE)&lt;0,"Negativo",IF(VLOOKUP(BO267,Fundamentus!A:U,21,FALSE)&lt;0.05,"Fraco",IF(VLOOKUP(BO267,Fundamentus!A:U,21,FALSE)&lt;0.1,"Bom",IF(VLOOKUP(BO267,Fundamentus!A:U,21,FALSE)&gt;0.1,"Muito bom","n/a"))))</f>
        <v>Negativo</v>
      </c>
      <c r="EW267" s="29" t="str">
        <f>IF(VLOOKUP(BO267,Fundamentus!A:U,15,FALSE)&gt;1,"Bom",IF(VLOOKUP(BO267,Fundamentus!A:U,15,FALSE)&lt;1,"Ruim","n/a"))</f>
        <v>Ruim</v>
      </c>
      <c r="EX267" s="17" t="str">
        <f>IF(VLOOKUP(BO267,Fundamentus!A:U,20,FALSE)&lt;0.5,"Baixa",IF(VLOOKUP(BO267,Fundamentus!A:U,20,FALSE)&lt;1,"Moderada",IF(VLOOKUP(BO267,Fundamentus!A:U,20,FALSE)&lt;2,"Alerta",IF(VLOOKUP(BO267,Fundamentus!A:U,20,FALSE)&gt;2,"Alta","n/a"))))</f>
        <v>Baixa</v>
      </c>
    </row>
    <row r="268" spans="1:154" s="2" customFormat="1" ht="11.25"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5">
        <v>4.53</v>
      </c>
      <c r="BC268" s="52">
        <v>4.59</v>
      </c>
      <c r="BD268" s="52">
        <v>4.33</v>
      </c>
      <c r="BE268" s="52">
        <v>4.9000000000000004</v>
      </c>
      <c r="BF268" s="52">
        <v>5.04</v>
      </c>
      <c r="BG268" s="67">
        <v>5</v>
      </c>
      <c r="BH268" s="52">
        <v>4</v>
      </c>
      <c r="BI268" s="52">
        <v>3.64</v>
      </c>
      <c r="BJ268" s="52">
        <v>3.76</v>
      </c>
      <c r="BK268" s="52">
        <v>4.03</v>
      </c>
      <c r="BL268" s="52">
        <v>3.92</v>
      </c>
      <c r="BM268" s="52">
        <v>3.87</v>
      </c>
      <c r="BN268" s="52" cm="1">
        <f t="array" aca="1" ref="BN268" ca="1">_FV(EB268,"Preço")</f>
        <v>3.87</v>
      </c>
      <c r="BO268" s="69" t="s">
        <v>264</v>
      </c>
      <c r="BP268" s="36" cm="1">
        <f t="array" aca="1" ref="BP268" ca="1">_FV(EB268,"Média de volume",TRUE)</f>
        <v>2052740</v>
      </c>
      <c r="BQ268" s="36">
        <v>1717000</v>
      </c>
      <c r="BR268" s="36" cm="1">
        <f t="array" aca="1" ref="BR268" ca="1">_FV(EB268,"Volume")</f>
        <v>1717000</v>
      </c>
      <c r="BS268" s="24" cm="1">
        <f t="array" aca="1" ref="BS268" ca="1">_FV(EB268,"Beta")</f>
        <v>1.3252999999999999</v>
      </c>
      <c r="BT268" s="71" cm="1">
        <f t="array" aca="1" ref="BT268" ca="1">_FV(EB268,"Variação (%)",TRUE)</f>
        <v>1.3089E-2</v>
      </c>
      <c r="BV268" s="17" cm="1">
        <f t="array" aca="1" ref="BV268" ca="1">_FV(EB268,"Baixo")</f>
        <v>3.85</v>
      </c>
      <c r="BW268" s="17" cm="1">
        <f t="array" aca="1" ref="BW268" ca="1">_FV(EB268,"Alto")</f>
        <v>3.99</v>
      </c>
      <c r="BX268" s="24"/>
      <c r="BY268" s="63">
        <f ca="1">SQRT(22.5*(BN268/VLOOKUP(BO268,Fundamentus!A:U,3,FALSE))*(BN268/VLOOKUP(BO268,Fundamentus!A:U,4,FALSE)))</f>
        <v>5.4616580278338471</v>
      </c>
      <c r="CA268" s="62">
        <f t="shared" ca="1" si="308"/>
        <v>0</v>
      </c>
      <c r="CB268" s="8"/>
      <c r="CC268" s="61">
        <f t="shared" si="309"/>
        <v>3.64</v>
      </c>
      <c r="CD268" s="61">
        <f t="shared" si="310"/>
        <v>11.07</v>
      </c>
      <c r="CE268" s="61">
        <f t="shared" si="311"/>
        <v>6.7296923076923063</v>
      </c>
      <c r="CF268" s="14"/>
      <c r="CG268" s="35">
        <f t="shared" si="285"/>
        <v>3.7558351216105406</v>
      </c>
      <c r="CH268" s="15">
        <f t="shared" si="312"/>
        <v>3.9500000000000171</v>
      </c>
      <c r="CI268" s="35">
        <f t="shared" si="286"/>
        <v>4.1441648783894935</v>
      </c>
      <c r="CK268" s="14"/>
      <c r="CL268" s="17">
        <f t="shared" si="287"/>
        <v>-6.0799999999999983</v>
      </c>
      <c r="CM268" s="17">
        <f t="shared" si="288"/>
        <v>-1.2199999999999989</v>
      </c>
      <c r="CN268" s="17">
        <f t="shared" si="289"/>
        <v>1.3500000000000014</v>
      </c>
      <c r="CO268" s="38">
        <f t="shared" si="313"/>
        <v>6.2100000000000009</v>
      </c>
      <c r="CP268" s="17">
        <f t="shared" si="290"/>
        <v>8.7800000000000011</v>
      </c>
      <c r="CQ268" s="17">
        <f t="shared" si="291"/>
        <v>13.64</v>
      </c>
      <c r="CR268" s="17">
        <f t="shared" si="292"/>
        <v>16.21</v>
      </c>
      <c r="CS268" s="2" cm="1">
        <f t="array" aca="1" ref="CS268" ca="1">MAX(_xlfn._xlws.FILTER(CL268:CR268,CL268:CR268&lt;BN268))</f>
        <v>1.3500000000000014</v>
      </c>
      <c r="CT268" s="2" cm="1">
        <f t="array" aca="1" ref="CT268" ca="1">MIN(_xlfn._xlws.FILTER($CL268:$CR268,$CL268:$CR268&gt;BN268))</f>
        <v>6.2100000000000009</v>
      </c>
      <c r="CU268" s="16">
        <f t="shared" ca="1" si="293"/>
        <v>3.5999999999999961</v>
      </c>
      <c r="CV268" s="20">
        <f t="shared" ca="1" si="294"/>
        <v>-1.799999999999998</v>
      </c>
      <c r="CW268" s="20">
        <f t="shared" ca="1" si="295"/>
        <v>-1.1999999999999986</v>
      </c>
      <c r="CX268" s="20">
        <f t="shared" ca="1" si="296"/>
        <v>-0.7199999999999992</v>
      </c>
      <c r="CY268" s="20">
        <f t="shared" ca="1" si="297"/>
        <v>-0.39999999999999958</v>
      </c>
      <c r="CZ268" s="20">
        <f t="shared" ca="1" si="315"/>
        <v>-0.21176470588235272</v>
      </c>
      <c r="DA268" s="20">
        <f t="shared" ca="1" si="316"/>
        <v>-0.10909090909090897</v>
      </c>
      <c r="DB268" s="20">
        <f t="shared" ca="1" si="317"/>
        <v>-5.5384615384615324E-2</v>
      </c>
      <c r="DC268" s="21">
        <f t="shared" ca="1" si="318"/>
        <v>5.5384615384615324E-2</v>
      </c>
      <c r="DD268" s="21">
        <f t="shared" ca="1" si="319"/>
        <v>0.10909090909090897</v>
      </c>
      <c r="DE268" s="21">
        <f t="shared" ca="1" si="320"/>
        <v>0.21176470588235272</v>
      </c>
      <c r="DF268" s="21">
        <f t="shared" ca="1" si="298"/>
        <v>0.39999999999999958</v>
      </c>
      <c r="DG268" s="21">
        <f t="shared" ca="1" si="299"/>
        <v>0.7199999999999992</v>
      </c>
      <c r="DH268" s="21">
        <f t="shared" ca="1" si="300"/>
        <v>1.1999999999999986</v>
      </c>
      <c r="DI268" s="21">
        <f t="shared" ca="1" si="301"/>
        <v>1.799999999999998</v>
      </c>
      <c r="DK268" s="16" cm="1">
        <f t="array" aca="1" ref="DK268" ca="1">MAX(_xlfn._xlws.FILTER(CV268:DI268,CV268:DI268&lt;BT268))</f>
        <v>-5.5384615384615324E-2</v>
      </c>
      <c r="DL268" s="16" cm="1">
        <f t="array" aca="1" ref="DL268" ca="1">MIN(_xlfn._xlws.FILTER(CV268:DI268,CV268:DI268&gt;BT268))</f>
        <v>5.5384615384615324E-2</v>
      </c>
      <c r="DM268" s="2" cm="1">
        <f t="array" aca="1" ref="DM268" ca="1">_FV(EB268,"Fechamento anterior",TRUE)</f>
        <v>3.82</v>
      </c>
      <c r="DN268" s="28">
        <f t="shared" ca="1" si="302"/>
        <v>0.61816463059918625</v>
      </c>
      <c r="DO268" s="15">
        <f t="shared" ca="1" si="283"/>
        <v>3.6084307692307691</v>
      </c>
      <c r="DP268" s="15">
        <f t="shared" ca="1" si="284"/>
        <v>4.0315692307692306</v>
      </c>
      <c r="DQ268" s="9"/>
      <c r="DR268" s="9"/>
      <c r="DS268" s="9"/>
      <c r="DT268" s="89">
        <v>0.11076923076923065</v>
      </c>
      <c r="DU268" s="89">
        <f t="shared" ca="1" si="303"/>
        <v>0.11076923076923065</v>
      </c>
      <c r="DV268" s="72">
        <f t="shared" ca="1" si="304"/>
        <v>-0.41202096209977002</v>
      </c>
      <c r="DW268" s="37"/>
      <c r="DX268" s="35">
        <f t="shared" si="314"/>
        <v>9.7082439194738135E-2</v>
      </c>
      <c r="DY268" s="56"/>
      <c r="DZ268" s="56"/>
      <c r="EB268" s="2" t="e" vm="270">
        <v>#VALUE!</v>
      </c>
      <c r="ED268" s="10" cm="1">
        <f t="array" aca="1" ref="ED268" ca="1">_FV(EB268,"Ações em circulação",TRUE)</f>
        <v>346494100</v>
      </c>
      <c r="EE268" s="18">
        <f>VLOOKUP(BO268,Fundamentus!A:U,5,FALSE)</f>
        <v>0.749</v>
      </c>
      <c r="EF268" s="2">
        <f t="shared" ca="1" si="305"/>
        <v>1790296618.1575434</v>
      </c>
      <c r="EG268" s="17">
        <v>128185237.86008011</v>
      </c>
      <c r="EH268" s="17">
        <f t="shared" ca="1" si="306"/>
        <v>128185237.86008011</v>
      </c>
      <c r="EJ268" s="16">
        <f t="shared" ca="1" si="282"/>
        <v>0</v>
      </c>
      <c r="EK268" s="32" t="str">
        <f>IF(VLOOKUP(BO268,Fundamentus!A:U,3,FALSE)&lt;15,"Bom",IF(VLOOKUP(BO268,Fundamentus!A:U,3,FALSE)&gt;15,"Ruim","n/a"))</f>
        <v>Bom</v>
      </c>
      <c r="EL268" s="28" t="str">
        <f>IF(VLOOKUP(BO268,Fundamentus!A:U,4,FALSE)&lt;1,"Baixo",IF(VLOOKUP(BO268,Fundamentus!A:U,4,FALSE)&lt;1.5,"Moderado",IF(VLOOKUP(BO268,Fundamentus!A:U,4,FALSE)&gt;1.5,"Alto","n/a")))</f>
        <v>Moderado</v>
      </c>
      <c r="EM268" s="17" t="str">
        <f>IF(VLOOKUP(BO268,Fundamentus!A:U,8,FALSE)&lt;0,"Risco elevado",IF(VLOOKUP(BO268,Fundamentus!A:U,8,FALSE)&lt;1,"Saudável",IF(VLOOKUP(BO268,Fundamentus!A:U,8,FALSE)&lt;3,"Estável",IF(VLOOKUP(BO268,Fundamentus!A:U,8,FALSE)&gt;3,"Alerta","n/a"))))</f>
        <v>Estável</v>
      </c>
      <c r="EN268" s="28" t="str">
        <f t="shared" si="307"/>
        <v>Ruim</v>
      </c>
      <c r="EO268" s="17" t="str">
        <f>IF(VLOOKUP(BO268,Fundamentus!A:U,12,FALSE)&lt;2,"Subvalorizada",IF(VLOOKUP(BO268,Fundamentus!A:U,12,FALSE)&lt;6,"Muita barata",IF(VLOOKUP(BO268,Fundamentus!A:U,12,FALSE)&lt;6,"Barata",IF(VLOOKUP(BO268,Fundamentus!A:U,12,FALSE)&lt;8,"Atrativa",IF(VLOOKUP(BO268,Fundamentus!A:U,12,FALSE)&gt;8,"Supervalorizada","n/a")))))</f>
        <v>Muita barata</v>
      </c>
      <c r="EQ268" s="17" t="str">
        <f>IF(VLOOKUP(BO268,Fundamentus!A:U,17,FALSE)&lt;0.1,"Fraco retorno",IF(VLOOKUP(BO268,Fundamentus!A:U,17,FALSE)&gt;0.1,"Bom retorno","n/a"))</f>
        <v>Bom retorno</v>
      </c>
      <c r="ER268" s="17" t="str">
        <f>IF(VLOOKUP(BO268,Fundamentus!A:U,16,FALSE)&lt;0.1,"Ineficiente",IF(VLOOKUP(BO268,Fundamentus!A:U,16,FALSE)&gt;0.1,"Eficiente","n/a"))</f>
        <v>Eficiente</v>
      </c>
      <c r="ES268" s="33" t="str">
        <f>IF(VLOOKUP(BO268,Fundamentus!A:U,16,FALSE)&lt;0.1,"Oper. Ineficiente",IF(VLOOKUP(BO268,Fundamentus!A:U,16,FALSE)&gt;0.1,"Oper.Eficiente","n/a"))</f>
        <v>Oper.Eficiente</v>
      </c>
      <c r="ET268" s="34">
        <f>VLOOKUP(BO268,Fundamentus!A:U,14,FALSE)</f>
        <v>7.1599999999999997E-2</v>
      </c>
      <c r="EU268" s="17" t="str">
        <f>IF(VLOOKUP(BO268,Fundamentus!A:U,21,FALSE)&lt;0,"Negativo",IF(VLOOKUP(BO268,Fundamentus!A:U,21,FALSE)&lt;0.05,"Fraco",IF(VLOOKUP(BO268,Fundamentus!A:U,21,FALSE)&lt;0.1,"Bom",IF(VLOOKUP(BO268,Fundamentus!A:U,21,FALSE)&gt;0.1,"Muito bom","n/a"))))</f>
        <v>Muito bom</v>
      </c>
      <c r="EW268" s="29" t="str">
        <f>IF(VLOOKUP(BO268,Fundamentus!A:U,15,FALSE)&gt;1,"Bom",IF(VLOOKUP(BO268,Fundamentus!A:U,15,FALSE)&lt;1,"Ruim","n/a"))</f>
        <v>Bom</v>
      </c>
      <c r="EX268" s="17" t="str">
        <f>IF(VLOOKUP(BO268,Fundamentus!A:U,20,FALSE)&lt;0.5,"Baixa",IF(VLOOKUP(BO268,Fundamentus!A:U,20,FALSE)&lt;1,"Moderada",IF(VLOOKUP(BO268,Fundamentus!A:U,20,FALSE)&lt;2,"Alerta",IF(VLOOKUP(BO268,Fundamentus!A:U,20,FALSE)&gt;2,"Alta","n/a"))))</f>
        <v>Alerta</v>
      </c>
    </row>
    <row r="269" spans="1:154" s="5" customFormat="1" ht="11.25"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5">
        <v>1.18</v>
      </c>
      <c r="BC269" s="52">
        <v>1.2</v>
      </c>
      <c r="BD269" s="52">
        <v>1.27</v>
      </c>
      <c r="BE269" s="52">
        <v>1.26</v>
      </c>
      <c r="BF269" s="52">
        <v>1.25</v>
      </c>
      <c r="BG269" s="67">
        <v>1.19</v>
      </c>
      <c r="BH269" s="52">
        <v>1.18</v>
      </c>
      <c r="BI269" s="52">
        <v>1.17</v>
      </c>
      <c r="BJ269" s="52">
        <v>1.19</v>
      </c>
      <c r="BK269" s="52">
        <v>1.1200000000000001</v>
      </c>
      <c r="BL269" s="52">
        <v>1.1200000000000001</v>
      </c>
      <c r="BM269" s="52">
        <v>1.05</v>
      </c>
      <c r="BN269" s="52" cm="1">
        <f t="array" aca="1" ref="BN269" ca="1">_FV(EB269,"Preço")</f>
        <v>1.05</v>
      </c>
      <c r="BO269" s="69" t="s">
        <v>265</v>
      </c>
      <c r="BP269" s="36" cm="1">
        <f t="array" aca="1" ref="BP269" ca="1">_FV(EB269,"Média de volume",TRUE)</f>
        <v>11550</v>
      </c>
      <c r="BQ269" s="36">
        <v>300</v>
      </c>
      <c r="BR269" s="36" cm="1">
        <f t="array" aca="1" ref="BR269" ca="1">_FV(EB269,"Volume")</f>
        <v>300</v>
      </c>
      <c r="BS269" s="24" cm="1">
        <f t="array" aca="1" ref="BS269" ca="1">_FV(EB269,"Beta")</f>
        <v>1.7042999999999999</v>
      </c>
      <c r="BT269" s="71" cm="1">
        <f t="array" aca="1" ref="BT269" ca="1">_FV(EB269,"Variação (%)",TRUE)</f>
        <v>0</v>
      </c>
      <c r="BV269" s="17" cm="1">
        <f t="array" aca="1" ref="BV269" ca="1">_FV(EB269,"Baixo")</f>
        <v>1.05</v>
      </c>
      <c r="BW269" s="17" cm="1">
        <f t="array" aca="1" ref="BW269" ca="1">_FV(EB269,"Alto")</f>
        <v>1.05</v>
      </c>
      <c r="BX269" s="24"/>
      <c r="BY269" s="63" t="e">
        <f ca="1">SQRT(22.5*(BN269/VLOOKUP(BO269,Fundamentus!A:U,3,FALSE))*(BN269/VLOOKUP(BO269,Fundamentus!A:U,4,FALSE)))</f>
        <v>#NUM!</v>
      </c>
      <c r="CA269" s="62">
        <f t="shared" ca="1" si="308"/>
        <v>0</v>
      </c>
      <c r="CB269" s="8"/>
      <c r="CC269" s="61">
        <f t="shared" si="309"/>
        <v>1.05</v>
      </c>
      <c r="CD269" s="61">
        <f t="shared" si="310"/>
        <v>2.38</v>
      </c>
      <c r="CE269" s="61">
        <f t="shared" si="311"/>
        <v>1.4343846153846158</v>
      </c>
      <c r="CF269" s="14"/>
      <c r="CG269" s="35">
        <f t="shared" si="285"/>
        <v>0.91600505063386972</v>
      </c>
      <c r="CH269" s="15">
        <f t="shared" si="312"/>
        <v>1.0149999999999864</v>
      </c>
      <c r="CI269" s="35">
        <f t="shared" si="286"/>
        <v>1.113994949366103</v>
      </c>
      <c r="CK269" s="14"/>
      <c r="CL269" s="17">
        <f t="shared" si="287"/>
        <v>-0.67666666666666653</v>
      </c>
      <c r="CM269" s="17">
        <f t="shared" si="288"/>
        <v>0.18666666666666676</v>
      </c>
      <c r="CN269" s="17">
        <f t="shared" si="289"/>
        <v>0.65333333333333332</v>
      </c>
      <c r="CO269" s="38">
        <f t="shared" si="313"/>
        <v>1.5166666666666666</v>
      </c>
      <c r="CP269" s="17">
        <f t="shared" si="290"/>
        <v>1.9833333333333332</v>
      </c>
      <c r="CQ269" s="17">
        <f t="shared" si="291"/>
        <v>2.8466666666666667</v>
      </c>
      <c r="CR269" s="17">
        <f t="shared" si="292"/>
        <v>3.313333333333333</v>
      </c>
      <c r="CS269" s="2" cm="1">
        <f t="array" aca="1" ref="CS269" ca="1">MAX(_xlfn._xlws.FILTER(CL269:CR269,CL269:CR269&lt;BN269))</f>
        <v>0.65333333333333332</v>
      </c>
      <c r="CT269" s="2" cm="1">
        <f t="array" aca="1" ref="CT269" ca="1">MIN(_xlfn._xlws.FILTER($CL269:$CR269,$CL269:$CR269&gt;BN269))</f>
        <v>1.5166666666666666</v>
      </c>
      <c r="CU269" s="16">
        <f t="shared" ca="1" si="293"/>
        <v>1.3214285714285712</v>
      </c>
      <c r="CV269" s="20">
        <f t="shared" ca="1" si="294"/>
        <v>-0.66071428571428559</v>
      </c>
      <c r="CW269" s="20">
        <f t="shared" ca="1" si="295"/>
        <v>-0.44047619047619041</v>
      </c>
      <c r="CX269" s="20">
        <f t="shared" ca="1" si="296"/>
        <v>-0.26428571428571423</v>
      </c>
      <c r="CY269" s="20">
        <f t="shared" ca="1" si="297"/>
        <v>-0.1468253968253968</v>
      </c>
      <c r="CZ269" s="20">
        <f t="shared" ca="1" si="315"/>
        <v>-7.7731092436974777E-2</v>
      </c>
      <c r="DA269" s="20">
        <f t="shared" ca="1" si="316"/>
        <v>-4.0043290043290033E-2</v>
      </c>
      <c r="DB269" s="20">
        <f t="shared" ca="1" si="317"/>
        <v>-2.0329670329670327E-2</v>
      </c>
      <c r="DC269" s="21">
        <f t="shared" ca="1" si="318"/>
        <v>2.0329670329670327E-2</v>
      </c>
      <c r="DD269" s="21">
        <f t="shared" ca="1" si="319"/>
        <v>4.0043290043290033E-2</v>
      </c>
      <c r="DE269" s="21">
        <f t="shared" ca="1" si="320"/>
        <v>7.7731092436974777E-2</v>
      </c>
      <c r="DF269" s="21">
        <f t="shared" ca="1" si="298"/>
        <v>0.1468253968253968</v>
      </c>
      <c r="DG269" s="21">
        <f t="shared" ca="1" si="299"/>
        <v>0.26428571428571423</v>
      </c>
      <c r="DH269" s="21">
        <f t="shared" ca="1" si="300"/>
        <v>0.44047619047619041</v>
      </c>
      <c r="DI269" s="21">
        <f t="shared" ca="1" si="301"/>
        <v>0.66071428571428559</v>
      </c>
      <c r="DK269" s="16" cm="1">
        <f t="array" aca="1" ref="DK269" ca="1">MAX(_xlfn._xlws.FILTER(CV269:DI269,CV269:DI269&lt;BT269))</f>
        <v>-2.0329670329670327E-2</v>
      </c>
      <c r="DL269" s="16" cm="1">
        <f t="array" aca="1" ref="DL269" ca="1">MIN(_xlfn._xlws.FILTER(CV269:DI269,CV269:DI269&gt;BT269))</f>
        <v>2.0329670329670327E-2</v>
      </c>
      <c r="DM269" s="2" cm="1">
        <f t="array" aca="1" ref="DM269" ca="1">_FV(EB269,"Fechamento anterior",TRUE)</f>
        <v>1.05</v>
      </c>
      <c r="DN269" s="28">
        <f t="shared" ca="1" si="302"/>
        <v>0.5</v>
      </c>
      <c r="DO269" s="15">
        <f t="shared" ca="1" si="283"/>
        <v>1.0286538461538461</v>
      </c>
      <c r="DP269" s="15">
        <f t="shared" ca="1" si="284"/>
        <v>1.0713461538461539</v>
      </c>
      <c r="DQ269" s="9"/>
      <c r="DR269" s="9"/>
      <c r="DS269" s="9"/>
      <c r="DT269" s="89">
        <v>4.0659340659340654E-2</v>
      </c>
      <c r="DU269" s="89">
        <f t="shared" ca="1" si="303"/>
        <v>4.0659340659340654E-2</v>
      </c>
      <c r="DV269" s="72">
        <f t="shared" ca="1" si="304"/>
        <v>0.35355339059341206</v>
      </c>
      <c r="DW269" s="37"/>
      <c r="DX269" s="35">
        <f t="shared" si="314"/>
        <v>4.949747468305829E-2</v>
      </c>
      <c r="DY269" s="56"/>
      <c r="DZ269" s="56"/>
      <c r="EB269" s="5" t="e" vm="271">
        <v>#VALUE!</v>
      </c>
      <c r="ED269" s="10" cm="1">
        <f t="array" aca="1" ref="ED269" ca="1">_FV(EB269,"Ações em circulação",TRUE)</f>
        <v>26710360</v>
      </c>
      <c r="EE269" s="18">
        <f>VLOOKUP(BO269,Fundamentus!A:U,5,FALSE)</f>
        <v>8.5000000000000006E-2</v>
      </c>
      <c r="EF269" s="2">
        <f t="shared" ca="1" si="305"/>
        <v>329951505.88235289</v>
      </c>
      <c r="EG269" s="17">
        <v>-135742049.51999998</v>
      </c>
      <c r="EH269" s="17">
        <f t="shared" ca="1" si="306"/>
        <v>-135742049.51999998</v>
      </c>
      <c r="EI269" s="2"/>
      <c r="EJ269" s="16">
        <f t="shared" ca="1" si="282"/>
        <v>0</v>
      </c>
      <c r="EK269" s="32" t="str">
        <f>IF(VLOOKUP(BO269,Fundamentus!A:U,3,FALSE)&lt;15,"Bom",IF(VLOOKUP(BO269,Fundamentus!A:U,3,FALSE)&gt;15,"Ruim","n/a"))</f>
        <v>Bom</v>
      </c>
      <c r="EL269" s="28" t="str">
        <f>IF(VLOOKUP(BO269,Fundamentus!A:U,4,FALSE)&lt;1,"Baixo",IF(VLOOKUP(BO269,Fundamentus!A:U,4,FALSE)&lt;1.5,"Moderado",IF(VLOOKUP(BO269,Fundamentus!A:U,4,FALSE)&gt;1.5,"Alto","n/a")))</f>
        <v>Baixo</v>
      </c>
      <c r="EM269" s="17" t="str">
        <f>IF(VLOOKUP(BO269,Fundamentus!A:U,8,FALSE)&lt;0,"Risco elevado",IF(VLOOKUP(BO269,Fundamentus!A:U,8,FALSE)&lt;1,"Saudável",IF(VLOOKUP(BO269,Fundamentus!A:U,8,FALSE)&lt;3,"Estável",IF(VLOOKUP(BO269,Fundamentus!A:U,8,FALSE)&gt;3,"Alerta","n/a"))))</f>
        <v>Risco elevado</v>
      </c>
      <c r="EN269" s="28" t="str">
        <f t="shared" si="307"/>
        <v>Ruim</v>
      </c>
      <c r="EO269" s="17" t="str">
        <f>IF(VLOOKUP(BO269,Fundamentus!A:U,12,FALSE)&lt;2,"Subvalorizada",IF(VLOOKUP(BO269,Fundamentus!A:U,12,FALSE)&lt;6,"Muita barata",IF(VLOOKUP(BO269,Fundamentus!A:U,12,FALSE)&lt;6,"Barata",IF(VLOOKUP(BO269,Fundamentus!A:U,12,FALSE)&lt;8,"Atrativa",IF(VLOOKUP(BO269,Fundamentus!A:U,12,FALSE)&gt;8,"Supervalorizada","n/a")))))</f>
        <v>Subvalorizada</v>
      </c>
      <c r="EP269" s="2"/>
      <c r="EQ269" s="17" t="str">
        <f>IF(VLOOKUP(BO269,Fundamentus!A:U,17,FALSE)&lt;0.1,"Fraco retorno",IF(VLOOKUP(BO269,Fundamentus!A:U,17,FALSE)&gt;0.1,"Bom retorno","n/a"))</f>
        <v>Fraco retorno</v>
      </c>
      <c r="ER269" s="17" t="str">
        <f>IF(VLOOKUP(BO269,Fundamentus!A:U,16,FALSE)&lt;0.1,"Ineficiente",IF(VLOOKUP(BO269,Fundamentus!A:U,16,FALSE)&gt;0.1,"Eficiente","n/a"))</f>
        <v>Ineficiente</v>
      </c>
      <c r="ES269" s="33" t="str">
        <f>IF(VLOOKUP(BO269,Fundamentus!A:U,16,FALSE)&lt;0.1,"Oper. Ineficiente",IF(VLOOKUP(BO269,Fundamentus!A:U,16,FALSE)&gt;0.1,"Oper.Eficiente","n/a"))</f>
        <v>Oper. Ineficiente</v>
      </c>
      <c r="ET269" s="34">
        <f>VLOOKUP(BO269,Fundamentus!A:U,14,FALSE)</f>
        <v>-0.41139999999999999</v>
      </c>
      <c r="EU269" s="17" t="str">
        <f>IF(VLOOKUP(BO269,Fundamentus!A:U,21,FALSE)&lt;0,"Negativo",IF(VLOOKUP(BO269,Fundamentus!A:U,21,FALSE)&lt;0.05,"Fraco",IF(VLOOKUP(BO269,Fundamentus!A:U,21,FALSE)&lt;0.1,"Bom",IF(VLOOKUP(BO269,Fundamentus!A:U,21,FALSE)&gt;0.1,"Muito bom","n/a"))))</f>
        <v>Negativo</v>
      </c>
      <c r="EW269" s="29" t="str">
        <f>IF(VLOOKUP(BO269,Fundamentus!A:U,15,FALSE)&gt;1,"Bom",IF(VLOOKUP(BO269,Fundamentus!A:U,15,FALSE)&lt;1,"Ruim","n/a"))</f>
        <v>Ruim</v>
      </c>
      <c r="EX269" s="17" t="str">
        <f>IF(VLOOKUP(BO269,Fundamentus!A:U,20,FALSE)&lt;0.5,"Baixa",IF(VLOOKUP(BO269,Fundamentus!A:U,20,FALSE)&lt;1,"Moderada",IF(VLOOKUP(BO269,Fundamentus!A:U,20,FALSE)&lt;2,"Alerta",IF(VLOOKUP(BO269,Fundamentus!A:U,20,FALSE)&gt;2,"Alta","n/a"))))</f>
        <v>Alta</v>
      </c>
    </row>
    <row r="270" spans="1:154" s="2" customFormat="1" ht="11.25"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5" t="e" vm="272">
        <v>#VALUE!</v>
      </c>
      <c r="BC270" s="52" t="e" vm="272">
        <v>#VALUE!</v>
      </c>
      <c r="BD270" s="52" t="e" vm="272">
        <v>#VALUE!</v>
      </c>
      <c r="BE270" s="52" t="e" vm="272">
        <v>#VALUE!</v>
      </c>
      <c r="BF270" s="52" t="e" vm="272">
        <v>#VALUE!</v>
      </c>
      <c r="BG270" s="67" t="e" vm="272">
        <v>#VALUE!</v>
      </c>
      <c r="BH270" s="52" t="e" vm="272">
        <v>#VALUE!</v>
      </c>
      <c r="BI270" s="52" t="e" vm="272">
        <v>#VALUE!</v>
      </c>
      <c r="BJ270" s="52" t="e" vm="272">
        <v>#VALUE!</v>
      </c>
      <c r="BK270" s="52" t="e" vm="272">
        <v>#VALUE!</v>
      </c>
      <c r="BL270" s="52" t="e" vm="272">
        <v>#VALUE!</v>
      </c>
      <c r="BM270" s="52" t="e" vm="272">
        <v>#VALUE!</v>
      </c>
      <c r="BN270" s="52" t="e" cm="1" vm="272">
        <f t="array" ref="BN270">_FV(EB270,"Preço")</f>
        <v>#VALUE!</v>
      </c>
      <c r="BO270" s="69" t="s">
        <v>266</v>
      </c>
      <c r="BP270" s="36" t="e" cm="1" vm="3">
        <f t="array" ref="BP270">_FV(EB270,"Média de volume",TRUE)</f>
        <v>#VALUE!</v>
      </c>
      <c r="BQ270" s="36" t="e" vm="273">
        <v>#VALUE!</v>
      </c>
      <c r="BR270" s="36" t="e" cm="1" vm="273">
        <f t="array" ref="BR270">_FV(EB270,"Volume")</f>
        <v>#VALUE!</v>
      </c>
      <c r="BS270" s="24" t="e" cm="1" vm="137">
        <f t="array" ref="BS270">_FV(EB270,"Beta")</f>
        <v>#VALUE!</v>
      </c>
      <c r="BT270" s="71" t="e" cm="1" vm="274">
        <f t="array" ref="BT270">_FV(EB270,"Variação (%)",TRUE)</f>
        <v>#VALUE!</v>
      </c>
      <c r="BV270" s="17" t="e" cm="1" vm="275">
        <f t="array" ref="BV270">_FV(EB270,"Baixo")</f>
        <v>#VALUE!</v>
      </c>
      <c r="BW270" s="17" t="e" cm="1" vm="276">
        <f t="array" ref="BW270">_FV(EB270,"Alto")</f>
        <v>#VALUE!</v>
      </c>
      <c r="BX270" s="24"/>
      <c r="BY270" s="63" t="e" vm="152">
        <f>SQRT(22.5*(BN270/VLOOKUP(BO270,Fundamentus!A:U,3,FALSE))*(BN270/VLOOKUP(BO270,Fundamentus!A:U,4,FALSE)))</f>
        <v>#VALUE!</v>
      </c>
      <c r="CA270" s="62" t="e" vm="152">
        <f t="shared" si="308"/>
        <v>#VALUE!</v>
      </c>
      <c r="CB270" s="8"/>
      <c r="CC270" s="61" t="e">
        <f t="shared" si="309"/>
        <v>#N/A</v>
      </c>
      <c r="CD270" s="61" t="e">
        <f t="shared" si="310"/>
        <v>#N/A</v>
      </c>
      <c r="CE270" s="61" t="e">
        <f t="shared" si="311"/>
        <v>#N/A</v>
      </c>
      <c r="CF270" s="14"/>
      <c r="CG270" s="35" t="e">
        <f t="shared" si="285"/>
        <v>#VALUE!</v>
      </c>
      <c r="CH270" s="15" t="e">
        <f t="shared" si="312"/>
        <v>#VALUE!</v>
      </c>
      <c r="CI270" s="35" t="e">
        <f t="shared" si="286"/>
        <v>#VALUE!</v>
      </c>
      <c r="CK270" s="14"/>
      <c r="CL270" s="17" t="e">
        <f t="shared" si="287"/>
        <v>#N/A</v>
      </c>
      <c r="CM270" s="17" t="e">
        <f t="shared" si="288"/>
        <v>#N/A</v>
      </c>
      <c r="CN270" s="17" t="e">
        <f t="shared" si="289"/>
        <v>#N/A</v>
      </c>
      <c r="CO270" s="38" t="e">
        <f t="shared" si="313"/>
        <v>#N/A</v>
      </c>
      <c r="CP270" s="17" t="e">
        <f t="shared" si="290"/>
        <v>#N/A</v>
      </c>
      <c r="CQ270" s="17" t="e">
        <f t="shared" si="291"/>
        <v>#N/A</v>
      </c>
      <c r="CR270" s="17" t="e">
        <f t="shared" si="292"/>
        <v>#N/A</v>
      </c>
      <c r="CS270" s="2" t="e" cm="1">
        <f t="array" ref="CS270">MAX(_xlfn._xlws.FILTER(CL270:CR270,CL270:CR270&lt;BN270))</f>
        <v>#N/A</v>
      </c>
      <c r="CT270" s="2" t="e" cm="1">
        <f t="array" ref="CT270">MIN(_xlfn._xlws.FILTER($CL270:$CR270,$CL270:$CR270&gt;BN270))</f>
        <v>#N/A</v>
      </c>
      <c r="CU270" s="16" t="e">
        <f t="shared" si="293"/>
        <v>#N/A</v>
      </c>
      <c r="CV270" s="20" t="e">
        <f t="shared" si="294"/>
        <v>#N/A</v>
      </c>
      <c r="CW270" s="20" t="e">
        <f t="shared" si="295"/>
        <v>#N/A</v>
      </c>
      <c r="CX270" s="20" t="e">
        <f t="shared" si="296"/>
        <v>#N/A</v>
      </c>
      <c r="CY270" s="20" t="e">
        <f t="shared" si="297"/>
        <v>#N/A</v>
      </c>
      <c r="CZ270" s="20" t="e">
        <f t="shared" si="315"/>
        <v>#N/A</v>
      </c>
      <c r="DA270" s="20" t="e">
        <f t="shared" si="316"/>
        <v>#N/A</v>
      </c>
      <c r="DB270" s="20" t="e">
        <f t="shared" si="317"/>
        <v>#N/A</v>
      </c>
      <c r="DC270" s="21" t="e">
        <f t="shared" si="318"/>
        <v>#N/A</v>
      </c>
      <c r="DD270" s="21" t="e">
        <f t="shared" si="319"/>
        <v>#N/A</v>
      </c>
      <c r="DE270" s="21" t="e">
        <f t="shared" si="320"/>
        <v>#N/A</v>
      </c>
      <c r="DF270" s="21" t="e">
        <f t="shared" si="298"/>
        <v>#N/A</v>
      </c>
      <c r="DG270" s="21" t="e">
        <f t="shared" si="299"/>
        <v>#N/A</v>
      </c>
      <c r="DH270" s="21" t="e">
        <f t="shared" si="300"/>
        <v>#N/A</v>
      </c>
      <c r="DI270" s="21" t="e">
        <f t="shared" si="301"/>
        <v>#N/A</v>
      </c>
      <c r="DK270" s="16" t="e" cm="1">
        <f t="array" ref="DK270">MAX(_xlfn._xlws.FILTER(CV270:DI270,CV270:DI270&lt;BT270))</f>
        <v>#N/A</v>
      </c>
      <c r="DL270" s="16" t="e" cm="1">
        <f t="array" ref="DL270">MIN(_xlfn._xlws.FILTER(CV270:DI270,CV270:DI270&gt;BT270))</f>
        <v>#N/A</v>
      </c>
      <c r="DM270" s="2" t="e" cm="1" vm="277">
        <f t="array" ref="DM270">_FV(EB270,"Fechamento anterior",TRUE)</f>
        <v>#VALUE!</v>
      </c>
      <c r="DN270" s="28" t="e" vm="152">
        <f t="shared" si="302"/>
        <v>#VALUE!</v>
      </c>
      <c r="DO270" s="15" t="e" vm="152">
        <f t="shared" si="283"/>
        <v>#VALUE!</v>
      </c>
      <c r="DP270" s="15" t="e" vm="152">
        <f t="shared" si="284"/>
        <v>#VALUE!</v>
      </c>
      <c r="DQ270" s="9"/>
      <c r="DR270" s="9"/>
      <c r="DS270" s="9"/>
      <c r="DT270" s="89" t="e">
        <v>#N/A</v>
      </c>
      <c r="DU270" s="89" t="e">
        <f t="shared" si="303"/>
        <v>#N/A</v>
      </c>
      <c r="DV270" s="72" t="e" vm="152">
        <f t="shared" si="304"/>
        <v>#VALUE!</v>
      </c>
      <c r="DW270" s="37"/>
      <c r="DX270" s="35" t="e" vm="152">
        <f t="shared" si="314"/>
        <v>#VALUE!</v>
      </c>
      <c r="DY270" s="56"/>
      <c r="DZ270" s="56"/>
      <c r="EB270" s="2" t="s">
        <v>266</v>
      </c>
      <c r="ED270" s="10" t="e" cm="1" vm="151">
        <f t="array" ref="ED270">_FV(EB270,"Ações em circulação",TRUE)</f>
        <v>#VALUE!</v>
      </c>
      <c r="EE270" s="18" t="e">
        <f>VLOOKUP(BO270,Fundamentus!A:U,5,FALSE)</f>
        <v>#N/A</v>
      </c>
      <c r="EF270" s="2" t="e" vm="152">
        <f t="shared" si="305"/>
        <v>#VALUE!</v>
      </c>
      <c r="EG270" s="17" t="e" vm="152">
        <v>#VALUE!</v>
      </c>
      <c r="EH270" s="17" t="e" vm="152">
        <f t="shared" si="306"/>
        <v>#VALUE!</v>
      </c>
      <c r="EJ270" s="16" t="e" vm="152">
        <f t="shared" si="282"/>
        <v>#VALUE!</v>
      </c>
      <c r="EK270" s="32" t="e">
        <f>IF(VLOOKUP(BO270,Fundamentus!A:U,3,FALSE)&lt;15,"Bom",IF(VLOOKUP(BO270,Fundamentus!A:U,3,FALSE)&gt;15,"Ruim","n/a"))</f>
        <v>#N/A</v>
      </c>
      <c r="EL270" s="28" t="e">
        <f>IF(VLOOKUP(BO270,Fundamentus!A:U,4,FALSE)&lt;1,"Baixo",IF(VLOOKUP(BO270,Fundamentus!A:U,4,FALSE)&lt;1.5,"Moderado",IF(VLOOKUP(BO270,Fundamentus!A:U,4,FALSE)&gt;1.5,"Alto","n/a")))</f>
        <v>#N/A</v>
      </c>
      <c r="EM270" s="17" t="e">
        <f>IF(VLOOKUP(BO270,Fundamentus!A:U,8,FALSE)&lt;0,"Risco elevado",IF(VLOOKUP(BO270,Fundamentus!A:U,8,FALSE)&lt;1,"Saudável",IF(VLOOKUP(BO270,Fundamentus!A:U,8,FALSE)&lt;3,"Estável",IF(VLOOKUP(BO270,Fundamentus!A:U,8,FALSE)&gt;3,"Alerta","n/a"))))</f>
        <v>#N/A</v>
      </c>
      <c r="EN270" s="28" t="e">
        <f t="shared" si="307"/>
        <v>#N/A</v>
      </c>
      <c r="EO270" s="17" t="e">
        <f>IF(VLOOKUP(BO270,Fundamentus!A:U,12,FALSE)&lt;2,"Subvalorizada",IF(VLOOKUP(BO270,Fundamentus!A:U,12,FALSE)&lt;6,"Muita barata",IF(VLOOKUP(BO270,Fundamentus!A:U,12,FALSE)&lt;6,"Barata",IF(VLOOKUP(BO270,Fundamentus!A:U,12,FALSE)&lt;8,"Atrativa",IF(VLOOKUP(BO270,Fundamentus!A:U,12,FALSE)&gt;8,"Supervalorizada","n/a")))))</f>
        <v>#N/A</v>
      </c>
      <c r="EQ270" s="17" t="e">
        <f>IF(VLOOKUP(BO270,Fundamentus!A:U,17,FALSE)&lt;0.1,"Fraco retorno",IF(VLOOKUP(BO270,Fundamentus!A:U,17,FALSE)&gt;0.1,"Bom retorno","n/a"))</f>
        <v>#N/A</v>
      </c>
      <c r="ER270" s="17" t="e">
        <f>IF(VLOOKUP(BO270,Fundamentus!A:U,16,FALSE)&lt;0.1,"Ineficiente",IF(VLOOKUP(BO270,Fundamentus!A:U,16,FALSE)&gt;0.1,"Eficiente","n/a"))</f>
        <v>#N/A</v>
      </c>
      <c r="ES270" s="33" t="e">
        <f>IF(VLOOKUP(BO270,Fundamentus!A:U,16,FALSE)&lt;0.1,"Oper. Ineficiente",IF(VLOOKUP(BO270,Fundamentus!A:U,16,FALSE)&gt;0.1,"Oper.Eficiente","n/a"))</f>
        <v>#N/A</v>
      </c>
      <c r="ET270" s="34" t="e">
        <f>VLOOKUP(BO270,Fundamentus!A:U,14,FALSE)</f>
        <v>#N/A</v>
      </c>
      <c r="EU270" s="17" t="e">
        <f>IF(VLOOKUP(BO270,Fundamentus!A:U,21,FALSE)&lt;0,"Negativo",IF(VLOOKUP(BO270,Fundamentus!A:U,21,FALSE)&lt;0.05,"Fraco",IF(VLOOKUP(BO270,Fundamentus!A:U,21,FALSE)&lt;0.1,"Bom",IF(VLOOKUP(BO270,Fundamentus!A:U,21,FALSE)&gt;0.1,"Muito bom","n/a"))))</f>
        <v>#N/A</v>
      </c>
      <c r="EW270" s="29" t="e">
        <f>IF(VLOOKUP(BO270,Fundamentus!A:U,15,FALSE)&gt;1,"Bom",IF(VLOOKUP(BO270,Fundamentus!A:U,15,FALSE)&lt;1,"Ruim","n/a"))</f>
        <v>#N/A</v>
      </c>
      <c r="EX270" s="17" t="e">
        <f>IF(VLOOKUP(BO270,Fundamentus!A:U,20,FALSE)&lt;0.5,"Baixa",IF(VLOOKUP(BO270,Fundamentus!A:U,20,FALSE)&lt;1,"Moderada",IF(VLOOKUP(BO270,Fundamentus!A:U,20,FALSE)&lt;2,"Alerta",IF(VLOOKUP(BO270,Fundamentus!A:U,20,FALSE)&gt;2,"Alta","n/a"))))</f>
        <v>#N/A</v>
      </c>
    </row>
    <row r="271" spans="1:154" s="2" customFormat="1" ht="11.25"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5">
        <v>11.94</v>
      </c>
      <c r="BC271" s="52">
        <v>11.74</v>
      </c>
      <c r="BD271" s="52">
        <v>11.72</v>
      </c>
      <c r="BE271" s="52">
        <v>11.74</v>
      </c>
      <c r="BF271" s="52">
        <v>11.48</v>
      </c>
      <c r="BG271" s="67">
        <v>11.34</v>
      </c>
      <c r="BH271" s="52">
        <v>11.41</v>
      </c>
      <c r="BI271" s="52">
        <v>11.44</v>
      </c>
      <c r="BJ271" s="52">
        <v>11.62</v>
      </c>
      <c r="BK271" s="52">
        <v>11.3</v>
      </c>
      <c r="BL271" s="52">
        <v>11.17</v>
      </c>
      <c r="BM271" s="52">
        <v>11.05</v>
      </c>
      <c r="BN271" s="52" cm="1">
        <f t="array" aca="1" ref="BN271" ca="1">_FV(EB271,"Preço")</f>
        <v>11.05</v>
      </c>
      <c r="BO271" s="69" t="s">
        <v>267</v>
      </c>
      <c r="BP271" s="36" cm="1">
        <f t="array" aca="1" ref="BP271" ca="1">_FV(EB271,"Média de volume",TRUE)</f>
        <v>1235190</v>
      </c>
      <c r="BQ271" s="36">
        <v>48900</v>
      </c>
      <c r="BR271" s="36" cm="1">
        <f t="array" aca="1" ref="BR271" ca="1">_FV(EB271,"Volume")</f>
        <v>48900</v>
      </c>
      <c r="BS271" s="24" cm="1">
        <f t="array" aca="1" ref="BS271" ca="1">_FV(EB271,"Beta")</f>
        <v>0.70899999999999996</v>
      </c>
      <c r="BT271" s="71" cm="1">
        <f t="array" aca="1" ref="BT271" ca="1">_FV(EB271,"Variação (%)",TRUE)</f>
        <v>-1.0743000000000001E-2</v>
      </c>
      <c r="BV271" s="17" cm="1">
        <f t="array" aca="1" ref="BV271" ca="1">_FV(EB271,"Baixo")</f>
        <v>11.05</v>
      </c>
      <c r="BW271" s="17" cm="1">
        <f t="array" aca="1" ref="BW271" ca="1">_FV(EB271,"Alto")</f>
        <v>11.19</v>
      </c>
      <c r="BX271" s="24"/>
      <c r="BY271" s="63">
        <f ca="1">SQRT(22.5*(BN271/VLOOKUP(BO271,Fundamentus!A:U,3,FALSE))*(BN271/VLOOKUP(BO271,Fundamentus!A:U,4,FALSE)))</f>
        <v>15.8359952918979</v>
      </c>
      <c r="CA271" s="62">
        <f t="shared" ca="1" si="308"/>
        <v>0</v>
      </c>
      <c r="CB271" s="8"/>
      <c r="CC271" s="61">
        <f t="shared" si="309"/>
        <v>10.7</v>
      </c>
      <c r="CD271" s="61">
        <f t="shared" si="310"/>
        <v>12.17</v>
      </c>
      <c r="CE271" s="61">
        <f t="shared" si="311"/>
        <v>11.397769230769235</v>
      </c>
      <c r="CF271" s="14"/>
      <c r="CG271" s="35">
        <f t="shared" si="285"/>
        <v>10.399676593637311</v>
      </c>
      <c r="CH271" s="15">
        <f t="shared" si="312"/>
        <v>10.825000000000045</v>
      </c>
      <c r="CI271" s="35">
        <f t="shared" si="286"/>
        <v>11.25032340636278</v>
      </c>
      <c r="CK271" s="14"/>
      <c r="CL271" s="17">
        <f t="shared" si="287"/>
        <v>9.053333333333331</v>
      </c>
      <c r="CM271" s="17">
        <f t="shared" si="288"/>
        <v>9.8766666666666652</v>
      </c>
      <c r="CN271" s="17">
        <f t="shared" si="289"/>
        <v>10.523333333333332</v>
      </c>
      <c r="CO271" s="38">
        <f t="shared" si="313"/>
        <v>11.346666666666666</v>
      </c>
      <c r="CP271" s="17">
        <f t="shared" si="290"/>
        <v>11.993333333333332</v>
      </c>
      <c r="CQ271" s="17">
        <f t="shared" si="291"/>
        <v>12.816666666666666</v>
      </c>
      <c r="CR271" s="17">
        <f t="shared" si="292"/>
        <v>13.463333333333333</v>
      </c>
      <c r="CS271" s="2" cm="1">
        <f t="array" aca="1" ref="CS271" ca="1">MAX(_xlfn._xlws.FILTER(CL271:CR271,CL271:CR271&lt;BN271))</f>
        <v>10.523333333333332</v>
      </c>
      <c r="CT271" s="2" cm="1">
        <f t="array" aca="1" ref="CT271" ca="1">MIN(_xlfn._xlws.FILTER($CL271:$CR271,$CL271:$CR271&gt;BN271))</f>
        <v>11.346666666666666</v>
      </c>
      <c r="CU271" s="16">
        <f t="shared" ca="1" si="293"/>
        <v>7.8238834336395335E-2</v>
      </c>
      <c r="CV271" s="20">
        <f t="shared" ca="1" si="294"/>
        <v>-3.9119417168197668E-2</v>
      </c>
      <c r="CW271" s="20">
        <f t="shared" ca="1" si="295"/>
        <v>-2.6079611445465112E-2</v>
      </c>
      <c r="CX271" s="20">
        <f t="shared" ca="1" si="296"/>
        <v>-1.5647766867279068E-2</v>
      </c>
      <c r="CY271" s="20">
        <f t="shared" ca="1" si="297"/>
        <v>-8.6932038151550373E-3</v>
      </c>
      <c r="CZ271" s="20">
        <f t="shared" ca="1" si="315"/>
        <v>-4.6022843727291374E-3</v>
      </c>
      <c r="DA271" s="20">
        <f t="shared" ca="1" si="316"/>
        <v>-2.3708737677695557E-3</v>
      </c>
      <c r="DB271" s="20">
        <f t="shared" ca="1" si="317"/>
        <v>-1.2036743744060822E-3</v>
      </c>
      <c r="DC271" s="21">
        <f t="shared" ca="1" si="318"/>
        <v>1.2036743744060822E-3</v>
      </c>
      <c r="DD271" s="21">
        <f t="shared" ca="1" si="319"/>
        <v>2.3708737677695557E-3</v>
      </c>
      <c r="DE271" s="21">
        <f t="shared" ca="1" si="320"/>
        <v>4.6022843727291374E-3</v>
      </c>
      <c r="DF271" s="21">
        <f t="shared" ca="1" si="298"/>
        <v>8.6932038151550373E-3</v>
      </c>
      <c r="DG271" s="21">
        <f t="shared" ca="1" si="299"/>
        <v>1.5647766867279068E-2</v>
      </c>
      <c r="DH271" s="21">
        <f t="shared" ca="1" si="300"/>
        <v>2.6079611445465112E-2</v>
      </c>
      <c r="DI271" s="21">
        <f t="shared" ca="1" si="301"/>
        <v>3.9119417168197668E-2</v>
      </c>
      <c r="DK271" s="16" cm="1">
        <f t="array" aca="1" ref="DK271" ca="1">MAX(_xlfn._xlws.FILTER(CV271:DI271,CV271:DI271&lt;BT271))</f>
        <v>-1.5647766867279068E-2</v>
      </c>
      <c r="DL271" s="16" cm="1">
        <f t="array" aca="1" ref="DL271" ca="1">MIN(_xlfn._xlws.FILTER(CV271:DI271,CV271:DI271&gt;BT271))</f>
        <v>-8.6932038151550373E-3</v>
      </c>
      <c r="DM271" s="2" cm="1">
        <f t="array" aca="1" ref="DM271" ca="1">_FV(EB271,"Fechamento anterior",TRUE)</f>
        <v>11.17</v>
      </c>
      <c r="DN271" s="28">
        <f t="shared" ca="1" si="302"/>
        <v>0.70524992841583389</v>
      </c>
      <c r="DO271" s="15">
        <f t="shared" ca="1" si="283"/>
        <v>10.995214444092493</v>
      </c>
      <c r="DP271" s="15">
        <f t="shared" ca="1" si="284"/>
        <v>11.072896913384719</v>
      </c>
      <c r="DQ271" s="9"/>
      <c r="DR271" s="9"/>
      <c r="DS271" s="9"/>
      <c r="DT271" s="89">
        <v>6.9545630521240312E-3</v>
      </c>
      <c r="DU271" s="89">
        <f t="shared" ca="1" si="303"/>
        <v>6.9545630521240312E-3</v>
      </c>
      <c r="DV271" s="72">
        <f t="shared" ca="1" si="304"/>
        <v>0.52900921189384409</v>
      </c>
      <c r="DW271" s="37"/>
      <c r="DX271" s="35">
        <f t="shared" si="314"/>
        <v>0.2126617031813669</v>
      </c>
      <c r="DY271" s="56"/>
      <c r="DZ271" s="56"/>
      <c r="EB271" s="2" t="e" vm="278">
        <v>#VALUE!</v>
      </c>
      <c r="ED271" s="10" cm="1">
        <f t="array" aca="1" ref="ED271" ca="1">_FV(EB271,"Ações em circulação",TRUE)</f>
        <v>344498900</v>
      </c>
      <c r="EE271" s="18">
        <f>VLOOKUP(BO271,Fundamentus!A:U,5,FALSE)</f>
        <v>2.9239999999999999</v>
      </c>
      <c r="EF271" s="2">
        <f t="shared" ca="1" si="305"/>
        <v>1301885377.9069769</v>
      </c>
      <c r="EG271" s="17">
        <v>552650342.92151165</v>
      </c>
      <c r="EH271" s="17">
        <f t="shared" ca="1" si="306"/>
        <v>552650342.92151165</v>
      </c>
      <c r="EJ271" s="16">
        <f t="shared" ca="1" si="282"/>
        <v>0</v>
      </c>
      <c r="EK271" s="32" t="str">
        <f>IF(VLOOKUP(BO271,Fundamentus!A:U,3,FALSE)&lt;15,"Bom",IF(VLOOKUP(BO271,Fundamentus!A:U,3,FALSE)&gt;15,"Ruim","n/a"))</f>
        <v>Bom</v>
      </c>
      <c r="EL271" s="28" t="str">
        <f>IF(VLOOKUP(BO271,Fundamentus!A:U,4,FALSE)&lt;1,"Baixo",IF(VLOOKUP(BO271,Fundamentus!A:U,4,FALSE)&lt;1.5,"Moderado",IF(VLOOKUP(BO271,Fundamentus!A:U,4,FALSE)&gt;1.5,"Alto","n/a")))</f>
        <v>Alto</v>
      </c>
      <c r="EM271" s="17" t="str">
        <f>IF(VLOOKUP(BO271,Fundamentus!A:U,8,FALSE)&lt;0,"Risco elevado",IF(VLOOKUP(BO271,Fundamentus!A:U,8,FALSE)&lt;1,"Saudável",IF(VLOOKUP(BO271,Fundamentus!A:U,8,FALSE)&lt;3,"Estável",IF(VLOOKUP(BO271,Fundamentus!A:U,8,FALSE)&gt;3,"Alerta","n/a"))))</f>
        <v>Alerta</v>
      </c>
      <c r="EN271" s="28" t="str">
        <f t="shared" si="307"/>
        <v>Bom</v>
      </c>
      <c r="EO271" s="17" t="str">
        <f>IF(VLOOKUP(BO271,Fundamentus!A:U,12,FALSE)&lt;2,"Subvalorizada",IF(VLOOKUP(BO271,Fundamentus!A:U,12,FALSE)&lt;6,"Muita barata",IF(VLOOKUP(BO271,Fundamentus!A:U,12,FALSE)&lt;6,"Barata",IF(VLOOKUP(BO271,Fundamentus!A:U,12,FALSE)&lt;8,"Atrativa",IF(VLOOKUP(BO271,Fundamentus!A:U,12,FALSE)&gt;8,"Supervalorizada","n/a")))))</f>
        <v>Supervalorizada</v>
      </c>
      <c r="EQ271" s="17" t="str">
        <f>IF(VLOOKUP(BO271,Fundamentus!A:U,17,FALSE)&lt;0.1,"Fraco retorno",IF(VLOOKUP(BO271,Fundamentus!A:U,17,FALSE)&gt;0.1,"Bom retorno","n/a"))</f>
        <v>Bom retorno</v>
      </c>
      <c r="ER271" s="17" t="str">
        <f>IF(VLOOKUP(BO271,Fundamentus!A:U,16,FALSE)&lt;0.1,"Ineficiente",IF(VLOOKUP(BO271,Fundamentus!A:U,16,FALSE)&gt;0.1,"Eficiente","n/a"))</f>
        <v>Eficiente</v>
      </c>
      <c r="ES271" s="33" t="str">
        <f>IF(VLOOKUP(BO271,Fundamentus!A:U,16,FALSE)&lt;0.1,"Oper. Ineficiente",IF(VLOOKUP(BO271,Fundamentus!A:U,16,FALSE)&gt;0.1,"Oper.Eficiente","n/a"))</f>
        <v>Oper.Eficiente</v>
      </c>
      <c r="ET271" s="34">
        <f>VLOOKUP(BO271,Fundamentus!A:U,14,FALSE)</f>
        <v>0.42449999999999999</v>
      </c>
      <c r="EU271" s="17" t="str">
        <f>IF(VLOOKUP(BO271,Fundamentus!A:U,21,FALSE)&lt;0,"Negativo",IF(VLOOKUP(BO271,Fundamentus!A:U,21,FALSE)&lt;0.05,"Fraco",IF(VLOOKUP(BO271,Fundamentus!A:U,21,FALSE)&lt;0.1,"Bom",IF(VLOOKUP(BO271,Fundamentus!A:U,21,FALSE)&gt;0.1,"Muito bom","n/a"))))</f>
        <v>Fraco</v>
      </c>
      <c r="EW271" s="29" t="str">
        <f>IF(VLOOKUP(BO271,Fundamentus!A:U,15,FALSE)&gt;1,"Bom",IF(VLOOKUP(BO271,Fundamentus!A:U,15,FALSE)&lt;1,"Ruim","n/a"))</f>
        <v>Bom</v>
      </c>
      <c r="EX271" s="17" t="str">
        <f>IF(VLOOKUP(BO271,Fundamentus!A:U,20,FALSE)&lt;0.5,"Baixa",IF(VLOOKUP(BO271,Fundamentus!A:U,20,FALSE)&lt;1,"Moderada",IF(VLOOKUP(BO271,Fundamentus!A:U,20,FALSE)&lt;2,"Alerta",IF(VLOOKUP(BO271,Fundamentus!A:U,20,FALSE)&gt;2,"Alta","n/a"))))</f>
        <v>Alerta</v>
      </c>
    </row>
    <row r="273" spans="1:141" ht="11.25" customHeight="1" x14ac:dyDescent="0.25">
      <c r="EJ273" s="16">
        <v>5.1817927712916045E-3</v>
      </c>
    </row>
    <row r="274" spans="1:141" ht="11.25" customHeight="1" x14ac:dyDescent="0.2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7"/>
      <c r="AU274" s="57"/>
      <c r="AV274" s="57"/>
      <c r="AW274" s="57"/>
      <c r="AX274" s="57"/>
      <c r="AY274" s="57"/>
      <c r="AZ274" s="57"/>
      <c r="BA274" s="57"/>
      <c r="BB274" s="57"/>
      <c r="BC274" s="57"/>
      <c r="BD274" s="57"/>
      <c r="BE274" s="57"/>
      <c r="BF274" s="57"/>
      <c r="BG274" s="57"/>
      <c r="BH274" s="57"/>
      <c r="BI274" s="57"/>
      <c r="BJ274" s="57"/>
      <c r="BK274" s="57"/>
      <c r="BL274" s="57"/>
      <c r="BM274" s="57"/>
      <c r="BT274" s="1"/>
      <c r="CW274" s="1" t="s">
        <v>275</v>
      </c>
      <c r="CX274" s="1" t="s">
        <v>269</v>
      </c>
      <c r="CY274" s="1" t="s">
        <v>271</v>
      </c>
      <c r="CZ274" s="1" t="s">
        <v>270</v>
      </c>
      <c r="DA274" s="1" t="s">
        <v>279</v>
      </c>
      <c r="DB274" s="1" t="s">
        <v>280</v>
      </c>
      <c r="DC274" s="1" t="s">
        <v>281</v>
      </c>
      <c r="DD274" s="1" t="s">
        <v>283</v>
      </c>
      <c r="DU274" s="84"/>
      <c r="EJ274" s="16">
        <v>1.3079483012150783E-2</v>
      </c>
    </row>
    <row r="275" spans="1:141" x14ac:dyDescent="0.25">
      <c r="BD275" s="37"/>
      <c r="BT275" s="1"/>
      <c r="CN275" s="16"/>
      <c r="EJ275" s="16">
        <v>7.6645501222152301E-3</v>
      </c>
    </row>
    <row r="276" spans="1:141" x14ac:dyDescent="0.25">
      <c r="BO276" s="78"/>
      <c r="BT276" s="1"/>
      <c r="BW276" s="80"/>
      <c r="BY276" s="59"/>
      <c r="CM276" s="65"/>
      <c r="EJ276" s="16">
        <v>6.1350601295095952E-3</v>
      </c>
    </row>
    <row r="277" spans="1:141" x14ac:dyDescent="0.25">
      <c r="BT277" s="1"/>
      <c r="CL277" s="19"/>
      <c r="CM277" s="19"/>
    </row>
    <row r="278" spans="1:141" x14ac:dyDescent="0.25">
      <c r="BT278" s="1"/>
      <c r="EK278" s="7"/>
    </row>
    <row r="279" spans="1:141" x14ac:dyDescent="0.25">
      <c r="BT279" s="1"/>
      <c r="BW279" s="77"/>
    </row>
  </sheetData>
  <autoFilter ref="A5:FJ271" xr:uid="{00000000-0001-0000-0000-000000000000}"/>
  <sortState xmlns:xlrd2="http://schemas.microsoft.com/office/spreadsheetml/2017/richdata2" ref="A19:EZ186">
    <sortCondition descending="1" ref="CA19:CA186"/>
  </sortState>
  <conditionalFormatting sqref="AY6:AZ271">
    <cfRule type="expression" dxfId="53" priority="177">
      <formula>AY6&gt;AX6</formula>
    </cfRule>
  </conditionalFormatting>
  <conditionalFormatting sqref="BA6:BM271">
    <cfRule type="expression" dxfId="52" priority="111">
      <formula>BA6=AZ6</formula>
    </cfRule>
    <cfRule type="expression" dxfId="51" priority="112">
      <formula>BA6&gt;=AZ6</formula>
    </cfRule>
  </conditionalFormatting>
  <conditionalFormatting sqref="BD275">
    <cfRule type="expression" dxfId="50" priority="31">
      <formula>BD275=BC275</formula>
    </cfRule>
    <cfRule type="expression" dxfId="49" priority="32">
      <formula>BD275&gt;=BC275</formula>
    </cfRule>
  </conditionalFormatting>
  <conditionalFormatting sqref="BN6:BN271">
    <cfRule type="expression" dxfId="48" priority="179">
      <formula>BN6&gt;=BJ6</formula>
    </cfRule>
  </conditionalFormatting>
  <conditionalFormatting sqref="BT2">
    <cfRule type="cellIs" dxfId="47" priority="1" operator="greaterThan">
      <formula>0</formula>
    </cfRule>
  </conditionalFormatting>
  <conditionalFormatting sqref="BT4">
    <cfRule type="cellIs" dxfId="46" priority="3" operator="greaterThan">
      <formula>0</formula>
    </cfRule>
  </conditionalFormatting>
  <conditionalFormatting sqref="BT6:BT271">
    <cfRule type="cellIs" dxfId="45" priority="19" operator="greaterThan">
      <formula>0</formula>
    </cfRule>
  </conditionalFormatting>
  <conditionalFormatting sqref="CA3 CA6:CA1048576">
    <cfRule type="cellIs" dxfId="44" priority="110" operator="between">
      <formula>0</formula>
      <formula>0.009</formula>
    </cfRule>
  </conditionalFormatting>
  <conditionalFormatting sqref="CA3 CA6:CB1048576 BN272:BN1048576 BY272:BY1048576">
    <cfRule type="cellIs" dxfId="43" priority="114" operator="greaterThan">
      <formula>0.009</formula>
    </cfRule>
  </conditionalFormatting>
  <conditionalFormatting sqref="CG3">
    <cfRule type="cellIs" dxfId="42" priority="17" operator="between">
      <formula>0</formula>
      <formula>0.009</formula>
    </cfRule>
    <cfRule type="cellIs" dxfId="41" priority="18" operator="greaterThan">
      <formula>0.009</formula>
    </cfRule>
  </conditionalFormatting>
  <conditionalFormatting sqref="DN6:DN271">
    <cfRule type="cellIs" dxfId="40" priority="121" operator="lessThan">
      <formula>0.1</formula>
    </cfRule>
    <cfRule type="cellIs" dxfId="39" priority="120" operator="greaterThan">
      <formula>0.9</formula>
    </cfRule>
  </conditionalFormatting>
  <conditionalFormatting sqref="DT6:DU271">
    <cfRule type="cellIs" dxfId="38" priority="2" operator="lessThan">
      <formula>0.01</formula>
    </cfRule>
  </conditionalFormatting>
  <conditionalFormatting sqref="EK6:EK271">
    <cfRule type="containsText" dxfId="37" priority="69" operator="containsText" text="Bom">
      <formula>NOT(ISERROR(SEARCH("Bom",EK6)))</formula>
    </cfRule>
  </conditionalFormatting>
  <conditionalFormatting sqref="EL6:EM271">
    <cfRule type="containsText" dxfId="36" priority="66" operator="containsText" text="Baixo">
      <formula>NOT(ISERROR(SEARCH("Baixo",EL6)))</formula>
    </cfRule>
    <cfRule type="containsText" dxfId="35" priority="67" operator="containsText" text="Moderado">
      <formula>NOT(ISERROR(SEARCH("Moderado",EL6)))</formula>
    </cfRule>
    <cfRule type="containsText" dxfId="34" priority="68" operator="containsText" text="Alto">
      <formula>NOT(ISERROR(SEARCH("Alto",EL6)))</formula>
    </cfRule>
  </conditionalFormatting>
  <conditionalFormatting sqref="EM6:EM271">
    <cfRule type="containsText" dxfId="33" priority="52" operator="containsText" text="Risco elevado">
      <formula>NOT(ISERROR(SEARCH("Risco elevado",EM6)))</formula>
    </cfRule>
    <cfRule type="containsText" dxfId="32" priority="53" operator="containsText" text="Estável">
      <formula>NOT(ISERROR(SEARCH("Estável",EM6)))</formula>
    </cfRule>
    <cfRule type="containsText" dxfId="31" priority="54" operator="containsText" text="Alerta">
      <formula>NOT(ISERROR(SEARCH("Alerta",EM6)))</formula>
    </cfRule>
    <cfRule type="containsText" dxfId="30" priority="55" operator="containsText" text="Saudável">
      <formula>NOT(ISERROR(SEARCH("Saudável",EM6)))</formula>
    </cfRule>
  </conditionalFormatting>
  <conditionalFormatting sqref="EN6:EN271">
    <cfRule type="containsText" dxfId="29" priority="64" operator="containsText" text="Ruim">
      <formula>NOT(ISERROR(SEARCH("Ruim",EN6)))</formula>
    </cfRule>
    <cfRule type="containsText" dxfId="28" priority="65" operator="containsText" text="Bom">
      <formula>NOT(ISERROR(SEARCH("Bom",EN6)))</formula>
    </cfRule>
  </conditionalFormatting>
  <conditionalFormatting sqref="EO6:EU271">
    <cfRule type="containsText" dxfId="27" priority="80" operator="containsText" text="Atrativa">
      <formula>NOT(ISERROR(SEARCH("Atrativa",EO6)))</formula>
    </cfRule>
    <cfRule type="containsText" dxfId="26" priority="81" operator="containsText" text="Barata">
      <formula>NOT(ISERROR(SEARCH("Barata",EO6)))</formula>
    </cfRule>
    <cfRule type="containsText" dxfId="25" priority="82" operator="containsText" text="Muito barata">
      <formula>NOT(ISERROR(SEARCH("Muito barata",EO6)))</formula>
    </cfRule>
    <cfRule type="containsText" dxfId="24" priority="83" operator="containsText" text="Subvalorizada">
      <formula>NOT(ISERROR(SEARCH("Subvalorizada",EO6)))</formula>
    </cfRule>
    <cfRule type="containsText" dxfId="23" priority="79" operator="containsText" text="Supervalorizada">
      <formula>NOT(ISERROR(SEARCH("Supervalorizada",EO6)))</formula>
    </cfRule>
  </conditionalFormatting>
  <conditionalFormatting sqref="EQ6:EQ271">
    <cfRule type="containsText" dxfId="22" priority="63" operator="containsText" text="Bom retorno">
      <formula>NOT(ISERROR(SEARCH("Bom retorno",EQ6)))</formula>
    </cfRule>
    <cfRule type="containsText" dxfId="21" priority="62" operator="containsText" text="Fraco retorno">
      <formula>NOT(ISERROR(SEARCH("Fraco retorno",EQ6)))</formula>
    </cfRule>
  </conditionalFormatting>
  <conditionalFormatting sqref="ER6:ER271">
    <cfRule type="containsText" dxfId="20" priority="61" operator="containsText" text="Eficiente">
      <formula>NOT(ISERROR(SEARCH("Eficiente",ER6)))</formula>
    </cfRule>
    <cfRule type="containsText" dxfId="19" priority="60" operator="containsText" text="Ineficiente">
      <formula>NOT(ISERROR(SEARCH("Ineficiente",ER6)))</formula>
    </cfRule>
  </conditionalFormatting>
  <conditionalFormatting sqref="ES6:ES271">
    <cfRule type="containsText" dxfId="18" priority="58" operator="containsText" text="Oper.Ineficiente">
      <formula>NOT(ISERROR(SEARCH("Oper.Ineficiente",ES6)))</formula>
    </cfRule>
    <cfRule type="containsText" dxfId="17" priority="59" operator="containsText" text="Oper.Eficiente">
      <formula>NOT(ISERROR(SEARCH("Oper.Eficiente",ES6)))</formula>
    </cfRule>
  </conditionalFormatting>
  <conditionalFormatting sqref="ET6:ET271">
    <cfRule type="cellIs" dxfId="16" priority="57" operator="greaterThan">
      <formula>0</formula>
    </cfRule>
  </conditionalFormatting>
  <conditionalFormatting sqref="ET9">
    <cfRule type="containsText" dxfId="15" priority="56" operator="containsText" text="Risco elevado">
      <formula>NOT(ISERROR(SEARCH("Risco elevado",ET9)))</formula>
    </cfRule>
  </conditionalFormatting>
  <conditionalFormatting sqref="EU6:EU271">
    <cfRule type="containsText" dxfId="14" priority="74" operator="containsText" text="Supervalorizada">
      <formula>NOT(ISERROR(SEARCH("Supervalorizada",EU6)))</formula>
    </cfRule>
    <cfRule type="containsText" dxfId="13" priority="75" operator="containsText" text="Atrativa">
      <formula>NOT(ISERROR(SEARCH("Atrativa",EU6)))</formula>
    </cfRule>
    <cfRule type="containsText" dxfId="12" priority="76" operator="containsText" text="Barata">
      <formula>NOT(ISERROR(SEARCH("Barata",EU6)))</formula>
    </cfRule>
    <cfRule type="containsText" dxfId="11" priority="77" operator="containsText" text="Muito barata">
      <formula>NOT(ISERROR(SEARCH("Muito barata",EU6)))</formula>
    </cfRule>
    <cfRule type="containsText" dxfId="10" priority="78" operator="containsText" text="Subvalorizada">
      <formula>NOT(ISERROR(SEARCH("Subvalorizada",EU6)))</formula>
    </cfRule>
    <cfRule type="containsText" dxfId="9" priority="70" operator="containsText" text="Muito Bom">
      <formula>NOT(ISERROR(SEARCH("Muito Bom",EU6)))</formula>
    </cfRule>
    <cfRule type="containsText" dxfId="8" priority="73" operator="containsText" text="Negativo">
      <formula>NOT(ISERROR(SEARCH("Negativo",EU6)))</formula>
    </cfRule>
    <cfRule type="containsText" dxfId="7" priority="72" operator="containsText" text="Fraco">
      <formula>NOT(ISERROR(SEARCH("Fraco",EU6)))</formula>
    </cfRule>
    <cfRule type="containsText" dxfId="6" priority="71" operator="containsText" text="Bom">
      <formula>NOT(ISERROR(SEARCH("Bom",EU6)))</formula>
    </cfRule>
  </conditionalFormatting>
  <conditionalFormatting sqref="EW6:EW271">
    <cfRule type="containsText" dxfId="5" priority="88" operator="containsText" text="Ruim">
      <formula>NOT(ISERROR(SEARCH("Ruim",EW6)))</formula>
    </cfRule>
    <cfRule type="containsText" dxfId="4" priority="89" operator="containsText" text="Bom">
      <formula>NOT(ISERROR(SEARCH("Bom",EW6)))</formula>
    </cfRule>
  </conditionalFormatting>
  <conditionalFormatting sqref="EX6:EX271">
    <cfRule type="containsText" dxfId="3" priority="84" operator="containsText" text="Baixa">
      <formula>NOT(ISERROR(SEARCH("Baixa",EX6)))</formula>
    </cfRule>
    <cfRule type="containsText" dxfId="2" priority="86" operator="containsText" text="Alta">
      <formula>NOT(ISERROR(SEARCH("Alta",EX6)))</formula>
    </cfRule>
    <cfRule type="containsText" dxfId="1" priority="87" operator="containsText" text="Alerta">
      <formula>NOT(ISERROR(SEARCH("Alerta",EX6)))</formula>
    </cfRule>
    <cfRule type="containsText" dxfId="0" priority="85" operator="containsText" text="Moderada">
      <formula>NOT(ISERROR(SEARCH("Moderada",EX6)))</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F267"/>
  <sheetViews>
    <sheetView tabSelected="1" zoomScale="110" zoomScaleNormal="110" workbookViewId="0">
      <selection activeCell="N6" sqref="N6"/>
    </sheetView>
  </sheetViews>
  <sheetFormatPr defaultRowHeight="15" x14ac:dyDescent="0.25"/>
  <cols>
    <col min="2" max="3" width="12.5703125" bestFit="1" customWidth="1"/>
    <col min="4" max="4" width="10.85546875" bestFit="1" customWidth="1"/>
    <col min="5" max="6" width="11.85546875" customWidth="1"/>
    <col min="7" max="7" width="9.42578125" customWidth="1"/>
  </cols>
  <sheetData>
    <row r="1" spans="1:6" x14ac:dyDescent="0.25">
      <c r="A1" t="s">
        <v>475</v>
      </c>
      <c r="B1" s="79">
        <v>45836</v>
      </c>
      <c r="C1" s="79">
        <v>45843</v>
      </c>
      <c r="D1" s="79">
        <v>45850</v>
      </c>
      <c r="E1" s="79">
        <v>45857</v>
      </c>
      <c r="F1" s="79">
        <v>45864</v>
      </c>
    </row>
    <row r="2" spans="1:6" x14ac:dyDescent="0.25">
      <c r="A2" s="13" t="str">
        <f>Bovespa!BO6</f>
        <v>EQPA7</v>
      </c>
      <c r="B2" s="13">
        <v>8.0500000000000007</v>
      </c>
      <c r="C2" s="13">
        <v>8.0500000000000007</v>
      </c>
      <c r="D2" s="13">
        <v>8.0500000000000007</v>
      </c>
      <c r="E2" s="13">
        <v>8.0500000000000007</v>
      </c>
      <c r="F2" s="13">
        <f ca="1">Bovespa!BN6</f>
        <v>8.0500000000000007</v>
      </c>
    </row>
    <row r="3" spans="1:6" x14ac:dyDescent="0.25">
      <c r="A3" s="13" t="str">
        <f>Bovespa!BO7</f>
        <v>CGRA4</v>
      </c>
      <c r="B3" s="13">
        <v>28.38</v>
      </c>
      <c r="C3" s="13">
        <v>29.05</v>
      </c>
      <c r="D3" s="13">
        <v>28.7</v>
      </c>
      <c r="E3" s="13">
        <v>27.52</v>
      </c>
      <c r="F3" s="13">
        <f ca="1">Bovespa!BN7</f>
        <v>27.24</v>
      </c>
    </row>
    <row r="4" spans="1:6" x14ac:dyDescent="0.25">
      <c r="A4" s="13" t="str">
        <f>Bovespa!BO8</f>
        <v>ISAE4</v>
      </c>
      <c r="B4" s="13">
        <v>22.79</v>
      </c>
      <c r="C4" s="13">
        <v>23.31</v>
      </c>
      <c r="D4" s="13">
        <v>22.8</v>
      </c>
      <c r="E4" s="13">
        <v>22.44</v>
      </c>
      <c r="F4" s="13">
        <f ca="1">Bovespa!BN8</f>
        <v>22.37</v>
      </c>
    </row>
    <row r="5" spans="1:6" x14ac:dyDescent="0.25">
      <c r="A5" s="13" t="str">
        <f>Bovespa!BO9</f>
        <v>BEES3</v>
      </c>
      <c r="B5" s="13">
        <v>8.49</v>
      </c>
      <c r="C5" s="13">
        <v>8.6300000000000008</v>
      </c>
      <c r="D5" s="13">
        <v>8.5</v>
      </c>
      <c r="E5" s="13">
        <v>8.49</v>
      </c>
      <c r="F5" s="13">
        <f ca="1">Bovespa!BN9</f>
        <v>8.39</v>
      </c>
    </row>
    <row r="6" spans="1:6" x14ac:dyDescent="0.25">
      <c r="A6" s="13" t="str">
        <f>Bovespa!BO10</f>
        <v>ABEV3</v>
      </c>
      <c r="B6" s="13">
        <v>13.15</v>
      </c>
      <c r="C6" s="13">
        <v>13.52</v>
      </c>
      <c r="D6" s="13">
        <v>13.3</v>
      </c>
      <c r="E6" s="13">
        <v>13.32</v>
      </c>
      <c r="F6" s="13">
        <f ca="1">Bovespa!BN10</f>
        <v>13.47</v>
      </c>
    </row>
    <row r="7" spans="1:6" x14ac:dyDescent="0.25">
      <c r="A7" s="13" t="str">
        <f>Bovespa!BO11</f>
        <v>RPMG3</v>
      </c>
      <c r="B7" s="13">
        <v>2.9</v>
      </c>
      <c r="C7" s="13">
        <v>2.96</v>
      </c>
      <c r="D7" s="13">
        <v>2.9</v>
      </c>
      <c r="E7" s="13">
        <v>2.9</v>
      </c>
      <c r="F7" s="13">
        <f ca="1">Bovespa!BN11</f>
        <v>2.98</v>
      </c>
    </row>
    <row r="8" spans="1:6" x14ac:dyDescent="0.25">
      <c r="A8" s="13" t="str">
        <f>Bovespa!BO12</f>
        <v>DMVF3</v>
      </c>
      <c r="B8" s="13">
        <v>4.99</v>
      </c>
      <c r="C8" s="13">
        <v>4.9400000000000004</v>
      </c>
      <c r="D8" s="13">
        <v>4.74</v>
      </c>
      <c r="E8" s="13">
        <v>4.6900000000000004</v>
      </c>
      <c r="F8" s="13">
        <f ca="1">Bovespa!BN12</f>
        <v>4.7300000000000004</v>
      </c>
    </row>
    <row r="9" spans="1:6" x14ac:dyDescent="0.25">
      <c r="A9" s="13" t="str">
        <f>Bovespa!BO13</f>
        <v>SLCE3</v>
      </c>
      <c r="B9" s="13">
        <v>17.91</v>
      </c>
      <c r="C9" s="13">
        <v>18.100000000000001</v>
      </c>
      <c r="D9" s="13">
        <v>18.2</v>
      </c>
      <c r="E9" s="13">
        <v>18.2</v>
      </c>
      <c r="F9" s="13">
        <f ca="1">Bovespa!BN13</f>
        <v>17.989999999999998</v>
      </c>
    </row>
    <row r="10" spans="1:6" x14ac:dyDescent="0.25">
      <c r="A10" s="13" t="str">
        <f>Bovespa!BO14</f>
        <v>OPCT3</v>
      </c>
      <c r="B10" s="13">
        <v>6.85</v>
      </c>
      <c r="C10" s="13">
        <v>7</v>
      </c>
      <c r="D10" s="13">
        <v>6.82</v>
      </c>
      <c r="E10" s="13">
        <v>6.42</v>
      </c>
      <c r="F10" s="13">
        <f ca="1">Bovespa!BN14</f>
        <v>6.4</v>
      </c>
    </row>
    <row r="11" spans="1:6" x14ac:dyDescent="0.25">
      <c r="A11" s="13" t="str">
        <f>Bovespa!BO15</f>
        <v>SANB4</v>
      </c>
      <c r="B11" s="13">
        <v>15.34</v>
      </c>
      <c r="C11" s="13">
        <v>15.37</v>
      </c>
      <c r="D11" s="13">
        <v>14.44</v>
      </c>
      <c r="E11" s="13">
        <v>13.79</v>
      </c>
      <c r="F11" s="13">
        <f ca="1">Bovespa!BN15</f>
        <v>13.96</v>
      </c>
    </row>
    <row r="12" spans="1:6" x14ac:dyDescent="0.25">
      <c r="A12" s="13" t="str">
        <f>Bovespa!BO16</f>
        <v>WHRL4</v>
      </c>
      <c r="B12" s="13">
        <v>5.05</v>
      </c>
      <c r="C12" s="13">
        <v>4.5999999999999996</v>
      </c>
      <c r="D12" s="13">
        <v>4.2</v>
      </c>
      <c r="E12" s="13">
        <v>4.17</v>
      </c>
      <c r="F12" s="13">
        <f ca="1">Bovespa!BN16</f>
        <v>4.08</v>
      </c>
    </row>
    <row r="13" spans="1:6" x14ac:dyDescent="0.25">
      <c r="A13" s="13" t="str">
        <f>Bovespa!BO17</f>
        <v>TELB4</v>
      </c>
      <c r="B13" s="13">
        <v>8.8000000000000007</v>
      </c>
      <c r="C13" s="13">
        <v>8.27</v>
      </c>
      <c r="D13" s="13">
        <v>7.96</v>
      </c>
      <c r="E13" s="13">
        <v>7.3</v>
      </c>
      <c r="F13" s="13">
        <f ca="1">Bovespa!BN17</f>
        <v>7.5</v>
      </c>
    </row>
    <row r="14" spans="1:6" x14ac:dyDescent="0.25">
      <c r="A14" s="13" t="str">
        <f>Bovespa!BO18</f>
        <v>PETR4</v>
      </c>
      <c r="B14" s="13">
        <v>31.21</v>
      </c>
      <c r="C14" s="13">
        <v>32.119999999999997</v>
      </c>
      <c r="D14" s="13">
        <v>32.6</v>
      </c>
      <c r="E14" s="13">
        <v>30.99</v>
      </c>
      <c r="F14" s="13">
        <f ca="1">Bovespa!BN18</f>
        <v>31.98</v>
      </c>
    </row>
    <row r="15" spans="1:6" x14ac:dyDescent="0.25">
      <c r="A15" s="13" t="str">
        <f>Bovespa!BO19</f>
        <v>ASAI3</v>
      </c>
      <c r="B15" s="13">
        <v>11.04</v>
      </c>
      <c r="C15" s="13">
        <v>10.3</v>
      </c>
      <c r="D15" s="13">
        <v>9.98</v>
      </c>
      <c r="E15" s="13">
        <v>9.7200000000000006</v>
      </c>
      <c r="F15" s="13">
        <f ca="1">Bovespa!BN19</f>
        <v>9.6999999999999993</v>
      </c>
    </row>
    <row r="16" spans="1:6" x14ac:dyDescent="0.25">
      <c r="A16" s="13" t="str">
        <f>Bovespa!BO20</f>
        <v>SHUL4</v>
      </c>
      <c r="B16" s="13">
        <v>5.22</v>
      </c>
      <c r="C16" s="13">
        <v>5.28</v>
      </c>
      <c r="D16" s="13">
        <v>5.19</v>
      </c>
      <c r="E16" s="13">
        <v>5.0999999999999996</v>
      </c>
      <c r="F16" s="13">
        <f ca="1">Bovespa!BN20</f>
        <v>5.0999999999999996</v>
      </c>
    </row>
    <row r="17" spans="1:6" x14ac:dyDescent="0.25">
      <c r="A17" s="13" t="str">
        <f>Bovespa!BO21</f>
        <v>LEVE3</v>
      </c>
      <c r="B17" s="13">
        <v>29.55</v>
      </c>
      <c r="C17" s="13">
        <v>30.01</v>
      </c>
      <c r="D17" s="13">
        <v>29.2</v>
      </c>
      <c r="E17" s="13">
        <v>28.7</v>
      </c>
      <c r="F17" s="13">
        <f ca="1">Bovespa!BN21</f>
        <v>28.3</v>
      </c>
    </row>
    <row r="18" spans="1:6" x14ac:dyDescent="0.25">
      <c r="A18" s="13" t="str">
        <f>Bovespa!BO22</f>
        <v>CPLE6</v>
      </c>
      <c r="B18" s="13">
        <v>12.24</v>
      </c>
      <c r="C18" s="13">
        <v>12.34</v>
      </c>
      <c r="D18" s="13">
        <v>11.95</v>
      </c>
      <c r="E18" s="13">
        <v>11.88</v>
      </c>
      <c r="F18" s="13">
        <f ca="1">Bovespa!BN22</f>
        <v>11.67</v>
      </c>
    </row>
    <row r="19" spans="1:6" x14ac:dyDescent="0.25">
      <c r="A19" s="13" t="str">
        <f>Bovespa!BO23</f>
        <v>CEBR6</v>
      </c>
      <c r="B19" s="13">
        <v>21</v>
      </c>
      <c r="C19" s="13">
        <v>21.6</v>
      </c>
      <c r="D19" s="13">
        <v>21.73</v>
      </c>
      <c r="E19" s="13">
        <v>21.15</v>
      </c>
      <c r="F19" s="13">
        <f ca="1">Bovespa!BN23</f>
        <v>21.15</v>
      </c>
    </row>
    <row r="20" spans="1:6" x14ac:dyDescent="0.25">
      <c r="A20" s="13" t="str">
        <f>Bovespa!BO24</f>
        <v>PRNR3</v>
      </c>
      <c r="B20" s="13">
        <v>14.62</v>
      </c>
      <c r="C20" s="13">
        <v>15.46</v>
      </c>
      <c r="D20" s="13">
        <v>15.56</v>
      </c>
      <c r="E20" s="13">
        <v>15.25</v>
      </c>
      <c r="F20" s="13">
        <f ca="1">Bovespa!BN24</f>
        <v>15</v>
      </c>
    </row>
    <row r="21" spans="1:6" x14ac:dyDescent="0.25">
      <c r="A21" s="13" t="str">
        <f>Bovespa!BO25</f>
        <v>CMIG4</v>
      </c>
      <c r="B21" s="13">
        <v>10.48</v>
      </c>
      <c r="C21" s="13">
        <v>11.18</v>
      </c>
      <c r="D21" s="13">
        <v>10.8</v>
      </c>
      <c r="E21" s="13">
        <v>10.38</v>
      </c>
      <c r="F21" s="13">
        <f ca="1">Bovespa!BN25</f>
        <v>10.48</v>
      </c>
    </row>
    <row r="22" spans="1:6" x14ac:dyDescent="0.25">
      <c r="A22" s="13" t="str">
        <f>Bovespa!BO26</f>
        <v>BEES4</v>
      </c>
      <c r="B22" s="13">
        <v>8.4700000000000006</v>
      </c>
      <c r="C22" s="13">
        <v>8.59</v>
      </c>
      <c r="D22" s="13">
        <v>8.52</v>
      </c>
      <c r="E22" s="13">
        <v>8.42</v>
      </c>
      <c r="F22" s="13">
        <f ca="1">Bovespa!BN26</f>
        <v>8.39</v>
      </c>
    </row>
    <row r="23" spans="1:6" x14ac:dyDescent="0.25">
      <c r="A23" s="13" t="str">
        <f>Bovespa!BO27</f>
        <v>POMO3</v>
      </c>
      <c r="B23" s="13">
        <v>6.46</v>
      </c>
      <c r="C23" s="13">
        <v>6.53</v>
      </c>
      <c r="D23" s="13">
        <v>6.44</v>
      </c>
      <c r="E23" s="13">
        <v>6.44</v>
      </c>
      <c r="F23" s="13">
        <f ca="1">Bovespa!BN27</f>
        <v>6.71</v>
      </c>
    </row>
    <row r="24" spans="1:6" x14ac:dyDescent="0.25">
      <c r="A24" s="13" t="str">
        <f>Bovespa!BO28</f>
        <v>BMOB3</v>
      </c>
      <c r="B24" s="13">
        <v>19.690000000000001</v>
      </c>
      <c r="C24" s="13">
        <v>22.08</v>
      </c>
      <c r="D24" s="13">
        <v>21.89</v>
      </c>
      <c r="E24" s="13">
        <v>21.6</v>
      </c>
      <c r="F24" s="13">
        <f ca="1">Bovespa!BN28</f>
        <v>20.36</v>
      </c>
    </row>
    <row r="25" spans="1:6" x14ac:dyDescent="0.25">
      <c r="A25" s="13" t="str">
        <f>Bovespa!BO29</f>
        <v>MTSA4</v>
      </c>
      <c r="B25" s="13">
        <v>42.23</v>
      </c>
      <c r="C25" s="13">
        <v>43.87</v>
      </c>
      <c r="D25" s="13">
        <v>43.16</v>
      </c>
      <c r="E25" s="13">
        <v>43.67</v>
      </c>
      <c r="F25" s="13">
        <f ca="1">Bovespa!BN29</f>
        <v>42.49</v>
      </c>
    </row>
    <row r="26" spans="1:6" x14ac:dyDescent="0.25">
      <c r="A26" s="13" t="str">
        <f>Bovespa!BO30</f>
        <v>CAMB3</v>
      </c>
      <c r="B26" s="13">
        <v>10.06</v>
      </c>
      <c r="C26" s="13">
        <v>10.17</v>
      </c>
      <c r="D26" s="13">
        <v>9.91</v>
      </c>
      <c r="E26" s="13">
        <v>9.5500000000000007</v>
      </c>
      <c r="F26" s="13">
        <f ca="1">Bovespa!BN30</f>
        <v>9.42</v>
      </c>
    </row>
    <row r="27" spans="1:6" x14ac:dyDescent="0.25">
      <c r="A27" s="13" t="str">
        <f>Bovespa!BO31</f>
        <v>BRAP3</v>
      </c>
      <c r="B27" s="13">
        <v>14.59</v>
      </c>
      <c r="C27" s="13">
        <v>15.4</v>
      </c>
      <c r="D27" s="13">
        <v>15.4</v>
      </c>
      <c r="E27" s="13">
        <v>14.99</v>
      </c>
      <c r="F27" s="13">
        <f ca="1">Bovespa!BN31</f>
        <v>15.05</v>
      </c>
    </row>
    <row r="28" spans="1:6" x14ac:dyDescent="0.25">
      <c r="A28" s="13" t="str">
        <f>Bovespa!BO32</f>
        <v>HAGA4</v>
      </c>
      <c r="B28" s="13">
        <v>1.21</v>
      </c>
      <c r="C28" s="13">
        <v>1.21</v>
      </c>
      <c r="D28" s="13">
        <v>1.17</v>
      </c>
      <c r="E28" s="13">
        <v>1.19</v>
      </c>
      <c r="F28" s="13">
        <f ca="1">Bovespa!BN32</f>
        <v>1.17</v>
      </c>
    </row>
    <row r="29" spans="1:6" x14ac:dyDescent="0.25">
      <c r="A29" s="13" t="str">
        <f>Bovespa!BO33</f>
        <v>SANB3</v>
      </c>
      <c r="B29" s="13">
        <v>13.79</v>
      </c>
      <c r="C29" s="13">
        <v>13.92</v>
      </c>
      <c r="D29" s="13">
        <v>13.3</v>
      </c>
      <c r="E29" s="13">
        <v>12.5</v>
      </c>
      <c r="F29" s="13">
        <f ca="1">Bovespa!BN33</f>
        <v>12.52</v>
      </c>
    </row>
    <row r="30" spans="1:6" x14ac:dyDescent="0.25">
      <c r="A30" s="13" t="str">
        <f>Bovespa!BO34</f>
        <v>CSUD3</v>
      </c>
      <c r="B30" s="13">
        <v>18.34</v>
      </c>
      <c r="C30" s="13">
        <v>18.579999999999998</v>
      </c>
      <c r="D30" s="13">
        <v>18.39</v>
      </c>
      <c r="E30" s="13">
        <v>17.5</v>
      </c>
      <c r="F30" s="13">
        <f ca="1">Bovespa!BN34</f>
        <v>17.399999999999999</v>
      </c>
    </row>
    <row r="31" spans="1:6" x14ac:dyDescent="0.25">
      <c r="A31" s="13" t="str">
        <f>Bovespa!BO35</f>
        <v>BLAU3</v>
      </c>
      <c r="B31" s="13">
        <v>13.43</v>
      </c>
      <c r="C31" s="13">
        <v>12.84</v>
      </c>
      <c r="D31" s="13">
        <v>13.01</v>
      </c>
      <c r="E31" s="13">
        <v>12.18</v>
      </c>
      <c r="F31" s="13">
        <f ca="1">Bovespa!BN35</f>
        <v>12.24</v>
      </c>
    </row>
    <row r="32" spans="1:6" x14ac:dyDescent="0.25">
      <c r="A32" s="13" t="str">
        <f>Bovespa!BO36</f>
        <v>GGBR3</v>
      </c>
      <c r="B32" s="13">
        <v>14.55</v>
      </c>
      <c r="C32" s="13">
        <v>15.16</v>
      </c>
      <c r="D32" s="13">
        <v>14.94</v>
      </c>
      <c r="E32" s="13">
        <v>14.65</v>
      </c>
      <c r="F32" s="13">
        <f ca="1">Bovespa!BN36</f>
        <v>15.04</v>
      </c>
    </row>
    <row r="33" spans="1:6" x14ac:dyDescent="0.25">
      <c r="A33" s="13" t="str">
        <f>Bovespa!BO37</f>
        <v>CRFB3</v>
      </c>
      <c r="B33" s="13">
        <v>8.48</v>
      </c>
      <c r="C33" s="13">
        <v>8.48</v>
      </c>
      <c r="D33" s="13">
        <v>8.48</v>
      </c>
      <c r="E33" s="13">
        <v>8.48</v>
      </c>
      <c r="F33" s="13">
        <f ca="1">Bovespa!BN37</f>
        <v>8.48</v>
      </c>
    </row>
    <row r="34" spans="1:6" x14ac:dyDescent="0.25">
      <c r="A34" s="13" t="str">
        <f>Bovespa!BO38</f>
        <v>SAPR3</v>
      </c>
      <c r="B34" s="13">
        <v>7.7</v>
      </c>
      <c r="C34" s="13">
        <v>7.97</v>
      </c>
      <c r="D34" s="13">
        <v>7.89</v>
      </c>
      <c r="E34" s="13">
        <v>7.83</v>
      </c>
      <c r="F34" s="13">
        <f ca="1">Bovespa!BN38</f>
        <v>7.62</v>
      </c>
    </row>
    <row r="35" spans="1:6" x14ac:dyDescent="0.25">
      <c r="A35" s="13" t="str">
        <f>Bovespa!BO39</f>
        <v>ABCB4</v>
      </c>
      <c r="B35" s="13">
        <v>22.2</v>
      </c>
      <c r="C35" s="13">
        <v>21.64</v>
      </c>
      <c r="D35" s="13">
        <v>20.98</v>
      </c>
      <c r="E35" s="13">
        <v>20.8</v>
      </c>
      <c r="F35" s="13">
        <f ca="1">Bovespa!BN39</f>
        <v>20.6</v>
      </c>
    </row>
    <row r="36" spans="1:6" x14ac:dyDescent="0.25">
      <c r="A36" s="13" t="str">
        <f>Bovespa!BO40</f>
        <v>BRSR6</v>
      </c>
      <c r="B36" s="13">
        <v>11.4</v>
      </c>
      <c r="C36" s="13">
        <v>11.67</v>
      </c>
      <c r="D36" s="13">
        <v>11.18</v>
      </c>
      <c r="E36" s="13">
        <v>10.61</v>
      </c>
      <c r="F36" s="13">
        <f ca="1">Bovespa!BN40</f>
        <v>10.97</v>
      </c>
    </row>
    <row r="37" spans="1:6" x14ac:dyDescent="0.25">
      <c r="A37" s="13" t="str">
        <f>Bovespa!BO41</f>
        <v>PORT3</v>
      </c>
      <c r="B37" s="13">
        <v>17.45</v>
      </c>
      <c r="C37" s="13">
        <v>17.5</v>
      </c>
      <c r="D37" s="13">
        <v>17.5</v>
      </c>
      <c r="E37" s="13">
        <v>17.53</v>
      </c>
      <c r="F37" s="13">
        <f ca="1">Bovespa!BN41</f>
        <v>17.559999999999999</v>
      </c>
    </row>
    <row r="38" spans="1:6" x14ac:dyDescent="0.25">
      <c r="A38" s="13" t="str">
        <f>Bovespa!BO42</f>
        <v>PINE4</v>
      </c>
      <c r="B38" s="13">
        <v>5.86</v>
      </c>
      <c r="C38" s="13">
        <v>5.9</v>
      </c>
      <c r="D38" s="13">
        <v>6.07</v>
      </c>
      <c r="E38" s="13">
        <v>5.74</v>
      </c>
      <c r="F38" s="13">
        <f ca="1">Bovespa!BN42</f>
        <v>5.96</v>
      </c>
    </row>
    <row r="39" spans="1:6" x14ac:dyDescent="0.25">
      <c r="A39" s="13" t="str">
        <f>Bovespa!BO43</f>
        <v>ITSA3</v>
      </c>
      <c r="B39" s="13">
        <v>10.8</v>
      </c>
      <c r="C39" s="13">
        <v>11.14</v>
      </c>
      <c r="D39" s="13">
        <v>10.5</v>
      </c>
      <c r="E39" s="13">
        <v>10.41</v>
      </c>
      <c r="F39" s="13">
        <f ca="1">Bovespa!BN43</f>
        <v>10.41</v>
      </c>
    </row>
    <row r="40" spans="1:6" x14ac:dyDescent="0.25">
      <c r="A40" s="13" t="str">
        <f>Bovespa!BO44</f>
        <v>MEAL3</v>
      </c>
      <c r="B40" s="13">
        <v>1.19</v>
      </c>
      <c r="C40" s="13">
        <v>1.23</v>
      </c>
      <c r="D40" s="13">
        <v>1.21</v>
      </c>
      <c r="E40" s="13">
        <v>1.35</v>
      </c>
      <c r="F40" s="13">
        <f ca="1">Bovespa!BN44</f>
        <v>1.34</v>
      </c>
    </row>
    <row r="41" spans="1:6" x14ac:dyDescent="0.25">
      <c r="A41" s="13" t="str">
        <f>Bovespa!BO45</f>
        <v>BBSE3</v>
      </c>
      <c r="B41" s="13">
        <v>35.229999999999997</v>
      </c>
      <c r="C41" s="13">
        <v>36.51</v>
      </c>
      <c r="D41" s="13">
        <v>35.22</v>
      </c>
      <c r="E41" s="13">
        <v>34.32</v>
      </c>
      <c r="F41" s="13">
        <f ca="1">Bovespa!BN45</f>
        <v>33.53</v>
      </c>
    </row>
    <row r="42" spans="1:6" x14ac:dyDescent="0.25">
      <c r="A42" s="13" t="str">
        <f>Bovespa!BO46</f>
        <v>GOAU3</v>
      </c>
      <c r="B42" s="13">
        <v>8.86</v>
      </c>
      <c r="C42" s="13">
        <v>9.39</v>
      </c>
      <c r="D42" s="13">
        <v>9.31</v>
      </c>
      <c r="E42" s="13">
        <v>9</v>
      </c>
      <c r="F42" s="13">
        <f ca="1">Bovespa!BN46</f>
        <v>9.52</v>
      </c>
    </row>
    <row r="43" spans="1:6" x14ac:dyDescent="0.25">
      <c r="A43" s="13" t="str">
        <f>Bovespa!BO47</f>
        <v>ITUB4</v>
      </c>
      <c r="B43" s="13">
        <v>36.270000000000003</v>
      </c>
      <c r="C43" s="13">
        <v>37.729999999999997</v>
      </c>
      <c r="D43" s="13">
        <v>34.96</v>
      </c>
      <c r="E43" s="13">
        <v>35.07</v>
      </c>
      <c r="F43" s="13">
        <f ca="1">Bovespa!BN47</f>
        <v>35.21</v>
      </c>
    </row>
    <row r="44" spans="1:6" x14ac:dyDescent="0.25">
      <c r="A44" s="13" t="str">
        <f>Bovespa!BO48</f>
        <v>AGRO3</v>
      </c>
      <c r="B44" s="13">
        <v>20.05</v>
      </c>
      <c r="C44" s="13">
        <v>20.68</v>
      </c>
      <c r="D44" s="13">
        <v>20.8</v>
      </c>
      <c r="E44" s="13">
        <v>20.49</v>
      </c>
      <c r="F44" s="13">
        <f ca="1">Bovespa!BN48</f>
        <v>20.32</v>
      </c>
    </row>
    <row r="45" spans="1:6" x14ac:dyDescent="0.25">
      <c r="A45" s="13" t="str">
        <f>Bovespa!BO49</f>
        <v>BMGB4</v>
      </c>
      <c r="B45" s="13">
        <v>3.68</v>
      </c>
      <c r="C45" s="13">
        <v>3.72</v>
      </c>
      <c r="D45" s="13">
        <v>3.64</v>
      </c>
      <c r="E45" s="13">
        <v>3.68</v>
      </c>
      <c r="F45" s="13">
        <f ca="1">Bovespa!BN49</f>
        <v>3.5</v>
      </c>
    </row>
    <row r="46" spans="1:6" x14ac:dyDescent="0.25">
      <c r="A46" s="13" t="str">
        <f>Bovespa!BO50</f>
        <v>LAND3</v>
      </c>
      <c r="B46" s="13">
        <v>10.27</v>
      </c>
      <c r="C46" s="13">
        <v>10.44</v>
      </c>
      <c r="D46" s="13">
        <v>10.14</v>
      </c>
      <c r="E46" s="13">
        <v>9.8800000000000008</v>
      </c>
      <c r="F46" s="13">
        <f ca="1">Bovespa!BN50</f>
        <v>10.49</v>
      </c>
    </row>
    <row r="47" spans="1:6" x14ac:dyDescent="0.25">
      <c r="A47" s="13" t="str">
        <f>Bovespa!BO51</f>
        <v>GGBR4</v>
      </c>
      <c r="B47" s="13">
        <v>15.9</v>
      </c>
      <c r="C47" s="13">
        <v>16.78</v>
      </c>
      <c r="D47" s="13">
        <v>16.690000000000001</v>
      </c>
      <c r="E47" s="13">
        <v>16.11</v>
      </c>
      <c r="F47" s="13">
        <f ca="1">Bovespa!BN51</f>
        <v>17.18</v>
      </c>
    </row>
    <row r="48" spans="1:6" x14ac:dyDescent="0.25">
      <c r="A48" s="13" t="str">
        <f>Bovespa!BO52</f>
        <v>ITSA4</v>
      </c>
      <c r="B48" s="13">
        <v>10.71</v>
      </c>
      <c r="C48" s="13">
        <v>11.12</v>
      </c>
      <c r="D48" s="13">
        <v>10.48</v>
      </c>
      <c r="E48" s="13">
        <v>10.45</v>
      </c>
      <c r="F48" s="13">
        <f ca="1">Bovespa!BN52</f>
        <v>10.44</v>
      </c>
    </row>
    <row r="49" spans="1:6" x14ac:dyDescent="0.25">
      <c r="A49" s="13" t="str">
        <f>Bovespa!BO53</f>
        <v>SMFT3</v>
      </c>
      <c r="B49" s="13">
        <v>24.29</v>
      </c>
      <c r="C49" s="13">
        <v>23.36</v>
      </c>
      <c r="D49" s="13">
        <v>22.71</v>
      </c>
      <c r="E49" s="13">
        <v>21.95</v>
      </c>
      <c r="F49" s="13">
        <f ca="1">Bovespa!BN53</f>
        <v>20.94</v>
      </c>
    </row>
    <row r="50" spans="1:6" x14ac:dyDescent="0.25">
      <c r="A50" s="13" t="str">
        <f>Bovespa!BO54</f>
        <v>FLRY3</v>
      </c>
      <c r="B50" s="13">
        <v>12.73</v>
      </c>
      <c r="C50" s="13">
        <v>13.02</v>
      </c>
      <c r="D50" s="13">
        <v>12.62</v>
      </c>
      <c r="E50" s="13">
        <v>12.63</v>
      </c>
      <c r="F50" s="13">
        <f ca="1">Bovespa!BN54</f>
        <v>14.48</v>
      </c>
    </row>
    <row r="51" spans="1:6" x14ac:dyDescent="0.25">
      <c r="A51" s="13" t="str">
        <f>Bovespa!BO55</f>
        <v>ROMI3</v>
      </c>
      <c r="B51" s="13">
        <v>8.9700000000000006</v>
      </c>
      <c r="C51" s="13">
        <v>8.91</v>
      </c>
      <c r="D51" s="13">
        <v>8.9600000000000009</v>
      </c>
      <c r="E51" s="13">
        <v>8.4</v>
      </c>
      <c r="F51" s="13">
        <f ca="1">Bovespa!BN55</f>
        <v>8.4</v>
      </c>
    </row>
    <row r="52" spans="1:6" x14ac:dyDescent="0.25">
      <c r="A52" s="13" t="str">
        <f>Bovespa!BO56</f>
        <v>TAEE4</v>
      </c>
      <c r="B52" s="13">
        <v>11.54</v>
      </c>
      <c r="C52" s="13">
        <v>11.75</v>
      </c>
      <c r="D52" s="13">
        <v>11.36</v>
      </c>
      <c r="E52" s="13">
        <v>11.24</v>
      </c>
      <c r="F52" s="13">
        <f ca="1">Bovespa!BN56</f>
        <v>11.16</v>
      </c>
    </row>
    <row r="53" spans="1:6" x14ac:dyDescent="0.25">
      <c r="A53" s="13" t="str">
        <f>Bovespa!BO57</f>
        <v>RAIL3</v>
      </c>
      <c r="B53" s="13">
        <v>17.96</v>
      </c>
      <c r="C53" s="13">
        <v>18.579999999999998</v>
      </c>
      <c r="D53" s="13">
        <v>17.12</v>
      </c>
      <c r="E53" s="13">
        <v>16.579999999999998</v>
      </c>
      <c r="F53" s="13">
        <f ca="1">Bovespa!BN57</f>
        <v>16.68</v>
      </c>
    </row>
    <row r="54" spans="1:6" x14ac:dyDescent="0.25">
      <c r="A54" s="13" t="str">
        <f>Bovespa!BO58</f>
        <v>CYRE3</v>
      </c>
      <c r="B54" s="13">
        <v>25.62</v>
      </c>
      <c r="C54" s="13">
        <v>26.01</v>
      </c>
      <c r="D54" s="13">
        <v>25.6</v>
      </c>
      <c r="E54" s="13">
        <v>26.58</v>
      </c>
      <c r="F54" s="13">
        <f ca="1">Bovespa!BN58</f>
        <v>25.27</v>
      </c>
    </row>
    <row r="55" spans="1:6" x14ac:dyDescent="0.25">
      <c r="A55" s="13" t="str">
        <f>Bovespa!BO59</f>
        <v>CXSE3</v>
      </c>
      <c r="B55" s="13">
        <v>14.38</v>
      </c>
      <c r="C55" s="13">
        <v>14.9</v>
      </c>
      <c r="D55" s="13">
        <v>14.4</v>
      </c>
      <c r="E55" s="13">
        <v>13.97</v>
      </c>
      <c r="F55" s="13">
        <f ca="1">Bovespa!BN59</f>
        <v>13.61</v>
      </c>
    </row>
    <row r="56" spans="1:6" x14ac:dyDescent="0.25">
      <c r="A56" s="13" t="str">
        <f>Bovespa!BO60</f>
        <v>ALLD3</v>
      </c>
      <c r="B56" s="13">
        <v>6.84</v>
      </c>
      <c r="C56" s="13">
        <v>7.04</v>
      </c>
      <c r="D56" s="13">
        <v>6.97</v>
      </c>
      <c r="E56" s="13">
        <v>6.91</v>
      </c>
      <c r="F56" s="13">
        <f ca="1">Bovespa!BN60</f>
        <v>6.95</v>
      </c>
    </row>
    <row r="57" spans="1:6" x14ac:dyDescent="0.25">
      <c r="A57" s="13" t="str">
        <f>Bovespa!BO61</f>
        <v>DEXP3</v>
      </c>
      <c r="B57" s="13">
        <v>9.15</v>
      </c>
      <c r="C57" s="13">
        <v>9.44</v>
      </c>
      <c r="D57" s="13">
        <v>9.17</v>
      </c>
      <c r="E57" s="13">
        <v>8.67</v>
      </c>
      <c r="F57" s="13">
        <f ca="1">Bovespa!BN61</f>
        <v>8.8000000000000007</v>
      </c>
    </row>
    <row r="58" spans="1:6" x14ac:dyDescent="0.25">
      <c r="A58" s="13" t="str">
        <f>Bovespa!BO62</f>
        <v>VLID3</v>
      </c>
      <c r="B58" s="13">
        <v>25.13</v>
      </c>
      <c r="C58" s="13">
        <v>24.96</v>
      </c>
      <c r="D58" s="13">
        <v>23.34</v>
      </c>
      <c r="E58" s="13">
        <v>22.18</v>
      </c>
      <c r="F58" s="13">
        <f ca="1">Bovespa!BN62</f>
        <v>22.09</v>
      </c>
    </row>
    <row r="59" spans="1:6" x14ac:dyDescent="0.25">
      <c r="A59" s="13" t="str">
        <f>Bovespa!BO63</f>
        <v>HAGA3</v>
      </c>
      <c r="B59" s="13">
        <v>1.94</v>
      </c>
      <c r="C59" s="13">
        <v>1.95</v>
      </c>
      <c r="D59" s="13">
        <v>1.98</v>
      </c>
      <c r="E59" s="13">
        <v>1.94</v>
      </c>
      <c r="F59" s="13">
        <f ca="1">Bovespa!BN63</f>
        <v>1.95</v>
      </c>
    </row>
    <row r="60" spans="1:6" x14ac:dyDescent="0.25">
      <c r="A60" s="13" t="str">
        <f>Bovespa!BO64</f>
        <v>BRAV3</v>
      </c>
      <c r="B60" s="13">
        <v>17.2</v>
      </c>
      <c r="C60" s="13">
        <v>17.989999999999998</v>
      </c>
      <c r="D60" s="13">
        <v>17.79</v>
      </c>
      <c r="E60" s="13">
        <v>18.739999999999998</v>
      </c>
      <c r="F60" s="13">
        <f ca="1">Bovespa!BN64</f>
        <v>19.510000000000002</v>
      </c>
    </row>
    <row r="61" spans="1:6" x14ac:dyDescent="0.25">
      <c r="A61" s="13" t="str">
        <f>Bovespa!BO65</f>
        <v>MILS3</v>
      </c>
      <c r="B61" s="13">
        <v>10.66</v>
      </c>
      <c r="C61" s="13">
        <v>11.49</v>
      </c>
      <c r="D61" s="13">
        <v>11.25</v>
      </c>
      <c r="E61" s="13">
        <v>11.16</v>
      </c>
      <c r="F61" s="13">
        <f ca="1">Bovespa!BN65</f>
        <v>11.09</v>
      </c>
    </row>
    <row r="62" spans="1:6" x14ac:dyDescent="0.25">
      <c r="A62" s="13" t="str">
        <f>Bovespa!BO66</f>
        <v>STBP3</v>
      </c>
      <c r="B62" s="13">
        <v>13.75</v>
      </c>
      <c r="C62" s="13">
        <v>13.76</v>
      </c>
      <c r="D62" s="13">
        <v>13.82</v>
      </c>
      <c r="E62" s="13">
        <v>13.86</v>
      </c>
      <c r="F62" s="13">
        <f ca="1">Bovespa!BN66</f>
        <v>13.93</v>
      </c>
    </row>
    <row r="63" spans="1:6" x14ac:dyDescent="0.25">
      <c r="A63" s="13" t="str">
        <f>Bovespa!BO67</f>
        <v>VBBR3</v>
      </c>
      <c r="B63" s="13">
        <v>21.21</v>
      </c>
      <c r="C63" s="13">
        <v>22.59</v>
      </c>
      <c r="D63" s="13">
        <v>21.74</v>
      </c>
      <c r="E63" s="13">
        <v>20.239999999999998</v>
      </c>
      <c r="F63" s="13">
        <f ca="1">Bovespa!BN67</f>
        <v>21.05</v>
      </c>
    </row>
    <row r="64" spans="1:6" x14ac:dyDescent="0.25">
      <c r="A64" s="13" t="str">
        <f>Bovespa!BO68</f>
        <v>FRAS3</v>
      </c>
      <c r="B64" s="13">
        <v>27.01</v>
      </c>
      <c r="C64" s="13">
        <v>27.74</v>
      </c>
      <c r="D64" s="13">
        <v>23.91</v>
      </c>
      <c r="E64" s="13">
        <v>23.75</v>
      </c>
      <c r="F64" s="13">
        <f ca="1">Bovespa!BN68</f>
        <v>22.85</v>
      </c>
    </row>
    <row r="65" spans="1:6" x14ac:dyDescent="0.25">
      <c r="A65" s="13" t="str">
        <f>Bovespa!BO69</f>
        <v>ALUP4</v>
      </c>
      <c r="B65" s="13">
        <v>9.83</v>
      </c>
      <c r="C65" s="13">
        <v>9.86</v>
      </c>
      <c r="D65" s="13">
        <v>9.6199999999999992</v>
      </c>
      <c r="E65" s="13">
        <v>9.5500000000000007</v>
      </c>
      <c r="F65" s="13">
        <f ca="1">Bovespa!BN69</f>
        <v>9.49</v>
      </c>
    </row>
    <row r="66" spans="1:6" x14ac:dyDescent="0.25">
      <c r="A66" s="13" t="str">
        <f>Bovespa!BO70</f>
        <v>TRIS3</v>
      </c>
      <c r="B66" s="13">
        <v>7.2</v>
      </c>
      <c r="C66" s="13">
        <v>6.96</v>
      </c>
      <c r="D66" s="13">
        <v>6.7</v>
      </c>
      <c r="E66" s="13">
        <v>6.3</v>
      </c>
      <c r="F66" s="13">
        <f ca="1">Bovespa!BN70</f>
        <v>6.2</v>
      </c>
    </row>
    <row r="67" spans="1:6" x14ac:dyDescent="0.25">
      <c r="A67" s="13" t="str">
        <f>Bovespa!BO71</f>
        <v>TGMA3</v>
      </c>
      <c r="B67" s="13">
        <v>34.630000000000003</v>
      </c>
      <c r="C67" s="13">
        <v>36.72</v>
      </c>
      <c r="D67" s="13">
        <v>35.340000000000003</v>
      </c>
      <c r="E67" s="13">
        <v>33.82</v>
      </c>
      <c r="F67" s="13">
        <f ca="1">Bovespa!BN71</f>
        <v>34.450000000000003</v>
      </c>
    </row>
    <row r="68" spans="1:6" x14ac:dyDescent="0.25">
      <c r="A68" s="13" t="str">
        <f>Bovespa!BO72</f>
        <v>REDE3</v>
      </c>
      <c r="B68" s="13">
        <v>6.63</v>
      </c>
      <c r="C68" s="13">
        <v>6.7</v>
      </c>
      <c r="D68" s="13">
        <v>6.61</v>
      </c>
      <c r="E68" s="13">
        <v>6.55</v>
      </c>
      <c r="F68" s="13">
        <f ca="1">Bovespa!BN72</f>
        <v>6.54</v>
      </c>
    </row>
    <row r="69" spans="1:6" x14ac:dyDescent="0.25">
      <c r="A69" s="13" t="str">
        <f>Bovespa!BO73</f>
        <v>RNEW3</v>
      </c>
      <c r="B69" s="13">
        <v>0.91</v>
      </c>
      <c r="C69" s="13">
        <v>0.97</v>
      </c>
      <c r="D69" s="13">
        <v>0.98</v>
      </c>
      <c r="E69" s="13">
        <v>1.4</v>
      </c>
      <c r="F69" s="13">
        <f ca="1">Bovespa!BN73</f>
        <v>1.21</v>
      </c>
    </row>
    <row r="70" spans="1:6" x14ac:dyDescent="0.25">
      <c r="A70" s="13" t="str">
        <f>Bovespa!BO74</f>
        <v>CVCB3</v>
      </c>
      <c r="B70" s="13">
        <v>2.35</v>
      </c>
      <c r="C70" s="13">
        <v>2.4900000000000002</v>
      </c>
      <c r="D70" s="13">
        <v>2.37</v>
      </c>
      <c r="E70" s="13">
        <v>2.39</v>
      </c>
      <c r="F70" s="13">
        <f ca="1">Bovespa!BN74</f>
        <v>2.42</v>
      </c>
    </row>
    <row r="71" spans="1:6" x14ac:dyDescent="0.25">
      <c r="A71" s="13" t="str">
        <f>Bovespa!BO75</f>
        <v>ORVR3</v>
      </c>
      <c r="B71" s="13">
        <v>53.51</v>
      </c>
      <c r="C71" s="13">
        <v>53.6</v>
      </c>
      <c r="D71" s="13">
        <v>51.22</v>
      </c>
      <c r="E71" s="13">
        <v>49</v>
      </c>
      <c r="F71" s="13">
        <f ca="1">Bovespa!BN75</f>
        <v>48.27</v>
      </c>
    </row>
    <row r="72" spans="1:6" x14ac:dyDescent="0.25">
      <c r="A72" s="13" t="str">
        <f>Bovespa!BO76</f>
        <v>IRBR3</v>
      </c>
      <c r="B72" s="13">
        <v>44.28</v>
      </c>
      <c r="C72" s="13">
        <v>46.6</v>
      </c>
      <c r="D72" s="13">
        <v>44.36</v>
      </c>
      <c r="E72" s="13">
        <v>44.2</v>
      </c>
      <c r="F72" s="13">
        <f ca="1">Bovespa!BN76</f>
        <v>44.6</v>
      </c>
    </row>
    <row r="73" spans="1:6" x14ac:dyDescent="0.25">
      <c r="A73" s="13" t="str">
        <f>Bovespa!BO77</f>
        <v>EALT4</v>
      </c>
      <c r="B73" s="13">
        <v>14.1</v>
      </c>
      <c r="C73" s="13">
        <v>14.5</v>
      </c>
      <c r="D73" s="13">
        <v>14.3</v>
      </c>
      <c r="E73" s="13">
        <v>14.14</v>
      </c>
      <c r="F73" s="13">
        <f ca="1">Bovespa!BN77</f>
        <v>13.91</v>
      </c>
    </row>
    <row r="74" spans="1:6" x14ac:dyDescent="0.25">
      <c r="A74" s="13" t="str">
        <f>Bovespa!BO78</f>
        <v>GRND3</v>
      </c>
      <c r="B74" s="13">
        <v>5.4</v>
      </c>
      <c r="C74" s="13">
        <v>5.46</v>
      </c>
      <c r="D74" s="13">
        <v>5.31</v>
      </c>
      <c r="E74" s="13">
        <v>5.0999999999999996</v>
      </c>
      <c r="F74" s="13">
        <f ca="1">Bovespa!BN78</f>
        <v>5.0199999999999996</v>
      </c>
    </row>
    <row r="75" spans="1:6" x14ac:dyDescent="0.25">
      <c r="A75" s="13" t="str">
        <f>Bovespa!BO79</f>
        <v>BPAN4</v>
      </c>
      <c r="B75" s="13">
        <v>8.07</v>
      </c>
      <c r="C75" s="13">
        <v>7.8</v>
      </c>
      <c r="D75" s="13">
        <v>7.43</v>
      </c>
      <c r="E75" s="13">
        <v>7.6</v>
      </c>
      <c r="F75" s="13">
        <f ca="1">Bovespa!BN79</f>
        <v>7.93</v>
      </c>
    </row>
    <row r="76" spans="1:6" x14ac:dyDescent="0.25">
      <c r="A76" s="13" t="str">
        <f>Bovespa!BO80</f>
        <v>WEGE3</v>
      </c>
      <c r="B76" s="13">
        <v>42.35</v>
      </c>
      <c r="C76" s="13">
        <v>43</v>
      </c>
      <c r="D76" s="13">
        <v>39.450000000000003</v>
      </c>
      <c r="E76" s="13">
        <v>42.37</v>
      </c>
      <c r="F76" s="13">
        <f ca="1">Bovespa!BN80</f>
        <v>36.17</v>
      </c>
    </row>
    <row r="77" spans="1:6" x14ac:dyDescent="0.25">
      <c r="A77" s="13" t="str">
        <f>Bovespa!BO81</f>
        <v>EGIE3</v>
      </c>
      <c r="B77" s="13">
        <v>45.03</v>
      </c>
      <c r="C77" s="13">
        <v>46.3</v>
      </c>
      <c r="D77" s="13">
        <v>41.6</v>
      </c>
      <c r="E77" s="13">
        <v>41.71</v>
      </c>
      <c r="F77" s="13">
        <f ca="1">Bovespa!BN81</f>
        <v>42.15</v>
      </c>
    </row>
    <row r="78" spans="1:6" x14ac:dyDescent="0.25">
      <c r="A78" s="13" t="str">
        <f>Bovespa!BO82</f>
        <v>JBSS3</v>
      </c>
      <c r="B78" s="13">
        <v>39.03</v>
      </c>
      <c r="C78" s="13">
        <v>39.03</v>
      </c>
      <c r="D78" s="13">
        <v>39.03</v>
      </c>
      <c r="E78" s="13">
        <v>39.03</v>
      </c>
      <c r="F78" s="13">
        <f ca="1">Bovespa!BN82</f>
        <v>39.03</v>
      </c>
    </row>
    <row r="79" spans="1:6" x14ac:dyDescent="0.25">
      <c r="A79" s="13" t="str">
        <f>Bovespa!BO83</f>
        <v>PFRM3</v>
      </c>
      <c r="B79" s="13">
        <v>8.52</v>
      </c>
      <c r="C79" s="13">
        <v>8.4700000000000006</v>
      </c>
      <c r="D79" s="13">
        <v>8.2899999999999991</v>
      </c>
      <c r="E79" s="13">
        <v>8.02</v>
      </c>
      <c r="F79" s="13">
        <f ca="1">Bovespa!BN83</f>
        <v>7.79</v>
      </c>
    </row>
    <row r="80" spans="1:6" x14ac:dyDescent="0.25">
      <c r="A80" s="13" t="str">
        <f>Bovespa!BO84</f>
        <v>EQTL3</v>
      </c>
      <c r="B80" s="13">
        <v>35.28</v>
      </c>
      <c r="C80" s="13">
        <v>36.07</v>
      </c>
      <c r="D80" s="13">
        <v>34.340000000000003</v>
      </c>
      <c r="E80" s="13">
        <v>34.22</v>
      </c>
      <c r="F80" s="13">
        <f ca="1">Bovespa!BN84</f>
        <v>33.880000000000003</v>
      </c>
    </row>
    <row r="81" spans="1:6" x14ac:dyDescent="0.25">
      <c r="A81" s="13" t="str">
        <f>Bovespa!BO85</f>
        <v>NEOE3</v>
      </c>
      <c r="B81" s="13">
        <v>24.91</v>
      </c>
      <c r="C81" s="13">
        <v>25.96</v>
      </c>
      <c r="D81" s="13">
        <v>24.23</v>
      </c>
      <c r="E81" s="13">
        <v>23.5</v>
      </c>
      <c r="F81" s="13">
        <f ca="1">Bovespa!BN85</f>
        <v>23.8</v>
      </c>
    </row>
    <row r="82" spans="1:6" x14ac:dyDescent="0.25">
      <c r="A82" s="13" t="str">
        <f>Bovespa!BO86</f>
        <v>POSI3</v>
      </c>
      <c r="B82" s="13">
        <v>4.41</v>
      </c>
      <c r="C82" s="13">
        <v>4.67</v>
      </c>
      <c r="D82" s="13">
        <v>4.62</v>
      </c>
      <c r="E82" s="13">
        <v>4.3899999999999997</v>
      </c>
      <c r="F82" s="13">
        <f ca="1">Bovespa!BN86</f>
        <v>4.2</v>
      </c>
    </row>
    <row r="83" spans="1:6" x14ac:dyDescent="0.25">
      <c r="A83" s="13" t="str">
        <f>Bovespa!BO87</f>
        <v>WEST3</v>
      </c>
      <c r="B83" s="13">
        <v>3.6</v>
      </c>
      <c r="C83" s="13">
        <v>3.67</v>
      </c>
      <c r="D83" s="13">
        <v>3.57</v>
      </c>
      <c r="E83" s="13">
        <v>3.63</v>
      </c>
      <c r="F83" s="13">
        <f ca="1">Bovespa!BN87</f>
        <v>3.58</v>
      </c>
    </row>
    <row r="84" spans="1:6" x14ac:dyDescent="0.25">
      <c r="A84" s="13" t="str">
        <f>Bovespa!BO88</f>
        <v>MDIA3</v>
      </c>
      <c r="B84" s="13">
        <v>23.9</v>
      </c>
      <c r="C84" s="13">
        <v>24.44</v>
      </c>
      <c r="D84" s="13">
        <v>26.75</v>
      </c>
      <c r="E84" s="13">
        <v>24.73</v>
      </c>
      <c r="F84" s="13">
        <f ca="1">Bovespa!BN88</f>
        <v>25.51</v>
      </c>
    </row>
    <row r="85" spans="1:6" x14ac:dyDescent="0.25">
      <c r="A85" s="13" t="str">
        <f>Bovespa!BO89</f>
        <v>BBDC4</v>
      </c>
      <c r="B85" s="13">
        <v>16.57</v>
      </c>
      <c r="C85" s="13">
        <v>16.670000000000002</v>
      </c>
      <c r="D85" s="13">
        <v>16.05</v>
      </c>
      <c r="E85" s="13">
        <v>15.67</v>
      </c>
      <c r="F85" s="13">
        <f ca="1">Bovespa!BN89</f>
        <v>15.56</v>
      </c>
    </row>
    <row r="86" spans="1:6" x14ac:dyDescent="0.25">
      <c r="A86" s="13" t="str">
        <f>Bovespa!BO90</f>
        <v>PSSA3</v>
      </c>
      <c r="B86" s="13">
        <v>54.18</v>
      </c>
      <c r="C86" s="13">
        <v>56.66</v>
      </c>
      <c r="D86" s="13">
        <v>52.35</v>
      </c>
      <c r="E86" s="13">
        <v>51.81</v>
      </c>
      <c r="F86" s="13">
        <f ca="1">Bovespa!BN90</f>
        <v>51.3</v>
      </c>
    </row>
    <row r="87" spans="1:6" x14ac:dyDescent="0.25">
      <c r="A87" s="13" t="str">
        <f>Bovespa!BO91</f>
        <v>RNEW4</v>
      </c>
      <c r="B87" s="13">
        <v>0.88</v>
      </c>
      <c r="C87" s="13">
        <v>0.95</v>
      </c>
      <c r="D87" s="13">
        <v>0.99</v>
      </c>
      <c r="E87" s="13">
        <v>1.31</v>
      </c>
      <c r="F87" s="13">
        <f ca="1">Bovespa!BN91</f>
        <v>1.1499999999999999</v>
      </c>
    </row>
    <row r="88" spans="1:6" x14ac:dyDescent="0.25">
      <c r="A88" s="13" t="str">
        <f>Bovespa!BO92</f>
        <v>UNIP6</v>
      </c>
      <c r="B88" s="13">
        <v>57.84</v>
      </c>
      <c r="C88" s="13">
        <v>59.74</v>
      </c>
      <c r="D88" s="13">
        <v>58.9</v>
      </c>
      <c r="E88" s="13">
        <v>56.17</v>
      </c>
      <c r="F88" s="13">
        <f ca="1">Bovespa!BN92</f>
        <v>55.17</v>
      </c>
    </row>
    <row r="89" spans="1:6" x14ac:dyDescent="0.25">
      <c r="A89" s="13" t="str">
        <f>Bovespa!BO93</f>
        <v>EZTC3</v>
      </c>
      <c r="B89" s="13">
        <v>13.46</v>
      </c>
      <c r="C89" s="13">
        <v>14.02</v>
      </c>
      <c r="D89" s="13">
        <v>13.26</v>
      </c>
      <c r="E89" s="13">
        <v>13.09</v>
      </c>
      <c r="F89" s="13">
        <f ca="1">Bovespa!BN93</f>
        <v>13.36</v>
      </c>
    </row>
    <row r="90" spans="1:6" x14ac:dyDescent="0.25">
      <c r="A90" s="13" t="str">
        <f>Bovespa!BO94</f>
        <v>SUZB3</v>
      </c>
      <c r="B90" s="13">
        <v>51.15</v>
      </c>
      <c r="C90" s="13">
        <v>51.95</v>
      </c>
      <c r="D90" s="13">
        <v>49.74</v>
      </c>
      <c r="E90" s="13">
        <v>50.61</v>
      </c>
      <c r="F90" s="13">
        <f ca="1">Bovespa!BN94</f>
        <v>52.57</v>
      </c>
    </row>
    <row r="91" spans="1:6" x14ac:dyDescent="0.25">
      <c r="A91" s="13" t="str">
        <f>Bovespa!BO95</f>
        <v>BMEB4</v>
      </c>
      <c r="B91" s="13">
        <v>40.01</v>
      </c>
      <c r="C91" s="13">
        <v>39.5</v>
      </c>
      <c r="D91" s="13">
        <v>39.159999999999997</v>
      </c>
      <c r="E91" s="13">
        <v>38.61</v>
      </c>
      <c r="F91" s="13">
        <f ca="1">Bovespa!BN95</f>
        <v>39.130000000000003</v>
      </c>
    </row>
    <row r="92" spans="1:6" x14ac:dyDescent="0.25">
      <c r="A92" s="13" t="str">
        <f>Bovespa!BO96</f>
        <v>CPLE3</v>
      </c>
      <c r="B92" s="13">
        <v>11.43</v>
      </c>
      <c r="C92" s="13">
        <v>11.55</v>
      </c>
      <c r="D92" s="13">
        <v>11.21</v>
      </c>
      <c r="E92" s="13">
        <v>11.11</v>
      </c>
      <c r="F92" s="13">
        <f ca="1">Bovespa!BN96</f>
        <v>10.89</v>
      </c>
    </row>
    <row r="93" spans="1:6" x14ac:dyDescent="0.25">
      <c r="A93" s="13" t="str">
        <f>Bovespa!BO97</f>
        <v>PETR3</v>
      </c>
      <c r="B93" s="13">
        <v>33.799999999999997</v>
      </c>
      <c r="C93" s="13">
        <v>35.15</v>
      </c>
      <c r="D93" s="13">
        <v>35.54</v>
      </c>
      <c r="E93" s="13">
        <v>33.64</v>
      </c>
      <c r="F93" s="13">
        <f ca="1">Bovespa!BN97</f>
        <v>35.04</v>
      </c>
    </row>
    <row r="94" spans="1:6" x14ac:dyDescent="0.25">
      <c r="A94" s="13" t="str">
        <f>Bovespa!BO98</f>
        <v>BBDC3</v>
      </c>
      <c r="B94" s="13">
        <v>14.28</v>
      </c>
      <c r="C94" s="13">
        <v>14.41</v>
      </c>
      <c r="D94" s="13">
        <v>13.83</v>
      </c>
      <c r="E94" s="13">
        <v>13.45</v>
      </c>
      <c r="F94" s="13">
        <f ca="1">Bovespa!BN98</f>
        <v>13.38</v>
      </c>
    </row>
    <row r="95" spans="1:6" x14ac:dyDescent="0.25">
      <c r="A95" s="13" t="str">
        <f>Bovespa!BO99</f>
        <v>POMO4</v>
      </c>
      <c r="B95" s="13">
        <v>7.89</v>
      </c>
      <c r="C95" s="13">
        <v>8.15</v>
      </c>
      <c r="D95" s="13">
        <v>8.0299999999999994</v>
      </c>
      <c r="E95" s="13">
        <v>8.15</v>
      </c>
      <c r="F95" s="13">
        <f ca="1">Bovespa!BN99</f>
        <v>8.41</v>
      </c>
    </row>
    <row r="96" spans="1:6" x14ac:dyDescent="0.25">
      <c r="A96" s="13" t="str">
        <f>Bovespa!BO100</f>
        <v>VALE3</v>
      </c>
      <c r="B96" s="13">
        <v>53</v>
      </c>
      <c r="C96" s="13">
        <v>55.2</v>
      </c>
      <c r="D96" s="13">
        <v>56</v>
      </c>
      <c r="E96" s="13">
        <v>54.56</v>
      </c>
      <c r="F96" s="13">
        <f ca="1">Bovespa!BN100</f>
        <v>55.7</v>
      </c>
    </row>
    <row r="97" spans="1:6" x14ac:dyDescent="0.25">
      <c r="A97" s="13" t="str">
        <f>Bovespa!BO101</f>
        <v>RADL3</v>
      </c>
      <c r="B97" s="13">
        <v>14.99</v>
      </c>
      <c r="C97" s="13">
        <v>15.3</v>
      </c>
      <c r="D97" s="13">
        <v>13.76</v>
      </c>
      <c r="E97" s="13">
        <v>13.53</v>
      </c>
      <c r="F97" s="13">
        <f ca="1">Bovespa!BN101</f>
        <v>14.04</v>
      </c>
    </row>
    <row r="98" spans="1:6" x14ac:dyDescent="0.25">
      <c r="A98" s="13" t="str">
        <f>Bovespa!BO102</f>
        <v>GGPS3</v>
      </c>
      <c r="B98" s="13">
        <v>15.17</v>
      </c>
      <c r="C98" s="13">
        <v>16.41</v>
      </c>
      <c r="D98" s="13">
        <v>15.71</v>
      </c>
      <c r="E98" s="13">
        <v>15.13</v>
      </c>
      <c r="F98" s="13">
        <f ca="1">Bovespa!BN102</f>
        <v>14.52</v>
      </c>
    </row>
    <row r="99" spans="1:6" x14ac:dyDescent="0.25">
      <c r="A99" s="13" t="str">
        <f>Bovespa!BO103</f>
        <v>HBSA3</v>
      </c>
      <c r="B99" s="13">
        <v>3.61</v>
      </c>
      <c r="C99" s="13">
        <v>3.53</v>
      </c>
      <c r="D99" s="13">
        <v>3.47</v>
      </c>
      <c r="E99" s="13">
        <v>3.62</v>
      </c>
      <c r="F99" s="13">
        <f ca="1">Bovespa!BN103</f>
        <v>3.75</v>
      </c>
    </row>
    <row r="100" spans="1:6" x14ac:dyDescent="0.25">
      <c r="A100" s="13" t="str">
        <f>Bovespa!BO104</f>
        <v>CCRO3</v>
      </c>
      <c r="B100" s="13">
        <v>13.51</v>
      </c>
      <c r="C100" s="13">
        <v>13.79</v>
      </c>
      <c r="D100" s="13">
        <v>12.94</v>
      </c>
      <c r="E100" s="13">
        <v>12.55</v>
      </c>
      <c r="F100" s="13">
        <f ca="1">Bovespa!BN104</f>
        <v>12.4</v>
      </c>
    </row>
    <row r="101" spans="1:6" x14ac:dyDescent="0.25">
      <c r="A101" s="13" t="str">
        <f>Bovespa!BO105</f>
        <v>MELK3</v>
      </c>
      <c r="B101" s="13">
        <v>3.27</v>
      </c>
      <c r="C101" s="13">
        <v>3.47</v>
      </c>
      <c r="D101" s="13">
        <v>3.48</v>
      </c>
      <c r="E101" s="13">
        <v>3.35</v>
      </c>
      <c r="F101" s="13">
        <f ca="1">Bovespa!BN105</f>
        <v>3.39</v>
      </c>
    </row>
    <row r="102" spans="1:6" x14ac:dyDescent="0.25">
      <c r="A102" s="13" t="str">
        <f>Bovespa!BO106</f>
        <v>CPFE3</v>
      </c>
      <c r="B102" s="13">
        <v>40.33</v>
      </c>
      <c r="C102" s="13">
        <v>40.98</v>
      </c>
      <c r="D102" s="13">
        <v>38.06</v>
      </c>
      <c r="E102" s="13">
        <v>38.18</v>
      </c>
      <c r="F102" s="13">
        <f ca="1">Bovespa!BN106</f>
        <v>38.200000000000003</v>
      </c>
    </row>
    <row r="103" spans="1:6" x14ac:dyDescent="0.25">
      <c r="A103" s="13" t="str">
        <f>Bovespa!BO107</f>
        <v>SBSP3</v>
      </c>
      <c r="B103" s="13">
        <v>115.05</v>
      </c>
      <c r="C103" s="13">
        <v>117.82</v>
      </c>
      <c r="D103" s="13">
        <v>111.63</v>
      </c>
      <c r="E103" s="13">
        <v>110.68</v>
      </c>
      <c r="F103" s="13">
        <f ca="1">Bovespa!BN107</f>
        <v>107.45</v>
      </c>
    </row>
    <row r="104" spans="1:6" x14ac:dyDescent="0.25">
      <c r="A104" s="13" t="str">
        <f>Bovespa!BO108</f>
        <v>SOJA3</v>
      </c>
      <c r="B104" s="13">
        <v>11.42</v>
      </c>
      <c r="C104" s="13">
        <v>11.57</v>
      </c>
      <c r="D104" s="13">
        <v>11.17</v>
      </c>
      <c r="E104" s="13">
        <v>10.27</v>
      </c>
      <c r="F104" s="13">
        <f ca="1">Bovespa!BN108</f>
        <v>10.5</v>
      </c>
    </row>
    <row r="105" spans="1:6" x14ac:dyDescent="0.25">
      <c r="A105" s="13" t="str">
        <f>Bovespa!BO109</f>
        <v>PTNT4</v>
      </c>
      <c r="B105" s="13">
        <v>4.7300000000000004</v>
      </c>
      <c r="C105" s="13">
        <v>5.05</v>
      </c>
      <c r="D105" s="13">
        <v>4.76</v>
      </c>
      <c r="E105" s="13">
        <v>4.62</v>
      </c>
      <c r="F105" s="13">
        <f ca="1">Bovespa!BN109</f>
        <v>4.67</v>
      </c>
    </row>
    <row r="106" spans="1:6" x14ac:dyDescent="0.25">
      <c r="A106" s="13" t="str">
        <f>Bovespa!BO110</f>
        <v>DESK3</v>
      </c>
      <c r="B106" s="13">
        <v>9.4600000000000009</v>
      </c>
      <c r="C106" s="13">
        <v>9.51</v>
      </c>
      <c r="D106" s="13">
        <v>9</v>
      </c>
      <c r="E106" s="13">
        <v>8.1199999999999992</v>
      </c>
      <c r="F106" s="13">
        <f ca="1">Bovespa!BN110</f>
        <v>8.18</v>
      </c>
    </row>
    <row r="107" spans="1:6" x14ac:dyDescent="0.25">
      <c r="A107" s="13" t="str">
        <f>Bovespa!BO111</f>
        <v>IGTI3</v>
      </c>
      <c r="B107" s="13">
        <v>2.77</v>
      </c>
      <c r="C107" s="13">
        <v>2.8</v>
      </c>
      <c r="D107" s="13">
        <v>2.64</v>
      </c>
      <c r="E107" s="13">
        <v>2.48</v>
      </c>
      <c r="F107" s="13">
        <f ca="1">Bovespa!BN111</f>
        <v>2.5</v>
      </c>
    </row>
    <row r="108" spans="1:6" x14ac:dyDescent="0.25">
      <c r="A108" s="13" t="str">
        <f>Bovespa!BO112</f>
        <v>IGTI3</v>
      </c>
      <c r="B108" s="13">
        <v>2.77</v>
      </c>
      <c r="C108" s="13">
        <v>2.8</v>
      </c>
      <c r="D108" s="13">
        <v>2.64</v>
      </c>
      <c r="E108" s="13">
        <v>2.48</v>
      </c>
      <c r="F108" s="13">
        <f ca="1">Bovespa!BN112</f>
        <v>2.5</v>
      </c>
    </row>
    <row r="109" spans="1:6" x14ac:dyDescent="0.25">
      <c r="A109" s="13" t="str">
        <f>Bovespa!BO113</f>
        <v>KEPL3</v>
      </c>
      <c r="B109" s="13">
        <v>7.56</v>
      </c>
      <c r="C109" s="13">
        <v>7.56</v>
      </c>
      <c r="D109" s="13">
        <v>7.56</v>
      </c>
      <c r="E109" s="13">
        <v>7.56</v>
      </c>
      <c r="F109" s="13">
        <f>Bovespa!BN113</f>
        <v>7.56</v>
      </c>
    </row>
    <row r="110" spans="1:6" x14ac:dyDescent="0.25">
      <c r="A110" s="13" t="str">
        <f>Bovespa!BO114</f>
        <v>LREN3</v>
      </c>
      <c r="B110" s="13">
        <v>19.559999999999999</v>
      </c>
      <c r="C110" s="13">
        <v>19.34</v>
      </c>
      <c r="D110" s="13">
        <v>18.600000000000001</v>
      </c>
      <c r="E110" s="13">
        <v>17.73</v>
      </c>
      <c r="F110" s="13">
        <f ca="1">Bovespa!BN114</f>
        <v>16.72</v>
      </c>
    </row>
    <row r="111" spans="1:6" x14ac:dyDescent="0.25">
      <c r="A111" s="13" t="str">
        <f>Bovespa!BO115</f>
        <v>MRFG3</v>
      </c>
      <c r="B111" s="13">
        <v>22.5</v>
      </c>
      <c r="C111" s="13">
        <v>22.23</v>
      </c>
      <c r="D111" s="13">
        <v>23</v>
      </c>
      <c r="E111" s="13">
        <v>22.64</v>
      </c>
      <c r="F111" s="13">
        <f ca="1">Bovespa!BN115</f>
        <v>23.26</v>
      </c>
    </row>
    <row r="112" spans="1:6" x14ac:dyDescent="0.25">
      <c r="A112" s="13" t="str">
        <f>Bovespa!BO116</f>
        <v>JFEN3</v>
      </c>
      <c r="B112" s="13">
        <v>1.85</v>
      </c>
      <c r="C112" s="13">
        <v>1.83</v>
      </c>
      <c r="D112" s="13">
        <v>1.74</v>
      </c>
      <c r="E112" s="13">
        <v>1.56</v>
      </c>
      <c r="F112" s="13">
        <f ca="1">Bovespa!BN116</f>
        <v>1.53</v>
      </c>
    </row>
    <row r="113" spans="1:6" x14ac:dyDescent="0.25">
      <c r="A113" s="13" t="str">
        <f>Bovespa!BO117</f>
        <v>USIM3</v>
      </c>
      <c r="B113" s="13">
        <v>4.2</v>
      </c>
      <c r="C113" s="13">
        <v>4.45</v>
      </c>
      <c r="D113" s="13">
        <v>4.37</v>
      </c>
      <c r="E113" s="13">
        <v>4.0199999999999996</v>
      </c>
      <c r="F113" s="13">
        <f ca="1">Bovespa!BN117</f>
        <v>4.2699999999999996</v>
      </c>
    </row>
    <row r="114" spans="1:6" x14ac:dyDescent="0.25">
      <c r="A114" s="13" t="str">
        <f>Bovespa!BO118</f>
        <v>CURY3</v>
      </c>
      <c r="B114" s="13">
        <v>29.2</v>
      </c>
      <c r="C114" s="13">
        <v>29.95</v>
      </c>
      <c r="D114" s="13">
        <v>29.75</v>
      </c>
      <c r="E114" s="13">
        <v>29.81</v>
      </c>
      <c r="F114" s="13">
        <f ca="1">Bovespa!BN118</f>
        <v>29.09</v>
      </c>
    </row>
    <row r="115" spans="1:6" x14ac:dyDescent="0.25">
      <c r="A115" s="13" t="str">
        <f>Bovespa!BO119</f>
        <v>UGPA3</v>
      </c>
      <c r="B115" s="13">
        <v>16.86</v>
      </c>
      <c r="C115" s="13">
        <v>17.989999999999998</v>
      </c>
      <c r="D115" s="13">
        <v>17.100000000000001</v>
      </c>
      <c r="E115" s="13">
        <v>15.7</v>
      </c>
      <c r="F115" s="13">
        <f ca="1">Bovespa!BN119</f>
        <v>16.54</v>
      </c>
    </row>
    <row r="116" spans="1:6" x14ac:dyDescent="0.25">
      <c r="A116" s="13" t="str">
        <f>Bovespa!BO120</f>
        <v>DXCO3</v>
      </c>
      <c r="B116" s="13">
        <v>5.68</v>
      </c>
      <c r="C116" s="13">
        <v>5.72</v>
      </c>
      <c r="D116" s="13">
        <v>5.35</v>
      </c>
      <c r="E116" s="13">
        <v>5.14</v>
      </c>
      <c r="F116" s="13">
        <f ca="1">Bovespa!BN120</f>
        <v>5.8</v>
      </c>
    </row>
    <row r="117" spans="1:6" x14ac:dyDescent="0.25">
      <c r="A117" s="13" t="str">
        <f>Bovespa!BO121</f>
        <v>TEND3</v>
      </c>
      <c r="B117" s="13">
        <v>24.45</v>
      </c>
      <c r="C117" s="13">
        <v>24.28</v>
      </c>
      <c r="D117" s="13">
        <v>22.85</v>
      </c>
      <c r="E117" s="13">
        <v>22.48</v>
      </c>
      <c r="F117" s="13">
        <f ca="1">Bovespa!BN121</f>
        <v>21.24</v>
      </c>
    </row>
    <row r="118" spans="1:6" x14ac:dyDescent="0.25">
      <c r="A118" s="13" t="str">
        <f>Bovespa!BO122</f>
        <v>ELET3</v>
      </c>
      <c r="B118" s="13">
        <v>39.700000000000003</v>
      </c>
      <c r="C118" s="13">
        <v>40.96</v>
      </c>
      <c r="D118" s="13">
        <v>39.31</v>
      </c>
      <c r="E118" s="13">
        <v>38.96</v>
      </c>
      <c r="F118" s="13">
        <f ca="1">Bovespa!BN122</f>
        <v>38.14</v>
      </c>
    </row>
    <row r="119" spans="1:6" x14ac:dyDescent="0.25">
      <c r="A119" s="13" t="str">
        <f>Bovespa!BO123</f>
        <v>WIZC3</v>
      </c>
      <c r="B119" s="13">
        <v>7.72</v>
      </c>
      <c r="C119" s="13">
        <v>7.78</v>
      </c>
      <c r="D119" s="13">
        <v>7.71</v>
      </c>
      <c r="E119" s="13">
        <v>7.37</v>
      </c>
      <c r="F119" s="13">
        <f ca="1">Bovespa!BN123</f>
        <v>7.27</v>
      </c>
    </row>
    <row r="120" spans="1:6" x14ac:dyDescent="0.25">
      <c r="A120" s="13" t="str">
        <f>Bovespa!BO124</f>
        <v>SAPR4</v>
      </c>
      <c r="B120" s="13">
        <v>7.5</v>
      </c>
      <c r="C120" s="13">
        <v>7.41</v>
      </c>
      <c r="D120" s="13">
        <v>7.23</v>
      </c>
      <c r="E120" s="13">
        <v>6.98</v>
      </c>
      <c r="F120" s="13">
        <f ca="1">Bovespa!BN124</f>
        <v>6.69</v>
      </c>
    </row>
    <row r="121" spans="1:6" x14ac:dyDescent="0.25">
      <c r="A121" s="13" t="str">
        <f>Bovespa!BO125</f>
        <v>NTCO3</v>
      </c>
      <c r="B121" s="13">
        <v>10.87</v>
      </c>
      <c r="C121" s="13">
        <v>10.51</v>
      </c>
      <c r="D121" s="13">
        <v>9.7899999999999991</v>
      </c>
      <c r="E121" s="13">
        <v>9.51</v>
      </c>
      <c r="F121" s="13">
        <f ca="1">Bovespa!BN125</f>
        <v>9.16</v>
      </c>
    </row>
    <row r="122" spans="1:6" x14ac:dyDescent="0.25">
      <c r="A122" s="13" t="str">
        <f>Bovespa!BO126</f>
        <v>EVEN3</v>
      </c>
      <c r="B122" s="13">
        <v>7.34</v>
      </c>
      <c r="C122" s="13">
        <v>7.31</v>
      </c>
      <c r="D122" s="13">
        <v>7.22</v>
      </c>
      <c r="E122" s="13">
        <v>7.01</v>
      </c>
      <c r="F122" s="13">
        <f ca="1">Bovespa!BN126</f>
        <v>6.96</v>
      </c>
    </row>
    <row r="123" spans="1:6" x14ac:dyDescent="0.25">
      <c r="A123" s="13" t="str">
        <f>Bovespa!BO127</f>
        <v>ITUB3</v>
      </c>
      <c r="B123" s="13">
        <v>32.26</v>
      </c>
      <c r="C123" s="13">
        <v>33.68</v>
      </c>
      <c r="D123" s="13">
        <v>31.6</v>
      </c>
      <c r="E123" s="13">
        <v>31.36</v>
      </c>
      <c r="F123" s="13">
        <f ca="1">Bovespa!BN127</f>
        <v>31.46</v>
      </c>
    </row>
    <row r="124" spans="1:6" x14ac:dyDescent="0.25">
      <c r="A124" s="13" t="str">
        <f>Bovespa!BO128</f>
        <v>UCAS3</v>
      </c>
      <c r="B124" s="13">
        <v>1.42</v>
      </c>
      <c r="C124" s="13">
        <v>1.45</v>
      </c>
      <c r="D124" s="13">
        <v>1.41</v>
      </c>
      <c r="E124" s="13">
        <v>1.4</v>
      </c>
      <c r="F124" s="13">
        <f ca="1">Bovespa!BN128</f>
        <v>1.37</v>
      </c>
    </row>
    <row r="125" spans="1:6" x14ac:dyDescent="0.25">
      <c r="A125" s="13" t="str">
        <f>Bovespa!BO129</f>
        <v>USIM5</v>
      </c>
      <c r="B125" s="13">
        <v>4.1500000000000004</v>
      </c>
      <c r="C125" s="13">
        <v>4.47</v>
      </c>
      <c r="D125" s="13">
        <v>4.29</v>
      </c>
      <c r="E125" s="13">
        <v>3.92</v>
      </c>
      <c r="F125" s="13">
        <f ca="1">Bovespa!BN129</f>
        <v>4.2</v>
      </c>
    </row>
    <row r="126" spans="1:6" x14ac:dyDescent="0.25">
      <c r="A126" s="13" t="str">
        <f>Bovespa!BO130</f>
        <v>JALL3</v>
      </c>
      <c r="B126" s="13">
        <v>3.9</v>
      </c>
      <c r="C126" s="13">
        <v>3.89</v>
      </c>
      <c r="D126" s="13">
        <v>3.68</v>
      </c>
      <c r="E126" s="13">
        <v>3.57</v>
      </c>
      <c r="F126" s="13">
        <f ca="1">Bovespa!BN130</f>
        <v>3.46</v>
      </c>
    </row>
    <row r="127" spans="1:6" x14ac:dyDescent="0.25">
      <c r="A127" s="13" t="str">
        <f>Bovespa!BO131</f>
        <v>BRAP4</v>
      </c>
      <c r="B127" s="13">
        <v>15.61</v>
      </c>
      <c r="C127" s="13">
        <v>16.489999999999998</v>
      </c>
      <c r="D127" s="13">
        <v>16.66</v>
      </c>
      <c r="E127" s="13">
        <v>16.190000000000001</v>
      </c>
      <c r="F127" s="13">
        <f ca="1">Bovespa!BN131</f>
        <v>16.52</v>
      </c>
    </row>
    <row r="128" spans="1:6" x14ac:dyDescent="0.25">
      <c r="A128" s="13" t="str">
        <f>Bovespa!BO132</f>
        <v>CSMG3</v>
      </c>
      <c r="B128" s="13">
        <v>27.75</v>
      </c>
      <c r="C128" s="13">
        <v>28.64</v>
      </c>
      <c r="D128" s="13">
        <v>27.28</v>
      </c>
      <c r="E128" s="13">
        <v>26.12</v>
      </c>
      <c r="F128" s="13">
        <f ca="1">Bovespa!BN132</f>
        <v>25.46</v>
      </c>
    </row>
    <row r="129" spans="1:6" x14ac:dyDescent="0.25">
      <c r="A129" s="13" t="str">
        <f>Bovespa!BO133</f>
        <v>RENT3</v>
      </c>
      <c r="B129" s="13">
        <v>40.549999999999997</v>
      </c>
      <c r="C129" s="13">
        <v>39.18</v>
      </c>
      <c r="D129" s="13">
        <v>36.659999999999997</v>
      </c>
      <c r="E129" s="13">
        <v>35.799999999999997</v>
      </c>
      <c r="F129" s="13">
        <f ca="1">Bovespa!BN133</f>
        <v>36.18</v>
      </c>
    </row>
    <row r="130" spans="1:6" x14ac:dyDescent="0.25">
      <c r="A130" s="13" t="str">
        <f>Bovespa!BO134</f>
        <v>RAPT4</v>
      </c>
      <c r="B130" s="13">
        <v>8.6199999999999992</v>
      </c>
      <c r="C130" s="13">
        <v>8.77</v>
      </c>
      <c r="D130" s="13">
        <v>8.0399999999999991</v>
      </c>
      <c r="E130" s="13">
        <v>7.87</v>
      </c>
      <c r="F130" s="13">
        <f ca="1">Bovespa!BN134</f>
        <v>7.17</v>
      </c>
    </row>
    <row r="131" spans="1:6" x14ac:dyDescent="0.25">
      <c r="A131" s="13" t="str">
        <f>Bovespa!BO135</f>
        <v>RAPT3</v>
      </c>
      <c r="B131" s="13">
        <v>8.23</v>
      </c>
      <c r="C131" s="13">
        <v>8.27</v>
      </c>
      <c r="D131" s="13">
        <v>7.91</v>
      </c>
      <c r="E131" s="13">
        <v>7.65</v>
      </c>
      <c r="F131" s="13">
        <f ca="1">Bovespa!BN135</f>
        <v>7.08</v>
      </c>
    </row>
    <row r="132" spans="1:6" x14ac:dyDescent="0.25">
      <c r="A132" s="13" t="str">
        <f>Bovespa!BO136</f>
        <v>MBLY3</v>
      </c>
      <c r="B132" s="13">
        <v>0.89</v>
      </c>
      <c r="C132" s="13">
        <v>0.88</v>
      </c>
      <c r="D132" s="13">
        <v>1.0900000000000001</v>
      </c>
      <c r="E132" s="13">
        <v>1</v>
      </c>
      <c r="F132" s="13">
        <f ca="1">Bovespa!BN136</f>
        <v>1</v>
      </c>
    </row>
    <row r="133" spans="1:6" x14ac:dyDescent="0.25">
      <c r="A133" s="13" t="str">
        <f>Bovespa!BO137</f>
        <v>GOAU4</v>
      </c>
      <c r="B133" s="13">
        <v>8.82</v>
      </c>
      <c r="C133" s="13">
        <v>9.3699999999999992</v>
      </c>
      <c r="D133" s="13">
        <v>9.32</v>
      </c>
      <c r="E133" s="13">
        <v>9</v>
      </c>
      <c r="F133" s="13">
        <f ca="1">Bovespa!BN137</f>
        <v>9.5399999999999991</v>
      </c>
    </row>
    <row r="134" spans="1:6" x14ac:dyDescent="0.25">
      <c r="A134" s="13" t="str">
        <f>Bovespa!BO138</f>
        <v>DOHL4</v>
      </c>
      <c r="B134" s="13">
        <v>3.95</v>
      </c>
      <c r="C134" s="13">
        <v>4</v>
      </c>
      <c r="D134" s="13">
        <v>4.33</v>
      </c>
      <c r="E134" s="13">
        <v>4.25</v>
      </c>
      <c r="F134" s="13">
        <f ca="1">Bovespa!BN138</f>
        <v>4.3</v>
      </c>
    </row>
    <row r="135" spans="1:6" x14ac:dyDescent="0.25">
      <c r="A135" s="13" t="str">
        <f>Bovespa!BO139</f>
        <v>BRFS3</v>
      </c>
      <c r="B135" s="13">
        <v>19.899999999999999</v>
      </c>
      <c r="C135" s="13">
        <v>19.850000000000001</v>
      </c>
      <c r="D135" s="13">
        <v>21.88</v>
      </c>
      <c r="E135" s="13">
        <v>20.399999999999999</v>
      </c>
      <c r="F135" s="13">
        <f ca="1">Bovespa!BN139</f>
        <v>20.89</v>
      </c>
    </row>
    <row r="136" spans="1:6" x14ac:dyDescent="0.25">
      <c r="A136" s="13" t="str">
        <f>Bovespa!BO140</f>
        <v>INTB3</v>
      </c>
      <c r="B136" s="13">
        <v>16</v>
      </c>
      <c r="C136" s="13">
        <v>15.12</v>
      </c>
      <c r="D136" s="13">
        <v>14.28</v>
      </c>
      <c r="E136" s="13">
        <v>14.55</v>
      </c>
      <c r="F136" s="13">
        <f ca="1">Bovespa!BN140</f>
        <v>15.15</v>
      </c>
    </row>
    <row r="137" spans="1:6" x14ac:dyDescent="0.25">
      <c r="A137" s="13" t="str">
        <f>Bovespa!BO141</f>
        <v>CBAV3</v>
      </c>
      <c r="B137" s="13">
        <v>4.84</v>
      </c>
      <c r="C137" s="13">
        <v>4.8899999999999997</v>
      </c>
      <c r="D137" s="13">
        <v>4.9000000000000004</v>
      </c>
      <c r="E137" s="13">
        <v>4.5</v>
      </c>
      <c r="F137" s="13">
        <f ca="1">Bovespa!BN141</f>
        <v>4.74</v>
      </c>
    </row>
    <row r="138" spans="1:6" x14ac:dyDescent="0.25">
      <c r="A138" s="13" t="str">
        <f>Bovespa!BO142</f>
        <v>KLBN3</v>
      </c>
      <c r="B138" s="13">
        <v>3.68</v>
      </c>
      <c r="C138" s="13">
        <v>3.99</v>
      </c>
      <c r="D138" s="13">
        <v>3.81</v>
      </c>
      <c r="E138" s="13">
        <v>3.84</v>
      </c>
      <c r="F138" s="13">
        <f ca="1">Bovespa!BN142</f>
        <v>3.81</v>
      </c>
    </row>
    <row r="139" spans="1:6" x14ac:dyDescent="0.25">
      <c r="A139" s="13" t="str">
        <f>Bovespa!BO143</f>
        <v>GMAT3</v>
      </c>
      <c r="B139" s="13">
        <v>7.9</v>
      </c>
      <c r="C139" s="13">
        <v>8.08</v>
      </c>
      <c r="D139" s="13">
        <v>7.95</v>
      </c>
      <c r="E139" s="13">
        <v>7.71</v>
      </c>
      <c r="F139" s="13">
        <f ca="1">Bovespa!BN143</f>
        <v>7.58</v>
      </c>
    </row>
    <row r="140" spans="1:6" x14ac:dyDescent="0.25">
      <c r="A140" s="13" t="str">
        <f>Bovespa!BO144</f>
        <v>TIMS3</v>
      </c>
      <c r="B140" s="13">
        <v>21.33</v>
      </c>
      <c r="C140" s="13">
        <v>22.46</v>
      </c>
      <c r="D140" s="13">
        <v>21.16</v>
      </c>
      <c r="E140" s="13">
        <v>20.37</v>
      </c>
      <c r="F140" s="13">
        <f ca="1">Bovespa!BN144</f>
        <v>19.989999999999998</v>
      </c>
    </row>
    <row r="141" spans="1:6" x14ac:dyDescent="0.25">
      <c r="A141" s="13" t="str">
        <f>Bovespa!BO145</f>
        <v>BPAC3</v>
      </c>
      <c r="B141" s="13">
        <v>22.56</v>
      </c>
      <c r="C141" s="13">
        <v>23.45</v>
      </c>
      <c r="D141" s="13">
        <v>22.5</v>
      </c>
      <c r="E141" s="13">
        <v>22.64</v>
      </c>
      <c r="F141" s="13">
        <f ca="1">Bovespa!BN145</f>
        <v>21.78</v>
      </c>
    </row>
    <row r="142" spans="1:6" x14ac:dyDescent="0.25">
      <c r="A142" s="13" t="str">
        <f>Bovespa!BO146</f>
        <v>VIVA3</v>
      </c>
      <c r="B142" s="13">
        <v>26.18</v>
      </c>
      <c r="C142" s="13">
        <v>27.23</v>
      </c>
      <c r="D142" s="13">
        <v>25.51</v>
      </c>
      <c r="E142" s="13">
        <v>25.58</v>
      </c>
      <c r="F142" s="13">
        <f ca="1">Bovespa!BN146</f>
        <v>25.25</v>
      </c>
    </row>
    <row r="143" spans="1:6" x14ac:dyDescent="0.25">
      <c r="A143" s="13" t="str">
        <f>Bovespa!BO147</f>
        <v>LOGG3</v>
      </c>
      <c r="B143" s="13">
        <v>20.72</v>
      </c>
      <c r="C143" s="13">
        <v>20.78</v>
      </c>
      <c r="D143" s="13">
        <v>20.09</v>
      </c>
      <c r="E143" s="13">
        <v>19.79</v>
      </c>
      <c r="F143" s="13">
        <f ca="1">Bovespa!BN147</f>
        <v>20.5</v>
      </c>
    </row>
    <row r="144" spans="1:6" x14ac:dyDescent="0.25">
      <c r="A144" s="13" t="str">
        <f>Bovespa!BO148</f>
        <v>QUAL3</v>
      </c>
      <c r="B144" s="13">
        <v>1.83</v>
      </c>
      <c r="C144" s="13">
        <v>1.85</v>
      </c>
      <c r="D144" s="13">
        <v>1.77</v>
      </c>
      <c r="E144" s="13">
        <v>1.67</v>
      </c>
      <c r="F144" s="13">
        <f ca="1">Bovespa!BN148</f>
        <v>1.66</v>
      </c>
    </row>
    <row r="145" spans="1:6" x14ac:dyDescent="0.25">
      <c r="A145" s="13" t="str">
        <f>Bovespa!BO149</f>
        <v>PNVL3</v>
      </c>
      <c r="B145" s="13">
        <v>9.52</v>
      </c>
      <c r="C145" s="13">
        <v>9.5399999999999991</v>
      </c>
      <c r="D145" s="13">
        <v>9.34</v>
      </c>
      <c r="E145" s="13">
        <v>9.09</v>
      </c>
      <c r="F145" s="13">
        <f ca="1">Bovespa!BN149</f>
        <v>9.2799999999999994</v>
      </c>
    </row>
    <row r="146" spans="1:6" x14ac:dyDescent="0.25">
      <c r="A146" s="13" t="str">
        <f>Bovespa!BO150</f>
        <v>CLSA3</v>
      </c>
      <c r="B146" s="13">
        <v>11</v>
      </c>
      <c r="C146" s="13">
        <v>11.34</v>
      </c>
      <c r="D146" s="13">
        <v>11.03</v>
      </c>
      <c r="E146" s="13">
        <v>11.22</v>
      </c>
      <c r="F146" s="13">
        <f ca="1">Bovespa!BN150</f>
        <v>11.44</v>
      </c>
    </row>
    <row r="147" spans="1:6" x14ac:dyDescent="0.25">
      <c r="A147" s="13" t="str">
        <f>Bovespa!BO151</f>
        <v>KLBN4</v>
      </c>
      <c r="B147" s="13">
        <v>3.58</v>
      </c>
      <c r="C147" s="13">
        <v>3.89</v>
      </c>
      <c r="D147" s="13">
        <v>3.7</v>
      </c>
      <c r="E147" s="13">
        <v>3.73</v>
      </c>
      <c r="F147" s="13">
        <f ca="1">Bovespa!BN151</f>
        <v>3.74</v>
      </c>
    </row>
    <row r="148" spans="1:6" x14ac:dyDescent="0.25">
      <c r="A148" s="13" t="str">
        <f>Bovespa!BO152</f>
        <v>BPAC5</v>
      </c>
      <c r="B148" s="13">
        <v>9.39</v>
      </c>
      <c r="C148" s="13">
        <v>9.41</v>
      </c>
      <c r="D148" s="13">
        <v>8.99</v>
      </c>
      <c r="E148" s="13">
        <v>8.8699999999999992</v>
      </c>
      <c r="F148" s="13">
        <f ca="1">Bovespa!BN152</f>
        <v>8.66</v>
      </c>
    </row>
    <row r="149" spans="1:6" x14ac:dyDescent="0.25">
      <c r="A149" s="13" t="str">
        <f>Bovespa!BO153</f>
        <v>DIRR3</v>
      </c>
      <c r="B149" s="13">
        <v>42.44</v>
      </c>
      <c r="C149" s="13">
        <v>41.09</v>
      </c>
      <c r="D149" s="13">
        <v>39.590000000000003</v>
      </c>
      <c r="E149" s="13">
        <v>40.26</v>
      </c>
      <c r="F149" s="13">
        <f ca="1">Bovespa!BN153</f>
        <v>38.299999999999997</v>
      </c>
    </row>
    <row r="150" spans="1:6" x14ac:dyDescent="0.25">
      <c r="A150" s="13" t="str">
        <f>Bovespa!BO154</f>
        <v>MYPK3</v>
      </c>
      <c r="B150" s="13">
        <v>13.36</v>
      </c>
      <c r="C150" s="13">
        <v>13.41</v>
      </c>
      <c r="D150" s="13">
        <v>13.5</v>
      </c>
      <c r="E150" s="13">
        <v>13.75</v>
      </c>
      <c r="F150" s="13">
        <f ca="1">Bovespa!BN154</f>
        <v>14.2</v>
      </c>
    </row>
    <row r="151" spans="1:6" x14ac:dyDescent="0.25">
      <c r="A151" s="13" t="str">
        <f>Bovespa!BO155</f>
        <v>RDOR3</v>
      </c>
      <c r="B151" s="13">
        <v>34.9</v>
      </c>
      <c r="C151" s="13">
        <v>34.93</v>
      </c>
      <c r="D151" s="13">
        <v>33.299999999999997</v>
      </c>
      <c r="E151" s="13">
        <v>32.89</v>
      </c>
      <c r="F151" s="13">
        <f ca="1">Bovespa!BN155</f>
        <v>32.520000000000003</v>
      </c>
    </row>
    <row r="152" spans="1:6" x14ac:dyDescent="0.25">
      <c r="A152" s="13" t="str">
        <f>Bovespa!BO156</f>
        <v>VIVT3</v>
      </c>
      <c r="B152" s="13">
        <v>30.4</v>
      </c>
      <c r="C152" s="13">
        <v>32.4</v>
      </c>
      <c r="D152" s="13">
        <v>32.1</v>
      </c>
      <c r="E152" s="13">
        <v>30.95</v>
      </c>
      <c r="F152" s="13">
        <f ca="1">Bovespa!BN156</f>
        <v>30.7</v>
      </c>
    </row>
    <row r="153" spans="1:6" x14ac:dyDescent="0.25">
      <c r="A153" s="13" t="str">
        <f>Bovespa!BO157</f>
        <v>PGMN3</v>
      </c>
      <c r="B153" s="13">
        <v>3.43</v>
      </c>
      <c r="C153" s="13">
        <v>3.39</v>
      </c>
      <c r="D153" s="13">
        <v>3.34</v>
      </c>
      <c r="E153" s="13">
        <v>3.41</v>
      </c>
      <c r="F153" s="13">
        <f ca="1">Bovespa!BN157</f>
        <v>3.48</v>
      </c>
    </row>
    <row r="154" spans="1:6" x14ac:dyDescent="0.25">
      <c r="A154" s="13" t="str">
        <f>Bovespa!BO158</f>
        <v>TFCO4</v>
      </c>
      <c r="B154" s="13">
        <v>14.55</v>
      </c>
      <c r="C154" s="13">
        <v>15.08</v>
      </c>
      <c r="D154" s="13">
        <v>14.42</v>
      </c>
      <c r="E154" s="13">
        <v>14.33</v>
      </c>
      <c r="F154" s="13">
        <f ca="1">Bovespa!BN158</f>
        <v>14.29</v>
      </c>
    </row>
    <row r="155" spans="1:6" x14ac:dyDescent="0.25">
      <c r="A155" s="13" t="str">
        <f>Bovespa!BO159</f>
        <v>ENEV3</v>
      </c>
      <c r="B155" s="13">
        <v>13.51</v>
      </c>
      <c r="C155" s="13">
        <v>13.9</v>
      </c>
      <c r="D155" s="13">
        <v>13.28</v>
      </c>
      <c r="E155" s="13">
        <v>13.69</v>
      </c>
      <c r="F155" s="13">
        <f ca="1">Bovespa!BN159</f>
        <v>13.67</v>
      </c>
    </row>
    <row r="156" spans="1:6" x14ac:dyDescent="0.25">
      <c r="A156" s="13" t="str">
        <f>Bovespa!BO160</f>
        <v>LIGT3</v>
      </c>
      <c r="B156" s="13">
        <v>6.83</v>
      </c>
      <c r="C156" s="13">
        <v>6.58</v>
      </c>
      <c r="D156" s="13">
        <v>5.63</v>
      </c>
      <c r="E156" s="13">
        <v>5.87</v>
      </c>
      <c r="F156" s="13">
        <f ca="1">Bovespa!BN160</f>
        <v>6.05</v>
      </c>
    </row>
    <row r="157" spans="1:6" x14ac:dyDescent="0.25">
      <c r="A157" s="13" t="str">
        <f>Bovespa!BO161</f>
        <v>CSED3</v>
      </c>
      <c r="B157" s="13">
        <v>5.0999999999999996</v>
      </c>
      <c r="C157" s="13">
        <v>5.0999999999999996</v>
      </c>
      <c r="D157" s="13">
        <v>4.8</v>
      </c>
      <c r="E157" s="13">
        <v>4.8499999999999996</v>
      </c>
      <c r="F157" s="13">
        <f ca="1">Bovespa!BN161</f>
        <v>4.88</v>
      </c>
    </row>
    <row r="158" spans="1:6" x14ac:dyDescent="0.25">
      <c r="A158" s="13" t="str">
        <f>Bovespa!BO162</f>
        <v>MULT3</v>
      </c>
      <c r="B158" s="13">
        <v>27.04</v>
      </c>
      <c r="C158" s="13">
        <v>27.17</v>
      </c>
      <c r="D158" s="13">
        <v>25.9</v>
      </c>
      <c r="E158" s="13">
        <v>25.24</v>
      </c>
      <c r="F158" s="13">
        <f ca="1">Bovespa!BN162</f>
        <v>25.25</v>
      </c>
    </row>
    <row r="159" spans="1:6" x14ac:dyDescent="0.25">
      <c r="A159" s="13" t="str">
        <f>Bovespa!BO163</f>
        <v>AURE3</v>
      </c>
      <c r="B159" s="13">
        <v>9.98</v>
      </c>
      <c r="C159" s="13">
        <v>9.8000000000000007</v>
      </c>
      <c r="D159" s="13">
        <v>9.11</v>
      </c>
      <c r="E159" s="13">
        <v>8.94</v>
      </c>
      <c r="F159" s="13">
        <f ca="1">Bovespa!BN163</f>
        <v>9.6</v>
      </c>
    </row>
    <row r="160" spans="1:6" x14ac:dyDescent="0.25">
      <c r="A160" s="13" t="str">
        <f>Bovespa!BO164</f>
        <v>TUPY3</v>
      </c>
      <c r="B160" s="13">
        <v>18.2</v>
      </c>
      <c r="C160" s="13">
        <v>18.07</v>
      </c>
      <c r="D160" s="13">
        <v>17.7</v>
      </c>
      <c r="E160" s="13">
        <v>16.98</v>
      </c>
      <c r="F160" s="13">
        <f ca="1">Bovespa!BN164</f>
        <v>16.760000000000002</v>
      </c>
    </row>
    <row r="161" spans="1:6" x14ac:dyDescent="0.25">
      <c r="A161" s="13" t="str">
        <f>Bovespa!BO165</f>
        <v>SCAR3</v>
      </c>
      <c r="B161" s="13">
        <v>17.04</v>
      </c>
      <c r="C161" s="13">
        <v>17.14</v>
      </c>
      <c r="D161" s="13">
        <v>16.61</v>
      </c>
      <c r="E161" s="13">
        <v>16.809999999999999</v>
      </c>
      <c r="F161" s="13">
        <f ca="1">Bovespa!BN165</f>
        <v>16.68</v>
      </c>
    </row>
    <row r="162" spans="1:6" x14ac:dyDescent="0.25">
      <c r="A162" s="13" t="str">
        <f>Bovespa!BO166</f>
        <v>LWSA3</v>
      </c>
      <c r="B162" s="13">
        <v>4.0599999999999996</v>
      </c>
      <c r="C162" s="13">
        <v>3.67</v>
      </c>
      <c r="D162" s="13">
        <v>3.75</v>
      </c>
      <c r="E162" s="13">
        <v>3.9</v>
      </c>
      <c r="F162" s="13">
        <f ca="1">Bovespa!BN166</f>
        <v>3.77</v>
      </c>
    </row>
    <row r="163" spans="1:6" x14ac:dyDescent="0.25">
      <c r="A163" s="13" t="str">
        <f>Bovespa!BO167</f>
        <v>LPSB3</v>
      </c>
      <c r="B163" s="13">
        <v>1.67</v>
      </c>
      <c r="C163" s="13">
        <v>1.58</v>
      </c>
      <c r="D163" s="13">
        <v>1.38</v>
      </c>
      <c r="E163" s="13">
        <v>1.45</v>
      </c>
      <c r="F163" s="13">
        <f ca="1">Bovespa!BN167</f>
        <v>1.49</v>
      </c>
    </row>
    <row r="164" spans="1:6" x14ac:dyDescent="0.25">
      <c r="A164" s="13" t="str">
        <f>Bovespa!BO168</f>
        <v>MTRE3</v>
      </c>
      <c r="B164" s="13">
        <v>3.87</v>
      </c>
      <c r="C164" s="13">
        <v>4.12</v>
      </c>
      <c r="D164" s="13">
        <v>4.01</v>
      </c>
      <c r="E164" s="13">
        <v>3.75</v>
      </c>
      <c r="F164" s="13">
        <f ca="1">Bovespa!BN168</f>
        <v>3.76</v>
      </c>
    </row>
    <row r="165" spans="1:6" x14ac:dyDescent="0.25">
      <c r="A165" s="13" t="str">
        <f>Bovespa!BO169</f>
        <v>EMBR3</v>
      </c>
      <c r="B165" s="13">
        <v>74.64</v>
      </c>
      <c r="C165" s="13">
        <v>83.49</v>
      </c>
      <c r="D165" s="13">
        <v>74.319999999999993</v>
      </c>
      <c r="E165" s="13">
        <v>68.3</v>
      </c>
      <c r="F165" s="13">
        <f ca="1">Bovespa!BN169</f>
        <v>66.209999999999994</v>
      </c>
    </row>
    <row r="166" spans="1:6" x14ac:dyDescent="0.25">
      <c r="A166" s="13" t="str">
        <f>Bovespa!BO170</f>
        <v>ENGI4</v>
      </c>
      <c r="B166" s="13">
        <v>8.86</v>
      </c>
      <c r="C166" s="13">
        <v>9.19</v>
      </c>
      <c r="D166" s="13">
        <v>8.7200000000000006</v>
      </c>
      <c r="E166" s="13">
        <v>8.6</v>
      </c>
      <c r="F166" s="13">
        <f ca="1">Bovespa!BN170</f>
        <v>8.58</v>
      </c>
    </row>
    <row r="167" spans="1:6" x14ac:dyDescent="0.25">
      <c r="A167" s="13" t="str">
        <f>Bovespa!BO171</f>
        <v>ANIM3</v>
      </c>
      <c r="B167" s="13">
        <v>4.1500000000000004</v>
      </c>
      <c r="C167" s="13">
        <v>4.4000000000000004</v>
      </c>
      <c r="D167" s="13">
        <v>3.8</v>
      </c>
      <c r="E167" s="13">
        <v>3.66</v>
      </c>
      <c r="F167" s="13">
        <f ca="1">Bovespa!BN171</f>
        <v>3.63</v>
      </c>
    </row>
    <row r="168" spans="1:6" x14ac:dyDescent="0.25">
      <c r="A168" s="13" t="str">
        <f>Bovespa!BO172</f>
        <v>PRIO3</v>
      </c>
      <c r="B168" s="13">
        <v>41.87</v>
      </c>
      <c r="C168" s="13">
        <v>42.58</v>
      </c>
      <c r="D168" s="13">
        <v>42.76</v>
      </c>
      <c r="E168" s="13">
        <v>43.29</v>
      </c>
      <c r="F168" s="13">
        <f ca="1">Bovespa!BN172</f>
        <v>41.9</v>
      </c>
    </row>
    <row r="169" spans="1:6" x14ac:dyDescent="0.25">
      <c r="A169" s="13" t="str">
        <f>Bovespa!BO173</f>
        <v>ODPV3</v>
      </c>
      <c r="B169" s="13">
        <v>11.61</v>
      </c>
      <c r="C169" s="13">
        <v>11.73</v>
      </c>
      <c r="D169" s="13">
        <v>11.59</v>
      </c>
      <c r="E169" s="13">
        <v>11.3</v>
      </c>
      <c r="F169" s="13">
        <f ca="1">Bovespa!BN173</f>
        <v>11.91</v>
      </c>
    </row>
    <row r="170" spans="1:6" x14ac:dyDescent="0.25">
      <c r="A170" s="13" t="str">
        <f>Bovespa!BO174</f>
        <v>RECV3</v>
      </c>
      <c r="B170" s="13">
        <v>14.33</v>
      </c>
      <c r="C170" s="13">
        <v>14.69</v>
      </c>
      <c r="D170" s="13">
        <v>14.47</v>
      </c>
      <c r="E170" s="13">
        <v>13.74</v>
      </c>
      <c r="F170" s="13">
        <f ca="1">Bovespa!BN174</f>
        <v>13.35</v>
      </c>
    </row>
    <row r="171" spans="1:6" x14ac:dyDescent="0.25">
      <c r="A171" s="13" t="str">
        <f>Bovespa!BO175</f>
        <v>MDNE3</v>
      </c>
      <c r="B171" s="13">
        <v>21.89</v>
      </c>
      <c r="C171" s="13">
        <v>24.2</v>
      </c>
      <c r="D171" s="13">
        <v>23.22</v>
      </c>
      <c r="E171" s="13">
        <v>21.12</v>
      </c>
      <c r="F171" s="13">
        <f ca="1">Bovespa!BN175</f>
        <v>21.8</v>
      </c>
    </row>
    <row r="172" spans="1:6" x14ac:dyDescent="0.25">
      <c r="A172" s="13" t="str">
        <f>Bovespa!BO176</f>
        <v>RCSL4</v>
      </c>
      <c r="B172" s="13">
        <v>0.96</v>
      </c>
      <c r="C172" s="13">
        <v>0.94</v>
      </c>
      <c r="D172" s="13">
        <v>0.95</v>
      </c>
      <c r="E172" s="13">
        <v>1.06</v>
      </c>
      <c r="F172" s="13">
        <f ca="1">Bovespa!BN176</f>
        <v>1.1000000000000001</v>
      </c>
    </row>
    <row r="173" spans="1:6" x14ac:dyDescent="0.25">
      <c r="A173" s="13" t="str">
        <f>Bovespa!BO177</f>
        <v>TPIS3</v>
      </c>
      <c r="B173" s="13">
        <v>3.99</v>
      </c>
      <c r="C173" s="13">
        <v>4.07</v>
      </c>
      <c r="D173" s="13">
        <v>4.03</v>
      </c>
      <c r="E173" s="13">
        <v>4.01</v>
      </c>
      <c r="F173" s="13">
        <f ca="1">Bovespa!BN177</f>
        <v>4.04</v>
      </c>
    </row>
    <row r="174" spans="1:6" x14ac:dyDescent="0.25">
      <c r="A174" s="13" t="str">
        <f>Bovespa!BO178</f>
        <v>TASA4</v>
      </c>
      <c r="B174" s="13">
        <v>6.82</v>
      </c>
      <c r="C174" s="13">
        <v>6.92</v>
      </c>
      <c r="D174" s="13">
        <v>6.35</v>
      </c>
      <c r="E174" s="13">
        <v>5.75</v>
      </c>
      <c r="F174" s="13">
        <f ca="1">Bovespa!BN178</f>
        <v>5.21</v>
      </c>
    </row>
    <row r="175" spans="1:6" x14ac:dyDescent="0.25">
      <c r="A175" s="13" t="str">
        <f>Bovespa!BO179</f>
        <v>SNSY5</v>
      </c>
      <c r="B175" s="13">
        <v>4.12</v>
      </c>
      <c r="C175" s="13">
        <v>3.56</v>
      </c>
      <c r="D175" s="13">
        <v>3.51</v>
      </c>
      <c r="E175" s="13">
        <v>3.58</v>
      </c>
      <c r="F175" s="13">
        <f ca="1">Bovespa!BN179</f>
        <v>3.53</v>
      </c>
    </row>
    <row r="176" spans="1:6" x14ac:dyDescent="0.25">
      <c r="A176" s="13" t="str">
        <f>Bovespa!BO180</f>
        <v>LAVV3</v>
      </c>
      <c r="B176" s="13">
        <v>12.1</v>
      </c>
      <c r="C176" s="13">
        <v>12.61</v>
      </c>
      <c r="D176" s="13">
        <v>12.65</v>
      </c>
      <c r="E176" s="13">
        <v>12.07</v>
      </c>
      <c r="F176" s="13">
        <f ca="1">Bovespa!BN180</f>
        <v>11.87</v>
      </c>
    </row>
    <row r="177" spans="1:6" x14ac:dyDescent="0.25">
      <c r="A177" s="13" t="str">
        <f>Bovespa!BO181</f>
        <v>ALPA3</v>
      </c>
      <c r="B177" s="13">
        <v>8.73</v>
      </c>
      <c r="C177" s="13">
        <v>8.6</v>
      </c>
      <c r="D177" s="13">
        <v>8.09</v>
      </c>
      <c r="E177" s="13">
        <v>7.5</v>
      </c>
      <c r="F177" s="13">
        <f ca="1">Bovespa!BN181</f>
        <v>7.64</v>
      </c>
    </row>
    <row r="178" spans="1:6" x14ac:dyDescent="0.25">
      <c r="A178" s="13" t="str">
        <f>Bovespa!BO182</f>
        <v>LVTC3</v>
      </c>
      <c r="B178" s="13">
        <v>3.6</v>
      </c>
      <c r="C178" s="13">
        <v>3.71</v>
      </c>
      <c r="D178" s="13">
        <v>3.5</v>
      </c>
      <c r="E178" s="13">
        <v>3.6</v>
      </c>
      <c r="F178" s="13">
        <f ca="1">Bovespa!BN182</f>
        <v>3.57</v>
      </c>
    </row>
    <row r="179" spans="1:6" x14ac:dyDescent="0.25">
      <c r="A179" s="13" t="str">
        <f>Bovespa!BO183</f>
        <v>BEEF3</v>
      </c>
      <c r="B179" s="13">
        <v>4.82</v>
      </c>
      <c r="C179" s="13">
        <v>5.17</v>
      </c>
      <c r="D179" s="13">
        <v>5.37</v>
      </c>
      <c r="E179" s="13">
        <v>5.12</v>
      </c>
      <c r="F179" s="13">
        <f ca="1">Bovespa!BN183</f>
        <v>5.09</v>
      </c>
    </row>
    <row r="180" spans="1:6" x14ac:dyDescent="0.25">
      <c r="A180" s="13" t="str">
        <f>Bovespa!BO184</f>
        <v>ALPA4</v>
      </c>
      <c r="B180" s="13">
        <v>9.23</v>
      </c>
      <c r="C180" s="13">
        <v>8.94</v>
      </c>
      <c r="D180" s="13">
        <v>8.56</v>
      </c>
      <c r="E180" s="13">
        <v>8.5299999999999994</v>
      </c>
      <c r="F180" s="13">
        <f ca="1">Bovespa!BN184</f>
        <v>8.49</v>
      </c>
    </row>
    <row r="181" spans="1:6" x14ac:dyDescent="0.25">
      <c r="A181" s="13" t="str">
        <f>Bovespa!BO185</f>
        <v>MLAS3</v>
      </c>
      <c r="B181" s="13">
        <v>1.08</v>
      </c>
      <c r="C181" s="13">
        <v>1.07</v>
      </c>
      <c r="D181" s="13">
        <v>1.04</v>
      </c>
      <c r="E181" s="13">
        <v>1.05</v>
      </c>
      <c r="F181" s="13">
        <f ca="1">Bovespa!BN185</f>
        <v>1.03</v>
      </c>
    </row>
    <row r="182" spans="1:6" x14ac:dyDescent="0.25">
      <c r="A182" s="13" t="str">
        <f>Bovespa!BO186</f>
        <v>EUCA4</v>
      </c>
      <c r="B182" s="13">
        <v>18.7</v>
      </c>
      <c r="C182" s="13">
        <v>18.760000000000002</v>
      </c>
      <c r="D182" s="13">
        <v>17.170000000000002</v>
      </c>
      <c r="E182" s="13">
        <v>17.18</v>
      </c>
      <c r="F182" s="13">
        <f ca="1">Bovespa!BN186</f>
        <v>17.2</v>
      </c>
    </row>
    <row r="183" spans="1:6" x14ac:dyDescent="0.25">
      <c r="A183" s="13" t="str">
        <f>Bovespa!BO187</f>
        <v>B3SA3</v>
      </c>
      <c r="B183" s="13">
        <v>14.12</v>
      </c>
      <c r="C183" s="13">
        <v>14.71</v>
      </c>
      <c r="D183" s="13">
        <v>13.71</v>
      </c>
      <c r="E183" s="13">
        <v>12.97</v>
      </c>
      <c r="F183" s="13">
        <f ca="1">Bovespa!BN187</f>
        <v>13.07</v>
      </c>
    </row>
    <row r="184" spans="1:6" x14ac:dyDescent="0.25">
      <c r="A184" s="13" t="str">
        <f>Bovespa!BO188</f>
        <v>KRSA3</v>
      </c>
      <c r="B184" s="13">
        <v>8.8699999999999992</v>
      </c>
      <c r="C184" s="13">
        <v>8.8699999999999992</v>
      </c>
      <c r="D184" s="13">
        <v>8.8699999999999992</v>
      </c>
      <c r="E184" s="13">
        <v>8.8699999999999992</v>
      </c>
      <c r="F184" s="13">
        <f ca="1">Bovespa!BN188</f>
        <v>8.8699999999999992</v>
      </c>
    </row>
    <row r="185" spans="1:6" x14ac:dyDescent="0.25">
      <c r="A185" s="13" t="str">
        <f>Bovespa!BO189</f>
        <v>BOBR4</v>
      </c>
      <c r="B185" s="13">
        <v>1.58</v>
      </c>
      <c r="C185" s="13">
        <v>1.58</v>
      </c>
      <c r="D185" s="13">
        <v>1.57</v>
      </c>
      <c r="E185" s="13">
        <v>1.48</v>
      </c>
      <c r="F185" s="13">
        <f ca="1">Bovespa!BN189</f>
        <v>1.4</v>
      </c>
    </row>
    <row r="186" spans="1:6" x14ac:dyDescent="0.25">
      <c r="A186" s="13" t="str">
        <f>Bovespa!BO190</f>
        <v>ETER3</v>
      </c>
      <c r="B186" s="13">
        <v>4.01</v>
      </c>
      <c r="C186" s="13">
        <v>4.07</v>
      </c>
      <c r="D186" s="13">
        <v>3.91</v>
      </c>
      <c r="E186" s="13">
        <v>3.75</v>
      </c>
      <c r="F186" s="13">
        <f ca="1">Bovespa!BN190</f>
        <v>3.7</v>
      </c>
    </row>
    <row r="187" spans="1:6" x14ac:dyDescent="0.25">
      <c r="A187" s="13" t="str">
        <f>Bovespa!BO191</f>
        <v>ESPA3</v>
      </c>
      <c r="B187" s="13">
        <v>1.03</v>
      </c>
      <c r="C187" s="13">
        <v>1.1100000000000001</v>
      </c>
      <c r="D187" s="13">
        <v>1.1200000000000001</v>
      </c>
      <c r="E187" s="13">
        <v>1.1200000000000001</v>
      </c>
      <c r="F187" s="13">
        <f ca="1">Bovespa!BN191</f>
        <v>1.06</v>
      </c>
    </row>
    <row r="188" spans="1:6" x14ac:dyDescent="0.25">
      <c r="A188" s="13" t="str">
        <f>Bovespa!BO192</f>
        <v>MATD3</v>
      </c>
      <c r="B188" s="13">
        <v>4.59</v>
      </c>
      <c r="C188" s="13">
        <v>4.62</v>
      </c>
      <c r="D188" s="13">
        <v>4.58</v>
      </c>
      <c r="E188" s="13">
        <v>4.3099999999999996</v>
      </c>
      <c r="F188" s="13">
        <f ca="1">Bovespa!BN192</f>
        <v>4.43</v>
      </c>
    </row>
    <row r="189" spans="1:6" x14ac:dyDescent="0.25">
      <c r="A189" s="13" t="str">
        <f>Bovespa!BO193</f>
        <v>TRAD3</v>
      </c>
      <c r="B189" s="13">
        <v>7.27</v>
      </c>
      <c r="C189" s="13">
        <v>6.59</v>
      </c>
      <c r="D189" s="13">
        <v>7.39</v>
      </c>
      <c r="E189" s="13">
        <v>7.49</v>
      </c>
      <c r="F189" s="13">
        <f ca="1">Bovespa!BN193</f>
        <v>7.32</v>
      </c>
    </row>
    <row r="190" spans="1:6" x14ac:dyDescent="0.25">
      <c r="A190" s="13" t="str">
        <f>Bovespa!BO194</f>
        <v>VULC3</v>
      </c>
      <c r="B190" s="13">
        <v>20.71</v>
      </c>
      <c r="C190" s="13">
        <v>21.88</v>
      </c>
      <c r="D190" s="13">
        <v>20.2</v>
      </c>
      <c r="E190" s="13">
        <v>18.829999999999998</v>
      </c>
      <c r="F190" s="13">
        <f ca="1">Bovespa!BN194</f>
        <v>18.64</v>
      </c>
    </row>
    <row r="191" spans="1:6" x14ac:dyDescent="0.25">
      <c r="A191" s="13" t="str">
        <f>Bovespa!BO195</f>
        <v>LUPA3</v>
      </c>
      <c r="B191" s="13">
        <v>1.21</v>
      </c>
      <c r="C191" s="13">
        <v>1.2</v>
      </c>
      <c r="D191" s="13">
        <v>1.19</v>
      </c>
      <c r="E191" s="13">
        <v>1.1599999999999999</v>
      </c>
      <c r="F191" s="13">
        <f ca="1">Bovespa!BN195</f>
        <v>1.1599999999999999</v>
      </c>
    </row>
    <row r="192" spans="1:6" x14ac:dyDescent="0.25">
      <c r="A192" s="13" t="str">
        <f>Bovespa!BO196</f>
        <v>ECOR3</v>
      </c>
      <c r="B192" s="13">
        <v>7.37</v>
      </c>
      <c r="C192" s="13">
        <v>7.37</v>
      </c>
      <c r="D192" s="13">
        <v>6.91</v>
      </c>
      <c r="E192" s="13">
        <v>6.79</v>
      </c>
      <c r="F192" s="13">
        <f ca="1">Bovespa!BN196</f>
        <v>6.75</v>
      </c>
    </row>
    <row r="193" spans="1:6" x14ac:dyDescent="0.25">
      <c r="A193" s="13" t="str">
        <f>Bovespa!BO197</f>
        <v>PDGR3</v>
      </c>
      <c r="B193" s="13">
        <v>0.3</v>
      </c>
      <c r="C193" s="13">
        <v>0.25</v>
      </c>
      <c r="D193" s="13">
        <v>0.24</v>
      </c>
      <c r="E193" s="13">
        <v>0.22</v>
      </c>
      <c r="F193" s="13">
        <f ca="1">Bovespa!BN197</f>
        <v>0.22</v>
      </c>
    </row>
    <row r="194" spans="1:6" x14ac:dyDescent="0.25">
      <c r="A194" s="13" t="str">
        <f>Bovespa!BO198</f>
        <v>COCE5</v>
      </c>
      <c r="B194" s="13">
        <v>26.17</v>
      </c>
      <c r="C194" s="13">
        <v>28.11</v>
      </c>
      <c r="D194" s="13">
        <v>26.82</v>
      </c>
      <c r="E194" s="13">
        <v>27.76</v>
      </c>
      <c r="F194" s="13">
        <f ca="1">Bovespa!BN198</f>
        <v>27.7</v>
      </c>
    </row>
    <row r="195" spans="1:6" x14ac:dyDescent="0.25">
      <c r="A195" s="13" t="str">
        <f>Bovespa!BO199</f>
        <v>CEAB3</v>
      </c>
      <c r="B195" s="13">
        <v>19.940000000000001</v>
      </c>
      <c r="C195" s="13">
        <v>19.73</v>
      </c>
      <c r="D195" s="13">
        <v>17.649999999999999</v>
      </c>
      <c r="E195" s="13">
        <v>16.53</v>
      </c>
      <c r="F195" s="13">
        <f ca="1">Bovespa!BN199</f>
        <v>15.96</v>
      </c>
    </row>
    <row r="196" spans="1:6" x14ac:dyDescent="0.25">
      <c r="A196" s="13" t="str">
        <f>Bovespa!BO200</f>
        <v>AMBP3</v>
      </c>
      <c r="B196" s="13">
        <v>159.75</v>
      </c>
      <c r="C196" s="13">
        <v>161.49</v>
      </c>
      <c r="D196" s="13">
        <v>162.13999999999999</v>
      </c>
      <c r="E196" s="13">
        <v>141.79</v>
      </c>
      <c r="F196" s="13">
        <f ca="1">Bovespa!BN200</f>
        <v>132.54</v>
      </c>
    </row>
    <row r="197" spans="1:6" x14ac:dyDescent="0.25">
      <c r="A197" s="13" t="str">
        <f>Bovespa!BO201</f>
        <v>NGRD3</v>
      </c>
      <c r="B197" s="13">
        <v>26</v>
      </c>
      <c r="C197" s="13">
        <v>25.5</v>
      </c>
      <c r="D197" s="13">
        <v>24.48</v>
      </c>
      <c r="E197" s="13">
        <v>25</v>
      </c>
      <c r="F197" s="13">
        <f ca="1">Bovespa!BN201</f>
        <v>25.6</v>
      </c>
    </row>
    <row r="198" spans="1:6" x14ac:dyDescent="0.25">
      <c r="A198" s="13" t="str">
        <f>Bovespa!BO202</f>
        <v>CAML3</v>
      </c>
      <c r="B198" s="13">
        <v>5.04</v>
      </c>
      <c r="C198" s="13">
        <v>5.31</v>
      </c>
      <c r="D198" s="13">
        <v>5.14</v>
      </c>
      <c r="E198" s="13">
        <v>4.9800000000000004</v>
      </c>
      <c r="F198" s="13">
        <f ca="1">Bovespa!BN202</f>
        <v>4.84</v>
      </c>
    </row>
    <row r="199" spans="1:6" x14ac:dyDescent="0.25">
      <c r="A199" s="13" t="str">
        <f>Bovespa!BO203</f>
        <v>TASA3</v>
      </c>
      <c r="B199" s="13">
        <v>7.15</v>
      </c>
      <c r="C199" s="13">
        <v>7.35</v>
      </c>
      <c r="D199" s="13">
        <v>7.12</v>
      </c>
      <c r="E199" s="13">
        <v>6.75</v>
      </c>
      <c r="F199" s="13">
        <f ca="1">Bovespa!BN203</f>
        <v>6.22</v>
      </c>
    </row>
    <row r="200" spans="1:6" x14ac:dyDescent="0.25">
      <c r="A200" s="13" t="str">
        <f>Bovespa!BO204</f>
        <v>SBFG3</v>
      </c>
      <c r="B200" s="13">
        <v>11.79</v>
      </c>
      <c r="C200" s="13">
        <v>12.65</v>
      </c>
      <c r="D200" s="13">
        <v>12</v>
      </c>
      <c r="E200" s="13">
        <v>11.92</v>
      </c>
      <c r="F200" s="13">
        <f ca="1">Bovespa!BN204</f>
        <v>12.2</v>
      </c>
    </row>
    <row r="201" spans="1:6" x14ac:dyDescent="0.25">
      <c r="A201" s="13" t="str">
        <f>Bovespa!BO205</f>
        <v>TECN3</v>
      </c>
      <c r="B201" s="13">
        <v>7.13</v>
      </c>
      <c r="C201" s="13">
        <v>6.6</v>
      </c>
      <c r="D201" s="13">
        <v>6.36</v>
      </c>
      <c r="E201" s="13">
        <v>6.36</v>
      </c>
      <c r="F201" s="13">
        <f ca="1">Bovespa!BN205</f>
        <v>6.21</v>
      </c>
    </row>
    <row r="202" spans="1:6" x14ac:dyDescent="0.25">
      <c r="A202" s="13" t="str">
        <f>Bovespa!BO206</f>
        <v>SMTO3</v>
      </c>
      <c r="B202" s="13">
        <v>17.670000000000002</v>
      </c>
      <c r="C202" s="13">
        <v>17.850000000000001</v>
      </c>
      <c r="D202" s="13">
        <v>17.13</v>
      </c>
      <c r="E202" s="13">
        <v>17.78</v>
      </c>
      <c r="F202" s="13">
        <f ca="1">Bovespa!BN206</f>
        <v>17.72</v>
      </c>
    </row>
    <row r="203" spans="1:6" x14ac:dyDescent="0.25">
      <c r="A203" s="13" t="str">
        <f>Bovespa!BO207</f>
        <v>RANI3</v>
      </c>
      <c r="B203" s="13">
        <v>7.33</v>
      </c>
      <c r="C203" s="13">
        <v>7.58</v>
      </c>
      <c r="D203" s="13">
        <v>7.3</v>
      </c>
      <c r="E203" s="13">
        <v>7.12</v>
      </c>
      <c r="F203" s="13">
        <f ca="1">Bovespa!BN207</f>
        <v>7.27</v>
      </c>
    </row>
    <row r="204" spans="1:6" x14ac:dyDescent="0.25">
      <c r="A204" s="13" t="str">
        <f>Bovespa!BO208</f>
        <v>PETZ3</v>
      </c>
      <c r="B204" s="13">
        <v>3.97</v>
      </c>
      <c r="C204" s="13">
        <v>3.86</v>
      </c>
      <c r="D204" s="13">
        <v>3.65</v>
      </c>
      <c r="E204" s="13">
        <v>3.95</v>
      </c>
      <c r="F204" s="13">
        <f ca="1">Bovespa!BN208</f>
        <v>3.99</v>
      </c>
    </row>
    <row r="205" spans="1:6" x14ac:dyDescent="0.25">
      <c r="A205" s="13" t="str">
        <f>Bovespa!BO209</f>
        <v>TOTS3</v>
      </c>
      <c r="B205" s="13">
        <v>41.52</v>
      </c>
      <c r="C205" s="13">
        <v>43.11</v>
      </c>
      <c r="D205" s="13">
        <v>41.09</v>
      </c>
      <c r="E205" s="13">
        <v>41.7</v>
      </c>
      <c r="F205" s="13">
        <f ca="1">Bovespa!BN209</f>
        <v>43</v>
      </c>
    </row>
    <row r="206" spans="1:6" x14ac:dyDescent="0.25">
      <c r="A206" s="13" t="str">
        <f>Bovespa!BO210</f>
        <v>YDUQ3</v>
      </c>
      <c r="B206" s="13">
        <v>16.18</v>
      </c>
      <c r="C206" s="13">
        <v>16.329999999999998</v>
      </c>
      <c r="D206" s="13">
        <v>13.88</v>
      </c>
      <c r="E206" s="13">
        <v>13.3</v>
      </c>
      <c r="F206" s="13">
        <f ca="1">Bovespa!BN210</f>
        <v>12.39</v>
      </c>
    </row>
    <row r="207" spans="1:6" x14ac:dyDescent="0.25">
      <c r="A207" s="13" t="str">
        <f>Bovespa!BO211</f>
        <v>JSLG3</v>
      </c>
      <c r="B207" s="13">
        <v>5.85</v>
      </c>
      <c r="C207" s="13">
        <v>5.99</v>
      </c>
      <c r="D207" s="13">
        <v>5.6</v>
      </c>
      <c r="E207" s="13">
        <v>5.2</v>
      </c>
      <c r="F207" s="13">
        <f ca="1">Bovespa!BN211</f>
        <v>5.39</v>
      </c>
    </row>
    <row r="208" spans="1:6" x14ac:dyDescent="0.25">
      <c r="A208" s="13" t="str">
        <f>Bovespa!BO212</f>
        <v>ONCO3</v>
      </c>
      <c r="B208" s="13">
        <v>5.08</v>
      </c>
      <c r="C208" s="13">
        <v>4.9800000000000004</v>
      </c>
      <c r="D208" s="13">
        <v>5.36</v>
      </c>
      <c r="E208" s="13">
        <v>5.47</v>
      </c>
      <c r="F208" s="13">
        <f ca="1">Bovespa!BN212</f>
        <v>5.44</v>
      </c>
    </row>
    <row r="209" spans="1:6" x14ac:dyDescent="0.25">
      <c r="A209" s="13" t="str">
        <f>Bovespa!BO213</f>
        <v>AALR3</v>
      </c>
      <c r="B209" s="13">
        <v>4.92</v>
      </c>
      <c r="C209" s="13">
        <v>3.92</v>
      </c>
      <c r="D209" s="13">
        <v>4.9000000000000004</v>
      </c>
      <c r="E209" s="13">
        <v>5.07</v>
      </c>
      <c r="F209" s="13">
        <f ca="1">Bovespa!BN213</f>
        <v>4.84</v>
      </c>
    </row>
    <row r="210" spans="1:6" x14ac:dyDescent="0.25">
      <c r="A210" s="13" t="str">
        <f>Bovespa!BO214</f>
        <v>HBOR3</v>
      </c>
      <c r="B210" s="13">
        <v>2.4900000000000002</v>
      </c>
      <c r="C210" s="13">
        <v>2.29</v>
      </c>
      <c r="D210" s="13">
        <v>2.23</v>
      </c>
      <c r="E210" s="13">
        <v>2.2200000000000002</v>
      </c>
      <c r="F210" s="13">
        <f ca="1">Bovespa!BN214</f>
        <v>2.83</v>
      </c>
    </row>
    <row r="211" spans="1:6" x14ac:dyDescent="0.25">
      <c r="A211" s="13" t="str">
        <f>Bovespa!BO215</f>
        <v>CRPG5</v>
      </c>
      <c r="B211" s="13">
        <v>17.510000000000002</v>
      </c>
      <c r="C211" s="13">
        <v>16.170000000000002</v>
      </c>
      <c r="D211" s="13">
        <v>16.059999999999999</v>
      </c>
      <c r="E211" s="13">
        <v>16</v>
      </c>
      <c r="F211" s="13">
        <f ca="1">Bovespa!BN215</f>
        <v>16.079999999999998</v>
      </c>
    </row>
    <row r="212" spans="1:6" x14ac:dyDescent="0.25">
      <c r="A212" s="13" t="str">
        <f>Bovespa!BO216</f>
        <v>LOGN3</v>
      </c>
      <c r="B212" s="13">
        <v>25.4</v>
      </c>
      <c r="C212" s="13">
        <v>26</v>
      </c>
      <c r="D212" s="13">
        <v>25.85</v>
      </c>
      <c r="E212" s="13">
        <v>26.17</v>
      </c>
      <c r="F212" s="13">
        <f ca="1">Bovespa!BN216</f>
        <v>24.75</v>
      </c>
    </row>
    <row r="213" spans="1:6" x14ac:dyDescent="0.25">
      <c r="A213" s="13" t="str">
        <f>Bovespa!BO217</f>
        <v>VAMO3</v>
      </c>
      <c r="B213" s="13">
        <v>4.13</v>
      </c>
      <c r="C213" s="13">
        <v>3.97</v>
      </c>
      <c r="D213" s="13">
        <v>3.91</v>
      </c>
      <c r="E213" s="13">
        <v>3.84</v>
      </c>
      <c r="F213" s="13">
        <f ca="1">Bovespa!BN217</f>
        <v>4</v>
      </c>
    </row>
    <row r="214" spans="1:6" x14ac:dyDescent="0.25">
      <c r="A214" s="13" t="str">
        <f>Bovespa!BO218</f>
        <v>JHSF3</v>
      </c>
      <c r="B214" s="13">
        <v>5.25</v>
      </c>
      <c r="C214" s="13">
        <v>5.3</v>
      </c>
      <c r="D214" s="13">
        <v>5.23</v>
      </c>
      <c r="E214" s="13">
        <v>5.04</v>
      </c>
      <c r="F214" s="13">
        <f ca="1">Bovespa!BN218</f>
        <v>5.12</v>
      </c>
    </row>
    <row r="215" spans="1:6" x14ac:dyDescent="0.25">
      <c r="A215" s="13" t="str">
        <f>Bovespa!BO219</f>
        <v>SIMH3</v>
      </c>
      <c r="B215" s="13">
        <v>5.03</v>
      </c>
      <c r="C215" s="13">
        <v>4.82</v>
      </c>
      <c r="D215" s="13">
        <v>4.4400000000000004</v>
      </c>
      <c r="E215" s="13">
        <v>4.25</v>
      </c>
      <c r="F215" s="13">
        <f ca="1">Bovespa!BN219</f>
        <v>4.3899999999999997</v>
      </c>
    </row>
    <row r="216" spans="1:6" x14ac:dyDescent="0.25">
      <c r="A216" s="13" t="str">
        <f>Bovespa!BO220</f>
        <v>GUAR3</v>
      </c>
      <c r="B216" s="13">
        <v>8.48</v>
      </c>
      <c r="C216" s="13">
        <v>8.83</v>
      </c>
      <c r="D216" s="13">
        <v>7.95</v>
      </c>
      <c r="E216" s="13">
        <v>7.69</v>
      </c>
      <c r="F216" s="13">
        <f ca="1">Bovespa!BN220</f>
        <v>7.77</v>
      </c>
    </row>
    <row r="217" spans="1:6" x14ac:dyDescent="0.25">
      <c r="A217" s="13" t="str">
        <f>Bovespa!BO221</f>
        <v>SGPS3</v>
      </c>
      <c r="B217" s="13">
        <v>1.64</v>
      </c>
      <c r="C217" s="13">
        <v>1.64</v>
      </c>
      <c r="D217" s="13">
        <v>1.64</v>
      </c>
      <c r="E217" s="13">
        <v>1.64</v>
      </c>
      <c r="F217" s="13">
        <f ca="1">Bovespa!BN221</f>
        <v>1.64</v>
      </c>
    </row>
    <row r="218" spans="1:6" x14ac:dyDescent="0.25">
      <c r="A218" s="13" t="str">
        <f>Bovespa!BO222</f>
        <v>COGN3</v>
      </c>
      <c r="B218" s="13">
        <v>2.79</v>
      </c>
      <c r="C218" s="13">
        <v>2.91</v>
      </c>
      <c r="D218" s="13">
        <v>2.65</v>
      </c>
      <c r="E218" s="13">
        <v>2.59</v>
      </c>
      <c r="F218" s="13">
        <f ca="1">Bovespa!BN222</f>
        <v>2.66</v>
      </c>
    </row>
    <row r="219" spans="1:6" x14ac:dyDescent="0.25">
      <c r="A219" s="13" t="str">
        <f>Bovespa!BO223</f>
        <v>OIBR4</v>
      </c>
      <c r="B219" s="13">
        <v>9.2200000000000006</v>
      </c>
      <c r="C219" s="13">
        <v>8.5299999999999994</v>
      </c>
      <c r="D219" s="13">
        <v>8.56</v>
      </c>
      <c r="E219" s="13">
        <v>8.5500000000000007</v>
      </c>
      <c r="F219" s="13">
        <f ca="1">Bovespa!BN223</f>
        <v>8.02</v>
      </c>
    </row>
    <row r="220" spans="1:6" x14ac:dyDescent="0.25">
      <c r="A220" s="13" t="str">
        <f>Bovespa!BO224</f>
        <v>VITT3</v>
      </c>
      <c r="B220" s="13">
        <v>4.8099999999999996</v>
      </c>
      <c r="C220" s="13">
        <v>4.95</v>
      </c>
      <c r="D220" s="13">
        <v>4.96</v>
      </c>
      <c r="E220" s="13">
        <v>4.97</v>
      </c>
      <c r="F220" s="13">
        <f ca="1">Bovespa!BN224</f>
        <v>4.96</v>
      </c>
    </row>
    <row r="221" spans="1:6" x14ac:dyDescent="0.25">
      <c r="A221" s="13" t="str">
        <f>Bovespa!BO225</f>
        <v>PTBL3</v>
      </c>
      <c r="B221" s="13">
        <v>4.6500000000000004</v>
      </c>
      <c r="C221" s="13">
        <v>4.6399999999999997</v>
      </c>
      <c r="D221" s="13">
        <v>4.24</v>
      </c>
      <c r="E221" s="13">
        <v>3.95</v>
      </c>
      <c r="F221" s="13">
        <f ca="1">Bovespa!BN225</f>
        <v>3.9</v>
      </c>
    </row>
    <row r="222" spans="1:6" x14ac:dyDescent="0.25">
      <c r="A222" s="13" t="str">
        <f>Bovespa!BO226</f>
        <v>VVEO3</v>
      </c>
      <c r="B222" s="13">
        <v>1.25</v>
      </c>
      <c r="C222" s="13">
        <v>1.18</v>
      </c>
      <c r="D222" s="13">
        <v>1.19</v>
      </c>
      <c r="E222" s="13">
        <v>1.1399999999999999</v>
      </c>
      <c r="F222" s="13">
        <f ca="1">Bovespa!BN226</f>
        <v>1.1000000000000001</v>
      </c>
    </row>
    <row r="223" spans="1:6" x14ac:dyDescent="0.25">
      <c r="A223" s="13" t="str">
        <f>Bovespa!BO227</f>
        <v>HBRE3</v>
      </c>
      <c r="B223" s="13">
        <v>3.41</v>
      </c>
      <c r="C223" s="13">
        <v>3.38</v>
      </c>
      <c r="D223" s="13">
        <v>3.06</v>
      </c>
      <c r="E223" s="13">
        <v>3.01</v>
      </c>
      <c r="F223" s="13">
        <f ca="1">Bovespa!BN227</f>
        <v>3.31</v>
      </c>
    </row>
    <row r="224" spans="1:6" x14ac:dyDescent="0.25">
      <c r="A224" s="13" t="str">
        <f>Bovespa!BO228</f>
        <v>RDNI3</v>
      </c>
      <c r="B224" s="13">
        <v>2.4700000000000002</v>
      </c>
      <c r="C224" s="13">
        <v>2.39</v>
      </c>
      <c r="D224" s="13">
        <v>2.3199999999999998</v>
      </c>
      <c r="E224" s="13">
        <v>2.31</v>
      </c>
      <c r="F224" s="13">
        <f ca="1">Bovespa!BN228</f>
        <v>2.29</v>
      </c>
    </row>
    <row r="225" spans="1:6" x14ac:dyDescent="0.25">
      <c r="A225" s="13" t="str">
        <f>Bovespa!BO229</f>
        <v>PCAR3</v>
      </c>
      <c r="B225" s="13">
        <v>3.05</v>
      </c>
      <c r="C225" s="13">
        <v>3.22</v>
      </c>
      <c r="D225" s="13">
        <v>3.21</v>
      </c>
      <c r="E225" s="13">
        <v>3.62</v>
      </c>
      <c r="F225" s="13">
        <f ca="1">Bovespa!BN229</f>
        <v>3.5</v>
      </c>
    </row>
    <row r="226" spans="1:6" x14ac:dyDescent="0.25">
      <c r="A226" s="13" t="str">
        <f>Bovespa!BO230</f>
        <v>CASH3</v>
      </c>
      <c r="B226" s="13">
        <v>7.06</v>
      </c>
      <c r="C226" s="13">
        <v>6.95</v>
      </c>
      <c r="D226" s="13">
        <v>7.33</v>
      </c>
      <c r="E226" s="13">
        <v>6.76</v>
      </c>
      <c r="F226" s="13">
        <f ca="1">Bovespa!BN230</f>
        <v>5.9</v>
      </c>
    </row>
    <row r="227" spans="1:6" x14ac:dyDescent="0.25">
      <c r="A227" s="13" t="str">
        <f>Bovespa!BO231</f>
        <v>FHER3</v>
      </c>
      <c r="B227" s="13">
        <v>3.83</v>
      </c>
      <c r="C227" s="13">
        <v>3.95</v>
      </c>
      <c r="D227" s="13">
        <v>4.17</v>
      </c>
      <c r="E227" s="13">
        <v>4.0599999999999996</v>
      </c>
      <c r="F227" s="13">
        <f ca="1">Bovespa!BN231</f>
        <v>4.0599999999999996</v>
      </c>
    </row>
    <row r="228" spans="1:6" x14ac:dyDescent="0.25">
      <c r="A228" s="13" t="str">
        <f>Bovespa!BO232</f>
        <v>GFSA3</v>
      </c>
      <c r="B228" s="13">
        <v>20.46</v>
      </c>
      <c r="C228" s="13">
        <v>19.05</v>
      </c>
      <c r="D228" s="13">
        <v>19.989999999999998</v>
      </c>
      <c r="E228" s="13">
        <v>17.84</v>
      </c>
      <c r="F228" s="13">
        <f ca="1">Bovespa!BN232</f>
        <v>16.25</v>
      </c>
    </row>
    <row r="229" spans="1:6" x14ac:dyDescent="0.25">
      <c r="A229" s="13" t="str">
        <f>Bovespa!BO233</f>
        <v>HYPE3</v>
      </c>
      <c r="B229" s="13">
        <v>26.85</v>
      </c>
      <c r="C229" s="13">
        <v>27.7</v>
      </c>
      <c r="D229" s="13">
        <v>27.01</v>
      </c>
      <c r="E229" s="13">
        <v>26.42</v>
      </c>
      <c r="F229" s="13">
        <f ca="1">Bovespa!BN233</f>
        <v>26.26</v>
      </c>
    </row>
    <row r="230" spans="1:6" x14ac:dyDescent="0.25">
      <c r="A230" s="13" t="str">
        <f>Bovespa!BO234</f>
        <v>ENJU3</v>
      </c>
      <c r="B230" s="13">
        <v>1.17</v>
      </c>
      <c r="C230" s="13">
        <v>1.1299999999999999</v>
      </c>
      <c r="D230" s="13">
        <v>1.0900000000000001</v>
      </c>
      <c r="E230" s="13">
        <v>1.02</v>
      </c>
      <c r="F230" s="13">
        <f ca="1">Bovespa!BN234</f>
        <v>1.03</v>
      </c>
    </row>
    <row r="231" spans="1:6" x14ac:dyDescent="0.25">
      <c r="A231" s="13" t="str">
        <f>Bovespa!BO235</f>
        <v>RAIZ4</v>
      </c>
      <c r="B231" s="13">
        <v>1.63</v>
      </c>
      <c r="C231" s="13">
        <v>1.71</v>
      </c>
      <c r="D231" s="13">
        <v>1.54</v>
      </c>
      <c r="E231" s="13">
        <v>1.52</v>
      </c>
      <c r="F231" s="13">
        <f ca="1">Bovespa!BN235</f>
        <v>1.48</v>
      </c>
    </row>
    <row r="232" spans="1:6" x14ac:dyDescent="0.25">
      <c r="A232" s="13" t="str">
        <f>Bovespa!BO236</f>
        <v>BBAS3</v>
      </c>
      <c r="B232" s="13">
        <v>21.73</v>
      </c>
      <c r="C232" s="13">
        <v>22.43</v>
      </c>
      <c r="D232" s="13">
        <v>21.2</v>
      </c>
      <c r="E232" s="13">
        <v>20.260000000000002</v>
      </c>
      <c r="F232" s="13">
        <f ca="1">Bovespa!BN236</f>
        <v>20.239999999999998</v>
      </c>
    </row>
    <row r="233" spans="1:6" x14ac:dyDescent="0.25">
      <c r="A233" s="13" t="str">
        <f>Bovespa!BO237</f>
        <v>EPAR3</v>
      </c>
      <c r="B233" s="13">
        <v>4.9000000000000004</v>
      </c>
      <c r="C233" s="13">
        <v>4.96</v>
      </c>
      <c r="D233" s="13">
        <v>4.9000000000000004</v>
      </c>
      <c r="E233" s="13">
        <v>4.92</v>
      </c>
      <c r="F233" s="13">
        <f ca="1">Bovespa!BN237</f>
        <v>4.54</v>
      </c>
    </row>
    <row r="234" spans="1:6" x14ac:dyDescent="0.25">
      <c r="A234" s="13" t="str">
        <f>Bovespa!BO238</f>
        <v>SYNE3</v>
      </c>
      <c r="B234" s="13">
        <v>6.4</v>
      </c>
      <c r="C234" s="13">
        <v>6.06</v>
      </c>
      <c r="D234" s="13">
        <v>6.04</v>
      </c>
      <c r="E234" s="13">
        <v>6.48</v>
      </c>
      <c r="F234" s="13">
        <f ca="1">Bovespa!BN238</f>
        <v>6.58</v>
      </c>
    </row>
    <row r="235" spans="1:6" x14ac:dyDescent="0.25">
      <c r="A235" s="13" t="str">
        <f>Bovespa!BO239</f>
        <v>MRVE3</v>
      </c>
      <c r="B235" s="13">
        <v>5.92</v>
      </c>
      <c r="C235" s="13">
        <v>6.29</v>
      </c>
      <c r="D235" s="13">
        <v>6.12</v>
      </c>
      <c r="E235" s="13">
        <v>5.95</v>
      </c>
      <c r="F235" s="13">
        <f ca="1">Bovespa!BN239</f>
        <v>6.1</v>
      </c>
    </row>
    <row r="236" spans="1:6" x14ac:dyDescent="0.25">
      <c r="A236" s="13" t="str">
        <f>Bovespa!BO240</f>
        <v>MOVI3</v>
      </c>
      <c r="B236" s="13">
        <v>7.11</v>
      </c>
      <c r="C236" s="13">
        <v>6.84</v>
      </c>
      <c r="D236" s="13">
        <v>6.25</v>
      </c>
      <c r="E236" s="13">
        <v>6.35</v>
      </c>
      <c r="F236" s="13">
        <f ca="1">Bovespa!BN240</f>
        <v>6.37</v>
      </c>
    </row>
    <row r="237" spans="1:6" x14ac:dyDescent="0.25">
      <c r="A237" s="13" t="str">
        <f>Bovespa!BO241</f>
        <v>AZEV4</v>
      </c>
      <c r="B237" s="13">
        <v>0.59</v>
      </c>
      <c r="C237" s="13">
        <v>0.54</v>
      </c>
      <c r="D237" s="13">
        <v>0.64</v>
      </c>
      <c r="E237" s="13">
        <v>0.56000000000000005</v>
      </c>
      <c r="F237" s="13">
        <f ca="1">Bovespa!BN241</f>
        <v>0.55000000000000004</v>
      </c>
    </row>
    <row r="238" spans="1:6" x14ac:dyDescent="0.25">
      <c r="A238" s="13" t="str">
        <f>Bovespa!BO242</f>
        <v>CSNA3</v>
      </c>
      <c r="B238" s="13">
        <v>7.5</v>
      </c>
      <c r="C238" s="13">
        <v>8.2100000000000009</v>
      </c>
      <c r="D238" s="13">
        <v>8.24</v>
      </c>
      <c r="E238" s="13">
        <v>7.82</v>
      </c>
      <c r="F238" s="13">
        <f ca="1">Bovespa!BN242</f>
        <v>8.3699999999999992</v>
      </c>
    </row>
    <row r="239" spans="1:6" x14ac:dyDescent="0.25">
      <c r="A239" s="13" t="str">
        <f>Bovespa!BO243</f>
        <v>CTNM4</v>
      </c>
      <c r="B239" s="13">
        <v>0.86</v>
      </c>
      <c r="C239" s="13">
        <v>0.86</v>
      </c>
      <c r="D239" s="13">
        <v>0.86</v>
      </c>
      <c r="E239" s="13">
        <v>0.86</v>
      </c>
      <c r="F239" s="13">
        <f ca="1">Bovespa!BN243</f>
        <v>0.86</v>
      </c>
    </row>
    <row r="240" spans="1:6" x14ac:dyDescent="0.25">
      <c r="A240" s="13" t="str">
        <f>Bovespa!BO244</f>
        <v>IFCM3</v>
      </c>
      <c r="B240" s="13">
        <v>0.05</v>
      </c>
      <c r="C240" s="13">
        <v>0.05</v>
      </c>
      <c r="D240" s="13">
        <v>0.05</v>
      </c>
      <c r="E240" s="13">
        <v>0.04</v>
      </c>
      <c r="F240" s="13">
        <f ca="1">Bovespa!BN244</f>
        <v>0.04</v>
      </c>
    </row>
    <row r="241" spans="1:6" x14ac:dyDescent="0.25">
      <c r="A241" s="13" t="str">
        <f>Bovespa!BO245</f>
        <v>HAPV3</v>
      </c>
      <c r="B241" s="13">
        <v>36.270000000000003</v>
      </c>
      <c r="C241" s="13">
        <v>35.61</v>
      </c>
      <c r="D241" s="13">
        <v>32.32</v>
      </c>
      <c r="E241" s="13">
        <v>32.19</v>
      </c>
      <c r="F241" s="13">
        <f ca="1">Bovespa!BN245</f>
        <v>32.58</v>
      </c>
    </row>
    <row r="242" spans="1:6" x14ac:dyDescent="0.25">
      <c r="A242" s="13" t="str">
        <f>Bovespa!BO246</f>
        <v>SEQL3</v>
      </c>
      <c r="B242" s="13">
        <v>0.95</v>
      </c>
      <c r="C242" s="13">
        <v>1.1200000000000001</v>
      </c>
      <c r="D242" s="13">
        <v>1.08</v>
      </c>
      <c r="E242" s="13">
        <v>0.96</v>
      </c>
      <c r="F242" s="13">
        <f ca="1">Bovespa!BN246</f>
        <v>0.99</v>
      </c>
    </row>
    <row r="243" spans="1:6" x14ac:dyDescent="0.25">
      <c r="A243" s="13" t="str">
        <f>Bovespa!BO247</f>
        <v>ZAMP3</v>
      </c>
      <c r="B243" s="13">
        <v>3.43</v>
      </c>
      <c r="C243" s="13">
        <v>3.4</v>
      </c>
      <c r="D243" s="13">
        <v>3.38</v>
      </c>
      <c r="E243" s="13">
        <v>3.4</v>
      </c>
      <c r="F243" s="13">
        <f ca="1">Bovespa!BN247</f>
        <v>3.47</v>
      </c>
    </row>
    <row r="244" spans="1:6" x14ac:dyDescent="0.25">
      <c r="A244" s="13" t="str">
        <f>Bovespa!BO248</f>
        <v>INEP4</v>
      </c>
      <c r="B244" s="13">
        <v>1.64</v>
      </c>
      <c r="C244" s="13">
        <v>1.69</v>
      </c>
      <c r="D244" s="13">
        <v>1.65</v>
      </c>
      <c r="E244" s="13">
        <v>1.59</v>
      </c>
      <c r="F244" s="13">
        <f ca="1">Bovespa!BN248</f>
        <v>1.51</v>
      </c>
    </row>
    <row r="245" spans="1:6" x14ac:dyDescent="0.25">
      <c r="A245" s="13" t="str">
        <f>Bovespa!BO249</f>
        <v>OIBR3</v>
      </c>
      <c r="B245" s="13">
        <v>0.64</v>
      </c>
      <c r="C245" s="13">
        <v>0.63</v>
      </c>
      <c r="D245" s="13">
        <v>0.56999999999999995</v>
      </c>
      <c r="E245" s="13">
        <v>0.56999999999999995</v>
      </c>
      <c r="F245" s="13">
        <f ca="1">Bovespa!BN249</f>
        <v>0.5</v>
      </c>
    </row>
    <row r="246" spans="1:6" x14ac:dyDescent="0.25">
      <c r="A246" s="13" t="str">
        <f>Bovespa!BO250</f>
        <v>CSAN3</v>
      </c>
      <c r="B246" s="13">
        <v>6.74</v>
      </c>
      <c r="C246" s="13">
        <v>7.14</v>
      </c>
      <c r="D246" s="13">
        <v>6.38</v>
      </c>
      <c r="E246" s="13">
        <v>5.96</v>
      </c>
      <c r="F246" s="13">
        <f ca="1">Bovespa!BN250</f>
        <v>6.02</v>
      </c>
    </row>
    <row r="247" spans="1:6" x14ac:dyDescent="0.25">
      <c r="A247" s="13" t="str">
        <f>Bovespa!BO251</f>
        <v>BRKM3</v>
      </c>
      <c r="B247" s="13">
        <v>9.5</v>
      </c>
      <c r="C247" s="13">
        <v>9.8000000000000007</v>
      </c>
      <c r="D247" s="13">
        <v>10.02</v>
      </c>
      <c r="E247" s="13">
        <v>9</v>
      </c>
      <c r="F247" s="13">
        <f ca="1">Bovespa!BN251</f>
        <v>9.32</v>
      </c>
    </row>
    <row r="248" spans="1:6" x14ac:dyDescent="0.25">
      <c r="A248" s="13" t="str">
        <f>Bovespa!BO252</f>
        <v>SHOW3</v>
      </c>
      <c r="B248" s="13">
        <v>6.44</v>
      </c>
      <c r="C248" s="13">
        <v>6.74</v>
      </c>
      <c r="D248" s="13">
        <v>6.44</v>
      </c>
      <c r="E248" s="13">
        <v>6.66</v>
      </c>
      <c r="F248" s="13">
        <f ca="1">Bovespa!BN252</f>
        <v>6.43</v>
      </c>
    </row>
    <row r="249" spans="1:6" x14ac:dyDescent="0.25">
      <c r="A249" s="13" t="str">
        <f>Bovespa!BO253</f>
        <v>AZEV3</v>
      </c>
      <c r="B249" s="13">
        <v>0.46</v>
      </c>
      <c r="C249" s="13">
        <v>0.46</v>
      </c>
      <c r="D249" s="13">
        <v>0.61</v>
      </c>
      <c r="E249" s="13">
        <v>0.55000000000000004</v>
      </c>
      <c r="F249" s="13">
        <f ca="1">Bovespa!BN253</f>
        <v>0.52</v>
      </c>
    </row>
    <row r="250" spans="1:6" x14ac:dyDescent="0.25">
      <c r="A250" s="13" t="str">
        <f>Bovespa!BO254</f>
        <v>GOLL4</v>
      </c>
      <c r="B250" s="13">
        <v>118</v>
      </c>
      <c r="C250" s="13">
        <v>151.31</v>
      </c>
      <c r="D250" s="13">
        <v>40.380000000000003</v>
      </c>
      <c r="E250" s="13">
        <v>3.57</v>
      </c>
      <c r="F250" s="13">
        <f ca="1">Bovespa!BN254</f>
        <v>6.8</v>
      </c>
    </row>
    <row r="251" spans="1:6" x14ac:dyDescent="0.25">
      <c r="A251" s="13" t="str">
        <f>Bovespa!BO255</f>
        <v>SEER3</v>
      </c>
      <c r="B251" s="13">
        <v>9.01</v>
      </c>
      <c r="C251" s="13">
        <v>9.42</v>
      </c>
      <c r="D251" s="13">
        <v>8.69</v>
      </c>
      <c r="E251" s="13">
        <v>8.4</v>
      </c>
      <c r="F251" s="13">
        <f ca="1">Bovespa!BN255</f>
        <v>7.96</v>
      </c>
    </row>
    <row r="252" spans="1:6" x14ac:dyDescent="0.25">
      <c r="A252" s="13" t="str">
        <f>Bovespa!BO256</f>
        <v>FESA4</v>
      </c>
      <c r="B252" s="13">
        <v>6.8</v>
      </c>
      <c r="C252" s="13">
        <v>6.94</v>
      </c>
      <c r="D252" s="13">
        <v>6.83</v>
      </c>
      <c r="E252" s="13">
        <v>6.6</v>
      </c>
      <c r="F252" s="13">
        <f ca="1">Bovespa!BN256</f>
        <v>6.73</v>
      </c>
    </row>
    <row r="253" spans="1:6" x14ac:dyDescent="0.25">
      <c r="A253" s="13" t="str">
        <f>Bovespa!BO257</f>
        <v>LJQQ3</v>
      </c>
      <c r="B253" s="13">
        <v>2.54</v>
      </c>
      <c r="C253" s="13">
        <v>2.6</v>
      </c>
      <c r="D253" s="13">
        <v>2.39</v>
      </c>
      <c r="E253" s="13">
        <v>2.37</v>
      </c>
      <c r="F253" s="13">
        <f ca="1">Bovespa!BN257</f>
        <v>2.48</v>
      </c>
    </row>
    <row r="254" spans="1:6" x14ac:dyDescent="0.25">
      <c r="A254" s="13" t="str">
        <f>Bovespa!BO258</f>
        <v>VIVR3</v>
      </c>
      <c r="B254" s="13">
        <v>0.87</v>
      </c>
      <c r="C254" s="13">
        <v>0.88</v>
      </c>
      <c r="D254" s="13">
        <v>0.85</v>
      </c>
      <c r="E254" s="13">
        <v>0.83</v>
      </c>
      <c r="F254" s="13">
        <f ca="1">Bovespa!BN258</f>
        <v>0.82</v>
      </c>
    </row>
    <row r="255" spans="1:6" x14ac:dyDescent="0.25">
      <c r="A255" s="13" t="str">
        <f>Bovespa!BO259</f>
        <v>DASA3</v>
      </c>
      <c r="B255" s="13">
        <v>1.29</v>
      </c>
      <c r="C255" s="13">
        <v>1.37</v>
      </c>
      <c r="D255" s="13">
        <v>1.31</v>
      </c>
      <c r="E255" s="13">
        <v>1.24</v>
      </c>
      <c r="F255" s="13">
        <f ca="1">Bovespa!BN259</f>
        <v>1.24</v>
      </c>
    </row>
    <row r="256" spans="1:6" x14ac:dyDescent="0.25">
      <c r="A256" s="13" t="str">
        <f>Bovespa!BO260</f>
        <v>RSID3</v>
      </c>
      <c r="B256" s="13">
        <v>2.04</v>
      </c>
      <c r="C256" s="13">
        <v>2.06</v>
      </c>
      <c r="D256" s="13">
        <v>2.06</v>
      </c>
      <c r="E256" s="13">
        <v>2.06</v>
      </c>
      <c r="F256" s="13">
        <f ca="1">Bovespa!BN260</f>
        <v>1.99</v>
      </c>
    </row>
    <row r="257" spans="1:6" x14ac:dyDescent="0.25">
      <c r="A257" s="13" t="str">
        <f>Bovespa!BO261</f>
        <v>TCSA3</v>
      </c>
      <c r="B257" s="13">
        <v>1.22</v>
      </c>
      <c r="C257" s="13">
        <v>1.61</v>
      </c>
      <c r="D257" s="13">
        <v>1.94</v>
      </c>
      <c r="E257" s="13">
        <v>1.8</v>
      </c>
      <c r="F257" s="13">
        <f ca="1">Bovespa!BN261</f>
        <v>1.7</v>
      </c>
    </row>
    <row r="258" spans="1:6" x14ac:dyDescent="0.25">
      <c r="A258" s="13" t="str">
        <f>Bovespa!BO262</f>
        <v>AZUL4</v>
      </c>
      <c r="B258" s="13">
        <v>0.94</v>
      </c>
      <c r="C258" s="13">
        <v>0.93</v>
      </c>
      <c r="D258" s="13">
        <v>0.8</v>
      </c>
      <c r="E258" s="13">
        <v>0.63</v>
      </c>
      <c r="F258" s="13">
        <f ca="1">Bovespa!BN262</f>
        <v>0.73</v>
      </c>
    </row>
    <row r="259" spans="1:6" x14ac:dyDescent="0.25">
      <c r="A259" s="13" t="str">
        <f>Bovespa!BO263</f>
        <v>DOTZ3</v>
      </c>
      <c r="B259" s="13">
        <v>7.01</v>
      </c>
      <c r="C259" s="13">
        <v>6.62</v>
      </c>
      <c r="D259" s="13">
        <v>5.16</v>
      </c>
      <c r="E259" s="13">
        <v>4.9800000000000004</v>
      </c>
      <c r="F259" s="13">
        <f ca="1">Bovespa!BN263</f>
        <v>5.04</v>
      </c>
    </row>
    <row r="260" spans="1:6" x14ac:dyDescent="0.25">
      <c r="A260" s="13" t="str">
        <f>Bovespa!BO264</f>
        <v>PMAM3</v>
      </c>
      <c r="B260" s="13">
        <v>1.82</v>
      </c>
      <c r="C260" s="13">
        <v>1.7</v>
      </c>
      <c r="D260" s="13">
        <v>1.67</v>
      </c>
      <c r="E260" s="13">
        <v>1.64</v>
      </c>
      <c r="F260" s="13">
        <f ca="1">Bovespa!BN264</f>
        <v>1.71</v>
      </c>
    </row>
    <row r="261" spans="1:6" x14ac:dyDescent="0.25">
      <c r="A261" s="13" t="str">
        <f>Bovespa!BO265</f>
        <v>VSTE3</v>
      </c>
      <c r="B261" s="13">
        <v>6.07</v>
      </c>
      <c r="C261" s="13">
        <v>6.07</v>
      </c>
      <c r="D261" s="13">
        <v>6.07</v>
      </c>
      <c r="E261" s="13">
        <v>6.03</v>
      </c>
      <c r="F261" s="13">
        <f ca="1">Bovespa!BN265</f>
        <v>5.98</v>
      </c>
    </row>
    <row r="262" spans="1:6" x14ac:dyDescent="0.25">
      <c r="A262" s="13" t="str">
        <f>Bovespa!BO266</f>
        <v>MGEL4</v>
      </c>
      <c r="B262" s="13">
        <v>4.03</v>
      </c>
      <c r="C262" s="13">
        <v>3.99</v>
      </c>
      <c r="D262" s="13">
        <v>4.05</v>
      </c>
      <c r="E262" s="13">
        <v>4.0199999999999996</v>
      </c>
      <c r="F262" s="13">
        <f ca="1">Bovespa!BN266</f>
        <v>4.05</v>
      </c>
    </row>
    <row r="263" spans="1:6" x14ac:dyDescent="0.25">
      <c r="A263" s="13" t="str">
        <f>Bovespa!BO267</f>
        <v>RCSL3</v>
      </c>
      <c r="B263" s="13">
        <v>2.33</v>
      </c>
      <c r="C263" s="13">
        <v>2.2999999999999998</v>
      </c>
      <c r="D263" s="13">
        <v>2.12</v>
      </c>
      <c r="E263" s="13">
        <v>2.0299999999999998</v>
      </c>
      <c r="F263" s="13">
        <f ca="1">Bovespa!BN267</f>
        <v>1.99</v>
      </c>
    </row>
    <row r="264" spans="1:6" x14ac:dyDescent="0.25">
      <c r="A264" s="13" t="str">
        <f>Bovespa!BO268</f>
        <v>ARML3</v>
      </c>
      <c r="B264" s="13">
        <v>3.64</v>
      </c>
      <c r="C264" s="13">
        <v>3.76</v>
      </c>
      <c r="D264" s="13">
        <v>4.03</v>
      </c>
      <c r="E264" s="13">
        <v>3.92</v>
      </c>
      <c r="F264" s="13">
        <f ca="1">Bovespa!BN268</f>
        <v>3.87</v>
      </c>
    </row>
    <row r="265" spans="1:6" x14ac:dyDescent="0.25">
      <c r="A265" s="13" t="str">
        <f>Bovespa!BO269</f>
        <v>ATMP3</v>
      </c>
      <c r="B265" s="13">
        <v>1.17</v>
      </c>
      <c r="C265" s="13">
        <v>1.19</v>
      </c>
      <c r="D265" s="13">
        <v>1.1200000000000001</v>
      </c>
      <c r="E265" s="13">
        <v>1.1200000000000001</v>
      </c>
      <c r="F265" s="13">
        <f ca="1">Bovespa!BN269</f>
        <v>1.05</v>
      </c>
    </row>
    <row r="266" spans="1:6" x14ac:dyDescent="0.25">
      <c r="A266" s="13" t="str">
        <f>Bovespa!BO270</f>
        <v>CIEL3</v>
      </c>
      <c r="B266" s="13" t="e" vm="152">
        <v>#VALUE!</v>
      </c>
      <c r="C266" s="13" t="e" vm="272">
        <v>#VALUE!</v>
      </c>
      <c r="D266" s="13" t="e" vm="272">
        <v>#VALUE!</v>
      </c>
      <c r="E266" s="13" t="e" vm="272">
        <v>#VALUE!</v>
      </c>
      <c r="F266" s="13" t="e" vm="152">
        <f>Bovespa!BN270</f>
        <v>#VALUE!</v>
      </c>
    </row>
    <row r="267" spans="1:6" x14ac:dyDescent="0.25">
      <c r="A267" s="13" t="str">
        <f>Bovespa!BO271</f>
        <v>TAEE3</v>
      </c>
      <c r="B267" s="13">
        <v>11.44</v>
      </c>
      <c r="C267" s="13">
        <v>11.62</v>
      </c>
      <c r="D267" s="13">
        <v>11.3</v>
      </c>
      <c r="E267" s="13">
        <v>11.17</v>
      </c>
      <c r="F267" s="13">
        <f ca="1">Bovespa!BN271</f>
        <v>11.05</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G7"/>
  <sheetViews>
    <sheetView workbookViewId="0">
      <selection activeCell="B1" sqref="B1:B1048576"/>
    </sheetView>
  </sheetViews>
  <sheetFormatPr defaultRowHeight="15" x14ac:dyDescent="0.25"/>
  <cols>
    <col min="2" max="3" width="11" bestFit="1" customWidth="1"/>
    <col min="4" max="6" width="10.7109375" bestFit="1" customWidth="1"/>
    <col min="7" max="7" width="14.140625" bestFit="1" customWidth="1"/>
  </cols>
  <sheetData>
    <row r="1" spans="1:7" x14ac:dyDescent="0.25">
      <c r="A1" t="s">
        <v>475</v>
      </c>
      <c r="B1" s="79">
        <v>45836</v>
      </c>
      <c r="C1" s="79">
        <v>45843</v>
      </c>
      <c r="D1" s="79">
        <v>45850</v>
      </c>
      <c r="E1" s="79">
        <v>45857</v>
      </c>
      <c r="F1" s="79">
        <v>45864</v>
      </c>
    </row>
    <row r="2" spans="1:7" ht="16.5" x14ac:dyDescent="0.3">
      <c r="A2" t="s">
        <v>505</v>
      </c>
      <c r="B2" s="90">
        <v>107100</v>
      </c>
      <c r="C2" s="90">
        <v>108200</v>
      </c>
      <c r="D2" s="90">
        <v>117516.99</v>
      </c>
      <c r="E2" s="94" t="s">
        <v>753</v>
      </c>
      <c r="F2" s="94" t="s">
        <v>914</v>
      </c>
    </row>
    <row r="3" spans="1:7" ht="16.5" x14ac:dyDescent="0.3">
      <c r="A3" t="s">
        <v>506</v>
      </c>
      <c r="B3" s="90">
        <v>2423.87</v>
      </c>
      <c r="C3" s="90">
        <v>2508.52</v>
      </c>
      <c r="D3" s="90">
        <v>2957.88</v>
      </c>
      <c r="E3" s="94" t="s">
        <v>754</v>
      </c>
      <c r="F3" s="94" t="s">
        <v>915</v>
      </c>
    </row>
    <row r="4" spans="1:7" ht="16.5" x14ac:dyDescent="0.3">
      <c r="A4" t="s">
        <v>581</v>
      </c>
      <c r="B4" s="90">
        <v>150.72300000000001</v>
      </c>
      <c r="C4" s="90">
        <v>147.56</v>
      </c>
      <c r="D4" s="90">
        <v>162.88</v>
      </c>
      <c r="E4" s="94" t="s">
        <v>755</v>
      </c>
      <c r="F4" s="94" t="s">
        <v>916</v>
      </c>
    </row>
    <row r="5" spans="1:7" ht="16.5" x14ac:dyDescent="0.3">
      <c r="A5" t="s">
        <v>657</v>
      </c>
      <c r="B5" s="90">
        <v>648.4</v>
      </c>
      <c r="C5" s="90">
        <v>656</v>
      </c>
      <c r="D5" s="90">
        <v>685.7</v>
      </c>
      <c r="E5" s="94" t="s">
        <v>756</v>
      </c>
      <c r="F5" s="94" t="s">
        <v>917</v>
      </c>
      <c r="G5" s="90"/>
    </row>
    <row r="6" spans="1:7" ht="16.5" x14ac:dyDescent="0.3">
      <c r="A6" t="s">
        <v>658</v>
      </c>
      <c r="B6" s="90">
        <v>0.56540000000000001</v>
      </c>
      <c r="C6" s="90">
        <v>0.57550000000000001</v>
      </c>
      <c r="D6" s="90">
        <v>0.70860000000000001</v>
      </c>
      <c r="E6" s="94" t="s">
        <v>757</v>
      </c>
      <c r="F6" s="94" t="s">
        <v>918</v>
      </c>
    </row>
    <row r="7" spans="1:7" ht="16.5" x14ac:dyDescent="0.3">
      <c r="A7" t="s">
        <v>659</v>
      </c>
      <c r="B7" s="90">
        <v>2.1857000000000002</v>
      </c>
      <c r="C7" s="90">
        <v>2.2179000000000002</v>
      </c>
      <c r="D7" s="90">
        <v>2.7376</v>
      </c>
      <c r="E7" s="94" t="s">
        <v>758</v>
      </c>
      <c r="F7" s="94" t="s">
        <v>919</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8F51-9E3C-4B7A-9EA0-7A545BDC3835}">
  <dimension ref="A1:F79"/>
  <sheetViews>
    <sheetView workbookViewId="0">
      <selection activeCell="B1" sqref="B1:B1048576"/>
    </sheetView>
  </sheetViews>
  <sheetFormatPr defaultRowHeight="15" x14ac:dyDescent="0.25"/>
  <cols>
    <col min="1" max="1" width="10.5703125" customWidth="1"/>
    <col min="2" max="6" width="10.7109375" bestFit="1" customWidth="1"/>
  </cols>
  <sheetData>
    <row r="1" spans="1:6" x14ac:dyDescent="0.25">
      <c r="A1" t="s">
        <v>475</v>
      </c>
      <c r="B1" s="79">
        <v>45836</v>
      </c>
      <c r="C1" s="79">
        <v>45843</v>
      </c>
      <c r="D1" s="79">
        <v>45850</v>
      </c>
      <c r="E1" s="79">
        <v>45857</v>
      </c>
      <c r="F1" s="79">
        <v>45864</v>
      </c>
    </row>
    <row r="2" spans="1:6" ht="16.5" x14ac:dyDescent="0.3">
      <c r="A2" t="s">
        <v>670</v>
      </c>
      <c r="B2" s="90">
        <v>16.58868408203125</v>
      </c>
      <c r="C2" s="90">
        <v>15.75127601623535</v>
      </c>
      <c r="D2" s="90">
        <v>17.127019882202148</v>
      </c>
      <c r="E2" s="94" t="s">
        <v>759</v>
      </c>
      <c r="F2" s="94" t="s">
        <v>920</v>
      </c>
    </row>
    <row r="3" spans="1:6" ht="16.5" x14ac:dyDescent="0.3">
      <c r="A3" t="s">
        <v>699</v>
      </c>
      <c r="B3" s="90">
        <v>49.549999237060547</v>
      </c>
      <c r="C3" s="90">
        <v>50.5</v>
      </c>
      <c r="D3" s="90">
        <v>51.560001373291023</v>
      </c>
      <c r="E3" s="94" t="s">
        <v>760</v>
      </c>
      <c r="F3" s="94" t="s">
        <v>921</v>
      </c>
    </row>
    <row r="4" spans="1:6" ht="16.5" x14ac:dyDescent="0.3">
      <c r="A4" t="s">
        <v>715</v>
      </c>
      <c r="B4" s="90">
        <v>632.95001220703125</v>
      </c>
      <c r="C4" s="90">
        <v>642.1199951171875</v>
      </c>
      <c r="D4" s="90">
        <v>642.1199951171875</v>
      </c>
      <c r="E4" s="94" t="s">
        <v>761</v>
      </c>
      <c r="F4" s="94" t="s">
        <v>922</v>
      </c>
    </row>
    <row r="5" spans="1:6" ht="16.5" x14ac:dyDescent="0.3">
      <c r="A5" t="s">
        <v>730</v>
      </c>
      <c r="B5" s="90">
        <v>294.60000610351563</v>
      </c>
      <c r="C5" s="90">
        <v>285.07000732421881</v>
      </c>
      <c r="D5" s="90">
        <v>296.510009765625</v>
      </c>
      <c r="E5" s="94" t="s">
        <v>762</v>
      </c>
      <c r="F5" s="94" t="s">
        <v>923</v>
      </c>
    </row>
    <row r="6" spans="1:6" ht="16.5" x14ac:dyDescent="0.3">
      <c r="A6" t="s">
        <v>702</v>
      </c>
      <c r="B6" s="90">
        <v>271.35000610351563</v>
      </c>
      <c r="C6" s="90">
        <v>271.35000610351563</v>
      </c>
      <c r="D6" s="90">
        <v>271.35000610351563</v>
      </c>
      <c r="E6" s="94" t="s">
        <v>763</v>
      </c>
      <c r="F6" s="94" t="s">
        <v>763</v>
      </c>
    </row>
    <row r="7" spans="1:6" ht="16.5" x14ac:dyDescent="0.3">
      <c r="A7" t="s">
        <v>672</v>
      </c>
      <c r="B7" s="90">
        <v>37.080001831054688</v>
      </c>
      <c r="C7" s="90">
        <v>39.479999542236328</v>
      </c>
      <c r="D7" s="90">
        <v>39.720001220703118</v>
      </c>
      <c r="E7" s="94" t="s">
        <v>764</v>
      </c>
      <c r="F7" s="94" t="s">
        <v>924</v>
      </c>
    </row>
    <row r="8" spans="1:6" ht="16.5" x14ac:dyDescent="0.3">
      <c r="A8" t="s">
        <v>688</v>
      </c>
      <c r="B8" s="90">
        <v>359.6400146484375</v>
      </c>
      <c r="C8" s="90">
        <v>359.6400146484375</v>
      </c>
      <c r="D8" s="90">
        <v>335.20001220703119</v>
      </c>
      <c r="E8" s="94" t="s">
        <v>765</v>
      </c>
      <c r="F8" s="94" t="s">
        <v>765</v>
      </c>
    </row>
    <row r="9" spans="1:6" ht="16.5" x14ac:dyDescent="0.3">
      <c r="A9" t="s">
        <v>704</v>
      </c>
      <c r="B9" s="90">
        <v>277.48001098632813</v>
      </c>
      <c r="C9" s="90">
        <v>279.45001220703119</v>
      </c>
      <c r="D9" s="90">
        <v>280.82998657226563</v>
      </c>
      <c r="E9" s="94" t="s">
        <v>766</v>
      </c>
      <c r="F9" s="94" t="s">
        <v>925</v>
      </c>
    </row>
    <row r="10" spans="1:6" ht="16.5" x14ac:dyDescent="0.3">
      <c r="A10" t="s">
        <v>673</v>
      </c>
      <c r="B10" s="90">
        <v>58.200000762939453</v>
      </c>
      <c r="C10" s="90">
        <v>59.279998779296882</v>
      </c>
      <c r="D10" s="90">
        <v>61.409999847412109</v>
      </c>
      <c r="E10" s="94" t="s">
        <v>767</v>
      </c>
      <c r="F10" s="94" t="s">
        <v>926</v>
      </c>
    </row>
    <row r="11" spans="1:6" ht="16.5" x14ac:dyDescent="0.3">
      <c r="A11" t="s">
        <v>674</v>
      </c>
      <c r="B11" s="90">
        <v>572</v>
      </c>
      <c r="C11" s="90">
        <v>572</v>
      </c>
      <c r="D11" s="90">
        <v>561.1199951171875</v>
      </c>
      <c r="E11" s="94" t="s">
        <v>768</v>
      </c>
      <c r="F11" s="94" t="s">
        <v>927</v>
      </c>
    </row>
    <row r="12" spans="1:6" ht="16.5" x14ac:dyDescent="0.3">
      <c r="A12" t="s">
        <v>675</v>
      </c>
      <c r="B12" s="90">
        <v>317.0799560546875</v>
      </c>
      <c r="C12" s="90">
        <v>331.25894165039063</v>
      </c>
      <c r="D12" s="90">
        <v>331.20001220703119</v>
      </c>
      <c r="E12" s="94" t="s">
        <v>769</v>
      </c>
      <c r="F12" s="94" t="s">
        <v>769</v>
      </c>
    </row>
    <row r="13" spans="1:6" ht="16.5" x14ac:dyDescent="0.3">
      <c r="A13" t="s">
        <v>686</v>
      </c>
      <c r="B13" s="90">
        <v>382.75</v>
      </c>
      <c r="C13" s="90">
        <v>382.75</v>
      </c>
      <c r="D13" s="90">
        <v>382.75</v>
      </c>
      <c r="E13" s="94" t="s">
        <v>770</v>
      </c>
      <c r="F13" s="94" t="s">
        <v>770</v>
      </c>
    </row>
    <row r="14" spans="1:6" ht="16.5" x14ac:dyDescent="0.3">
      <c r="A14" t="s">
        <v>724</v>
      </c>
      <c r="B14" s="90">
        <v>46.650001525878913</v>
      </c>
      <c r="C14" s="90">
        <v>47.799999237060547</v>
      </c>
      <c r="D14" s="90">
        <v>48.209999084472663</v>
      </c>
      <c r="E14" s="94" t="s">
        <v>771</v>
      </c>
      <c r="F14" s="94" t="s">
        <v>928</v>
      </c>
    </row>
    <row r="15" spans="1:6" ht="16.5" x14ac:dyDescent="0.3">
      <c r="A15" t="s">
        <v>737</v>
      </c>
      <c r="B15" s="90">
        <v>878.70001220703125</v>
      </c>
      <c r="C15" s="90">
        <v>903.3499755859375</v>
      </c>
      <c r="D15" s="90">
        <v>869.46002197265625</v>
      </c>
      <c r="E15" s="94" t="s">
        <v>772</v>
      </c>
      <c r="F15" s="94" t="s">
        <v>929</v>
      </c>
    </row>
    <row r="16" spans="1:6" ht="16.5" x14ac:dyDescent="0.3">
      <c r="A16" t="s">
        <v>678</v>
      </c>
      <c r="B16" s="90">
        <v>36</v>
      </c>
      <c r="C16" s="90">
        <v>36.900001525878913</v>
      </c>
      <c r="D16" s="90">
        <v>35.439998626708977</v>
      </c>
      <c r="E16" s="94" t="s">
        <v>773</v>
      </c>
      <c r="F16" s="94" t="s">
        <v>930</v>
      </c>
    </row>
    <row r="17" spans="1:6" ht="16.5" x14ac:dyDescent="0.3">
      <c r="A17" t="s">
        <v>681</v>
      </c>
      <c r="B17" s="90">
        <v>13.10000038146973</v>
      </c>
      <c r="C17" s="90">
        <v>14.689999580383301</v>
      </c>
      <c r="D17" s="90">
        <v>15.05000019073486</v>
      </c>
      <c r="E17" s="94" t="s">
        <v>774</v>
      </c>
      <c r="F17" s="94" t="s">
        <v>931</v>
      </c>
    </row>
    <row r="18" spans="1:6" ht="16.5" x14ac:dyDescent="0.3">
      <c r="A18" t="s">
        <v>685</v>
      </c>
      <c r="B18" s="90">
        <v>242.97999572753909</v>
      </c>
      <c r="C18" s="90">
        <v>252.74000549316409</v>
      </c>
      <c r="D18" s="90">
        <v>255.8800048828125</v>
      </c>
      <c r="E18" s="94" t="s">
        <v>775</v>
      </c>
      <c r="F18" s="94" t="s">
        <v>932</v>
      </c>
    </row>
    <row r="19" spans="1:6" ht="16.5" x14ac:dyDescent="0.3">
      <c r="A19" t="s">
        <v>680</v>
      </c>
      <c r="B19" s="90">
        <v>266.760009765625</v>
      </c>
      <c r="C19" s="90">
        <v>268.42999267578119</v>
      </c>
      <c r="D19" s="90">
        <v>269.45999145507813</v>
      </c>
      <c r="E19" s="94" t="s">
        <v>776</v>
      </c>
      <c r="F19" s="94" t="s">
        <v>776</v>
      </c>
    </row>
    <row r="20" spans="1:6" ht="16.5" x14ac:dyDescent="0.3">
      <c r="A20" t="s">
        <v>691</v>
      </c>
      <c r="B20" s="90">
        <v>85.739997863769531</v>
      </c>
      <c r="C20" s="90">
        <v>85.739997863769531</v>
      </c>
      <c r="D20" s="90">
        <v>85.739997863769531</v>
      </c>
      <c r="E20" s="94" t="s">
        <v>777</v>
      </c>
      <c r="F20" s="94" t="s">
        <v>933</v>
      </c>
    </row>
    <row r="21" spans="1:6" ht="16.5" x14ac:dyDescent="0.3">
      <c r="A21" t="s">
        <v>671</v>
      </c>
      <c r="B21" s="90">
        <v>88.400001525878906</v>
      </c>
      <c r="C21" s="90">
        <v>99</v>
      </c>
      <c r="D21" s="90">
        <v>91.529998779296875</v>
      </c>
      <c r="E21" s="94" t="s">
        <v>778</v>
      </c>
      <c r="F21" s="94" t="s">
        <v>934</v>
      </c>
    </row>
    <row r="22" spans="1:6" ht="16.5" x14ac:dyDescent="0.3">
      <c r="A22" t="s">
        <v>711</v>
      </c>
      <c r="B22" s="90">
        <v>40.939998626708977</v>
      </c>
      <c r="C22" s="90">
        <v>41.319999694824219</v>
      </c>
      <c r="D22" s="90">
        <v>41.319999694824219</v>
      </c>
      <c r="E22" s="94" t="s">
        <v>779</v>
      </c>
      <c r="F22" s="94" t="s">
        <v>935</v>
      </c>
    </row>
    <row r="23" spans="1:6" ht="16.5" x14ac:dyDescent="0.3">
      <c r="A23" t="s">
        <v>709</v>
      </c>
      <c r="B23" s="90">
        <v>703.32000732421875</v>
      </c>
      <c r="C23" s="90">
        <v>726.27001953125</v>
      </c>
      <c r="D23" s="90">
        <v>737.29998779296875</v>
      </c>
      <c r="E23" s="94" t="s">
        <v>780</v>
      </c>
      <c r="F23" s="94" t="s">
        <v>936</v>
      </c>
    </row>
    <row r="24" spans="1:6" ht="16.5" x14ac:dyDescent="0.3">
      <c r="A24" t="s">
        <v>726</v>
      </c>
      <c r="B24" s="90">
        <v>94.160003662109375</v>
      </c>
      <c r="C24" s="90">
        <v>102.63999938964839</v>
      </c>
      <c r="D24" s="90">
        <v>105.7900009155273</v>
      </c>
      <c r="E24" s="94" t="s">
        <v>781</v>
      </c>
      <c r="F24" s="94" t="s">
        <v>910</v>
      </c>
    </row>
    <row r="25" spans="1:6" ht="16.5" x14ac:dyDescent="0.3">
      <c r="A25" t="s">
        <v>733</v>
      </c>
      <c r="B25" s="90">
        <v>119.4700012207031</v>
      </c>
      <c r="C25" s="90">
        <v>141</v>
      </c>
      <c r="D25" s="90">
        <v>136.08000183105469</v>
      </c>
      <c r="E25" s="94" t="s">
        <v>782</v>
      </c>
      <c r="F25" s="94" t="s">
        <v>937</v>
      </c>
    </row>
    <row r="26" spans="1:6" ht="16.5" x14ac:dyDescent="0.3">
      <c r="A26" t="s">
        <v>720</v>
      </c>
      <c r="B26" s="90">
        <v>-47.188343048095703</v>
      </c>
      <c r="C26" s="90">
        <v>-47.188343048095703</v>
      </c>
      <c r="D26" s="90">
        <v>-47.188343048095703</v>
      </c>
      <c r="E26" s="94" t="s">
        <v>783</v>
      </c>
      <c r="F26" s="94" t="s">
        <v>783</v>
      </c>
    </row>
    <row r="27" spans="1:6" ht="16.5" x14ac:dyDescent="0.3">
      <c r="A27" t="s">
        <v>722</v>
      </c>
      <c r="B27" s="90">
        <v>490</v>
      </c>
      <c r="C27" s="90">
        <v>487</v>
      </c>
      <c r="D27" s="90">
        <v>475.30999755859381</v>
      </c>
      <c r="E27" s="94" t="s">
        <v>784</v>
      </c>
      <c r="F27" s="94" t="s">
        <v>784</v>
      </c>
    </row>
    <row r="28" spans="1:6" ht="16.5" x14ac:dyDescent="0.3">
      <c r="A28" t="s">
        <v>721</v>
      </c>
      <c r="B28" s="90">
        <v>350</v>
      </c>
      <c r="C28" s="90">
        <v>350</v>
      </c>
      <c r="D28" s="90">
        <v>350</v>
      </c>
      <c r="E28" s="94" t="s">
        <v>785</v>
      </c>
      <c r="F28" s="94" t="s">
        <v>785</v>
      </c>
    </row>
    <row r="29" spans="1:6" ht="16.5" x14ac:dyDescent="0.3">
      <c r="A29" t="s">
        <v>723</v>
      </c>
      <c r="B29" s="90">
        <v>112.40000152587891</v>
      </c>
      <c r="C29" s="90">
        <v>100.8000030517578</v>
      </c>
      <c r="D29" s="90">
        <v>106.0299987792969</v>
      </c>
      <c r="E29" s="94" t="s">
        <v>786</v>
      </c>
      <c r="F29" s="94" t="s">
        <v>938</v>
      </c>
    </row>
    <row r="30" spans="1:6" ht="16.5" x14ac:dyDescent="0.3">
      <c r="A30" t="s">
        <v>676</v>
      </c>
      <c r="B30" s="90"/>
      <c r="C30" s="90">
        <v>385.50357055664063</v>
      </c>
      <c r="D30" s="90">
        <v>389.51998901367188</v>
      </c>
      <c r="E30" s="94" t="s">
        <v>787</v>
      </c>
      <c r="F30" s="94" t="s">
        <v>939</v>
      </c>
    </row>
    <row r="31" spans="1:6" ht="16.5" x14ac:dyDescent="0.3">
      <c r="A31" t="s">
        <v>713</v>
      </c>
      <c r="B31" s="90">
        <v>255.6000061035156</v>
      </c>
      <c r="C31" s="90">
        <v>266.22000122070313</v>
      </c>
      <c r="D31" s="90">
        <v>270.54000854492188</v>
      </c>
      <c r="E31" s="94" t="s">
        <v>788</v>
      </c>
      <c r="F31" s="94" t="s">
        <v>940</v>
      </c>
    </row>
    <row r="32" spans="1:6" ht="16.5" x14ac:dyDescent="0.3">
      <c r="A32" t="s">
        <v>683</v>
      </c>
      <c r="B32" s="90">
        <v>98.229454040527344</v>
      </c>
      <c r="C32" s="90">
        <v>95.510002136230469</v>
      </c>
      <c r="D32" s="90">
        <v>105</v>
      </c>
      <c r="E32" s="94" t="s">
        <v>789</v>
      </c>
      <c r="F32" s="94" t="s">
        <v>941</v>
      </c>
    </row>
    <row r="33" spans="1:6" ht="16.5" x14ac:dyDescent="0.3">
      <c r="A33" t="s">
        <v>732</v>
      </c>
      <c r="B33" s="90">
        <v>126.09999847412109</v>
      </c>
      <c r="C33" s="90">
        <v>125.7600021362305</v>
      </c>
      <c r="D33" s="90">
        <v>116.879997253418</v>
      </c>
      <c r="E33" s="94" t="s">
        <v>790</v>
      </c>
      <c r="F33" s="94" t="s">
        <v>942</v>
      </c>
    </row>
    <row r="34" spans="1:6" ht="16.5" x14ac:dyDescent="0.3">
      <c r="A34" t="s">
        <v>738</v>
      </c>
      <c r="B34" s="90">
        <v>63.799999237060547</v>
      </c>
      <c r="C34" s="90">
        <v>63.200000762939453</v>
      </c>
      <c r="D34" s="90">
        <v>63.200000762939453</v>
      </c>
      <c r="E34" s="94" t="s">
        <v>791</v>
      </c>
      <c r="F34" s="94" t="s">
        <v>791</v>
      </c>
    </row>
    <row r="35" spans="1:6" ht="16.5" x14ac:dyDescent="0.3">
      <c r="A35" t="s">
        <v>740</v>
      </c>
      <c r="B35" s="90">
        <v>276.3699951171875</v>
      </c>
      <c r="C35" s="90">
        <v>276.3699951171875</v>
      </c>
      <c r="D35" s="90">
        <v>264.16000366210938</v>
      </c>
      <c r="E35" s="94" t="s">
        <v>792</v>
      </c>
      <c r="F35" s="94" t="s">
        <v>792</v>
      </c>
    </row>
    <row r="36" spans="1:6" ht="16.5" x14ac:dyDescent="0.3">
      <c r="A36" t="s">
        <v>746</v>
      </c>
      <c r="B36" s="90">
        <v>14.159999847412109</v>
      </c>
      <c r="C36" s="90">
        <v>14.19999980926514</v>
      </c>
      <c r="D36" s="90">
        <v>14.19999980926514</v>
      </c>
      <c r="E36" s="94" t="s">
        <v>793</v>
      </c>
      <c r="F36" s="94" t="s">
        <v>943</v>
      </c>
    </row>
    <row r="37" spans="1:6" ht="16.5" x14ac:dyDescent="0.3">
      <c r="A37" t="s">
        <v>744</v>
      </c>
      <c r="B37" s="90">
        <v>444.42001342773438</v>
      </c>
      <c r="C37" s="90">
        <v>444.42001342773438</v>
      </c>
      <c r="D37" s="90">
        <v>417.89999389648438</v>
      </c>
      <c r="E37" s="94" t="s">
        <v>794</v>
      </c>
      <c r="F37" s="94" t="s">
        <v>794</v>
      </c>
    </row>
    <row r="38" spans="1:6" ht="16.5" x14ac:dyDescent="0.3">
      <c r="A38" t="s">
        <v>690</v>
      </c>
      <c r="B38" s="90">
        <v>45.900001525878913</v>
      </c>
      <c r="C38" s="90">
        <v>45.950000762939453</v>
      </c>
      <c r="D38" s="90">
        <v>44.799999237060547</v>
      </c>
      <c r="E38" s="94" t="s">
        <v>795</v>
      </c>
      <c r="F38" s="94" t="s">
        <v>795</v>
      </c>
    </row>
    <row r="39" spans="1:6" ht="16.5" x14ac:dyDescent="0.3">
      <c r="A39" t="s">
        <v>745</v>
      </c>
      <c r="B39" s="90">
        <v>410</v>
      </c>
      <c r="C39" s="90">
        <v>420.42001342773438</v>
      </c>
      <c r="D39" s="90">
        <v>419.3800048828125</v>
      </c>
      <c r="E39" s="94" t="s">
        <v>796</v>
      </c>
      <c r="F39" s="94" t="s">
        <v>944</v>
      </c>
    </row>
    <row r="40" spans="1:6" ht="16.5" x14ac:dyDescent="0.3">
      <c r="A40" t="s">
        <v>749</v>
      </c>
      <c r="B40" s="90">
        <v>281.597900390625</v>
      </c>
      <c r="C40" s="90">
        <v>278.60000610351563</v>
      </c>
      <c r="D40" s="90">
        <v>271.05999755859381</v>
      </c>
      <c r="E40" s="94" t="s">
        <v>797</v>
      </c>
      <c r="F40" s="94" t="s">
        <v>945</v>
      </c>
    </row>
    <row r="41" spans="1:6" ht="16.5" x14ac:dyDescent="0.3">
      <c r="A41" t="s">
        <v>750</v>
      </c>
      <c r="B41" s="90">
        <v>531.80999755859375</v>
      </c>
      <c r="C41" s="90">
        <v>531.80999755859375</v>
      </c>
      <c r="D41" s="90">
        <v>531.80999755859375</v>
      </c>
      <c r="E41" s="94" t="s">
        <v>798</v>
      </c>
      <c r="F41" s="94" t="s">
        <v>798</v>
      </c>
    </row>
    <row r="42" spans="1:6" ht="16.5" x14ac:dyDescent="0.3">
      <c r="A42" t="s">
        <v>708</v>
      </c>
      <c r="B42" s="90">
        <v>193.61000061035159</v>
      </c>
      <c r="C42" s="90">
        <v>190</v>
      </c>
      <c r="D42" s="90">
        <v>188.86000061035159</v>
      </c>
      <c r="E42" s="94" t="s">
        <v>799</v>
      </c>
      <c r="F42" s="94" t="s">
        <v>946</v>
      </c>
    </row>
    <row r="43" spans="1:6" ht="16.5" x14ac:dyDescent="0.3">
      <c r="A43" t="s">
        <v>741</v>
      </c>
      <c r="B43" s="90">
        <v>64.260002136230469</v>
      </c>
      <c r="C43" s="90">
        <v>63.720001220703118</v>
      </c>
      <c r="D43" s="90">
        <v>64.089996337890625</v>
      </c>
      <c r="E43" s="94" t="s">
        <v>800</v>
      </c>
      <c r="F43" s="94" t="s">
        <v>947</v>
      </c>
    </row>
    <row r="44" spans="1:6" ht="16.5" x14ac:dyDescent="0.3">
      <c r="A44" t="s">
        <v>697</v>
      </c>
      <c r="B44" s="90">
        <v>11.409999847412109</v>
      </c>
      <c r="C44" s="90">
        <v>12.13000011444092</v>
      </c>
      <c r="D44" s="90">
        <v>12.13000011444092</v>
      </c>
      <c r="E44" s="94" t="s">
        <v>801</v>
      </c>
      <c r="F44" s="94" t="s">
        <v>807</v>
      </c>
    </row>
    <row r="45" spans="1:6" ht="16.5" x14ac:dyDescent="0.3">
      <c r="A45" t="s">
        <v>731</v>
      </c>
      <c r="B45" s="90">
        <v>91.620002746582031</v>
      </c>
      <c r="C45" s="90">
        <v>95.339996337890625</v>
      </c>
      <c r="D45" s="90">
        <v>97</v>
      </c>
      <c r="E45" s="94" t="s">
        <v>802</v>
      </c>
      <c r="F45" s="94" t="s">
        <v>948</v>
      </c>
    </row>
    <row r="46" spans="1:6" ht="16.5" x14ac:dyDescent="0.3">
      <c r="A46" t="s">
        <v>736</v>
      </c>
      <c r="B46" s="90">
        <v>11.510000228881839</v>
      </c>
      <c r="C46" s="90">
        <v>11.510000228881839</v>
      </c>
      <c r="D46" s="90">
        <v>11.39999961853027</v>
      </c>
      <c r="E46" s="94" t="s">
        <v>803</v>
      </c>
      <c r="F46" s="94" t="s">
        <v>949</v>
      </c>
    </row>
    <row r="47" spans="1:6" ht="16.5" x14ac:dyDescent="0.3">
      <c r="A47" t="s">
        <v>735</v>
      </c>
      <c r="B47" s="90">
        <v>45.5</v>
      </c>
      <c r="C47" s="90">
        <v>47.25</v>
      </c>
      <c r="D47" s="90">
        <v>46.650001525878913</v>
      </c>
      <c r="E47" s="94" t="s">
        <v>804</v>
      </c>
      <c r="F47" s="94" t="s">
        <v>950</v>
      </c>
    </row>
    <row r="48" spans="1:6" ht="16.5" x14ac:dyDescent="0.3">
      <c r="A48" t="s">
        <v>665</v>
      </c>
      <c r="B48" s="90">
        <v>62.080001831054688</v>
      </c>
      <c r="C48" s="90">
        <v>62.080001831054688</v>
      </c>
      <c r="D48" s="90">
        <v>63.229999542236328</v>
      </c>
      <c r="E48" s="94" t="s">
        <v>805</v>
      </c>
      <c r="F48" s="94" t="s">
        <v>805</v>
      </c>
    </row>
    <row r="49" spans="1:6" ht="16.5" x14ac:dyDescent="0.3">
      <c r="A49" t="s">
        <v>751</v>
      </c>
      <c r="B49" s="90">
        <v>238.32000732421881</v>
      </c>
      <c r="C49" s="90">
        <v>248.69999694824219</v>
      </c>
      <c r="D49" s="90">
        <v>236.53999328613281</v>
      </c>
      <c r="E49" s="94" t="s">
        <v>806</v>
      </c>
      <c r="F49" s="94" t="s">
        <v>951</v>
      </c>
    </row>
    <row r="50" spans="1:6" ht="16.5" x14ac:dyDescent="0.3">
      <c r="A50" t="s">
        <v>752</v>
      </c>
      <c r="B50" s="90">
        <v>13.80000019073486</v>
      </c>
      <c r="C50" s="90">
        <v>14.10999965667725</v>
      </c>
      <c r="D50" s="90">
        <v>14.10999965667725</v>
      </c>
      <c r="E50" s="94" t="s">
        <v>807</v>
      </c>
      <c r="F50" s="94" t="s">
        <v>629</v>
      </c>
    </row>
    <row r="51" spans="1:6" ht="16.5" x14ac:dyDescent="0.3">
      <c r="A51" t="s">
        <v>703</v>
      </c>
      <c r="B51" s="90">
        <v>58.680000305175781</v>
      </c>
      <c r="C51" s="90">
        <v>61.319999694824219</v>
      </c>
      <c r="D51" s="90">
        <v>64.199996948242188</v>
      </c>
      <c r="E51" s="94" t="s">
        <v>808</v>
      </c>
      <c r="F51" s="94" t="s">
        <v>952</v>
      </c>
    </row>
    <row r="52" spans="1:6" ht="16.5" x14ac:dyDescent="0.3">
      <c r="A52" t="s">
        <v>725</v>
      </c>
      <c r="B52" s="90">
        <v>55.299999237060547</v>
      </c>
      <c r="C52" s="90">
        <v>55.080001831054688</v>
      </c>
      <c r="D52" s="90">
        <v>57.200000762939453</v>
      </c>
      <c r="E52" s="94" t="s">
        <v>809</v>
      </c>
      <c r="F52" s="94" t="s">
        <v>953</v>
      </c>
    </row>
    <row r="53" spans="1:6" ht="16.5" x14ac:dyDescent="0.3">
      <c r="A53" t="s">
        <v>663</v>
      </c>
      <c r="B53" s="90">
        <v>63.223411560058587</v>
      </c>
      <c r="C53" s="90">
        <v>62.527557373046882</v>
      </c>
      <c r="D53" s="90">
        <v>62.438091278076172</v>
      </c>
      <c r="E53" s="94" t="s">
        <v>810</v>
      </c>
      <c r="F53" s="94" t="s">
        <v>954</v>
      </c>
    </row>
    <row r="54" spans="1:6" ht="16.5" x14ac:dyDescent="0.3">
      <c r="A54" t="s">
        <v>662</v>
      </c>
      <c r="B54" s="90">
        <v>61.067485809326172</v>
      </c>
      <c r="C54" s="90">
        <v>60.768428802490227</v>
      </c>
      <c r="D54" s="90">
        <v>60.050693511962891</v>
      </c>
      <c r="E54" s="94" t="s">
        <v>811</v>
      </c>
      <c r="F54" s="94" t="s">
        <v>955</v>
      </c>
    </row>
    <row r="55" spans="1:6" ht="16.5" x14ac:dyDescent="0.3">
      <c r="A55" t="s">
        <v>718</v>
      </c>
      <c r="B55" s="90">
        <v>65.589996337890625</v>
      </c>
      <c r="C55" s="90">
        <v>64.879997253417969</v>
      </c>
      <c r="D55" s="90">
        <v>61.900001525878913</v>
      </c>
      <c r="E55" s="94" t="s">
        <v>812</v>
      </c>
      <c r="F55" s="94" t="s">
        <v>956</v>
      </c>
    </row>
    <row r="56" spans="1:6" ht="16.5" x14ac:dyDescent="0.3">
      <c r="A56" t="s">
        <v>666</v>
      </c>
      <c r="B56" s="90">
        <v>1571.242553710938</v>
      </c>
      <c r="C56" s="90">
        <v>1614.924072265625</v>
      </c>
      <c r="D56" s="90">
        <v>1650.108154296875</v>
      </c>
      <c r="E56" s="94" t="s">
        <v>813</v>
      </c>
      <c r="F56" s="94" t="s">
        <v>957</v>
      </c>
    </row>
    <row r="57" spans="1:6" ht="16.5" x14ac:dyDescent="0.3">
      <c r="A57" t="s">
        <v>669</v>
      </c>
      <c r="B57" s="90">
        <v>41.560001373291023</v>
      </c>
      <c r="C57" s="90">
        <v>43.490001678466797</v>
      </c>
      <c r="D57" s="90">
        <v>42.009998321533203</v>
      </c>
      <c r="E57" s="94" t="s">
        <v>814</v>
      </c>
      <c r="F57" s="94" t="s">
        <v>958</v>
      </c>
    </row>
    <row r="58" spans="1:6" ht="16.5" x14ac:dyDescent="0.3">
      <c r="A58" t="s">
        <v>747</v>
      </c>
      <c r="B58" s="90">
        <v>70.199996948242188</v>
      </c>
      <c r="C58" s="90">
        <v>68.389999389648438</v>
      </c>
      <c r="D58" s="90">
        <v>69.720001220703125</v>
      </c>
      <c r="E58" s="94" t="s">
        <v>815</v>
      </c>
      <c r="F58" s="94" t="s">
        <v>959</v>
      </c>
    </row>
    <row r="59" spans="1:6" ht="16.5" x14ac:dyDescent="0.3">
      <c r="A59" t="s">
        <v>706</v>
      </c>
      <c r="B59" s="90">
        <v>466.14999389648438</v>
      </c>
      <c r="C59" s="90">
        <v>466.14999389648438</v>
      </c>
      <c r="D59" s="90">
        <v>448.67001342773438</v>
      </c>
      <c r="E59" s="94" t="s">
        <v>816</v>
      </c>
      <c r="F59" s="94" t="s">
        <v>960</v>
      </c>
    </row>
    <row r="60" spans="1:6" ht="16.5" x14ac:dyDescent="0.3">
      <c r="A60" t="s">
        <v>677</v>
      </c>
      <c r="B60" s="90">
        <v>36.340000152587891</v>
      </c>
      <c r="C60" s="90">
        <v>36.5</v>
      </c>
      <c r="D60" s="90">
        <v>36.229999542236328</v>
      </c>
      <c r="E60" s="94" t="s">
        <v>817</v>
      </c>
      <c r="F60" s="94" t="s">
        <v>961</v>
      </c>
    </row>
    <row r="61" spans="1:6" ht="16.5" x14ac:dyDescent="0.3">
      <c r="A61" t="s">
        <v>712</v>
      </c>
      <c r="B61" s="90">
        <v>56.430000305175781</v>
      </c>
      <c r="C61" s="90">
        <v>54.360000610351563</v>
      </c>
      <c r="D61" s="90">
        <v>58.319999694824219</v>
      </c>
      <c r="E61" s="94" t="s">
        <v>818</v>
      </c>
      <c r="F61" s="94" t="s">
        <v>962</v>
      </c>
    </row>
    <row r="62" spans="1:6" ht="16.5" x14ac:dyDescent="0.3">
      <c r="A62" t="s">
        <v>696</v>
      </c>
      <c r="B62" s="90">
        <v>58.020000457763672</v>
      </c>
      <c r="C62" s="90">
        <v>60.490001678466797</v>
      </c>
      <c r="D62" s="90">
        <v>60.200000762939453</v>
      </c>
      <c r="E62" s="94" t="s">
        <v>819</v>
      </c>
      <c r="F62" s="94" t="s">
        <v>963</v>
      </c>
    </row>
    <row r="63" spans="1:6" ht="16.5" x14ac:dyDescent="0.3">
      <c r="A63" t="s">
        <v>728</v>
      </c>
      <c r="B63" s="90">
        <v>193.19999694824219</v>
      </c>
      <c r="C63" s="90">
        <v>193.19999694824219</v>
      </c>
      <c r="D63" s="90">
        <v>193.19999694824219</v>
      </c>
      <c r="E63" s="94" t="s">
        <v>820</v>
      </c>
      <c r="F63" s="94" t="s">
        <v>964</v>
      </c>
    </row>
    <row r="64" spans="1:6" ht="16.5" x14ac:dyDescent="0.3">
      <c r="A64" t="s">
        <v>729</v>
      </c>
      <c r="B64" s="90">
        <v>83.120002746582031</v>
      </c>
      <c r="C64" s="90">
        <v>86.489997863769531</v>
      </c>
      <c r="D64" s="90">
        <v>87.410003662109375</v>
      </c>
      <c r="E64" s="94" t="s">
        <v>821</v>
      </c>
      <c r="F64" s="94" t="s">
        <v>965</v>
      </c>
    </row>
    <row r="65" spans="1:6" ht="16.5" x14ac:dyDescent="0.3">
      <c r="A65" t="s">
        <v>739</v>
      </c>
      <c r="B65" s="90">
        <v>75.860000610351563</v>
      </c>
      <c r="C65" s="90">
        <v>79.120002746582031</v>
      </c>
      <c r="D65" s="90">
        <v>78</v>
      </c>
      <c r="E65" s="94" t="s">
        <v>822</v>
      </c>
      <c r="F65" s="94" t="s">
        <v>966</v>
      </c>
    </row>
    <row r="66" spans="1:6" ht="16.5" x14ac:dyDescent="0.3">
      <c r="A66" t="s">
        <v>742</v>
      </c>
      <c r="B66" s="90">
        <v>50.738861083984382</v>
      </c>
      <c r="C66" s="90">
        <v>50.540855407714837</v>
      </c>
      <c r="D66" s="90">
        <v>49.639934539794922</v>
      </c>
      <c r="E66" s="94" t="s">
        <v>823</v>
      </c>
      <c r="F66" s="94" t="s">
        <v>967</v>
      </c>
    </row>
    <row r="67" spans="1:6" ht="16.5" x14ac:dyDescent="0.3">
      <c r="A67" t="s">
        <v>320</v>
      </c>
      <c r="B67" s="90">
        <v>48.110000610351563</v>
      </c>
      <c r="C67" s="90">
        <v>47.049999237060547</v>
      </c>
      <c r="D67" s="90">
        <v>47</v>
      </c>
      <c r="E67" s="94" t="s">
        <v>824</v>
      </c>
      <c r="F67" s="94" t="s">
        <v>968</v>
      </c>
    </row>
    <row r="68" spans="1:6" ht="16.5" x14ac:dyDescent="0.3">
      <c r="A68" t="s">
        <v>734</v>
      </c>
      <c r="B68" s="90">
        <v>886.8599853515625</v>
      </c>
      <c r="C68" s="90">
        <v>886.8599853515625</v>
      </c>
      <c r="D68" s="90">
        <v>886.8599853515625</v>
      </c>
      <c r="E68" s="94" t="s">
        <v>825</v>
      </c>
      <c r="F68" s="94" t="s">
        <v>825</v>
      </c>
    </row>
    <row r="69" spans="1:6" ht="16.5" x14ac:dyDescent="0.3">
      <c r="A69" t="s">
        <v>705</v>
      </c>
      <c r="B69" s="90">
        <v>163.900390625</v>
      </c>
      <c r="C69" s="90">
        <v>173.32624816894531</v>
      </c>
      <c r="D69" s="90">
        <v>176.13999938964841</v>
      </c>
      <c r="E69" s="94" t="s">
        <v>826</v>
      </c>
      <c r="F69" s="94" t="s">
        <v>969</v>
      </c>
    </row>
    <row r="70" spans="1:6" ht="16.5" x14ac:dyDescent="0.3">
      <c r="A70" t="s">
        <v>748</v>
      </c>
      <c r="B70" s="90">
        <v>91.620002746582031</v>
      </c>
      <c r="C70" s="90">
        <v>90</v>
      </c>
      <c r="D70" s="90">
        <v>91.260002136230469</v>
      </c>
      <c r="E70" s="94" t="s">
        <v>827</v>
      </c>
      <c r="F70" s="94" t="s">
        <v>970</v>
      </c>
    </row>
    <row r="71" spans="1:6" ht="16.5" x14ac:dyDescent="0.3">
      <c r="A71" t="s">
        <v>684</v>
      </c>
      <c r="B71" s="90">
        <v>22.309999465942379</v>
      </c>
      <c r="C71" s="90">
        <v>22.389999389648441</v>
      </c>
      <c r="D71" s="90">
        <v>21.020000457763668</v>
      </c>
      <c r="E71" s="94" t="s">
        <v>828</v>
      </c>
      <c r="F71" s="94" t="s">
        <v>971</v>
      </c>
    </row>
    <row r="72" spans="1:6" ht="16.5" x14ac:dyDescent="0.3">
      <c r="A72" t="s">
        <v>700</v>
      </c>
      <c r="B72" s="90">
        <v>64.400001525878906</v>
      </c>
      <c r="C72" s="90">
        <v>64.400001525878906</v>
      </c>
      <c r="D72" s="90">
        <v>64.400001525878906</v>
      </c>
      <c r="E72" s="94" t="s">
        <v>829</v>
      </c>
      <c r="F72" s="94" t="s">
        <v>972</v>
      </c>
    </row>
    <row r="73" spans="1:6" ht="16.5" x14ac:dyDescent="0.3">
      <c r="A73" t="s">
        <v>692</v>
      </c>
      <c r="B73" s="90">
        <v>76.480003356933594</v>
      </c>
      <c r="C73" s="90">
        <v>80.919998168945313</v>
      </c>
      <c r="D73" s="90">
        <v>80.650001525878906</v>
      </c>
      <c r="E73" s="94" t="s">
        <v>830</v>
      </c>
      <c r="F73" s="94" t="s">
        <v>973</v>
      </c>
    </row>
    <row r="74" spans="1:6" ht="16.5" x14ac:dyDescent="0.3">
      <c r="A74" t="s">
        <v>693</v>
      </c>
      <c r="B74" s="90">
        <v>76.800003051757813</v>
      </c>
      <c r="C74" s="90">
        <v>80.279998779296875</v>
      </c>
      <c r="D74" s="90">
        <v>79.879997253417969</v>
      </c>
      <c r="E74" s="94" t="s">
        <v>831</v>
      </c>
      <c r="F74" s="94" t="s">
        <v>974</v>
      </c>
    </row>
    <row r="75" spans="1:6" ht="16.5" x14ac:dyDescent="0.3">
      <c r="A75" t="s">
        <v>660</v>
      </c>
      <c r="B75" s="90">
        <v>197.53999328613281</v>
      </c>
      <c r="C75" s="90">
        <v>207.80000305175781</v>
      </c>
      <c r="D75" s="90">
        <v>203</v>
      </c>
      <c r="E75" s="94" t="s">
        <v>832</v>
      </c>
      <c r="F75" s="94" t="s">
        <v>975</v>
      </c>
    </row>
    <row r="76" spans="1:6" ht="16.5" x14ac:dyDescent="0.3">
      <c r="A76" t="s">
        <v>695</v>
      </c>
      <c r="B76" s="90">
        <v>327.23001098632813</v>
      </c>
      <c r="C76" s="90">
        <v>321.010009765625</v>
      </c>
      <c r="D76" s="90">
        <v>319.48001098632813</v>
      </c>
      <c r="E76" s="94" t="s">
        <v>833</v>
      </c>
      <c r="F76" s="94" t="s">
        <v>976</v>
      </c>
    </row>
    <row r="77" spans="1:6" ht="16.5" x14ac:dyDescent="0.3">
      <c r="A77" t="s">
        <v>719</v>
      </c>
      <c r="B77" s="90">
        <v>103.68072509765619</v>
      </c>
      <c r="C77" s="90">
        <v>110</v>
      </c>
      <c r="D77" s="90">
        <v>106.51999664306641</v>
      </c>
      <c r="E77" s="94" t="s">
        <v>834</v>
      </c>
      <c r="F77" s="94" t="s">
        <v>977</v>
      </c>
    </row>
    <row r="78" spans="1:6" ht="16.5" x14ac:dyDescent="0.3">
      <c r="A78" t="s">
        <v>743</v>
      </c>
      <c r="B78" s="90">
        <v>52.650001525878913</v>
      </c>
      <c r="C78" s="90">
        <v>55.599998474121087</v>
      </c>
      <c r="D78" s="90">
        <v>58.020000457763672</v>
      </c>
      <c r="E78" s="94" t="s">
        <v>835</v>
      </c>
      <c r="F78" s="94" t="s">
        <v>978</v>
      </c>
    </row>
    <row r="79" spans="1:6" ht="16.5" x14ac:dyDescent="0.3">
      <c r="A79" t="s">
        <v>707</v>
      </c>
      <c r="B79" s="90">
        <v>49.849998474121087</v>
      </c>
      <c r="C79" s="90">
        <v>50.049999237060547</v>
      </c>
      <c r="D79" s="90">
        <v>51.159999847412109</v>
      </c>
      <c r="E79" s="94" t="s">
        <v>836</v>
      </c>
      <c r="F79" s="94" t="s">
        <v>979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1DC-94A9-46E0-9EEA-040A97715940}">
  <dimension ref="A1:F56"/>
  <sheetViews>
    <sheetView workbookViewId="0">
      <selection activeCell="B1" sqref="B1:B1048576"/>
    </sheetView>
  </sheetViews>
  <sheetFormatPr defaultRowHeight="15" x14ac:dyDescent="0.25"/>
  <cols>
    <col min="1" max="1" width="15" customWidth="1"/>
    <col min="2" max="3" width="10.7109375" bestFit="1" customWidth="1"/>
    <col min="4" max="4" width="10.7109375" customWidth="1"/>
    <col min="5" max="6" width="10.7109375" bestFit="1" customWidth="1"/>
  </cols>
  <sheetData>
    <row r="1" spans="1:6" x14ac:dyDescent="0.25">
      <c r="A1" t="s">
        <v>475</v>
      </c>
      <c r="B1" s="79">
        <v>45836</v>
      </c>
      <c r="C1" s="79">
        <v>45843</v>
      </c>
      <c r="D1" s="79">
        <v>45850</v>
      </c>
      <c r="E1" s="79">
        <v>45857</v>
      </c>
      <c r="F1" s="79">
        <v>45864</v>
      </c>
    </row>
    <row r="2" spans="1:6" ht="16.5" x14ac:dyDescent="0.3">
      <c r="A2" t="s">
        <v>507</v>
      </c>
      <c r="B2" s="90">
        <v>14.72000026702881</v>
      </c>
      <c r="C2" s="90">
        <v>14.72999954223633</v>
      </c>
      <c r="D2" s="90" t="s">
        <v>586</v>
      </c>
      <c r="E2" s="90" t="s">
        <v>837</v>
      </c>
      <c r="F2" s="90" t="s">
        <v>980</v>
      </c>
    </row>
    <row r="3" spans="1:6" ht="16.5" x14ac:dyDescent="0.3">
      <c r="A3" t="s">
        <v>508</v>
      </c>
      <c r="B3" s="90">
        <v>45.549999237060547</v>
      </c>
      <c r="C3" s="90">
        <v>46.490001678466797</v>
      </c>
      <c r="D3" s="90" t="s">
        <v>587</v>
      </c>
      <c r="E3" s="90" t="s">
        <v>795</v>
      </c>
      <c r="F3" s="90" t="s">
        <v>981</v>
      </c>
    </row>
    <row r="4" spans="1:6" ht="16.5" x14ac:dyDescent="0.3">
      <c r="A4" t="s">
        <v>509</v>
      </c>
      <c r="B4" s="90">
        <v>40.639999389648438</v>
      </c>
      <c r="C4" s="90">
        <v>41.159999847412109</v>
      </c>
      <c r="D4" s="90" t="s">
        <v>588</v>
      </c>
      <c r="E4" s="90" t="s">
        <v>838</v>
      </c>
      <c r="F4" s="90" t="s">
        <v>982</v>
      </c>
    </row>
    <row r="5" spans="1:6" ht="16.5" x14ac:dyDescent="0.3">
      <c r="A5" t="s">
        <v>510</v>
      </c>
      <c r="B5" s="90">
        <v>71.510002136230469</v>
      </c>
      <c r="C5" s="90">
        <v>73.900001525878906</v>
      </c>
      <c r="D5" s="90" t="s">
        <v>589</v>
      </c>
      <c r="E5" s="90" t="s">
        <v>839</v>
      </c>
      <c r="F5" s="90" t="s">
        <v>983</v>
      </c>
    </row>
    <row r="6" spans="1:6" ht="16.5" x14ac:dyDescent="0.3">
      <c r="A6" t="s">
        <v>511</v>
      </c>
      <c r="B6" s="90">
        <v>112.15000152587891</v>
      </c>
      <c r="C6" s="90">
        <v>115.9700012207031</v>
      </c>
      <c r="D6" s="90" t="s">
        <v>590</v>
      </c>
      <c r="E6" s="90" t="s">
        <v>840</v>
      </c>
      <c r="F6" s="90" t="s">
        <v>984</v>
      </c>
    </row>
    <row r="7" spans="1:6" ht="16.5" x14ac:dyDescent="0.3">
      <c r="A7" t="s">
        <v>512</v>
      </c>
      <c r="B7" s="90">
        <v>134.66999816894531</v>
      </c>
      <c r="C7" s="90">
        <v>136.8500061035156</v>
      </c>
      <c r="D7" s="90" t="s">
        <v>591</v>
      </c>
      <c r="E7" s="90" t="s">
        <v>841</v>
      </c>
      <c r="F7" s="90" t="s">
        <v>985</v>
      </c>
    </row>
    <row r="8" spans="1:6" ht="16.5" x14ac:dyDescent="0.3">
      <c r="A8" t="s">
        <v>513</v>
      </c>
      <c r="B8" s="90">
        <v>119.9100036621094</v>
      </c>
      <c r="C8" s="90">
        <v>121.75</v>
      </c>
      <c r="D8" s="90" t="s">
        <v>592</v>
      </c>
      <c r="E8" s="90" t="s">
        <v>842</v>
      </c>
      <c r="F8" s="90" t="s">
        <v>986</v>
      </c>
    </row>
    <row r="9" spans="1:6" ht="16.5" x14ac:dyDescent="0.3">
      <c r="A9" t="s">
        <v>514</v>
      </c>
      <c r="B9" s="90">
        <v>133.8999938964844</v>
      </c>
      <c r="C9" s="90">
        <v>132.4700012207031</v>
      </c>
      <c r="D9" s="90" t="s">
        <v>593</v>
      </c>
      <c r="E9" s="90" t="s">
        <v>843</v>
      </c>
      <c r="F9" s="90" t="s">
        <v>987</v>
      </c>
    </row>
    <row r="10" spans="1:6" ht="16.5" x14ac:dyDescent="0.3">
      <c r="A10" t="s">
        <v>515</v>
      </c>
      <c r="B10" s="90">
        <v>127.84999847412109</v>
      </c>
      <c r="C10" s="90">
        <v>131.16999816894531</v>
      </c>
      <c r="D10" s="90" t="s">
        <v>594</v>
      </c>
      <c r="E10" s="90" t="s">
        <v>844</v>
      </c>
      <c r="F10" s="90" t="s">
        <v>988</v>
      </c>
    </row>
    <row r="11" spans="1:6" ht="16.5" x14ac:dyDescent="0.3">
      <c r="A11" t="s">
        <v>516</v>
      </c>
      <c r="B11" s="90">
        <v>133.78999328613281</v>
      </c>
      <c r="C11" s="90">
        <v>138.1300048828125</v>
      </c>
      <c r="D11" s="90" t="s">
        <v>595</v>
      </c>
      <c r="E11" s="90" t="s">
        <v>845</v>
      </c>
      <c r="F11" s="90" t="s">
        <v>989</v>
      </c>
    </row>
    <row r="12" spans="1:6" ht="16.5" x14ac:dyDescent="0.3">
      <c r="A12" t="s">
        <v>517</v>
      </c>
      <c r="B12" s="90">
        <v>139.42999267578119</v>
      </c>
      <c r="C12" s="90">
        <v>143.94999694824219</v>
      </c>
      <c r="D12" s="90" t="s">
        <v>596</v>
      </c>
      <c r="E12" s="90" t="s">
        <v>846</v>
      </c>
      <c r="F12" s="90" t="s">
        <v>990</v>
      </c>
    </row>
    <row r="13" spans="1:6" ht="16.5" x14ac:dyDescent="0.3">
      <c r="A13" t="s">
        <v>518</v>
      </c>
      <c r="B13" s="90">
        <v>140.2799987792969</v>
      </c>
      <c r="C13" s="90">
        <v>144.83000183105469</v>
      </c>
      <c r="D13" s="90" t="s">
        <v>597</v>
      </c>
      <c r="E13" s="90" t="s">
        <v>847</v>
      </c>
      <c r="F13" s="90" t="s">
        <v>991</v>
      </c>
    </row>
    <row r="14" spans="1:6" ht="16.5" x14ac:dyDescent="0.3">
      <c r="A14" t="s">
        <v>519</v>
      </c>
      <c r="B14" s="90">
        <v>13.939999580383301</v>
      </c>
      <c r="C14" s="90">
        <v>14.420000076293951</v>
      </c>
      <c r="D14" s="90" t="s">
        <v>585</v>
      </c>
      <c r="E14" s="90" t="s">
        <v>848</v>
      </c>
      <c r="F14" s="90" t="s">
        <v>992</v>
      </c>
    </row>
    <row r="15" spans="1:6" ht="16.5" x14ac:dyDescent="0.3">
      <c r="A15" t="s">
        <v>520</v>
      </c>
      <c r="B15" s="90">
        <v>114.7799987792969</v>
      </c>
      <c r="C15" s="90">
        <v>118.4700012207031</v>
      </c>
      <c r="D15" s="90" t="s">
        <v>598</v>
      </c>
      <c r="E15" s="90" t="s">
        <v>849</v>
      </c>
      <c r="F15" s="90" t="s">
        <v>993</v>
      </c>
    </row>
    <row r="16" spans="1:6" ht="16.5" x14ac:dyDescent="0.3">
      <c r="A16" t="s">
        <v>521</v>
      </c>
      <c r="B16" s="90">
        <v>133.03999328613281</v>
      </c>
      <c r="C16" s="90">
        <v>136.47999572753909</v>
      </c>
      <c r="D16" s="90" t="s">
        <v>599</v>
      </c>
      <c r="E16" s="90" t="s">
        <v>850</v>
      </c>
      <c r="F16" s="90" t="s">
        <v>994</v>
      </c>
    </row>
    <row r="17" spans="1:6" ht="16.5" x14ac:dyDescent="0.3">
      <c r="A17" t="s">
        <v>522</v>
      </c>
      <c r="B17" s="90">
        <v>12.89000034332275</v>
      </c>
      <c r="C17" s="90">
        <v>13.340000152587891</v>
      </c>
      <c r="D17" s="90" t="s">
        <v>600</v>
      </c>
      <c r="E17" s="90" t="s">
        <v>851</v>
      </c>
      <c r="F17" s="90" t="s">
        <v>995</v>
      </c>
    </row>
    <row r="18" spans="1:6" ht="16.5" x14ac:dyDescent="0.3">
      <c r="A18" t="s">
        <v>523</v>
      </c>
      <c r="B18" s="90">
        <v>6.7699999809265137</v>
      </c>
      <c r="C18" s="90">
        <v>6.6999998092651367</v>
      </c>
      <c r="D18" s="90" t="s">
        <v>583</v>
      </c>
      <c r="E18" s="90" t="s">
        <v>852</v>
      </c>
      <c r="F18" s="90" t="s">
        <v>996</v>
      </c>
    </row>
    <row r="19" spans="1:6" ht="16.5" x14ac:dyDescent="0.3">
      <c r="A19" t="s">
        <v>524</v>
      </c>
      <c r="B19" s="90">
        <v>100.379997253418</v>
      </c>
      <c r="C19" s="90">
        <v>104.25</v>
      </c>
      <c r="D19" s="90" t="s">
        <v>601</v>
      </c>
      <c r="E19" s="90" t="s">
        <v>853</v>
      </c>
      <c r="F19" s="90" t="s">
        <v>997</v>
      </c>
    </row>
    <row r="20" spans="1:6" ht="16.5" x14ac:dyDescent="0.3">
      <c r="A20" t="s">
        <v>525</v>
      </c>
      <c r="B20" s="90">
        <v>10.35999965667725</v>
      </c>
      <c r="C20" s="90">
        <v>10.14999961853027</v>
      </c>
      <c r="D20" s="90" t="s">
        <v>602</v>
      </c>
      <c r="E20" s="90" t="s">
        <v>854</v>
      </c>
      <c r="F20" s="90" t="s">
        <v>998</v>
      </c>
    </row>
    <row r="21" spans="1:6" ht="16.5" x14ac:dyDescent="0.3">
      <c r="A21" t="s">
        <v>526</v>
      </c>
      <c r="B21" s="90">
        <v>127.4300003051758</v>
      </c>
      <c r="C21" s="90">
        <v>131.19999694824219</v>
      </c>
      <c r="D21" s="90" t="s">
        <v>603</v>
      </c>
      <c r="E21" s="90" t="s">
        <v>855</v>
      </c>
      <c r="F21" s="90" t="s">
        <v>999</v>
      </c>
    </row>
    <row r="22" spans="1:6" ht="16.5" x14ac:dyDescent="0.3">
      <c r="A22" t="s">
        <v>527</v>
      </c>
      <c r="B22" s="90">
        <v>110.2200012207031</v>
      </c>
      <c r="C22" s="90">
        <v>112.8000030517578</v>
      </c>
      <c r="D22" s="90" t="s">
        <v>604</v>
      </c>
      <c r="E22" s="90" t="s">
        <v>856</v>
      </c>
      <c r="F22" s="90" t="s">
        <v>1000</v>
      </c>
    </row>
    <row r="23" spans="1:6" ht="16.5" x14ac:dyDescent="0.3">
      <c r="A23" t="s">
        <v>528</v>
      </c>
      <c r="B23" s="90">
        <v>38.509998321533203</v>
      </c>
      <c r="C23" s="90">
        <v>39.099998474121087</v>
      </c>
      <c r="D23" s="90" t="s">
        <v>605</v>
      </c>
      <c r="E23" s="90" t="s">
        <v>857</v>
      </c>
      <c r="F23" s="90" t="s">
        <v>1001</v>
      </c>
    </row>
    <row r="24" spans="1:6" ht="16.5" x14ac:dyDescent="0.3">
      <c r="A24" t="s">
        <v>529</v>
      </c>
      <c r="B24" s="90">
        <v>147.82000732421881</v>
      </c>
      <c r="C24" s="90">
        <v>152.55999755859381</v>
      </c>
      <c r="D24" s="90" t="s">
        <v>606</v>
      </c>
      <c r="E24" s="90" t="s">
        <v>858</v>
      </c>
      <c r="F24" s="90" t="s">
        <v>1002</v>
      </c>
    </row>
    <row r="25" spans="1:6" ht="16.5" x14ac:dyDescent="0.3">
      <c r="A25" t="s">
        <v>530</v>
      </c>
      <c r="B25" s="90">
        <v>18.95000076293945</v>
      </c>
      <c r="C25" s="90">
        <v>19.20999908447266</v>
      </c>
      <c r="D25" s="90" t="s">
        <v>607</v>
      </c>
      <c r="E25" s="90" t="s">
        <v>859</v>
      </c>
      <c r="F25" s="90" t="s">
        <v>1003</v>
      </c>
    </row>
    <row r="26" spans="1:6" ht="16.5" x14ac:dyDescent="0.3">
      <c r="A26" t="s">
        <v>497</v>
      </c>
      <c r="B26" s="90">
        <v>18.729999542236332</v>
      </c>
      <c r="C26" s="90">
        <v>18.909999847412109</v>
      </c>
      <c r="D26" s="90" t="s">
        <v>608</v>
      </c>
      <c r="E26" s="90" t="s">
        <v>860</v>
      </c>
      <c r="F26" s="90" t="s">
        <v>1004</v>
      </c>
    </row>
    <row r="27" spans="1:6" ht="16.5" x14ac:dyDescent="0.3">
      <c r="A27" t="s">
        <v>531</v>
      </c>
      <c r="B27" s="90">
        <v>59.779998779296882</v>
      </c>
      <c r="C27" s="90">
        <v>61.680000305175781</v>
      </c>
      <c r="D27" s="90" t="s">
        <v>609</v>
      </c>
      <c r="E27" s="90" t="s">
        <v>861</v>
      </c>
      <c r="F27" s="90" t="s">
        <v>1005</v>
      </c>
    </row>
    <row r="28" spans="1:6" ht="16.5" x14ac:dyDescent="0.3">
      <c r="A28" t="s">
        <v>532</v>
      </c>
      <c r="B28" s="90">
        <v>75.919998168945313</v>
      </c>
      <c r="C28" s="90">
        <v>76.349998474121094</v>
      </c>
      <c r="D28" s="90" t="s">
        <v>610</v>
      </c>
      <c r="E28" s="90" t="s">
        <v>862</v>
      </c>
      <c r="F28" s="90" t="s">
        <v>1006</v>
      </c>
    </row>
    <row r="29" spans="1:6" ht="16.5" x14ac:dyDescent="0.3">
      <c r="A29" t="s">
        <v>533</v>
      </c>
      <c r="B29" s="90">
        <v>48.259998321533203</v>
      </c>
      <c r="C29" s="90">
        <v>48.569999694824219</v>
      </c>
      <c r="D29" s="90" t="s">
        <v>611</v>
      </c>
      <c r="E29" s="90" t="s">
        <v>863</v>
      </c>
      <c r="F29" s="90" t="s">
        <v>1007</v>
      </c>
    </row>
    <row r="30" spans="1:6" ht="16.5" x14ac:dyDescent="0.3">
      <c r="A30" t="s">
        <v>534</v>
      </c>
      <c r="B30" s="90">
        <v>112.4700012207031</v>
      </c>
      <c r="C30" s="90">
        <v>116.2099990844727</v>
      </c>
      <c r="D30" s="90" t="s">
        <v>612</v>
      </c>
      <c r="E30" s="90" t="s">
        <v>864</v>
      </c>
      <c r="F30" s="90" t="s">
        <v>1008</v>
      </c>
    </row>
    <row r="31" spans="1:6" ht="16.5" x14ac:dyDescent="0.3">
      <c r="A31" t="s">
        <v>535</v>
      </c>
      <c r="B31" s="90">
        <v>90.510002136230469</v>
      </c>
      <c r="C31" s="90">
        <v>90.919998168945313</v>
      </c>
      <c r="D31" s="90" t="s">
        <v>613</v>
      </c>
      <c r="E31" s="90" t="s">
        <v>865</v>
      </c>
      <c r="F31" s="90" t="s">
        <v>1009</v>
      </c>
    </row>
    <row r="32" spans="1:6" ht="16.5" x14ac:dyDescent="0.3">
      <c r="A32" t="s">
        <v>536</v>
      </c>
      <c r="B32" s="90">
        <v>38.400001525878913</v>
      </c>
      <c r="C32" s="90">
        <v>39.310001373291023</v>
      </c>
      <c r="D32" s="90" t="s">
        <v>614</v>
      </c>
      <c r="E32" s="90" t="s">
        <v>866</v>
      </c>
      <c r="F32" s="90" t="s">
        <v>1010</v>
      </c>
    </row>
    <row r="33" spans="1:6" ht="16.5" x14ac:dyDescent="0.3">
      <c r="A33" t="s">
        <v>537</v>
      </c>
      <c r="B33" s="90">
        <v>380</v>
      </c>
      <c r="C33" s="90">
        <v>379.39999389648438</v>
      </c>
      <c r="D33" s="90" t="s">
        <v>615</v>
      </c>
      <c r="E33" s="90" t="s">
        <v>867</v>
      </c>
      <c r="F33" s="90" t="s">
        <v>1011</v>
      </c>
    </row>
    <row r="34" spans="1:6" ht="16.5" x14ac:dyDescent="0.3">
      <c r="A34" t="s">
        <v>538</v>
      </c>
      <c r="B34" s="90">
        <v>147.02000427246091</v>
      </c>
      <c r="C34" s="90">
        <v>142.88999938964841</v>
      </c>
      <c r="D34" s="90" t="s">
        <v>616</v>
      </c>
      <c r="E34" s="90" t="s">
        <v>868</v>
      </c>
      <c r="F34" s="90" t="s">
        <v>1012</v>
      </c>
    </row>
    <row r="35" spans="1:6" ht="16.5" x14ac:dyDescent="0.3">
      <c r="A35" t="s">
        <v>539</v>
      </c>
      <c r="B35" s="90">
        <v>135.46000671386719</v>
      </c>
      <c r="C35" s="90">
        <v>135.86000061035159</v>
      </c>
      <c r="D35" s="90" t="s">
        <v>617</v>
      </c>
      <c r="E35" s="90" t="s">
        <v>869</v>
      </c>
      <c r="F35" s="90" t="s">
        <v>1013</v>
      </c>
    </row>
    <row r="36" spans="1:6" ht="16.5" x14ac:dyDescent="0.3">
      <c r="A36" t="s">
        <v>540</v>
      </c>
      <c r="B36" s="90">
        <v>49.060001373291023</v>
      </c>
      <c r="C36" s="90">
        <v>51.569999694824219</v>
      </c>
      <c r="D36" s="90" t="s">
        <v>618</v>
      </c>
      <c r="E36" s="90" t="s">
        <v>870</v>
      </c>
      <c r="F36" s="90" t="s">
        <v>1014</v>
      </c>
    </row>
    <row r="37" spans="1:6" ht="16.5" x14ac:dyDescent="0.3">
      <c r="A37" t="s">
        <v>541</v>
      </c>
      <c r="B37" s="90">
        <v>76.919998168945313</v>
      </c>
      <c r="C37" s="90">
        <v>77.620002746582031</v>
      </c>
      <c r="D37" s="90" t="s">
        <v>619</v>
      </c>
      <c r="E37" s="90" t="s">
        <v>871</v>
      </c>
      <c r="F37" s="90" t="s">
        <v>1015</v>
      </c>
    </row>
    <row r="38" spans="1:6" ht="16.5" x14ac:dyDescent="0.3">
      <c r="A38" t="s">
        <v>542</v>
      </c>
      <c r="B38" s="90">
        <v>17.219999313354489</v>
      </c>
      <c r="C38" s="90">
        <v>17.180000305175781</v>
      </c>
      <c r="D38" s="90" t="s">
        <v>620</v>
      </c>
      <c r="E38" s="90" t="s">
        <v>872</v>
      </c>
      <c r="F38" s="90" t="s">
        <v>1016</v>
      </c>
    </row>
    <row r="39" spans="1:6" ht="16.5" x14ac:dyDescent="0.3">
      <c r="A39" t="s">
        <v>543</v>
      </c>
      <c r="B39" s="90">
        <v>240.8500061035156</v>
      </c>
      <c r="C39" s="90">
        <v>248.8500061035156</v>
      </c>
      <c r="D39" s="90" t="s">
        <v>621</v>
      </c>
      <c r="E39" s="90" t="s">
        <v>873</v>
      </c>
      <c r="F39" s="90" t="s">
        <v>1017</v>
      </c>
    </row>
    <row r="40" spans="1:6" ht="16.5" x14ac:dyDescent="0.3">
      <c r="A40" t="s">
        <v>544</v>
      </c>
      <c r="B40" s="90">
        <v>35.990001678466797</v>
      </c>
      <c r="C40" s="90">
        <v>35.220001220703118</v>
      </c>
      <c r="D40" s="90" t="s">
        <v>622</v>
      </c>
      <c r="E40" s="90" t="s">
        <v>874</v>
      </c>
      <c r="F40" s="90" t="s">
        <v>1018</v>
      </c>
    </row>
    <row r="41" spans="1:6" ht="16.5" x14ac:dyDescent="0.3">
      <c r="A41" t="s">
        <v>545</v>
      </c>
      <c r="B41" s="90">
        <v>9.2899999618530273</v>
      </c>
      <c r="C41" s="90">
        <v>9.3999996185302734</v>
      </c>
      <c r="D41" s="90" t="s">
        <v>623</v>
      </c>
      <c r="E41" s="90" t="s">
        <v>875</v>
      </c>
      <c r="F41" s="90" t="s">
        <v>1019</v>
      </c>
    </row>
    <row r="42" spans="1:6" ht="16.5" x14ac:dyDescent="0.3">
      <c r="A42" t="s">
        <v>546</v>
      </c>
      <c r="B42" s="90">
        <v>63.330001831054688</v>
      </c>
      <c r="C42" s="90">
        <v>64.55999755859375</v>
      </c>
      <c r="D42" s="90" t="s">
        <v>624</v>
      </c>
      <c r="E42" s="90" t="s">
        <v>876</v>
      </c>
      <c r="F42" s="90" t="s">
        <v>1020</v>
      </c>
    </row>
    <row r="43" spans="1:6" ht="16.5" x14ac:dyDescent="0.3">
      <c r="A43" t="s">
        <v>547</v>
      </c>
      <c r="B43" s="90">
        <v>7.929999828338623</v>
      </c>
      <c r="C43" s="90">
        <v>8.0399999618530273</v>
      </c>
      <c r="D43" s="90" t="s">
        <v>625</v>
      </c>
      <c r="E43" s="90" t="s">
        <v>877</v>
      </c>
      <c r="F43" s="90" t="s">
        <v>1021</v>
      </c>
    </row>
    <row r="44" spans="1:6" ht="16.5" x14ac:dyDescent="0.3">
      <c r="A44" t="s">
        <v>548</v>
      </c>
      <c r="B44" s="90">
        <v>56.180000305175781</v>
      </c>
      <c r="C44" s="90">
        <v>57.200000762939453</v>
      </c>
      <c r="D44" s="90" t="s">
        <v>626</v>
      </c>
      <c r="E44" s="90" t="s">
        <v>878</v>
      </c>
      <c r="F44" s="90" t="s">
        <v>1022</v>
      </c>
    </row>
    <row r="45" spans="1:6" ht="16.5" x14ac:dyDescent="0.3">
      <c r="A45" t="s">
        <v>549</v>
      </c>
      <c r="B45" s="90">
        <v>107.3199996948242</v>
      </c>
      <c r="C45" s="90">
        <v>108.8000030517578</v>
      </c>
      <c r="D45" s="90" t="s">
        <v>627</v>
      </c>
      <c r="E45" s="90" t="s">
        <v>879</v>
      </c>
      <c r="F45" s="90" t="s">
        <v>1023</v>
      </c>
    </row>
    <row r="46" spans="1:6" ht="16.5" x14ac:dyDescent="0.3">
      <c r="A46" t="s">
        <v>550</v>
      </c>
      <c r="B46" s="90">
        <v>22.319999694824219</v>
      </c>
      <c r="C46" s="90">
        <v>22.35000038146973</v>
      </c>
      <c r="D46" s="90" t="s">
        <v>628</v>
      </c>
      <c r="E46" s="90" t="s">
        <v>880</v>
      </c>
      <c r="F46" s="90" t="s">
        <v>1024</v>
      </c>
    </row>
    <row r="47" spans="1:6" ht="16.5" x14ac:dyDescent="0.3">
      <c r="A47" t="s">
        <v>551</v>
      </c>
      <c r="B47" s="90">
        <v>14.85000038146973</v>
      </c>
      <c r="C47" s="90">
        <v>14.88000011444092</v>
      </c>
      <c r="D47" s="90" t="s">
        <v>629</v>
      </c>
      <c r="E47" s="90" t="s">
        <v>881</v>
      </c>
      <c r="F47" s="90" t="s">
        <v>1025</v>
      </c>
    </row>
    <row r="48" spans="1:6" ht="16.5" x14ac:dyDescent="0.3">
      <c r="A48" t="s">
        <v>552</v>
      </c>
      <c r="B48" s="90">
        <v>369.60000610351563</v>
      </c>
      <c r="C48" s="90">
        <v>370.82000732421881</v>
      </c>
      <c r="D48" s="90" t="s">
        <v>630</v>
      </c>
      <c r="E48" s="90" t="s">
        <v>882</v>
      </c>
      <c r="F48" s="90" t="s">
        <v>1026</v>
      </c>
    </row>
    <row r="49" spans="1:6" ht="16.5" x14ac:dyDescent="0.3">
      <c r="A49" t="s">
        <v>553</v>
      </c>
      <c r="B49" s="90">
        <v>106.40000152587891</v>
      </c>
      <c r="C49" s="90">
        <v>107.1600036621094</v>
      </c>
      <c r="D49" s="90" t="s">
        <v>631</v>
      </c>
      <c r="E49" s="90" t="s">
        <v>883</v>
      </c>
      <c r="F49" s="90" t="s">
        <v>1027</v>
      </c>
    </row>
    <row r="50" spans="1:6" ht="16.5" x14ac:dyDescent="0.3">
      <c r="A50" t="s">
        <v>554</v>
      </c>
      <c r="B50" s="90">
        <v>44.430000305175781</v>
      </c>
      <c r="C50" s="90">
        <v>45.240001678466797</v>
      </c>
      <c r="D50" s="90" t="s">
        <v>632</v>
      </c>
      <c r="E50" s="90" t="s">
        <v>884</v>
      </c>
      <c r="F50" s="90" t="s">
        <v>1028</v>
      </c>
    </row>
    <row r="51" spans="1:6" ht="16.5" x14ac:dyDescent="0.3">
      <c r="A51" t="s">
        <v>555</v>
      </c>
      <c r="B51" s="90">
        <v>16.20000076293945</v>
      </c>
      <c r="C51" s="90">
        <v>16.54000091552734</v>
      </c>
      <c r="D51" s="90" t="s">
        <v>633</v>
      </c>
      <c r="E51" s="90" t="s">
        <v>885</v>
      </c>
      <c r="F51" s="90" t="s">
        <v>1029</v>
      </c>
    </row>
    <row r="52" spans="1:6" ht="16.5" x14ac:dyDescent="0.3">
      <c r="A52" t="s">
        <v>556</v>
      </c>
      <c r="B52" s="90">
        <v>125.80999755859381</v>
      </c>
      <c r="C52" s="90">
        <v>126.8399963378906</v>
      </c>
      <c r="D52" s="90" t="s">
        <v>634</v>
      </c>
      <c r="E52" s="90" t="s">
        <v>886</v>
      </c>
      <c r="F52" s="90" t="s">
        <v>1030</v>
      </c>
    </row>
    <row r="53" spans="1:6" ht="16.5" x14ac:dyDescent="0.3">
      <c r="A53" t="s">
        <v>557</v>
      </c>
      <c r="B53" s="90">
        <v>134.13999938964841</v>
      </c>
      <c r="C53" s="90">
        <v>138.3800048828125</v>
      </c>
      <c r="D53" s="90" t="s">
        <v>635</v>
      </c>
      <c r="E53" s="90" t="s">
        <v>887</v>
      </c>
      <c r="F53" s="90" t="s">
        <v>1031</v>
      </c>
    </row>
    <row r="54" spans="1:6" ht="16.5" x14ac:dyDescent="0.3">
      <c r="A54" t="s">
        <v>558</v>
      </c>
      <c r="B54" s="90">
        <v>12.210000038146971</v>
      </c>
      <c r="C54" s="90">
        <v>12.36999988555908</v>
      </c>
      <c r="D54" s="90" t="s">
        <v>636</v>
      </c>
      <c r="E54" s="90" t="s">
        <v>888</v>
      </c>
      <c r="F54" s="90" t="s">
        <v>1032</v>
      </c>
    </row>
    <row r="55" spans="1:6" ht="16.5" x14ac:dyDescent="0.3">
      <c r="A55" t="s">
        <v>559</v>
      </c>
      <c r="B55" s="90">
        <v>7.7800002098083496</v>
      </c>
      <c r="C55" s="90">
        <v>7.6500000953674316</v>
      </c>
      <c r="D55" s="90" t="s">
        <v>637</v>
      </c>
      <c r="E55" s="90" t="s">
        <v>889</v>
      </c>
      <c r="F55" s="90" t="s">
        <v>1033</v>
      </c>
    </row>
    <row r="56" spans="1:6" ht="16.5" x14ac:dyDescent="0.3">
      <c r="A56" t="s">
        <v>560</v>
      </c>
      <c r="B56" s="90">
        <v>32.75</v>
      </c>
      <c r="C56" s="90">
        <v>33.799999237060547</v>
      </c>
      <c r="D56" s="90" t="s">
        <v>638</v>
      </c>
      <c r="E56" s="90" t="s">
        <v>890</v>
      </c>
      <c r="F56" s="90" t="s">
        <v>1034</v>
      </c>
    </row>
  </sheetData>
  <sortState xmlns:xlrd2="http://schemas.microsoft.com/office/spreadsheetml/2017/richdata2" ref="A52:A73">
    <sortCondition ref="A52:A73"/>
  </sortState>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79CF-2D86-4F14-B6E2-0A64E9EB3B87}">
  <dimension ref="A1:F150"/>
  <sheetViews>
    <sheetView workbookViewId="0">
      <selection activeCell="B1" sqref="B1:B1048576"/>
    </sheetView>
  </sheetViews>
  <sheetFormatPr defaultRowHeight="15" x14ac:dyDescent="0.25"/>
  <cols>
    <col min="2" max="6" width="10.7109375" bestFit="1" customWidth="1"/>
  </cols>
  <sheetData>
    <row r="1" spans="1:6" x14ac:dyDescent="0.25">
      <c r="A1" t="s">
        <v>475</v>
      </c>
      <c r="B1" s="79">
        <v>45836</v>
      </c>
      <c r="C1" s="79">
        <v>45843</v>
      </c>
      <c r="D1" s="79">
        <v>45850</v>
      </c>
      <c r="E1" s="79">
        <v>45857</v>
      </c>
      <c r="F1" s="79">
        <v>45864</v>
      </c>
    </row>
    <row r="2" spans="1:6" ht="16.5" x14ac:dyDescent="0.3">
      <c r="A2" t="s">
        <v>566</v>
      </c>
      <c r="B2" s="90">
        <v>100</v>
      </c>
      <c r="C2" s="90">
        <v>100.13999938964839</v>
      </c>
      <c r="D2" s="90" t="s">
        <v>639</v>
      </c>
      <c r="E2" s="90" t="s">
        <v>891</v>
      </c>
      <c r="F2" s="90" t="s">
        <v>1035</v>
      </c>
    </row>
    <row r="3" spans="1:6" ht="16.5" x14ac:dyDescent="0.3">
      <c r="A3" t="s">
        <v>567</v>
      </c>
      <c r="B3" s="90">
        <v>7.3400001525878906</v>
      </c>
      <c r="C3" s="90">
        <v>7.5399999618530273</v>
      </c>
      <c r="D3" s="90" t="s">
        <v>584</v>
      </c>
      <c r="E3" s="90" t="s">
        <v>892</v>
      </c>
      <c r="F3" s="90" t="s">
        <v>1036</v>
      </c>
    </row>
    <row r="4" spans="1:6" ht="16.5" x14ac:dyDescent="0.3">
      <c r="A4" t="s">
        <v>572</v>
      </c>
      <c r="B4" s="90">
        <v>8.8473701477050781</v>
      </c>
      <c r="C4" s="90">
        <v>8.9899997711181641</v>
      </c>
      <c r="D4" s="90" t="s">
        <v>640</v>
      </c>
      <c r="E4" s="90" t="s">
        <v>893</v>
      </c>
      <c r="F4" s="90" t="s">
        <v>1037</v>
      </c>
    </row>
    <row r="5" spans="1:6" ht="16.5" x14ac:dyDescent="0.3">
      <c r="A5" t="s">
        <v>578</v>
      </c>
      <c r="B5" s="90">
        <v>19.53168869018555</v>
      </c>
      <c r="C5" s="90">
        <v>19.510000228881839</v>
      </c>
      <c r="D5" s="90" t="s">
        <v>641</v>
      </c>
      <c r="E5" s="90" t="s">
        <v>894</v>
      </c>
      <c r="F5" s="90" t="s">
        <v>1038</v>
      </c>
    </row>
    <row r="6" spans="1:6" ht="16.5" x14ac:dyDescent="0.3">
      <c r="A6" t="s">
        <v>563</v>
      </c>
      <c r="B6" s="90">
        <v>156.4119567871094</v>
      </c>
      <c r="C6" s="90">
        <v>157.58000183105469</v>
      </c>
      <c r="D6" s="90" t="s">
        <v>642</v>
      </c>
      <c r="E6" s="90" t="s">
        <v>895</v>
      </c>
      <c r="F6" s="90" t="s">
        <v>1039</v>
      </c>
    </row>
    <row r="7" spans="1:6" ht="16.5" x14ac:dyDescent="0.3">
      <c r="A7" t="s">
        <v>574</v>
      </c>
      <c r="B7" s="90">
        <v>123.1809997558594</v>
      </c>
      <c r="C7" s="90">
        <v>124.1999969482422</v>
      </c>
      <c r="D7" s="90" t="s">
        <v>643</v>
      </c>
      <c r="E7" s="90" t="s">
        <v>896</v>
      </c>
      <c r="F7" s="90" t="s">
        <v>1040</v>
      </c>
    </row>
    <row r="8" spans="1:6" ht="16.5" x14ac:dyDescent="0.3">
      <c r="A8" t="s">
        <v>571</v>
      </c>
      <c r="B8" s="90">
        <v>67.5</v>
      </c>
      <c r="C8" s="90">
        <v>68.739997863769531</v>
      </c>
      <c r="D8" s="90" t="s">
        <v>644</v>
      </c>
      <c r="E8" s="90" t="s">
        <v>897</v>
      </c>
      <c r="F8" s="90" t="s">
        <v>1041</v>
      </c>
    </row>
    <row r="9" spans="1:6" ht="16.5" x14ac:dyDescent="0.3">
      <c r="A9" t="s">
        <v>564</v>
      </c>
      <c r="B9" s="90">
        <v>104.55361175537109</v>
      </c>
      <c r="C9" s="90">
        <v>104.9499969482422</v>
      </c>
      <c r="D9" s="90" t="s">
        <v>645</v>
      </c>
      <c r="E9" s="90" t="s">
        <v>898</v>
      </c>
      <c r="F9" s="90" t="s">
        <v>1042</v>
      </c>
    </row>
    <row r="10" spans="1:6" ht="16.5" x14ac:dyDescent="0.3">
      <c r="A10" t="s">
        <v>580</v>
      </c>
      <c r="B10" s="90">
        <v>90.348594665527344</v>
      </c>
      <c r="C10" s="90">
        <v>89.30999755859375</v>
      </c>
      <c r="D10" s="90" t="s">
        <v>646</v>
      </c>
      <c r="E10" s="90" t="s">
        <v>899</v>
      </c>
      <c r="F10" s="90" t="s">
        <v>1043</v>
      </c>
    </row>
    <row r="11" spans="1:6" ht="16.5" x14ac:dyDescent="0.3">
      <c r="A11" t="s">
        <v>570</v>
      </c>
      <c r="B11" s="90">
        <v>142.6147766113281</v>
      </c>
      <c r="C11" s="90">
        <v>145.19999694824219</v>
      </c>
      <c r="D11" s="90" t="s">
        <v>647</v>
      </c>
      <c r="E11" s="90" t="s">
        <v>900</v>
      </c>
      <c r="F11" s="90" t="s">
        <v>1044</v>
      </c>
    </row>
    <row r="12" spans="1:6" ht="16.5" x14ac:dyDescent="0.3">
      <c r="A12" t="s">
        <v>579</v>
      </c>
      <c r="B12" s="90">
        <v>87.550003051757813</v>
      </c>
      <c r="C12" s="90">
        <v>88.279998779296875</v>
      </c>
      <c r="D12" s="90" t="s">
        <v>648</v>
      </c>
      <c r="E12" s="90" t="s">
        <v>901</v>
      </c>
      <c r="F12" s="90" t="s">
        <v>1045</v>
      </c>
    </row>
    <row r="13" spans="1:6" ht="16.5" x14ac:dyDescent="0.3">
      <c r="A13" t="s">
        <v>561</v>
      </c>
      <c r="B13" s="90">
        <v>9.3705253601074219</v>
      </c>
      <c r="C13" s="90">
        <v>9.5</v>
      </c>
      <c r="D13" s="90" t="s">
        <v>649</v>
      </c>
      <c r="E13" s="90" t="s">
        <v>902</v>
      </c>
      <c r="F13" s="90" t="s">
        <v>1046</v>
      </c>
    </row>
    <row r="14" spans="1:6" ht="16.5" x14ac:dyDescent="0.3">
      <c r="A14" t="s">
        <v>576</v>
      </c>
      <c r="B14" s="90">
        <v>75.153480529785156</v>
      </c>
      <c r="C14" s="90">
        <v>77.19000244140625</v>
      </c>
      <c r="D14" s="90" t="s">
        <v>650</v>
      </c>
      <c r="E14" s="90" t="s">
        <v>903</v>
      </c>
      <c r="F14" s="90" t="s">
        <v>1047</v>
      </c>
    </row>
    <row r="15" spans="1:6" ht="16.5" x14ac:dyDescent="0.3">
      <c r="A15" t="s">
        <v>575</v>
      </c>
      <c r="B15" s="90">
        <v>84.085227966308594</v>
      </c>
      <c r="C15" s="90">
        <v>85.448936462402344</v>
      </c>
      <c r="D15" s="90" t="s">
        <v>651</v>
      </c>
      <c r="E15" s="90" t="s">
        <v>904</v>
      </c>
      <c r="F15" s="90" t="s">
        <v>1048</v>
      </c>
    </row>
    <row r="16" spans="1:6" ht="16.5" x14ac:dyDescent="0.3">
      <c r="A16" t="s">
        <v>577</v>
      </c>
      <c r="B16" s="90">
        <v>91.298919677734375</v>
      </c>
      <c r="C16" s="90">
        <v>91.610000610351563</v>
      </c>
      <c r="D16" s="90" t="s">
        <v>652</v>
      </c>
      <c r="E16" s="90" t="s">
        <v>905</v>
      </c>
      <c r="F16" s="90" t="s">
        <v>1049</v>
      </c>
    </row>
    <row r="17" spans="1:6" ht="16.5" x14ac:dyDescent="0.3">
      <c r="A17" t="s">
        <v>565</v>
      </c>
      <c r="B17" s="90">
        <v>7.6501288414001456</v>
      </c>
      <c r="C17" s="90">
        <v>7.7600002288818359</v>
      </c>
      <c r="D17" s="90" t="s">
        <v>653</v>
      </c>
      <c r="E17" s="90" t="s">
        <v>906</v>
      </c>
      <c r="F17" s="90" t="s">
        <v>1050</v>
      </c>
    </row>
    <row r="18" spans="1:6" ht="16.5" x14ac:dyDescent="0.3">
      <c r="A18" t="s">
        <v>573</v>
      </c>
      <c r="B18" s="90">
        <v>9.5299997329711914</v>
      </c>
      <c r="C18" s="90">
        <v>9.75</v>
      </c>
      <c r="D18" s="90" t="s">
        <v>582</v>
      </c>
      <c r="E18" s="90" t="s">
        <v>907</v>
      </c>
      <c r="F18" s="90" t="s">
        <v>1051</v>
      </c>
    </row>
    <row r="19" spans="1:6" ht="16.5" x14ac:dyDescent="0.3">
      <c r="A19" t="s">
        <v>568</v>
      </c>
      <c r="B19" s="90">
        <v>103.29632568359381</v>
      </c>
      <c r="C19" s="90">
        <v>105.2399978637695</v>
      </c>
      <c r="D19" s="90" t="s">
        <v>654</v>
      </c>
      <c r="E19" s="90" t="s">
        <v>908</v>
      </c>
      <c r="F19" s="90" t="s">
        <v>1052</v>
      </c>
    </row>
    <row r="20" spans="1:6" ht="16.5" x14ac:dyDescent="0.3">
      <c r="A20" t="s">
        <v>569</v>
      </c>
      <c r="B20" s="90">
        <v>99.175796508789063</v>
      </c>
      <c r="C20" s="90">
        <v>100.51999664306641</v>
      </c>
      <c r="D20" s="90" t="s">
        <v>655</v>
      </c>
      <c r="E20" s="90" t="s">
        <v>909</v>
      </c>
      <c r="F20" s="90" t="s">
        <v>1053</v>
      </c>
    </row>
    <row r="21" spans="1:6" ht="16.5" x14ac:dyDescent="0.3">
      <c r="A21" t="s">
        <v>562</v>
      </c>
      <c r="B21" s="90">
        <v>103.1999969482422</v>
      </c>
      <c r="C21" s="90">
        <v>105.44000244140619</v>
      </c>
      <c r="D21" s="90" t="s">
        <v>656</v>
      </c>
      <c r="E21" s="90" t="s">
        <v>910</v>
      </c>
      <c r="F21" s="90" t="s">
        <v>1054</v>
      </c>
    </row>
    <row r="22" spans="1:6" ht="16.5" x14ac:dyDescent="0.3">
      <c r="B22" s="90"/>
      <c r="C22" s="90"/>
      <c r="D22" s="90"/>
    </row>
    <row r="23" spans="1:6" ht="16.5" x14ac:dyDescent="0.3">
      <c r="B23" s="90"/>
      <c r="C23" s="90"/>
      <c r="D23" s="90"/>
    </row>
    <row r="24" spans="1:6" ht="16.5" x14ac:dyDescent="0.3">
      <c r="B24" s="90"/>
      <c r="C24" s="90"/>
      <c r="D24" s="90"/>
    </row>
    <row r="25" spans="1:6" ht="16.5" x14ac:dyDescent="0.3">
      <c r="B25" s="90"/>
      <c r="C25" s="90"/>
      <c r="D25" s="90"/>
    </row>
    <row r="26" spans="1:6" ht="16.5" x14ac:dyDescent="0.3">
      <c r="B26" s="90"/>
      <c r="C26" s="90"/>
      <c r="D26" s="90"/>
    </row>
    <row r="27" spans="1:6" ht="16.5" x14ac:dyDescent="0.3">
      <c r="B27" s="90"/>
      <c r="C27" s="90"/>
      <c r="D27" s="90"/>
    </row>
    <row r="28" spans="1:6" ht="16.5" x14ac:dyDescent="0.3">
      <c r="B28" s="90"/>
      <c r="C28" s="90"/>
      <c r="D28" s="90"/>
    </row>
    <row r="29" spans="1:6" ht="16.5" x14ac:dyDescent="0.3">
      <c r="B29" s="90"/>
      <c r="C29" s="90"/>
      <c r="D29" s="90"/>
    </row>
    <row r="30" spans="1:6" ht="16.5" x14ac:dyDescent="0.3">
      <c r="B30" s="90"/>
      <c r="C30" s="90"/>
      <c r="D30" s="90"/>
    </row>
    <row r="31" spans="1:6" ht="16.5" x14ac:dyDescent="0.3">
      <c r="B31" s="90"/>
      <c r="C31" s="90"/>
      <c r="D31" s="90"/>
    </row>
    <row r="32" spans="1:6" ht="16.5" x14ac:dyDescent="0.3">
      <c r="B32" s="90"/>
      <c r="C32" s="90"/>
      <c r="D32" s="90"/>
    </row>
    <row r="33" spans="2:4" ht="16.5" x14ac:dyDescent="0.3">
      <c r="B33" s="90"/>
      <c r="C33" s="90"/>
      <c r="D33" s="90"/>
    </row>
    <row r="34" spans="2:4" ht="16.5" x14ac:dyDescent="0.3">
      <c r="B34" s="90"/>
      <c r="C34" s="90"/>
      <c r="D34" s="90"/>
    </row>
    <row r="35" spans="2:4" ht="16.5" x14ac:dyDescent="0.3">
      <c r="B35" s="90"/>
      <c r="C35" s="90"/>
      <c r="D35" s="90"/>
    </row>
    <row r="36" spans="2:4" ht="16.5" x14ac:dyDescent="0.3">
      <c r="B36" s="90"/>
      <c r="C36" s="90"/>
      <c r="D36" s="90"/>
    </row>
    <row r="37" spans="2:4" ht="16.5" x14ac:dyDescent="0.3">
      <c r="B37" s="90"/>
      <c r="C37" s="90"/>
      <c r="D37" s="90"/>
    </row>
    <row r="38" spans="2:4" ht="16.5" x14ac:dyDescent="0.3">
      <c r="B38" s="90"/>
      <c r="C38" s="90"/>
      <c r="D38" s="90"/>
    </row>
    <row r="39" spans="2:4" ht="16.5" x14ac:dyDescent="0.3">
      <c r="B39" s="90"/>
      <c r="C39" s="90"/>
      <c r="D39" s="90"/>
    </row>
    <row r="40" spans="2:4" ht="16.5" x14ac:dyDescent="0.3">
      <c r="B40" s="90"/>
      <c r="C40" s="90"/>
      <c r="D40" s="90"/>
    </row>
    <row r="41" spans="2:4" ht="16.5" x14ac:dyDescent="0.3">
      <c r="B41" s="90"/>
      <c r="C41" s="90"/>
      <c r="D41" s="90"/>
    </row>
    <row r="42" spans="2:4" ht="16.5" x14ac:dyDescent="0.3">
      <c r="B42" s="90"/>
      <c r="C42" s="90"/>
      <c r="D42" s="90"/>
    </row>
    <row r="43" spans="2:4" ht="16.5" x14ac:dyDescent="0.3">
      <c r="B43" s="90"/>
      <c r="C43" s="90"/>
      <c r="D43" s="90"/>
    </row>
    <row r="44" spans="2:4" ht="16.5" x14ac:dyDescent="0.3">
      <c r="B44" s="90"/>
      <c r="C44" s="90"/>
      <c r="D44" s="90"/>
    </row>
    <row r="45" spans="2:4" ht="16.5" x14ac:dyDescent="0.3">
      <c r="B45" s="90"/>
      <c r="C45" s="90"/>
      <c r="D45" s="90"/>
    </row>
    <row r="46" spans="2:4" ht="16.5" x14ac:dyDescent="0.3">
      <c r="B46" s="90"/>
      <c r="C46" s="90"/>
      <c r="D46" s="90"/>
    </row>
    <row r="47" spans="2:4" ht="16.5" x14ac:dyDescent="0.3">
      <c r="B47" s="90"/>
      <c r="C47" s="90"/>
      <c r="D47" s="90"/>
    </row>
    <row r="48" spans="2:4" ht="16.5" x14ac:dyDescent="0.3">
      <c r="B48" s="90"/>
      <c r="C48" s="90"/>
      <c r="D48" s="90"/>
    </row>
    <row r="49" spans="2:4" ht="16.5" x14ac:dyDescent="0.3">
      <c r="B49" s="90"/>
      <c r="C49" s="90"/>
      <c r="D49" s="90"/>
    </row>
    <row r="50" spans="2:4" ht="16.5" x14ac:dyDescent="0.3">
      <c r="B50" s="90"/>
      <c r="C50" s="90"/>
      <c r="D50" s="90"/>
    </row>
    <row r="51" spans="2:4" ht="16.5" x14ac:dyDescent="0.3">
      <c r="B51" s="90"/>
      <c r="C51" s="90"/>
      <c r="D51" s="90"/>
    </row>
    <row r="52" spans="2:4" ht="16.5" x14ac:dyDescent="0.3">
      <c r="B52" s="90"/>
      <c r="C52" s="90"/>
      <c r="D52" s="90"/>
    </row>
    <row r="53" spans="2:4" ht="16.5" x14ac:dyDescent="0.3">
      <c r="B53" s="90"/>
      <c r="C53" s="90"/>
      <c r="D53" s="90"/>
    </row>
    <row r="54" spans="2:4" ht="16.5" x14ac:dyDescent="0.3">
      <c r="B54" s="90"/>
      <c r="C54" s="90"/>
      <c r="D54" s="90"/>
    </row>
    <row r="55" spans="2:4" ht="16.5" x14ac:dyDescent="0.3">
      <c r="B55" s="90"/>
      <c r="C55" s="90"/>
      <c r="D55" s="90"/>
    </row>
    <row r="56" spans="2:4" ht="16.5" x14ac:dyDescent="0.3">
      <c r="B56" s="90"/>
      <c r="C56" s="90"/>
      <c r="D56" s="90"/>
    </row>
    <row r="57" spans="2:4" ht="16.5" x14ac:dyDescent="0.3">
      <c r="B57" s="90"/>
      <c r="C57" s="90"/>
      <c r="D57" s="90"/>
    </row>
    <row r="58" spans="2:4" ht="16.5" x14ac:dyDescent="0.3">
      <c r="B58" s="90"/>
      <c r="C58" s="90"/>
      <c r="D58" s="90"/>
    </row>
    <row r="59" spans="2:4" ht="16.5" x14ac:dyDescent="0.3">
      <c r="B59" s="90"/>
      <c r="C59" s="90"/>
      <c r="D59" s="90"/>
    </row>
    <row r="60" spans="2:4" ht="16.5" x14ac:dyDescent="0.3">
      <c r="B60" s="90"/>
      <c r="C60" s="90"/>
      <c r="D60" s="90"/>
    </row>
    <row r="61" spans="2:4" ht="16.5" x14ac:dyDescent="0.3">
      <c r="B61" s="90"/>
      <c r="C61" s="90"/>
      <c r="D61" s="90"/>
    </row>
    <row r="62" spans="2:4" ht="16.5" x14ac:dyDescent="0.3">
      <c r="B62" s="90"/>
      <c r="C62" s="90"/>
      <c r="D62" s="90"/>
    </row>
    <row r="63" spans="2:4" ht="16.5" x14ac:dyDescent="0.3">
      <c r="B63" s="90"/>
      <c r="C63" s="90"/>
      <c r="D63" s="90"/>
    </row>
    <row r="64" spans="2:4" ht="16.5" x14ac:dyDescent="0.3">
      <c r="B64" s="90"/>
      <c r="C64" s="90"/>
      <c r="D64" s="90"/>
    </row>
    <row r="65" spans="2:4" ht="16.5" x14ac:dyDescent="0.3">
      <c r="B65" s="90"/>
      <c r="C65" s="90"/>
      <c r="D65" s="90"/>
    </row>
    <row r="66" spans="2:4" ht="16.5" x14ac:dyDescent="0.3">
      <c r="B66" s="90"/>
      <c r="C66" s="90"/>
      <c r="D66" s="90"/>
    </row>
    <row r="67" spans="2:4" ht="16.5" x14ac:dyDescent="0.3">
      <c r="B67" s="90"/>
      <c r="C67" s="90"/>
      <c r="D67" s="90"/>
    </row>
    <row r="68" spans="2:4" ht="16.5" x14ac:dyDescent="0.3">
      <c r="B68" s="90"/>
      <c r="C68" s="90"/>
      <c r="D68" s="90"/>
    </row>
    <row r="69" spans="2:4" ht="16.5" x14ac:dyDescent="0.3">
      <c r="B69" s="90"/>
      <c r="C69" s="90"/>
      <c r="D69" s="90"/>
    </row>
    <row r="70" spans="2:4" ht="16.5" x14ac:dyDescent="0.3">
      <c r="B70" s="90"/>
      <c r="C70" s="90"/>
      <c r="D70" s="90"/>
    </row>
    <row r="71" spans="2:4" ht="16.5" x14ac:dyDescent="0.3">
      <c r="B71" s="90"/>
      <c r="C71" s="90"/>
      <c r="D71" s="90"/>
    </row>
    <row r="72" spans="2:4" ht="16.5" x14ac:dyDescent="0.3">
      <c r="B72" s="90"/>
      <c r="C72" s="90"/>
      <c r="D72" s="90"/>
    </row>
    <row r="73" spans="2:4" ht="16.5" x14ac:dyDescent="0.3">
      <c r="B73" s="90"/>
      <c r="C73" s="90"/>
      <c r="D73" s="90"/>
    </row>
    <row r="74" spans="2:4" ht="16.5" x14ac:dyDescent="0.3">
      <c r="B74" s="90"/>
      <c r="C74" s="90"/>
      <c r="D74" s="90"/>
    </row>
    <row r="75" spans="2:4" ht="16.5" x14ac:dyDescent="0.3">
      <c r="B75" s="90"/>
      <c r="C75" s="90"/>
      <c r="D75" s="90"/>
    </row>
    <row r="76" spans="2:4" ht="16.5" x14ac:dyDescent="0.3">
      <c r="B76" s="90"/>
      <c r="C76" s="90"/>
      <c r="D76" s="90"/>
    </row>
    <row r="77" spans="2:4" ht="16.5" x14ac:dyDescent="0.3">
      <c r="B77" s="90"/>
      <c r="C77" s="90"/>
      <c r="D77" s="90"/>
    </row>
    <row r="78" spans="2:4" ht="16.5" x14ac:dyDescent="0.3">
      <c r="B78" s="90"/>
      <c r="C78" s="90"/>
      <c r="D78" s="90"/>
    </row>
    <row r="79" spans="2:4" ht="16.5" x14ac:dyDescent="0.3">
      <c r="B79" s="90"/>
      <c r="C79" s="90"/>
      <c r="D79" s="90"/>
    </row>
    <row r="80" spans="2:4" ht="16.5" x14ac:dyDescent="0.3">
      <c r="B80" s="90"/>
      <c r="C80" s="90"/>
      <c r="D80" s="90"/>
    </row>
    <row r="81" spans="2:4" ht="16.5" x14ac:dyDescent="0.3">
      <c r="B81" s="90"/>
      <c r="C81" s="90"/>
      <c r="D81" s="90"/>
    </row>
    <row r="82" spans="2:4" ht="16.5" x14ac:dyDescent="0.3">
      <c r="B82" s="90"/>
      <c r="C82" s="90"/>
      <c r="D82" s="90"/>
    </row>
    <row r="83" spans="2:4" ht="16.5" x14ac:dyDescent="0.3">
      <c r="B83" s="90"/>
      <c r="C83" s="90"/>
      <c r="D83" s="90"/>
    </row>
    <row r="84" spans="2:4" ht="16.5" x14ac:dyDescent="0.3">
      <c r="B84" s="90"/>
      <c r="C84" s="90"/>
      <c r="D84" s="90"/>
    </row>
    <row r="85" spans="2:4" ht="16.5" x14ac:dyDescent="0.3">
      <c r="B85" s="90"/>
      <c r="C85" s="90"/>
      <c r="D85" s="90"/>
    </row>
    <row r="86" spans="2:4" ht="16.5" x14ac:dyDescent="0.3">
      <c r="B86" s="90"/>
      <c r="C86" s="90"/>
      <c r="D86" s="90"/>
    </row>
    <row r="87" spans="2:4" ht="16.5" x14ac:dyDescent="0.3">
      <c r="B87" s="90"/>
      <c r="C87" s="90"/>
      <c r="D87" s="90"/>
    </row>
    <row r="88" spans="2:4" ht="16.5" x14ac:dyDescent="0.3">
      <c r="B88" s="90"/>
      <c r="C88" s="90"/>
      <c r="D88" s="90"/>
    </row>
    <row r="89" spans="2:4" ht="16.5" x14ac:dyDescent="0.3">
      <c r="B89" s="90"/>
      <c r="C89" s="90"/>
      <c r="D89" s="90"/>
    </row>
    <row r="90" spans="2:4" ht="16.5" x14ac:dyDescent="0.3">
      <c r="B90" s="90"/>
      <c r="C90" s="90"/>
      <c r="D90" s="90"/>
    </row>
    <row r="91" spans="2:4" ht="16.5" x14ac:dyDescent="0.3">
      <c r="B91" s="90"/>
      <c r="C91" s="90"/>
      <c r="D91" s="90"/>
    </row>
    <row r="92" spans="2:4" ht="16.5" x14ac:dyDescent="0.3">
      <c r="B92" s="90"/>
      <c r="C92" s="90"/>
      <c r="D92" s="90"/>
    </row>
    <row r="93" spans="2:4" ht="16.5" x14ac:dyDescent="0.3">
      <c r="B93" s="90"/>
      <c r="C93" s="90"/>
      <c r="D93" s="90"/>
    </row>
    <row r="94" spans="2:4" ht="16.5" x14ac:dyDescent="0.3">
      <c r="B94" s="90"/>
      <c r="C94" s="90"/>
      <c r="D94" s="90"/>
    </row>
    <row r="95" spans="2:4" ht="16.5" x14ac:dyDescent="0.3">
      <c r="B95" s="90"/>
      <c r="C95" s="90"/>
      <c r="D95" s="90"/>
    </row>
    <row r="96" spans="2:4" ht="16.5" x14ac:dyDescent="0.3">
      <c r="B96" s="90"/>
      <c r="C96" s="90"/>
      <c r="D96" s="90"/>
    </row>
    <row r="97" spans="2:4" ht="16.5" x14ac:dyDescent="0.3">
      <c r="B97" s="90"/>
      <c r="C97" s="90"/>
      <c r="D97" s="90"/>
    </row>
    <row r="98" spans="2:4" ht="16.5" x14ac:dyDescent="0.3">
      <c r="B98" s="90"/>
      <c r="C98" s="90"/>
      <c r="D98" s="90"/>
    </row>
    <row r="99" spans="2:4" ht="16.5" x14ac:dyDescent="0.3">
      <c r="B99" s="90"/>
      <c r="C99" s="90"/>
      <c r="D99" s="90"/>
    </row>
    <row r="100" spans="2:4" ht="16.5" x14ac:dyDescent="0.3">
      <c r="B100" s="90"/>
      <c r="C100" s="90"/>
      <c r="D100" s="90"/>
    </row>
    <row r="101" spans="2:4" ht="16.5" x14ac:dyDescent="0.3">
      <c r="B101" s="90"/>
      <c r="C101" s="90"/>
      <c r="D101" s="90"/>
    </row>
    <row r="102" spans="2:4" ht="16.5" x14ac:dyDescent="0.3">
      <c r="B102" s="90"/>
      <c r="C102" s="90"/>
      <c r="D102" s="90"/>
    </row>
    <row r="103" spans="2:4" ht="16.5" x14ac:dyDescent="0.3">
      <c r="B103" s="90"/>
      <c r="C103" s="90"/>
      <c r="D103" s="90"/>
    </row>
    <row r="104" spans="2:4" ht="16.5" x14ac:dyDescent="0.3">
      <c r="B104" s="90"/>
      <c r="C104" s="90"/>
      <c r="D104" s="90"/>
    </row>
    <row r="105" spans="2:4" ht="16.5" x14ac:dyDescent="0.3">
      <c r="B105" s="90"/>
      <c r="C105" s="90"/>
      <c r="D105" s="90"/>
    </row>
    <row r="106" spans="2:4" ht="16.5" x14ac:dyDescent="0.3">
      <c r="B106" s="90"/>
      <c r="C106" s="90"/>
      <c r="D106" s="90"/>
    </row>
    <row r="107" spans="2:4" ht="16.5" x14ac:dyDescent="0.3">
      <c r="B107" s="90"/>
      <c r="C107" s="90"/>
      <c r="D107" s="90"/>
    </row>
    <row r="108" spans="2:4" ht="16.5" x14ac:dyDescent="0.3">
      <c r="B108" s="90"/>
      <c r="C108" s="90"/>
      <c r="D108" s="90"/>
    </row>
    <row r="109" spans="2:4" ht="16.5" x14ac:dyDescent="0.3">
      <c r="B109" s="90"/>
      <c r="C109" s="90"/>
      <c r="D109" s="90"/>
    </row>
    <row r="110" spans="2:4" ht="16.5" x14ac:dyDescent="0.3">
      <c r="B110" s="90"/>
      <c r="C110" s="90"/>
      <c r="D110" s="90"/>
    </row>
    <row r="111" spans="2:4" ht="16.5" x14ac:dyDescent="0.3">
      <c r="B111" s="90"/>
      <c r="C111" s="90"/>
      <c r="D111" s="90"/>
    </row>
    <row r="112" spans="2:4" ht="16.5" x14ac:dyDescent="0.3">
      <c r="B112" s="90"/>
      <c r="C112" s="90"/>
      <c r="D112" s="90"/>
    </row>
    <row r="113" spans="2:4" ht="16.5" x14ac:dyDescent="0.3">
      <c r="B113" s="90"/>
      <c r="C113" s="90"/>
      <c r="D113" s="90"/>
    </row>
    <row r="114" spans="2:4" ht="16.5" x14ac:dyDescent="0.3">
      <c r="B114" s="90"/>
      <c r="C114" s="90"/>
      <c r="D114" s="90"/>
    </row>
    <row r="115" spans="2:4" ht="16.5" x14ac:dyDescent="0.3">
      <c r="B115" s="90"/>
      <c r="C115" s="90"/>
      <c r="D115" s="90"/>
    </row>
    <row r="116" spans="2:4" ht="16.5" x14ac:dyDescent="0.3">
      <c r="B116" s="90"/>
      <c r="C116" s="90"/>
      <c r="D116" s="90"/>
    </row>
    <row r="117" spans="2:4" ht="16.5" x14ac:dyDescent="0.3">
      <c r="B117" s="90"/>
      <c r="C117" s="90"/>
      <c r="D117" s="90"/>
    </row>
    <row r="118" spans="2:4" ht="16.5" x14ac:dyDescent="0.3">
      <c r="B118" s="90"/>
      <c r="C118" s="90"/>
      <c r="D118" s="90"/>
    </row>
    <row r="119" spans="2:4" ht="16.5" x14ac:dyDescent="0.3">
      <c r="B119" s="90"/>
      <c r="C119" s="90"/>
      <c r="D119" s="90"/>
    </row>
    <row r="120" spans="2:4" ht="16.5" x14ac:dyDescent="0.3">
      <c r="B120" s="90"/>
      <c r="C120" s="90"/>
      <c r="D120" s="90"/>
    </row>
    <row r="121" spans="2:4" ht="16.5" x14ac:dyDescent="0.3">
      <c r="B121" s="90"/>
      <c r="C121" s="90"/>
      <c r="D121" s="90"/>
    </row>
    <row r="122" spans="2:4" ht="16.5" x14ac:dyDescent="0.3">
      <c r="B122" s="90"/>
      <c r="C122" s="90"/>
      <c r="D122" s="90"/>
    </row>
    <row r="123" spans="2:4" ht="16.5" x14ac:dyDescent="0.3">
      <c r="B123" s="90"/>
      <c r="C123" s="90"/>
      <c r="D123" s="90"/>
    </row>
    <row r="124" spans="2:4" ht="16.5" x14ac:dyDescent="0.3">
      <c r="B124" s="90"/>
      <c r="C124" s="90"/>
      <c r="D124" s="90"/>
    </row>
    <row r="125" spans="2:4" ht="16.5" x14ac:dyDescent="0.3">
      <c r="B125" s="90"/>
      <c r="C125" s="90"/>
      <c r="D125" s="90"/>
    </row>
    <row r="126" spans="2:4" ht="16.5" x14ac:dyDescent="0.3">
      <c r="B126" s="90"/>
      <c r="C126" s="90"/>
      <c r="D126" s="90"/>
    </row>
    <row r="127" spans="2:4" ht="16.5" x14ac:dyDescent="0.3">
      <c r="B127" s="90"/>
      <c r="C127" s="90"/>
      <c r="D127" s="90"/>
    </row>
    <row r="128" spans="2:4" ht="16.5" x14ac:dyDescent="0.3">
      <c r="B128" s="90"/>
      <c r="C128" s="90"/>
      <c r="D128" s="90"/>
    </row>
    <row r="129" spans="2:4" ht="16.5" x14ac:dyDescent="0.3">
      <c r="B129" s="90"/>
      <c r="C129" s="90"/>
      <c r="D129" s="90"/>
    </row>
    <row r="130" spans="2:4" ht="16.5" x14ac:dyDescent="0.3">
      <c r="B130" s="90"/>
      <c r="C130" s="90"/>
      <c r="D130" s="90"/>
    </row>
    <row r="131" spans="2:4" ht="16.5" x14ac:dyDescent="0.3">
      <c r="B131" s="90"/>
      <c r="C131" s="90"/>
      <c r="D131" s="90"/>
    </row>
    <row r="132" spans="2:4" ht="16.5" x14ac:dyDescent="0.3">
      <c r="B132" s="90"/>
      <c r="C132" s="90"/>
      <c r="D132" s="90"/>
    </row>
    <row r="133" spans="2:4" ht="16.5" x14ac:dyDescent="0.3">
      <c r="B133" s="90"/>
      <c r="C133" s="90"/>
      <c r="D133" s="90"/>
    </row>
    <row r="134" spans="2:4" ht="16.5" x14ac:dyDescent="0.3">
      <c r="B134" s="90"/>
      <c r="C134" s="90"/>
      <c r="D134" s="90"/>
    </row>
    <row r="135" spans="2:4" ht="16.5" x14ac:dyDescent="0.3">
      <c r="B135" s="90"/>
      <c r="C135" s="90"/>
      <c r="D135" s="90"/>
    </row>
    <row r="136" spans="2:4" ht="16.5" x14ac:dyDescent="0.3">
      <c r="B136" s="90"/>
      <c r="C136" s="90"/>
      <c r="D136" s="90"/>
    </row>
    <row r="137" spans="2:4" ht="16.5" x14ac:dyDescent="0.3">
      <c r="B137" s="90"/>
      <c r="C137" s="90"/>
      <c r="D137" s="90"/>
    </row>
    <row r="138" spans="2:4" ht="16.5" x14ac:dyDescent="0.3">
      <c r="B138" s="90"/>
      <c r="C138" s="90"/>
      <c r="D138" s="90"/>
    </row>
    <row r="139" spans="2:4" ht="16.5" x14ac:dyDescent="0.3">
      <c r="B139" s="90"/>
      <c r="C139" s="90"/>
      <c r="D139" s="90"/>
    </row>
    <row r="140" spans="2:4" ht="16.5" x14ac:dyDescent="0.3">
      <c r="B140" s="90"/>
      <c r="C140" s="90"/>
      <c r="D140" s="90"/>
    </row>
    <row r="141" spans="2:4" ht="16.5" x14ac:dyDescent="0.3">
      <c r="B141" s="90"/>
      <c r="C141" s="90"/>
      <c r="D141" s="90"/>
    </row>
    <row r="142" spans="2:4" ht="16.5" x14ac:dyDescent="0.3">
      <c r="B142" s="90"/>
      <c r="C142" s="90"/>
      <c r="D142" s="90"/>
    </row>
    <row r="143" spans="2:4" ht="16.5" x14ac:dyDescent="0.3">
      <c r="B143" s="90"/>
      <c r="C143" s="90"/>
      <c r="D143" s="90"/>
    </row>
    <row r="144" spans="2:4" ht="16.5" x14ac:dyDescent="0.3">
      <c r="B144" s="90"/>
      <c r="C144" s="90"/>
      <c r="D144" s="90"/>
    </row>
    <row r="145" spans="2:4" ht="16.5" x14ac:dyDescent="0.3">
      <c r="B145" s="90"/>
      <c r="C145" s="90"/>
      <c r="D145" s="90"/>
    </row>
    <row r="146" spans="2:4" ht="16.5" x14ac:dyDescent="0.3">
      <c r="B146" s="90"/>
      <c r="C146" s="90"/>
      <c r="D146" s="90"/>
    </row>
    <row r="147" spans="2:4" ht="16.5" x14ac:dyDescent="0.3">
      <c r="B147" s="90"/>
      <c r="C147" s="90"/>
      <c r="D147" s="90"/>
    </row>
    <row r="148" spans="2:4" ht="16.5" x14ac:dyDescent="0.3">
      <c r="B148" s="90"/>
      <c r="C148" s="90"/>
      <c r="D148" s="90"/>
    </row>
    <row r="149" spans="2:4" ht="16.5" x14ac:dyDescent="0.3">
      <c r="B149" s="90"/>
      <c r="C149" s="90"/>
      <c r="D149" s="90"/>
    </row>
    <row r="150" spans="2:4" ht="16.5" x14ac:dyDescent="0.3">
      <c r="B150" s="90"/>
      <c r="C150" s="90"/>
      <c r="D150" s="90"/>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A1:N95"/>
  <sheetViews>
    <sheetView workbookViewId="0">
      <selection activeCell="A96" sqref="A96:XFD839"/>
    </sheetView>
  </sheetViews>
  <sheetFormatPr defaultRowHeight="15" x14ac:dyDescent="0.25"/>
  <cols>
    <col min="1" max="1" width="11.7109375" customWidth="1"/>
    <col min="2" max="2" width="14.140625" customWidth="1"/>
    <col min="3" max="6" width="11.7109375" customWidth="1"/>
    <col min="7" max="7" width="14.42578125" customWidth="1"/>
    <col min="8" max="8" width="12.85546875" customWidth="1"/>
    <col min="9" max="9" width="12.5703125" customWidth="1"/>
    <col min="10" max="10" width="11.7109375" customWidth="1"/>
  </cols>
  <sheetData>
    <row r="1" spans="1:14" x14ac:dyDescent="0.25">
      <c r="A1" t="s">
        <v>475</v>
      </c>
      <c r="B1" s="79">
        <v>45815</v>
      </c>
      <c r="C1" s="79">
        <v>45822</v>
      </c>
      <c r="D1" s="79">
        <v>45829</v>
      </c>
      <c r="E1" s="79">
        <v>45836</v>
      </c>
      <c r="F1" s="79">
        <v>45843</v>
      </c>
      <c r="J1" s="79"/>
      <c r="K1" s="79"/>
      <c r="L1" s="79"/>
      <c r="M1" s="79"/>
      <c r="N1" s="79"/>
    </row>
    <row r="2" spans="1:14" x14ac:dyDescent="0.25">
      <c r="A2" s="93" t="s">
        <v>660</v>
      </c>
      <c r="B2" s="92"/>
      <c r="C2" s="92"/>
      <c r="D2" s="92"/>
      <c r="E2" s="92"/>
      <c r="F2" s="92"/>
    </row>
    <row r="3" spans="1:14" x14ac:dyDescent="0.25">
      <c r="A3" s="93" t="s">
        <v>661</v>
      </c>
      <c r="B3" s="92"/>
      <c r="C3" s="92"/>
      <c r="D3" s="92"/>
      <c r="E3" s="92"/>
      <c r="F3" s="92"/>
    </row>
    <row r="4" spans="1:14" x14ac:dyDescent="0.25">
      <c r="A4" s="93" t="s">
        <v>662</v>
      </c>
      <c r="B4" s="92"/>
      <c r="C4" s="92"/>
      <c r="D4" s="92"/>
      <c r="E4" s="92"/>
      <c r="F4" s="92"/>
    </row>
    <row r="5" spans="1:14" x14ac:dyDescent="0.25">
      <c r="A5" s="93" t="s">
        <v>663</v>
      </c>
      <c r="B5" s="92"/>
      <c r="C5" s="92"/>
      <c r="D5" s="92"/>
      <c r="E5" s="92"/>
      <c r="F5" s="92"/>
    </row>
    <row r="6" spans="1:14" x14ac:dyDescent="0.25">
      <c r="A6" s="93" t="s">
        <v>664</v>
      </c>
      <c r="B6" s="92"/>
      <c r="C6" s="92"/>
      <c r="D6" s="92"/>
      <c r="E6" s="92"/>
      <c r="F6" s="92"/>
    </row>
    <row r="7" spans="1:14" x14ac:dyDescent="0.25">
      <c r="A7" t="s">
        <v>665</v>
      </c>
      <c r="B7" s="92"/>
      <c r="C7" s="92"/>
      <c r="D7" s="92"/>
      <c r="E7" s="92"/>
      <c r="F7" s="92"/>
    </row>
    <row r="8" spans="1:14" x14ac:dyDescent="0.25">
      <c r="A8" t="s">
        <v>666</v>
      </c>
      <c r="B8" s="92"/>
      <c r="C8" s="92"/>
      <c r="D8" s="92"/>
      <c r="E8" s="92"/>
      <c r="F8" s="92"/>
    </row>
    <row r="9" spans="1:14" x14ac:dyDescent="0.25">
      <c r="A9" t="s">
        <v>667</v>
      </c>
      <c r="B9" s="92"/>
      <c r="C9" s="92"/>
      <c r="D9" s="92"/>
      <c r="E9" s="92"/>
      <c r="F9" s="92"/>
    </row>
    <row r="10" spans="1:14" x14ac:dyDescent="0.25">
      <c r="A10" s="93" t="s">
        <v>668</v>
      </c>
      <c r="B10" s="92"/>
      <c r="C10" s="92"/>
      <c r="D10" s="92"/>
      <c r="E10" s="92"/>
      <c r="F10" s="92"/>
    </row>
    <row r="11" spans="1:14" x14ac:dyDescent="0.25">
      <c r="A11" t="s">
        <v>669</v>
      </c>
      <c r="B11" s="92"/>
      <c r="C11" s="92"/>
      <c r="D11" s="92"/>
      <c r="E11" s="92"/>
      <c r="F11" s="92"/>
    </row>
    <row r="12" spans="1:14" x14ac:dyDescent="0.25">
      <c r="A12" s="93" t="s">
        <v>670</v>
      </c>
      <c r="B12" s="92"/>
      <c r="C12" s="92"/>
      <c r="D12" s="92"/>
      <c r="E12" s="92"/>
      <c r="F12" s="92"/>
    </row>
    <row r="13" spans="1:14" x14ac:dyDescent="0.25">
      <c r="A13" t="s">
        <v>671</v>
      </c>
      <c r="B13" s="92"/>
      <c r="C13" s="92"/>
      <c r="D13" s="92"/>
      <c r="E13" s="92"/>
      <c r="F13" s="92"/>
    </row>
    <row r="14" spans="1:14" x14ac:dyDescent="0.25">
      <c r="A14" s="93" t="s">
        <v>672</v>
      </c>
      <c r="B14" s="92"/>
      <c r="C14" s="92"/>
      <c r="D14" s="92"/>
      <c r="E14" s="92"/>
      <c r="F14" s="92"/>
    </row>
    <row r="15" spans="1:14" x14ac:dyDescent="0.25">
      <c r="A15" s="93" t="s">
        <v>673</v>
      </c>
      <c r="B15" s="92"/>
      <c r="C15" s="92"/>
      <c r="D15" s="92"/>
      <c r="E15" s="92"/>
      <c r="F15" s="92"/>
    </row>
    <row r="16" spans="1:14" x14ac:dyDescent="0.25">
      <c r="A16" t="s">
        <v>674</v>
      </c>
      <c r="B16" s="92"/>
      <c r="C16" s="92"/>
      <c r="D16" s="92"/>
      <c r="E16" s="92"/>
      <c r="F16" s="92"/>
    </row>
    <row r="17" spans="1:6" x14ac:dyDescent="0.25">
      <c r="A17" s="93" t="s">
        <v>675</v>
      </c>
      <c r="B17" s="92"/>
      <c r="C17" s="92"/>
      <c r="D17" s="92"/>
      <c r="E17" s="92"/>
      <c r="F17" s="92"/>
    </row>
    <row r="18" spans="1:6" x14ac:dyDescent="0.25">
      <c r="A18" t="s">
        <v>676</v>
      </c>
      <c r="B18" s="92"/>
      <c r="C18" s="92"/>
      <c r="D18" s="92"/>
      <c r="E18" s="92"/>
      <c r="F18" s="92"/>
    </row>
    <row r="19" spans="1:6" x14ac:dyDescent="0.25">
      <c r="A19" s="93" t="s">
        <v>677</v>
      </c>
      <c r="B19" s="92"/>
      <c r="C19" s="92"/>
      <c r="D19" s="92"/>
      <c r="E19" s="92"/>
      <c r="F19" s="92"/>
    </row>
    <row r="20" spans="1:6" x14ac:dyDescent="0.25">
      <c r="A20" s="93" t="s">
        <v>678</v>
      </c>
      <c r="B20" s="92"/>
      <c r="C20" s="92"/>
      <c r="D20" s="92"/>
      <c r="E20" s="92"/>
      <c r="F20" s="92"/>
    </row>
    <row r="21" spans="1:6" x14ac:dyDescent="0.25">
      <c r="A21" s="93" t="s">
        <v>679</v>
      </c>
      <c r="B21" s="92"/>
      <c r="C21" s="92"/>
      <c r="D21" s="92"/>
      <c r="E21" s="92"/>
      <c r="F21" s="92"/>
    </row>
    <row r="22" spans="1:6" x14ac:dyDescent="0.25">
      <c r="A22" s="93" t="s">
        <v>680</v>
      </c>
      <c r="B22" s="92"/>
      <c r="C22" s="92"/>
      <c r="D22" s="92"/>
      <c r="E22" s="92"/>
      <c r="F22" s="92"/>
    </row>
    <row r="23" spans="1:6" x14ac:dyDescent="0.25">
      <c r="A23" s="93" t="s">
        <v>681</v>
      </c>
      <c r="B23" s="92"/>
      <c r="C23" s="92"/>
      <c r="D23" s="92"/>
      <c r="E23" s="92"/>
      <c r="F23" s="92"/>
    </row>
    <row r="24" spans="1:6" x14ac:dyDescent="0.25">
      <c r="A24" s="93" t="s">
        <v>682</v>
      </c>
      <c r="B24" s="92"/>
      <c r="C24" s="92"/>
      <c r="D24" s="92"/>
      <c r="E24" s="92"/>
      <c r="F24" s="92"/>
    </row>
    <row r="25" spans="1:6" x14ac:dyDescent="0.25">
      <c r="A25" s="93" t="s">
        <v>683</v>
      </c>
      <c r="B25" s="92"/>
      <c r="C25" s="92"/>
      <c r="D25" s="92"/>
      <c r="E25" s="92"/>
      <c r="F25" s="92"/>
    </row>
    <row r="26" spans="1:6" x14ac:dyDescent="0.25">
      <c r="A26" s="93" t="s">
        <v>684</v>
      </c>
      <c r="B26" s="92"/>
      <c r="C26" s="92"/>
      <c r="D26" s="92"/>
      <c r="E26" s="92"/>
      <c r="F26" s="92"/>
    </row>
    <row r="27" spans="1:6" x14ac:dyDescent="0.25">
      <c r="A27" s="93" t="s">
        <v>685</v>
      </c>
      <c r="B27" s="92"/>
      <c r="C27" s="92"/>
      <c r="D27" s="92"/>
      <c r="E27" s="92"/>
      <c r="F27" s="92"/>
    </row>
    <row r="28" spans="1:6" x14ac:dyDescent="0.25">
      <c r="A28" s="93" t="s">
        <v>686</v>
      </c>
      <c r="B28" s="92"/>
      <c r="C28" s="92"/>
      <c r="D28" s="92"/>
      <c r="E28" s="92"/>
      <c r="F28" s="92"/>
    </row>
    <row r="29" spans="1:6" x14ac:dyDescent="0.25">
      <c r="A29" s="93" t="s">
        <v>687</v>
      </c>
      <c r="B29" s="92"/>
      <c r="C29" s="92"/>
      <c r="D29" s="92"/>
      <c r="E29" s="92"/>
      <c r="F29" s="92"/>
    </row>
    <row r="30" spans="1:6" x14ac:dyDescent="0.25">
      <c r="A30" s="93" t="s">
        <v>688</v>
      </c>
      <c r="B30" s="92"/>
      <c r="C30" s="92"/>
      <c r="D30" s="92"/>
      <c r="E30" s="92"/>
      <c r="F30" s="92"/>
    </row>
    <row r="31" spans="1:6" x14ac:dyDescent="0.25">
      <c r="A31" s="93" t="s">
        <v>689</v>
      </c>
      <c r="B31" s="92"/>
      <c r="C31" s="92"/>
      <c r="D31" s="92"/>
      <c r="E31" s="92"/>
      <c r="F31" s="92"/>
    </row>
    <row r="32" spans="1:6" x14ac:dyDescent="0.25">
      <c r="A32" s="93" t="s">
        <v>690</v>
      </c>
      <c r="B32" s="92"/>
      <c r="C32" s="92"/>
      <c r="D32" s="92"/>
      <c r="E32" s="92"/>
      <c r="F32" s="92"/>
    </row>
    <row r="33" spans="1:6" x14ac:dyDescent="0.25">
      <c r="A33" s="93" t="s">
        <v>691</v>
      </c>
      <c r="B33" s="92"/>
      <c r="C33" s="92"/>
      <c r="D33" s="92"/>
      <c r="E33" s="92"/>
      <c r="F33" s="92"/>
    </row>
    <row r="34" spans="1:6" x14ac:dyDescent="0.25">
      <c r="A34" s="93" t="s">
        <v>692</v>
      </c>
      <c r="B34" s="92"/>
      <c r="C34" s="92"/>
      <c r="D34" s="92"/>
      <c r="E34" s="92"/>
      <c r="F34" s="92"/>
    </row>
    <row r="35" spans="1:6" x14ac:dyDescent="0.25">
      <c r="A35" t="s">
        <v>693</v>
      </c>
      <c r="B35" s="92"/>
      <c r="C35" s="92"/>
      <c r="D35" s="92"/>
      <c r="E35" s="92"/>
      <c r="F35" s="92"/>
    </row>
    <row r="36" spans="1:6" x14ac:dyDescent="0.25">
      <c r="A36" t="s">
        <v>694</v>
      </c>
      <c r="B36" s="92"/>
      <c r="C36" s="92"/>
      <c r="D36" s="92"/>
      <c r="E36" s="92"/>
      <c r="F36" s="92"/>
    </row>
    <row r="37" spans="1:6" x14ac:dyDescent="0.25">
      <c r="A37" t="s">
        <v>695</v>
      </c>
      <c r="B37" s="92"/>
      <c r="C37" s="92"/>
      <c r="D37" s="92"/>
      <c r="E37" s="92"/>
      <c r="F37" s="92"/>
    </row>
    <row r="38" spans="1:6" x14ac:dyDescent="0.25">
      <c r="A38" t="s">
        <v>696</v>
      </c>
      <c r="B38" s="92"/>
      <c r="C38" s="92"/>
      <c r="D38" s="92"/>
      <c r="E38" s="92"/>
      <c r="F38" s="92"/>
    </row>
    <row r="39" spans="1:6" x14ac:dyDescent="0.25">
      <c r="A39" t="s">
        <v>697</v>
      </c>
      <c r="B39" s="92"/>
      <c r="C39" s="92"/>
      <c r="D39" s="92"/>
      <c r="E39" s="92"/>
      <c r="F39" s="92"/>
    </row>
    <row r="40" spans="1:6" x14ac:dyDescent="0.25">
      <c r="A40" t="s">
        <v>698</v>
      </c>
      <c r="B40" s="92"/>
      <c r="C40" s="92"/>
      <c r="D40" s="92"/>
      <c r="E40" s="92"/>
      <c r="F40" s="92"/>
    </row>
    <row r="41" spans="1:6" x14ac:dyDescent="0.25">
      <c r="A41" t="s">
        <v>699</v>
      </c>
      <c r="B41" s="92"/>
      <c r="C41" s="92"/>
      <c r="D41" s="92"/>
      <c r="E41" s="92"/>
      <c r="F41" s="92"/>
    </row>
    <row r="42" spans="1:6" x14ac:dyDescent="0.25">
      <c r="A42" t="s">
        <v>700</v>
      </c>
      <c r="B42" s="92"/>
      <c r="C42" s="92"/>
      <c r="D42" s="92"/>
      <c r="E42" s="92"/>
      <c r="F42" s="92"/>
    </row>
    <row r="43" spans="1:6" x14ac:dyDescent="0.25">
      <c r="A43" t="s">
        <v>701</v>
      </c>
      <c r="B43" s="92"/>
      <c r="C43" s="92"/>
      <c r="D43" s="92"/>
      <c r="E43" s="92"/>
      <c r="F43" s="92"/>
    </row>
    <row r="44" spans="1:6" x14ac:dyDescent="0.25">
      <c r="A44" t="s">
        <v>702</v>
      </c>
      <c r="B44" s="92"/>
      <c r="C44" s="92"/>
      <c r="D44" s="92"/>
      <c r="E44" s="92"/>
      <c r="F44" s="92"/>
    </row>
    <row r="45" spans="1:6" x14ac:dyDescent="0.25">
      <c r="A45" t="s">
        <v>703</v>
      </c>
      <c r="B45" s="92"/>
      <c r="C45" s="92"/>
      <c r="D45" s="92"/>
      <c r="E45" s="92"/>
      <c r="F45" s="92"/>
    </row>
    <row r="46" spans="1:6" x14ac:dyDescent="0.25">
      <c r="A46" t="s">
        <v>704</v>
      </c>
      <c r="B46" s="92"/>
      <c r="C46" s="92"/>
      <c r="D46" s="92"/>
      <c r="E46" s="92"/>
      <c r="F46" s="92"/>
    </row>
    <row r="47" spans="1:6" x14ac:dyDescent="0.25">
      <c r="A47" t="s">
        <v>705</v>
      </c>
      <c r="B47" s="92"/>
      <c r="C47" s="92"/>
      <c r="D47" s="92"/>
      <c r="E47" s="92"/>
      <c r="F47" s="92"/>
    </row>
    <row r="48" spans="1:6" x14ac:dyDescent="0.25">
      <c r="A48" t="s">
        <v>706</v>
      </c>
      <c r="B48" s="92"/>
      <c r="C48" s="92"/>
      <c r="D48" s="92"/>
      <c r="E48" s="92"/>
      <c r="F48" s="92"/>
    </row>
    <row r="49" spans="1:6" x14ac:dyDescent="0.25">
      <c r="A49" t="s">
        <v>707</v>
      </c>
      <c r="B49" s="92"/>
      <c r="C49" s="92"/>
      <c r="D49" s="92"/>
      <c r="E49" s="92"/>
      <c r="F49" s="92"/>
    </row>
    <row r="50" spans="1:6" x14ac:dyDescent="0.25">
      <c r="A50" t="s">
        <v>708</v>
      </c>
      <c r="B50" s="92"/>
      <c r="C50" s="92"/>
      <c r="D50" s="92"/>
      <c r="E50" s="92"/>
      <c r="F50" s="92"/>
    </row>
    <row r="51" spans="1:6" x14ac:dyDescent="0.25">
      <c r="A51" t="s">
        <v>709</v>
      </c>
      <c r="B51" s="91"/>
      <c r="C51" s="91"/>
      <c r="D51" s="91"/>
      <c r="E51" s="91"/>
      <c r="F51" s="91"/>
    </row>
    <row r="52" spans="1:6" x14ac:dyDescent="0.25">
      <c r="A52" t="s">
        <v>710</v>
      </c>
      <c r="B52" s="91"/>
      <c r="C52" s="91"/>
      <c r="D52" s="91"/>
      <c r="E52" s="91"/>
      <c r="F52" s="91"/>
    </row>
    <row r="53" spans="1:6" x14ac:dyDescent="0.25">
      <c r="A53" t="s">
        <v>711</v>
      </c>
      <c r="B53" s="91"/>
      <c r="C53" s="91"/>
      <c r="D53" s="91"/>
      <c r="E53" s="91"/>
      <c r="F53" s="91"/>
    </row>
    <row r="54" spans="1:6" x14ac:dyDescent="0.25">
      <c r="A54" t="s">
        <v>712</v>
      </c>
    </row>
    <row r="55" spans="1:6" x14ac:dyDescent="0.25">
      <c r="A55" t="s">
        <v>713</v>
      </c>
    </row>
    <row r="56" spans="1:6" x14ac:dyDescent="0.25">
      <c r="A56" t="s">
        <v>714</v>
      </c>
    </row>
    <row r="57" spans="1:6" x14ac:dyDescent="0.25">
      <c r="A57" t="s">
        <v>715</v>
      </c>
    </row>
    <row r="58" spans="1:6" x14ac:dyDescent="0.25">
      <c r="A58" t="s">
        <v>716</v>
      </c>
    </row>
    <row r="59" spans="1:6" x14ac:dyDescent="0.25">
      <c r="A59" t="s">
        <v>717</v>
      </c>
    </row>
    <row r="60" spans="1:6" x14ac:dyDescent="0.25">
      <c r="A60" t="s">
        <v>718</v>
      </c>
    </row>
    <row r="61" spans="1:6" x14ac:dyDescent="0.25">
      <c r="A61" t="s">
        <v>719</v>
      </c>
    </row>
    <row r="62" spans="1:6" x14ac:dyDescent="0.25">
      <c r="A62" t="s">
        <v>720</v>
      </c>
    </row>
    <row r="63" spans="1:6" x14ac:dyDescent="0.25">
      <c r="A63" t="s">
        <v>721</v>
      </c>
    </row>
    <row r="64" spans="1:6" x14ac:dyDescent="0.25">
      <c r="A64" t="s">
        <v>722</v>
      </c>
    </row>
    <row r="65" spans="1:1" x14ac:dyDescent="0.25">
      <c r="A65" t="s">
        <v>723</v>
      </c>
    </row>
    <row r="66" spans="1:1" x14ac:dyDescent="0.25">
      <c r="A66" t="s">
        <v>724</v>
      </c>
    </row>
    <row r="67" spans="1:1" x14ac:dyDescent="0.25">
      <c r="A67" t="s">
        <v>725</v>
      </c>
    </row>
    <row r="68" spans="1:1" x14ac:dyDescent="0.25">
      <c r="A68" t="s">
        <v>726</v>
      </c>
    </row>
    <row r="69" spans="1:1" x14ac:dyDescent="0.25">
      <c r="A69" t="s">
        <v>727</v>
      </c>
    </row>
    <row r="70" spans="1:1" x14ac:dyDescent="0.25">
      <c r="A70" t="s">
        <v>728</v>
      </c>
    </row>
    <row r="71" spans="1:1" x14ac:dyDescent="0.25">
      <c r="A71" t="s">
        <v>729</v>
      </c>
    </row>
    <row r="72" spans="1:1" x14ac:dyDescent="0.25">
      <c r="A72" t="s">
        <v>730</v>
      </c>
    </row>
    <row r="73" spans="1:1" x14ac:dyDescent="0.25">
      <c r="A73" t="s">
        <v>731</v>
      </c>
    </row>
    <row r="74" spans="1:1" x14ac:dyDescent="0.25">
      <c r="A74" t="s">
        <v>732</v>
      </c>
    </row>
    <row r="75" spans="1:1" x14ac:dyDescent="0.25">
      <c r="A75" t="s">
        <v>733</v>
      </c>
    </row>
    <row r="76" spans="1:1" x14ac:dyDescent="0.25">
      <c r="A76" t="s">
        <v>734</v>
      </c>
    </row>
    <row r="77" spans="1:1" x14ac:dyDescent="0.25">
      <c r="A77" t="s">
        <v>735</v>
      </c>
    </row>
    <row r="78" spans="1:1" x14ac:dyDescent="0.25">
      <c r="A78" t="s">
        <v>736</v>
      </c>
    </row>
    <row r="79" spans="1:1" x14ac:dyDescent="0.25">
      <c r="A79" t="s">
        <v>737</v>
      </c>
    </row>
    <row r="80" spans="1:1" x14ac:dyDescent="0.25">
      <c r="A80" t="s">
        <v>738</v>
      </c>
    </row>
    <row r="81" spans="1:1" x14ac:dyDescent="0.25">
      <c r="A81" t="s">
        <v>739</v>
      </c>
    </row>
    <row r="82" spans="1:1" x14ac:dyDescent="0.25">
      <c r="A82" t="s">
        <v>740</v>
      </c>
    </row>
    <row r="83" spans="1:1" x14ac:dyDescent="0.25">
      <c r="A83" t="s">
        <v>741</v>
      </c>
    </row>
    <row r="84" spans="1:1" x14ac:dyDescent="0.25">
      <c r="A84" t="s">
        <v>742</v>
      </c>
    </row>
    <row r="85" spans="1:1" x14ac:dyDescent="0.25">
      <c r="A85" t="s">
        <v>743</v>
      </c>
    </row>
    <row r="86" spans="1:1" x14ac:dyDescent="0.25">
      <c r="A86" t="s">
        <v>744</v>
      </c>
    </row>
    <row r="87" spans="1:1" x14ac:dyDescent="0.25">
      <c r="A87" t="s">
        <v>320</v>
      </c>
    </row>
    <row r="88" spans="1:1" x14ac:dyDescent="0.25">
      <c r="A88" t="s">
        <v>745</v>
      </c>
    </row>
    <row r="89" spans="1:1" x14ac:dyDescent="0.25">
      <c r="A89" t="s">
        <v>746</v>
      </c>
    </row>
    <row r="90" spans="1:1" x14ac:dyDescent="0.25">
      <c r="A90" t="s">
        <v>747</v>
      </c>
    </row>
    <row r="91" spans="1:1" x14ac:dyDescent="0.25">
      <c r="A91" t="s">
        <v>748</v>
      </c>
    </row>
    <row r="92" spans="1:1" x14ac:dyDescent="0.25">
      <c r="A92" t="s">
        <v>749</v>
      </c>
    </row>
    <row r="93" spans="1:1" x14ac:dyDescent="0.25">
      <c r="A93" t="s">
        <v>750</v>
      </c>
    </row>
    <row r="94" spans="1:1" x14ac:dyDescent="0.25">
      <c r="A94" t="s">
        <v>751</v>
      </c>
    </row>
    <row r="95" spans="1:1" x14ac:dyDescent="0.25">
      <c r="A95" t="s">
        <v>752</v>
      </c>
    </row>
  </sheetData>
  <sortState xmlns:xlrd2="http://schemas.microsoft.com/office/spreadsheetml/2017/richdata2" ref="A2:N44">
    <sortCondition descending="1" ref="A2:A44"/>
  </sortState>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dimension ref="A1:U426"/>
  <sheetViews>
    <sheetView zoomScale="80" zoomScaleNormal="80" workbookViewId="0">
      <selection activeCell="G3" sqref="G3"/>
    </sheetView>
  </sheetViews>
  <sheetFormatPr defaultRowHeight="15" x14ac:dyDescent="0.25"/>
  <cols>
    <col min="8" max="8" width="15" customWidth="1"/>
    <col min="12" max="12" width="11.7109375" customWidth="1"/>
    <col min="13" max="14" width="12" customWidth="1"/>
    <col min="18" max="18" width="15.42578125" bestFit="1" customWidth="1"/>
    <col min="19" max="19" width="17.5703125" bestFit="1" customWidth="1"/>
  </cols>
  <sheetData>
    <row r="1" spans="1:21" s="27" customFormat="1" x14ac:dyDescent="0.25">
      <c r="A1" s="27" t="s">
        <v>286</v>
      </c>
      <c r="B1" s="27" t="s">
        <v>272</v>
      </c>
      <c r="C1" s="27" t="s">
        <v>287</v>
      </c>
      <c r="D1" s="27" t="s">
        <v>288</v>
      </c>
      <c r="E1" s="27" t="s">
        <v>289</v>
      </c>
      <c r="F1" s="27" t="s">
        <v>290</v>
      </c>
      <c r="G1" s="27" t="s">
        <v>291</v>
      </c>
      <c r="H1" s="27" t="s">
        <v>292</v>
      </c>
      <c r="I1" s="27" t="s">
        <v>293</v>
      </c>
      <c r="J1" s="27" t="s">
        <v>294</v>
      </c>
      <c r="K1" s="27" t="s">
        <v>295</v>
      </c>
      <c r="L1" s="27" t="s">
        <v>296</v>
      </c>
      <c r="M1" s="27" t="s">
        <v>297</v>
      </c>
      <c r="N1" s="27" t="s">
        <v>298</v>
      </c>
      <c r="O1" s="27" t="s">
        <v>299</v>
      </c>
      <c r="P1" s="27" t="s">
        <v>300</v>
      </c>
      <c r="Q1" s="27" t="s">
        <v>301</v>
      </c>
      <c r="R1" s="27" t="s">
        <v>302</v>
      </c>
      <c r="S1" s="27" t="s">
        <v>303</v>
      </c>
      <c r="T1" s="27" t="s">
        <v>304</v>
      </c>
      <c r="U1" s="27" t="s">
        <v>305</v>
      </c>
    </row>
    <row r="2" spans="1:21" x14ac:dyDescent="0.25">
      <c r="A2" t="s">
        <v>209</v>
      </c>
      <c r="B2">
        <v>4.99</v>
      </c>
      <c r="C2">
        <v>-10.83</v>
      </c>
      <c r="D2">
        <v>0.71</v>
      </c>
      <c r="E2">
        <v>0.61099999999999999</v>
      </c>
      <c r="F2" s="25">
        <v>0</v>
      </c>
      <c r="G2">
        <v>0.26600000000000001</v>
      </c>
      <c r="H2">
        <v>-60.26</v>
      </c>
      <c r="I2">
        <v>6.15</v>
      </c>
      <c r="J2">
        <v>-0.75</v>
      </c>
      <c r="K2" s="26">
        <v>10.54</v>
      </c>
      <c r="L2">
        <v>5.63</v>
      </c>
      <c r="M2" s="25">
        <v>9.9400000000000002E-2</v>
      </c>
      <c r="N2" s="25">
        <v>-4.9500000000000002E-2</v>
      </c>
      <c r="O2">
        <v>0.98</v>
      </c>
      <c r="P2" s="25">
        <v>4.7399999999999998E-2</v>
      </c>
      <c r="Q2" s="25">
        <v>-6.5299999999999997E-2</v>
      </c>
      <c r="R2" s="26">
        <v>387246</v>
      </c>
      <c r="S2" s="26">
        <v>1074970000</v>
      </c>
      <c r="T2">
        <v>0.62</v>
      </c>
      <c r="U2" s="25">
        <v>5.3199999999999997E-2</v>
      </c>
    </row>
    <row r="3" spans="1:21" x14ac:dyDescent="0.25">
      <c r="A3" t="s">
        <v>36</v>
      </c>
      <c r="B3">
        <v>20.77</v>
      </c>
      <c r="C3">
        <v>5.22</v>
      </c>
      <c r="D3">
        <v>0.79</v>
      </c>
      <c r="E3">
        <v>0</v>
      </c>
      <c r="F3" s="25">
        <v>9.3700000000000006E-2</v>
      </c>
      <c r="G3">
        <v>0</v>
      </c>
      <c r="H3">
        <v>0</v>
      </c>
      <c r="I3">
        <v>0</v>
      </c>
      <c r="J3">
        <v>0</v>
      </c>
      <c r="K3">
        <v>0</v>
      </c>
      <c r="L3">
        <v>0</v>
      </c>
      <c r="M3" s="25">
        <v>0</v>
      </c>
      <c r="N3" s="25">
        <v>0</v>
      </c>
      <c r="O3">
        <v>0</v>
      </c>
      <c r="P3" s="25">
        <v>0</v>
      </c>
      <c r="Q3" s="25">
        <v>0.15049999999999999</v>
      </c>
      <c r="R3" s="26">
        <v>14067900</v>
      </c>
      <c r="S3" s="26">
        <v>6472310000</v>
      </c>
      <c r="T3">
        <v>0</v>
      </c>
      <c r="U3" s="25">
        <v>0.30580000000000002</v>
      </c>
    </row>
    <row r="4" spans="1:21" x14ac:dyDescent="0.25">
      <c r="A4" t="s">
        <v>7</v>
      </c>
      <c r="B4">
        <v>13.59</v>
      </c>
      <c r="C4">
        <v>14.84</v>
      </c>
      <c r="D4">
        <v>2.27</v>
      </c>
      <c r="E4">
        <v>2.3370000000000002</v>
      </c>
      <c r="F4" s="25">
        <v>6.7900000000000002E-2</v>
      </c>
      <c r="G4">
        <v>1.454</v>
      </c>
      <c r="H4">
        <v>50.91</v>
      </c>
      <c r="I4">
        <v>10.58</v>
      </c>
      <c r="J4">
        <v>-25.89</v>
      </c>
      <c r="K4">
        <v>9.73</v>
      </c>
      <c r="L4">
        <v>7.28</v>
      </c>
      <c r="M4" s="25">
        <v>0.22090000000000001</v>
      </c>
      <c r="N4" s="25">
        <v>0.16200000000000001</v>
      </c>
      <c r="O4">
        <v>1.1100000000000001</v>
      </c>
      <c r="P4" s="25">
        <v>0.19189999999999999</v>
      </c>
      <c r="Q4" s="25">
        <v>0.1527</v>
      </c>
      <c r="R4" s="26">
        <v>353090000</v>
      </c>
      <c r="S4" s="26">
        <v>94528300000</v>
      </c>
      <c r="T4">
        <v>0.03</v>
      </c>
      <c r="U4" s="25">
        <v>8.6699999999999999E-2</v>
      </c>
    </row>
    <row r="5" spans="1:21" x14ac:dyDescent="0.25">
      <c r="A5" t="s">
        <v>306</v>
      </c>
      <c r="B5">
        <v>1.56</v>
      </c>
      <c r="C5">
        <v>-4.09</v>
      </c>
      <c r="D5">
        <v>-1.29</v>
      </c>
      <c r="E5">
        <v>770.92399999999998</v>
      </c>
      <c r="F5" s="25">
        <v>0</v>
      </c>
      <c r="G5">
        <v>105.126</v>
      </c>
      <c r="H5">
        <v>-1.43</v>
      </c>
      <c r="I5" s="26">
        <v>-5.69</v>
      </c>
      <c r="J5">
        <v>-1.27</v>
      </c>
      <c r="K5" s="26">
        <v>-5.69</v>
      </c>
      <c r="L5">
        <v>-5.81</v>
      </c>
      <c r="M5" s="25">
        <v>-135.48500000000001</v>
      </c>
      <c r="N5" s="25">
        <v>-188.60599999999999</v>
      </c>
      <c r="O5">
        <v>0</v>
      </c>
      <c r="P5" s="25">
        <v>5.2169999999999996</v>
      </c>
      <c r="Q5" s="25">
        <v>0.31469999999999998</v>
      </c>
      <c r="R5" s="26">
        <v>2064</v>
      </c>
      <c r="S5" s="26">
        <v>-19776000</v>
      </c>
      <c r="T5">
        <v>0</v>
      </c>
      <c r="U5" s="25">
        <v>0.43480000000000002</v>
      </c>
    </row>
    <row r="6" spans="1:21" x14ac:dyDescent="0.25">
      <c r="A6" t="s">
        <v>307</v>
      </c>
      <c r="B6">
        <v>4.34</v>
      </c>
      <c r="C6">
        <v>-0.27</v>
      </c>
      <c r="D6">
        <v>2.4300000000000002</v>
      </c>
      <c r="E6">
        <v>0.223</v>
      </c>
      <c r="F6" s="25">
        <v>0</v>
      </c>
      <c r="G6">
        <v>0.128</v>
      </c>
      <c r="H6">
        <v>-30.62</v>
      </c>
      <c r="I6">
        <v>-0.38</v>
      </c>
      <c r="J6">
        <v>-0.23</v>
      </c>
      <c r="K6">
        <v>-2.48</v>
      </c>
      <c r="L6">
        <v>-2.9</v>
      </c>
      <c r="M6" s="25">
        <v>-0.59119999999999995</v>
      </c>
      <c r="N6" s="25">
        <v>-0.81510000000000005</v>
      </c>
      <c r="O6">
        <v>0.99</v>
      </c>
      <c r="P6" s="25">
        <v>-0.37409999999999999</v>
      </c>
      <c r="Q6" s="25">
        <v>-8.8948</v>
      </c>
      <c r="R6" s="26">
        <v>656366</v>
      </c>
      <c r="S6" s="26">
        <v>111006000</v>
      </c>
      <c r="T6">
        <v>14.59</v>
      </c>
      <c r="U6" s="25">
        <v>-0.18770000000000001</v>
      </c>
    </row>
    <row r="7" spans="1:21" x14ac:dyDescent="0.25">
      <c r="A7" t="s">
        <v>308</v>
      </c>
      <c r="B7">
        <v>7.57</v>
      </c>
      <c r="C7">
        <v>18.28</v>
      </c>
      <c r="D7">
        <v>1.99</v>
      </c>
      <c r="E7">
        <v>6.3040000000000003</v>
      </c>
      <c r="F7" s="25">
        <v>5.67E-2</v>
      </c>
      <c r="G7">
        <v>1.3520000000000001</v>
      </c>
      <c r="H7">
        <v>9.99</v>
      </c>
      <c r="I7">
        <v>13.02</v>
      </c>
      <c r="J7">
        <v>-18.149999999999999</v>
      </c>
      <c r="K7">
        <v>13.22</v>
      </c>
      <c r="L7">
        <v>13.16</v>
      </c>
      <c r="M7" s="25">
        <v>0.48409999999999997</v>
      </c>
      <c r="N7" s="25">
        <v>0.34470000000000001</v>
      </c>
      <c r="O7">
        <v>2.2400000000000002</v>
      </c>
      <c r="P7" s="25">
        <v>0.1124</v>
      </c>
      <c r="Q7" s="25">
        <v>0.1086</v>
      </c>
      <c r="R7" s="26">
        <v>2168.7600000000002</v>
      </c>
      <c r="S7" s="26">
        <v>240521000</v>
      </c>
      <c r="T7">
        <v>0.13</v>
      </c>
      <c r="U7" s="25">
        <v>4.3900000000000002E-2</v>
      </c>
    </row>
    <row r="8" spans="1:21" x14ac:dyDescent="0.25">
      <c r="A8" t="s">
        <v>45</v>
      </c>
      <c r="B8">
        <v>20.43</v>
      </c>
      <c r="C8">
        <v>6.78</v>
      </c>
      <c r="D8">
        <v>0.97</v>
      </c>
      <c r="E8">
        <v>1.548</v>
      </c>
      <c r="F8" s="25">
        <v>7.6200000000000004E-2</v>
      </c>
      <c r="G8">
        <v>0.52800000000000002</v>
      </c>
      <c r="H8">
        <v>4.54</v>
      </c>
      <c r="I8">
        <v>5.17</v>
      </c>
      <c r="J8">
        <v>-3.83</v>
      </c>
      <c r="K8">
        <v>8.26</v>
      </c>
      <c r="L8">
        <v>6.9</v>
      </c>
      <c r="M8" s="25">
        <v>0.29959999999999998</v>
      </c>
      <c r="N8" s="25">
        <v>0.22850000000000001</v>
      </c>
      <c r="O8">
        <v>1.58</v>
      </c>
      <c r="P8" s="25">
        <v>0.1113</v>
      </c>
      <c r="Q8" s="25">
        <v>0.14269999999999999</v>
      </c>
      <c r="R8" s="26">
        <v>3277710</v>
      </c>
      <c r="S8" s="26">
        <v>2169900000</v>
      </c>
      <c r="T8">
        <v>0.62</v>
      </c>
      <c r="U8" s="25">
        <v>-4.7000000000000002E-3</v>
      </c>
    </row>
    <row r="9" spans="1:21" x14ac:dyDescent="0.25">
      <c r="A9" t="s">
        <v>309</v>
      </c>
      <c r="B9">
        <v>6.03</v>
      </c>
      <c r="C9">
        <v>-0.04</v>
      </c>
      <c r="D9">
        <v>-0.05</v>
      </c>
      <c r="E9">
        <v>0.03</v>
      </c>
      <c r="F9" s="25">
        <v>0</v>
      </c>
      <c r="G9">
        <v>2.9000000000000001E-2</v>
      </c>
      <c r="H9">
        <v>-0.03</v>
      </c>
      <c r="I9">
        <v>-0.06</v>
      </c>
      <c r="J9">
        <v>-0.03</v>
      </c>
      <c r="K9">
        <v>-0.83</v>
      </c>
      <c r="L9">
        <v>-0.91</v>
      </c>
      <c r="M9" s="25">
        <v>-0.48830000000000001</v>
      </c>
      <c r="N9" s="25">
        <v>-0.877</v>
      </c>
      <c r="O9">
        <v>0.33</v>
      </c>
      <c r="P9" s="25">
        <v>-2.0348000000000002</v>
      </c>
      <c r="Q9" s="25">
        <v>1.4531000000000001</v>
      </c>
      <c r="R9" s="26">
        <v>128969</v>
      </c>
      <c r="S9" s="26">
        <v>-2009680000</v>
      </c>
      <c r="T9">
        <v>-0.75</v>
      </c>
      <c r="U9" s="25">
        <v>-1.4500000000000001E-2</v>
      </c>
    </row>
    <row r="10" spans="1:21" x14ac:dyDescent="0.25">
      <c r="A10" t="s">
        <v>310</v>
      </c>
      <c r="B10">
        <v>35.5</v>
      </c>
      <c r="C10">
        <v>2.63</v>
      </c>
      <c r="D10">
        <v>1.25</v>
      </c>
      <c r="E10">
        <v>0.438</v>
      </c>
      <c r="F10" s="25">
        <v>0</v>
      </c>
      <c r="G10">
        <v>0.54900000000000004</v>
      </c>
      <c r="H10">
        <v>1.73</v>
      </c>
      <c r="I10">
        <v>3.87</v>
      </c>
      <c r="J10">
        <v>-5.21</v>
      </c>
      <c r="K10">
        <v>3.21</v>
      </c>
      <c r="L10">
        <v>2.96</v>
      </c>
      <c r="M10" s="25">
        <v>0.1132</v>
      </c>
      <c r="N10" s="25">
        <v>0.16639999999999999</v>
      </c>
      <c r="O10">
        <v>3.3</v>
      </c>
      <c r="P10" s="25">
        <v>0.17219999999999999</v>
      </c>
      <c r="Q10" s="25">
        <v>0.47449999999999998</v>
      </c>
      <c r="R10" s="26">
        <v>2235.4299999999998</v>
      </c>
      <c r="S10" s="26">
        <v>242674000</v>
      </c>
      <c r="T10">
        <v>0.02</v>
      </c>
      <c r="U10" s="25">
        <v>0.46410000000000001</v>
      </c>
    </row>
    <row r="11" spans="1:21" x14ac:dyDescent="0.25">
      <c r="A11" t="s">
        <v>311</v>
      </c>
      <c r="B11">
        <v>58</v>
      </c>
      <c r="C11">
        <v>4.3</v>
      </c>
      <c r="D11">
        <v>2.04</v>
      </c>
      <c r="E11">
        <v>0.71599999999999997</v>
      </c>
      <c r="F11" s="25">
        <v>0</v>
      </c>
      <c r="G11">
        <v>0.89600000000000002</v>
      </c>
      <c r="H11">
        <v>2.82</v>
      </c>
      <c r="I11">
        <v>6.33</v>
      </c>
      <c r="J11">
        <v>-8.51</v>
      </c>
      <c r="K11">
        <v>5.67</v>
      </c>
      <c r="L11">
        <v>5.22</v>
      </c>
      <c r="M11" s="25">
        <v>0.1132</v>
      </c>
      <c r="N11" s="25">
        <v>0.16639999999999999</v>
      </c>
      <c r="O11">
        <v>3.3</v>
      </c>
      <c r="P11" s="25">
        <v>0.17219999999999999</v>
      </c>
      <c r="Q11" s="25">
        <v>0.47449999999999998</v>
      </c>
      <c r="R11" s="26">
        <v>1266.67</v>
      </c>
      <c r="S11" s="26">
        <v>242674000</v>
      </c>
      <c r="T11">
        <v>0.02</v>
      </c>
      <c r="U11" s="25">
        <v>0.46410000000000001</v>
      </c>
    </row>
    <row r="12" spans="1:21" x14ac:dyDescent="0.25">
      <c r="A12" t="s">
        <v>57</v>
      </c>
      <c r="B12">
        <v>6.91</v>
      </c>
      <c r="C12">
        <v>5.91</v>
      </c>
      <c r="D12">
        <v>0.41</v>
      </c>
      <c r="E12">
        <v>0.123</v>
      </c>
      <c r="F12" s="25">
        <v>0.18640000000000001</v>
      </c>
      <c r="G12">
        <v>0.19</v>
      </c>
      <c r="H12">
        <v>0.57999999999999996</v>
      </c>
      <c r="I12">
        <v>5.38</v>
      </c>
      <c r="J12">
        <v>1.0900000000000001</v>
      </c>
      <c r="K12">
        <v>6.51</v>
      </c>
      <c r="L12">
        <v>4.55</v>
      </c>
      <c r="M12" s="25">
        <v>2.29E-2</v>
      </c>
      <c r="N12" s="25">
        <v>2.0799999999999999E-2</v>
      </c>
      <c r="O12">
        <v>1.86</v>
      </c>
      <c r="P12" s="25">
        <v>6.13E-2</v>
      </c>
      <c r="Q12" s="25">
        <v>6.9000000000000006E-2</v>
      </c>
      <c r="R12" s="26">
        <v>392012</v>
      </c>
      <c r="S12" s="26">
        <v>1601680000</v>
      </c>
      <c r="T12">
        <v>0.3</v>
      </c>
      <c r="U12" s="25">
        <v>9.9000000000000008E-3</v>
      </c>
    </row>
    <row r="13" spans="1:21" x14ac:dyDescent="0.25">
      <c r="A13" t="s">
        <v>312</v>
      </c>
      <c r="B13">
        <v>21.52</v>
      </c>
      <c r="C13">
        <v>13.55</v>
      </c>
      <c r="D13">
        <v>0.87</v>
      </c>
      <c r="E13">
        <v>4.2560000000000002</v>
      </c>
      <c r="F13" s="25">
        <v>5.0900000000000001E-2</v>
      </c>
      <c r="G13">
        <v>0.439</v>
      </c>
      <c r="H13">
        <v>4.54</v>
      </c>
      <c r="I13">
        <v>8.8000000000000007</v>
      </c>
      <c r="J13">
        <v>-1.38</v>
      </c>
      <c r="K13">
        <v>6.48</v>
      </c>
      <c r="L13">
        <v>4.43</v>
      </c>
      <c r="M13" s="25">
        <v>0.48359999999999997</v>
      </c>
      <c r="N13" s="25">
        <v>0.35070000000000001</v>
      </c>
      <c r="O13">
        <v>2.87</v>
      </c>
      <c r="P13" s="25">
        <v>5.6599999999999998E-2</v>
      </c>
      <c r="Q13" s="25">
        <v>6.4199999999999993E-2</v>
      </c>
      <c r="R13" s="26">
        <v>88479300</v>
      </c>
      <c r="S13" s="26">
        <v>13432600000</v>
      </c>
      <c r="T13">
        <v>0</v>
      </c>
      <c r="U13" s="25">
        <v>0.42659999999999998</v>
      </c>
    </row>
    <row r="14" spans="1:21" x14ac:dyDescent="0.25">
      <c r="A14" t="s">
        <v>177</v>
      </c>
      <c r="B14">
        <v>7.64</v>
      </c>
      <c r="C14">
        <v>26.69</v>
      </c>
      <c r="D14">
        <v>1.29</v>
      </c>
      <c r="E14">
        <v>1.222</v>
      </c>
      <c r="F14" s="25">
        <v>1.2699999999999999E-2</v>
      </c>
      <c r="G14">
        <v>0.81799999999999995</v>
      </c>
      <c r="H14">
        <v>3.1</v>
      </c>
      <c r="I14">
        <v>17.8</v>
      </c>
      <c r="J14">
        <v>6.55</v>
      </c>
      <c r="K14">
        <v>17.100000000000001</v>
      </c>
      <c r="L14">
        <v>9.17</v>
      </c>
      <c r="M14" s="25">
        <v>6.8699999999999997E-2</v>
      </c>
      <c r="N14" s="25">
        <v>4.5699999999999998E-2</v>
      </c>
      <c r="O14">
        <v>2.17</v>
      </c>
      <c r="P14" s="25">
        <v>6.0600000000000001E-2</v>
      </c>
      <c r="Q14" s="25">
        <v>4.8300000000000003E-2</v>
      </c>
      <c r="R14" s="26">
        <v>74326.3</v>
      </c>
      <c r="S14" s="26">
        <v>4051630000</v>
      </c>
      <c r="T14">
        <v>0.22</v>
      </c>
      <c r="U14" s="25">
        <v>3.3799999999999997E-2</v>
      </c>
    </row>
    <row r="15" spans="1:21" x14ac:dyDescent="0.25">
      <c r="A15" t="s">
        <v>67</v>
      </c>
      <c r="B15">
        <v>8.6</v>
      </c>
      <c r="C15">
        <v>30.04</v>
      </c>
      <c r="D15">
        <v>1.45</v>
      </c>
      <c r="E15">
        <v>1.3759999999999999</v>
      </c>
      <c r="F15" s="25">
        <v>1.24E-2</v>
      </c>
      <c r="G15">
        <v>0.92100000000000004</v>
      </c>
      <c r="H15">
        <v>3.49</v>
      </c>
      <c r="I15">
        <v>20.04</v>
      </c>
      <c r="J15">
        <v>7.37</v>
      </c>
      <c r="K15">
        <v>19.329999999999998</v>
      </c>
      <c r="L15">
        <v>10.37</v>
      </c>
      <c r="M15" s="25">
        <v>6.8699999999999997E-2</v>
      </c>
      <c r="N15" s="25">
        <v>4.5699999999999998E-2</v>
      </c>
      <c r="O15">
        <v>2.17</v>
      </c>
      <c r="P15" s="25">
        <v>6.0600000000000001E-2</v>
      </c>
      <c r="Q15" s="25">
        <v>4.8300000000000003E-2</v>
      </c>
      <c r="R15" s="26">
        <v>14760600</v>
      </c>
      <c r="S15" s="26">
        <v>4051630000</v>
      </c>
      <c r="T15">
        <v>0.22</v>
      </c>
      <c r="U15" s="25">
        <v>3.3799999999999997E-2</v>
      </c>
    </row>
    <row r="16" spans="1:21" x14ac:dyDescent="0.25">
      <c r="A16" t="s">
        <v>313</v>
      </c>
      <c r="B16">
        <v>2.98</v>
      </c>
      <c r="C16">
        <v>-140.93</v>
      </c>
      <c r="D16">
        <v>1.87</v>
      </c>
      <c r="E16">
        <v>0.39400000000000002</v>
      </c>
      <c r="F16" s="25">
        <v>0</v>
      </c>
      <c r="G16">
        <v>0.26400000000000001</v>
      </c>
      <c r="H16">
        <v>-2.25</v>
      </c>
      <c r="I16">
        <v>1.6</v>
      </c>
      <c r="J16">
        <v>-0.38</v>
      </c>
      <c r="K16">
        <v>4.74</v>
      </c>
      <c r="L16">
        <v>2.94</v>
      </c>
      <c r="M16" s="25">
        <v>0.24579999999999999</v>
      </c>
      <c r="N16" s="25">
        <v>2E-3</v>
      </c>
      <c r="O16">
        <v>0.57999999999999996</v>
      </c>
      <c r="P16" s="25">
        <v>0.18340000000000001</v>
      </c>
      <c r="Q16" s="25">
        <v>-1.3299999999999999E-2</v>
      </c>
      <c r="R16" s="26">
        <v>334607</v>
      </c>
      <c r="S16" s="26">
        <v>346060000</v>
      </c>
      <c r="T16">
        <v>4.1399999999999997</v>
      </c>
      <c r="U16" s="25">
        <v>0.29049999999999998</v>
      </c>
    </row>
    <row r="17" spans="1:21" x14ac:dyDescent="0.25">
      <c r="A17" t="s">
        <v>314</v>
      </c>
      <c r="B17">
        <v>29.79</v>
      </c>
      <c r="C17">
        <v>8.69</v>
      </c>
      <c r="D17">
        <v>1.1499999999999999</v>
      </c>
      <c r="E17">
        <v>2.3220000000000001</v>
      </c>
      <c r="F17" s="25">
        <v>2.81E-2</v>
      </c>
      <c r="G17">
        <v>0.315</v>
      </c>
      <c r="H17">
        <v>2.86</v>
      </c>
      <c r="I17">
        <v>3.47</v>
      </c>
      <c r="J17">
        <v>-0.78</v>
      </c>
      <c r="K17">
        <v>6.64</v>
      </c>
      <c r="L17">
        <v>6.25</v>
      </c>
      <c r="M17" s="25">
        <v>0.66830000000000001</v>
      </c>
      <c r="N17" s="25">
        <v>0.45929999999999999</v>
      </c>
      <c r="O17">
        <v>2.15</v>
      </c>
      <c r="P17" s="25">
        <v>0.1036</v>
      </c>
      <c r="Q17" s="25">
        <v>0.1326</v>
      </c>
      <c r="R17" s="26">
        <v>32495500</v>
      </c>
      <c r="S17" s="26">
        <v>8518980000</v>
      </c>
      <c r="T17">
        <v>1.48</v>
      </c>
      <c r="U17" s="25">
        <v>-0.1187</v>
      </c>
    </row>
    <row r="18" spans="1:21" x14ac:dyDescent="0.25">
      <c r="A18" t="s">
        <v>315</v>
      </c>
      <c r="B18">
        <v>10.42</v>
      </c>
      <c r="C18">
        <v>9.1199999999999992</v>
      </c>
      <c r="D18">
        <v>1.21</v>
      </c>
      <c r="E18">
        <v>2.4359999999999999</v>
      </c>
      <c r="F18" s="25">
        <v>2.6800000000000001E-2</v>
      </c>
      <c r="G18">
        <v>0.33100000000000002</v>
      </c>
      <c r="H18">
        <v>3.01</v>
      </c>
      <c r="I18">
        <v>3.65</v>
      </c>
      <c r="J18">
        <v>-0.82</v>
      </c>
      <c r="K18">
        <v>6.81</v>
      </c>
      <c r="L18">
        <v>6.41</v>
      </c>
      <c r="M18" s="25">
        <v>0.66830000000000001</v>
      </c>
      <c r="N18" s="25">
        <v>0.45929999999999999</v>
      </c>
      <c r="O18">
        <v>2.15</v>
      </c>
      <c r="P18" s="25">
        <v>0.1036</v>
      </c>
      <c r="Q18" s="25">
        <v>0.1326</v>
      </c>
      <c r="R18" s="26">
        <v>65044.1</v>
      </c>
      <c r="S18" s="26">
        <v>8518980000</v>
      </c>
      <c r="T18">
        <v>1.48</v>
      </c>
      <c r="U18" s="25">
        <v>-0.1187</v>
      </c>
    </row>
    <row r="19" spans="1:21" x14ac:dyDescent="0.25">
      <c r="A19" t="s">
        <v>66</v>
      </c>
      <c r="B19">
        <v>9.52</v>
      </c>
      <c r="C19">
        <v>8.33</v>
      </c>
      <c r="D19">
        <v>1.1100000000000001</v>
      </c>
      <c r="E19">
        <v>2.226</v>
      </c>
      <c r="F19" s="25">
        <v>2.93E-2</v>
      </c>
      <c r="G19">
        <v>0.30199999999999999</v>
      </c>
      <c r="H19">
        <v>2.75</v>
      </c>
      <c r="I19">
        <v>3.33</v>
      </c>
      <c r="J19">
        <v>-0.75</v>
      </c>
      <c r="K19">
        <v>6.5</v>
      </c>
      <c r="L19">
        <v>6.11</v>
      </c>
      <c r="M19" s="25">
        <v>0.66830000000000001</v>
      </c>
      <c r="N19" s="25">
        <v>0.45929999999999999</v>
      </c>
      <c r="O19">
        <v>2.15</v>
      </c>
      <c r="P19" s="25">
        <v>0.1036</v>
      </c>
      <c r="Q19" s="25">
        <v>0.1326</v>
      </c>
      <c r="R19" s="26">
        <v>105027</v>
      </c>
      <c r="S19" s="26">
        <v>8518980000</v>
      </c>
      <c r="T19">
        <v>1.48</v>
      </c>
      <c r="U19" s="25">
        <v>-0.1187</v>
      </c>
    </row>
    <row r="20" spans="1:21" x14ac:dyDescent="0.25">
      <c r="A20" t="s">
        <v>316</v>
      </c>
      <c r="B20">
        <v>1.27</v>
      </c>
      <c r="C20">
        <v>-3.95</v>
      </c>
      <c r="D20">
        <v>2.27</v>
      </c>
      <c r="E20">
        <v>0.45400000000000001</v>
      </c>
      <c r="F20" s="25">
        <v>0</v>
      </c>
      <c r="G20">
        <v>0.31900000000000001</v>
      </c>
      <c r="H20">
        <v>-1.75</v>
      </c>
      <c r="I20">
        <v>6.38</v>
      </c>
      <c r="J20">
        <v>-0.55000000000000004</v>
      </c>
      <c r="K20">
        <v>12.59</v>
      </c>
      <c r="L20">
        <v>4.76</v>
      </c>
      <c r="M20" s="25">
        <v>7.1199999999999999E-2</v>
      </c>
      <c r="N20" s="25">
        <v>-0.1149</v>
      </c>
      <c r="O20">
        <v>0.6</v>
      </c>
      <c r="P20" s="25">
        <v>6.3100000000000003E-2</v>
      </c>
      <c r="Q20" s="25">
        <v>-0.57469999999999999</v>
      </c>
      <c r="R20" s="26">
        <v>259189</v>
      </c>
      <c r="S20" s="26">
        <v>287288000</v>
      </c>
      <c r="T20">
        <v>2.2400000000000002</v>
      </c>
      <c r="U20" s="25">
        <v>-0.12559999999999999</v>
      </c>
    </row>
    <row r="21" spans="1:21" x14ac:dyDescent="0.25">
      <c r="A21" t="s">
        <v>196</v>
      </c>
      <c r="B21">
        <v>142.85</v>
      </c>
      <c r="C21">
        <v>-106.14</v>
      </c>
      <c r="D21">
        <v>18.14</v>
      </c>
      <c r="E21">
        <v>3.4649999999999999</v>
      </c>
      <c r="F21" s="25">
        <v>0</v>
      </c>
      <c r="G21">
        <v>1.389</v>
      </c>
      <c r="H21">
        <v>4.8099999999999996</v>
      </c>
      <c r="I21">
        <v>20.95</v>
      </c>
      <c r="J21">
        <v>-3.3</v>
      </c>
      <c r="K21">
        <v>26.43</v>
      </c>
      <c r="L21">
        <v>15.93</v>
      </c>
      <c r="M21" s="25">
        <v>0.16539999999999999</v>
      </c>
      <c r="N21" s="25">
        <v>-1.9699999999999999E-2</v>
      </c>
      <c r="O21">
        <v>2.88</v>
      </c>
      <c r="P21" s="25">
        <v>9.64E-2</v>
      </c>
      <c r="Q21" s="25">
        <v>-0.1709</v>
      </c>
      <c r="R21" s="26">
        <v>28266900</v>
      </c>
      <c r="S21" s="26">
        <v>1315480000</v>
      </c>
      <c r="T21">
        <v>8.5</v>
      </c>
      <c r="U21" s="25">
        <v>0.6452</v>
      </c>
    </row>
    <row r="22" spans="1:21" x14ac:dyDescent="0.25">
      <c r="A22" t="s">
        <v>317</v>
      </c>
      <c r="B22">
        <v>5.0599999999999996</v>
      </c>
      <c r="C22">
        <v>0.14000000000000001</v>
      </c>
      <c r="D22">
        <v>0.23</v>
      </c>
      <c r="E22">
        <v>7.3999999999999996E-2</v>
      </c>
      <c r="F22" s="25">
        <v>0</v>
      </c>
      <c r="G22">
        <v>5.8000000000000003E-2</v>
      </c>
      <c r="H22">
        <v>0.43</v>
      </c>
      <c r="I22">
        <v>-0.78</v>
      </c>
      <c r="J22">
        <v>-0.18</v>
      </c>
      <c r="K22">
        <v>-1.52</v>
      </c>
      <c r="L22">
        <v>-6.68</v>
      </c>
      <c r="M22" s="25">
        <v>-9.5399999999999999E-2</v>
      </c>
      <c r="N22" s="25">
        <v>0.53639999999999999</v>
      </c>
      <c r="O22">
        <v>1.49</v>
      </c>
      <c r="P22" s="25">
        <v>-9.4299999999999995E-2</v>
      </c>
      <c r="Q22" s="25">
        <v>1.6384000000000001</v>
      </c>
      <c r="R22" s="26">
        <v>12327400</v>
      </c>
      <c r="S22" s="26">
        <v>4475000000</v>
      </c>
      <c r="T22">
        <v>0.41</v>
      </c>
      <c r="U22" s="25">
        <v>-1.9599999999999999E-2</v>
      </c>
    </row>
    <row r="23" spans="1:21" x14ac:dyDescent="0.25">
      <c r="A23" t="s">
        <v>318</v>
      </c>
      <c r="B23">
        <v>11.29</v>
      </c>
      <c r="C23">
        <v>-3.4</v>
      </c>
      <c r="D23">
        <v>0.19</v>
      </c>
      <c r="E23">
        <v>2.9000000000000001E-2</v>
      </c>
      <c r="F23" s="25">
        <v>0</v>
      </c>
      <c r="G23">
        <v>4.8000000000000001E-2</v>
      </c>
      <c r="H23">
        <v>0.22</v>
      </c>
      <c r="I23">
        <v>1.47</v>
      </c>
      <c r="J23">
        <v>-0.32</v>
      </c>
      <c r="K23">
        <v>10.42</v>
      </c>
      <c r="L23">
        <v>5.62</v>
      </c>
      <c r="M23" s="25">
        <v>0.02</v>
      </c>
      <c r="N23" s="25">
        <v>-8.6E-3</v>
      </c>
      <c r="O23">
        <v>1.61</v>
      </c>
      <c r="P23" s="25">
        <v>4.4999999999999998E-2</v>
      </c>
      <c r="Q23" s="25">
        <v>-5.5500000000000001E-2</v>
      </c>
      <c r="R23" s="26">
        <v>1843330</v>
      </c>
      <c r="S23" s="26">
        <v>2262550000</v>
      </c>
      <c r="T23">
        <v>1.53</v>
      </c>
      <c r="U23" s="25">
        <v>0</v>
      </c>
    </row>
    <row r="24" spans="1:21" x14ac:dyDescent="0.25">
      <c r="A24" t="s">
        <v>167</v>
      </c>
      <c r="B24">
        <v>3.65</v>
      </c>
      <c r="C24">
        <v>12.67</v>
      </c>
      <c r="D24">
        <v>0.62</v>
      </c>
      <c r="E24">
        <v>0.38300000000000001</v>
      </c>
      <c r="F24" s="25">
        <v>0.14380000000000001</v>
      </c>
      <c r="G24">
        <v>0.14799999999999999</v>
      </c>
      <c r="H24">
        <v>1.23</v>
      </c>
      <c r="I24">
        <v>1.39</v>
      </c>
      <c r="J24">
        <v>-0.31</v>
      </c>
      <c r="K24">
        <v>5.13</v>
      </c>
      <c r="L24">
        <v>3.58</v>
      </c>
      <c r="M24" s="25">
        <v>0.27600000000000002</v>
      </c>
      <c r="N24" s="25">
        <v>6.4199999999999993E-2</v>
      </c>
      <c r="O24">
        <v>2.06</v>
      </c>
      <c r="P24" s="25">
        <v>0.1275</v>
      </c>
      <c r="Q24" s="25">
        <v>4.9099999999999998E-2</v>
      </c>
      <c r="R24" s="26">
        <v>25162300</v>
      </c>
      <c r="S24" s="26">
        <v>2369750000</v>
      </c>
      <c r="T24">
        <v>2.27</v>
      </c>
      <c r="U24" s="25">
        <v>0.23</v>
      </c>
    </row>
    <row r="25" spans="1:21" x14ac:dyDescent="0.25">
      <c r="A25" t="s">
        <v>264</v>
      </c>
      <c r="B25">
        <v>3.93</v>
      </c>
      <c r="C25">
        <v>10.46</v>
      </c>
      <c r="D25">
        <v>1.08</v>
      </c>
      <c r="E25">
        <v>0.749</v>
      </c>
      <c r="F25" s="25">
        <v>3.6499999999999998E-2</v>
      </c>
      <c r="G25">
        <v>0.29799999999999999</v>
      </c>
      <c r="H25">
        <v>1.67</v>
      </c>
      <c r="I25">
        <v>2.83</v>
      </c>
      <c r="J25">
        <v>-0.73</v>
      </c>
      <c r="K25">
        <v>6.46</v>
      </c>
      <c r="L25">
        <v>4.46</v>
      </c>
      <c r="M25" s="25">
        <v>0.26490000000000002</v>
      </c>
      <c r="N25" s="25">
        <v>7.1599999999999997E-2</v>
      </c>
      <c r="O25">
        <v>2.42</v>
      </c>
      <c r="P25" s="25">
        <v>0.13800000000000001</v>
      </c>
      <c r="Q25" s="25">
        <v>0.1031</v>
      </c>
      <c r="R25" s="26">
        <v>8132890</v>
      </c>
      <c r="S25" s="26">
        <v>1263400000</v>
      </c>
      <c r="T25">
        <v>1.96</v>
      </c>
      <c r="U25" s="25">
        <v>0.49309999999999998</v>
      </c>
    </row>
    <row r="26" spans="1:21" x14ac:dyDescent="0.25">
      <c r="A26" t="s">
        <v>182</v>
      </c>
      <c r="B26">
        <v>9.68</v>
      </c>
      <c r="C26">
        <v>15.85</v>
      </c>
      <c r="D26">
        <v>2.4300000000000002</v>
      </c>
      <c r="E26">
        <v>0.17399999999999999</v>
      </c>
      <c r="F26" s="25">
        <v>1.11E-2</v>
      </c>
      <c r="G26">
        <v>0.29299999999999998</v>
      </c>
      <c r="H26">
        <v>16.16</v>
      </c>
      <c r="I26">
        <v>2.38</v>
      </c>
      <c r="J26">
        <v>-0.55000000000000004</v>
      </c>
      <c r="K26">
        <v>4.55</v>
      </c>
      <c r="L26">
        <v>3.49</v>
      </c>
      <c r="M26" s="25">
        <v>7.3099999999999998E-2</v>
      </c>
      <c r="N26" s="25">
        <v>1.0999999999999999E-2</v>
      </c>
      <c r="O26">
        <v>1.05</v>
      </c>
      <c r="P26" s="25">
        <v>0.1903</v>
      </c>
      <c r="Q26" s="25">
        <v>0.15340000000000001</v>
      </c>
      <c r="R26" s="26">
        <v>136291000</v>
      </c>
      <c r="S26" s="26">
        <v>5385000000</v>
      </c>
      <c r="T26">
        <v>3.03</v>
      </c>
      <c r="U26" s="25">
        <v>0.2361</v>
      </c>
    </row>
    <row r="27" spans="1:21" x14ac:dyDescent="0.25">
      <c r="A27" t="s">
        <v>319</v>
      </c>
      <c r="B27">
        <v>2.0499999999999998</v>
      </c>
      <c r="C27">
        <v>-9.67</v>
      </c>
      <c r="D27">
        <v>2.2999999999999998</v>
      </c>
      <c r="E27">
        <v>1.5640000000000001</v>
      </c>
      <c r="F27" s="25">
        <v>0</v>
      </c>
      <c r="G27">
        <v>1.859</v>
      </c>
      <c r="H27">
        <v>4.3</v>
      </c>
      <c r="I27">
        <v>26.36</v>
      </c>
      <c r="J27">
        <v>4.68</v>
      </c>
      <c r="K27">
        <v>25.96</v>
      </c>
      <c r="L27">
        <v>15.83</v>
      </c>
      <c r="M27" s="25">
        <v>5.9299999999999999E-2</v>
      </c>
      <c r="N27" s="25">
        <v>-0.1111</v>
      </c>
      <c r="O27">
        <v>6.45</v>
      </c>
      <c r="P27" s="25">
        <v>7.8299999999999995E-2</v>
      </c>
      <c r="Q27" s="25">
        <v>-0.2379</v>
      </c>
      <c r="R27" s="26">
        <v>38722.800000000003</v>
      </c>
      <c r="S27" s="26">
        <v>21223000</v>
      </c>
      <c r="T27">
        <v>0.06</v>
      </c>
      <c r="U27" s="25">
        <v>0</v>
      </c>
    </row>
    <row r="28" spans="1:21" x14ac:dyDescent="0.25">
      <c r="A28" t="s">
        <v>265</v>
      </c>
      <c r="B28">
        <v>1.25</v>
      </c>
      <c r="C28">
        <v>-0.21</v>
      </c>
      <c r="D28">
        <v>0.31</v>
      </c>
      <c r="E28">
        <v>8.5000000000000006E-2</v>
      </c>
      <c r="F28" s="25">
        <v>0</v>
      </c>
      <c r="G28">
        <v>0.03</v>
      </c>
      <c r="H28">
        <v>-0.12</v>
      </c>
      <c r="I28">
        <v>-0.62</v>
      </c>
      <c r="J28">
        <v>-0.04</v>
      </c>
      <c r="K28">
        <v>-3.53</v>
      </c>
      <c r="L28">
        <v>-17.98</v>
      </c>
      <c r="M28" s="25">
        <v>-0.1366</v>
      </c>
      <c r="N28" s="25">
        <v>-0.41139999999999999</v>
      </c>
      <c r="O28">
        <v>0.38</v>
      </c>
      <c r="P28" s="25">
        <v>-5.28E-2</v>
      </c>
      <c r="Q28" s="25">
        <v>-1.5024</v>
      </c>
      <c r="R28" s="26">
        <v>16591.3</v>
      </c>
      <c r="S28" s="26">
        <v>107351000</v>
      </c>
      <c r="T28">
        <v>2.09</v>
      </c>
      <c r="U28" s="25">
        <v>-0.25879999999999997</v>
      </c>
    </row>
    <row r="29" spans="1:21" x14ac:dyDescent="0.25">
      <c r="A29" t="s">
        <v>320</v>
      </c>
      <c r="B29">
        <v>46.3</v>
      </c>
      <c r="C29">
        <v>-18.89</v>
      </c>
      <c r="D29">
        <v>12.52</v>
      </c>
      <c r="E29">
        <v>2.8610000000000002</v>
      </c>
      <c r="F29" s="25">
        <v>9.5999999999999992E-3</v>
      </c>
      <c r="G29">
        <v>1.538</v>
      </c>
      <c r="H29">
        <v>35.270000000000003</v>
      </c>
      <c r="I29">
        <v>7.17</v>
      </c>
      <c r="J29">
        <v>-2.63</v>
      </c>
      <c r="K29">
        <v>8.27</v>
      </c>
      <c r="L29">
        <v>8.27</v>
      </c>
      <c r="M29" s="25">
        <v>0.39900000000000002</v>
      </c>
      <c r="N29" s="25">
        <v>-0.15140000000000001</v>
      </c>
      <c r="O29">
        <v>1.17</v>
      </c>
      <c r="P29" s="25">
        <v>0.2918</v>
      </c>
      <c r="Q29" s="25">
        <v>-0.66269999999999996</v>
      </c>
      <c r="R29" s="26">
        <v>18427300</v>
      </c>
      <c r="S29" s="26">
        <v>803132000</v>
      </c>
      <c r="T29">
        <v>3.34</v>
      </c>
      <c r="U29" s="25">
        <v>0.1147</v>
      </c>
    </row>
    <row r="30" spans="1:21" x14ac:dyDescent="0.25">
      <c r="A30" t="s">
        <v>87</v>
      </c>
      <c r="B30">
        <v>9.7200000000000006</v>
      </c>
      <c r="C30" s="26">
        <v>1755.45</v>
      </c>
      <c r="D30">
        <v>0.77</v>
      </c>
      <c r="E30">
        <v>1.0620000000000001</v>
      </c>
      <c r="F30" s="25">
        <v>5.8999999999999999E-3</v>
      </c>
      <c r="G30">
        <v>0.19500000000000001</v>
      </c>
      <c r="H30">
        <v>2.96</v>
      </c>
      <c r="I30">
        <v>7.02</v>
      </c>
      <c r="J30">
        <v>-0.38</v>
      </c>
      <c r="K30">
        <v>20.78</v>
      </c>
      <c r="L30">
        <v>13</v>
      </c>
      <c r="M30" s="25">
        <v>0.1512</v>
      </c>
      <c r="N30" s="25">
        <v>7.4999999999999997E-3</v>
      </c>
      <c r="O30">
        <v>1.45</v>
      </c>
      <c r="P30" s="25">
        <v>3.2300000000000002E-2</v>
      </c>
      <c r="Q30" s="25">
        <v>4.0000000000000002E-4</v>
      </c>
      <c r="R30" s="26">
        <v>39964100</v>
      </c>
      <c r="S30" s="26">
        <v>13251500000</v>
      </c>
      <c r="T30">
        <v>1.97</v>
      </c>
      <c r="U30" s="25">
        <v>0.3977</v>
      </c>
    </row>
    <row r="31" spans="1:21" x14ac:dyDescent="0.25">
      <c r="A31" t="s">
        <v>321</v>
      </c>
      <c r="B31">
        <v>1.72</v>
      </c>
      <c r="C31" s="26">
        <v>-28.68</v>
      </c>
      <c r="D31">
        <v>-3.86</v>
      </c>
      <c r="E31">
        <v>0.48399999999999999</v>
      </c>
      <c r="F31" s="25">
        <v>0</v>
      </c>
      <c r="G31">
        <v>0.24199999999999999</v>
      </c>
      <c r="H31">
        <v>-3.8</v>
      </c>
      <c r="I31">
        <v>1.76</v>
      </c>
      <c r="J31">
        <v>-0.37</v>
      </c>
      <c r="K31">
        <v>4.03</v>
      </c>
      <c r="L31" s="26">
        <v>4</v>
      </c>
      <c r="M31" s="25">
        <v>0.2752</v>
      </c>
      <c r="N31" s="25">
        <v>1.3899999999999999E-2</v>
      </c>
      <c r="O31">
        <v>0.86</v>
      </c>
      <c r="P31" s="25">
        <v>0.1759</v>
      </c>
      <c r="Q31" s="25">
        <v>0.13469999999999999</v>
      </c>
      <c r="R31" s="26">
        <v>24448.400000000001</v>
      </c>
      <c r="S31" s="26">
        <v>-86998000</v>
      </c>
      <c r="T31">
        <v>-7.67</v>
      </c>
      <c r="U31" s="25">
        <v>0.33529999999999999</v>
      </c>
    </row>
    <row r="32" spans="1:21" x14ac:dyDescent="0.25">
      <c r="A32" t="s">
        <v>249</v>
      </c>
      <c r="B32">
        <v>0.53</v>
      </c>
      <c r="C32">
        <v>-1.19</v>
      </c>
      <c r="D32">
        <v>0.44</v>
      </c>
      <c r="E32">
        <v>2.044</v>
      </c>
      <c r="F32" s="25">
        <v>0</v>
      </c>
      <c r="G32">
        <v>0.23899999999999999</v>
      </c>
      <c r="H32">
        <v>-1.53</v>
      </c>
      <c r="I32">
        <v>-3</v>
      </c>
      <c r="J32">
        <v>-0.73</v>
      </c>
      <c r="K32">
        <v>-4.28</v>
      </c>
      <c r="L32" s="26">
        <v>-6.61</v>
      </c>
      <c r="M32" s="25">
        <v>-0.68030000000000002</v>
      </c>
      <c r="N32" s="25">
        <v>-1.7121</v>
      </c>
      <c r="O32">
        <v>0.44</v>
      </c>
      <c r="P32" s="25">
        <v>-8.7300000000000003E-2</v>
      </c>
      <c r="Q32" s="25">
        <v>-0.36630000000000001</v>
      </c>
      <c r="R32" s="26">
        <v>807619</v>
      </c>
      <c r="S32" s="26">
        <v>718475000</v>
      </c>
      <c r="T32">
        <v>0.2</v>
      </c>
      <c r="U32" s="25">
        <v>0.54369999999999996</v>
      </c>
    </row>
    <row r="33" spans="1:21" x14ac:dyDescent="0.25">
      <c r="A33" t="s">
        <v>237</v>
      </c>
      <c r="B33">
        <v>0.56000000000000005</v>
      </c>
      <c r="C33">
        <v>-1.26</v>
      </c>
      <c r="D33">
        <v>0.46</v>
      </c>
      <c r="E33">
        <v>2.16</v>
      </c>
      <c r="F33" s="25">
        <v>0</v>
      </c>
      <c r="G33">
        <v>0.253</v>
      </c>
      <c r="H33">
        <v>-1.62</v>
      </c>
      <c r="I33">
        <v>-3.17</v>
      </c>
      <c r="J33">
        <v>-0.77</v>
      </c>
      <c r="K33" s="26">
        <v>-4.45</v>
      </c>
      <c r="L33">
        <v>-6.87</v>
      </c>
      <c r="M33" s="25">
        <v>-0.68030000000000002</v>
      </c>
      <c r="N33" s="25">
        <v>-1.7121</v>
      </c>
      <c r="O33">
        <v>0.44</v>
      </c>
      <c r="P33" s="25">
        <v>-8.7300000000000003E-2</v>
      </c>
      <c r="Q33" s="25">
        <v>-0.36630000000000001</v>
      </c>
      <c r="R33" s="26">
        <v>1873950</v>
      </c>
      <c r="S33" s="26">
        <v>718475000</v>
      </c>
      <c r="T33">
        <v>0.2</v>
      </c>
      <c r="U33" s="25">
        <v>0.54369999999999996</v>
      </c>
    </row>
    <row r="34" spans="1:21" x14ac:dyDescent="0.25">
      <c r="A34" t="s">
        <v>322</v>
      </c>
      <c r="B34">
        <v>0.55000000000000004</v>
      </c>
      <c r="C34">
        <v>-2.52</v>
      </c>
      <c r="D34">
        <v>0.72</v>
      </c>
      <c r="E34">
        <v>41.085999999999999</v>
      </c>
      <c r="F34" s="25">
        <v>0</v>
      </c>
      <c r="G34">
        <v>0.53800000000000003</v>
      </c>
      <c r="H34">
        <v>-6.5</v>
      </c>
      <c r="I34">
        <v>-14.37</v>
      </c>
      <c r="J34">
        <v>-2.16</v>
      </c>
      <c r="K34">
        <v>-15.48</v>
      </c>
      <c r="L34">
        <v>-109.41</v>
      </c>
      <c r="M34" s="25">
        <v>-2.8586</v>
      </c>
      <c r="N34" s="25">
        <v>-16.324400000000001</v>
      </c>
      <c r="O34">
        <v>0.08</v>
      </c>
      <c r="P34" s="25">
        <v>-3.8100000000000002E-2</v>
      </c>
      <c r="Q34" s="25">
        <v>-0.28770000000000001</v>
      </c>
      <c r="R34" s="26">
        <v>2888060</v>
      </c>
      <c r="S34" s="26">
        <v>150106000</v>
      </c>
      <c r="T34">
        <v>0.06</v>
      </c>
      <c r="U34" s="25">
        <v>0</v>
      </c>
    </row>
    <row r="35" spans="1:21" x14ac:dyDescent="0.25">
      <c r="A35" t="s">
        <v>258</v>
      </c>
      <c r="B35">
        <v>0.67</v>
      </c>
      <c r="C35">
        <v>0.05</v>
      </c>
      <c r="D35">
        <v>-0.02</v>
      </c>
      <c r="E35">
        <v>3.1E-2</v>
      </c>
      <c r="F35" s="25">
        <v>0</v>
      </c>
      <c r="G35">
        <v>2.4E-2</v>
      </c>
      <c r="H35">
        <v>-0.06</v>
      </c>
      <c r="I35">
        <v>0.14000000000000001</v>
      </c>
      <c r="J35">
        <v>-0.01</v>
      </c>
      <c r="K35">
        <v>7.48</v>
      </c>
      <c r="L35">
        <v>4.6399999999999997</v>
      </c>
      <c r="M35" s="25">
        <v>0.22259999999999999</v>
      </c>
      <c r="N35" s="25">
        <v>0.58760000000000001</v>
      </c>
      <c r="O35">
        <v>0.35</v>
      </c>
      <c r="P35" s="25">
        <v>0.22220000000000001</v>
      </c>
      <c r="Q35" s="25">
        <v>-0.41810000000000003</v>
      </c>
      <c r="R35" s="26">
        <v>31779100</v>
      </c>
      <c r="S35" s="26">
        <v>-28451100000</v>
      </c>
      <c r="T35">
        <v>-1.22</v>
      </c>
      <c r="U35" s="25">
        <v>0.4042</v>
      </c>
    </row>
    <row r="36" spans="1:21" x14ac:dyDescent="0.25">
      <c r="A36" t="s">
        <v>323</v>
      </c>
      <c r="B36">
        <v>37.119999999999997</v>
      </c>
      <c r="C36">
        <v>19.829999999999998</v>
      </c>
      <c r="D36">
        <v>0.98</v>
      </c>
      <c r="E36">
        <v>0.76600000000000001</v>
      </c>
      <c r="F36" s="25">
        <v>1.55E-2</v>
      </c>
      <c r="G36">
        <v>0.5</v>
      </c>
      <c r="H36">
        <v>3.08</v>
      </c>
      <c r="I36">
        <v>10.71</v>
      </c>
      <c r="J36">
        <v>-15.74</v>
      </c>
      <c r="K36">
        <v>13.69</v>
      </c>
      <c r="L36">
        <v>7.92</v>
      </c>
      <c r="M36" s="25">
        <v>7.1599999999999997E-2</v>
      </c>
      <c r="N36" s="25">
        <v>3.85E-2</v>
      </c>
      <c r="O36">
        <v>1.55</v>
      </c>
      <c r="P36" s="25">
        <v>5.6800000000000003E-2</v>
      </c>
      <c r="Q36" s="25">
        <v>4.9500000000000002E-2</v>
      </c>
      <c r="R36" s="26">
        <v>103598000</v>
      </c>
      <c r="S36" s="26">
        <v>7804360000</v>
      </c>
      <c r="T36">
        <v>0.42</v>
      </c>
      <c r="U36" s="25">
        <v>0.48170000000000002</v>
      </c>
    </row>
    <row r="37" spans="1:21" x14ac:dyDescent="0.25">
      <c r="A37" t="s">
        <v>183</v>
      </c>
      <c r="B37">
        <v>13.39</v>
      </c>
      <c r="C37">
        <v>14.9</v>
      </c>
      <c r="D37">
        <v>3.75</v>
      </c>
      <c r="E37">
        <v>6.5519999999999996</v>
      </c>
      <c r="F37" s="25">
        <v>2.2700000000000001E-2</v>
      </c>
      <c r="G37">
        <v>1.5229999999999999</v>
      </c>
      <c r="H37">
        <v>8.25</v>
      </c>
      <c r="I37">
        <v>11.05</v>
      </c>
      <c r="J37">
        <v>-6.2</v>
      </c>
      <c r="K37">
        <v>11.1</v>
      </c>
      <c r="L37">
        <v>10.47</v>
      </c>
      <c r="M37" s="25">
        <v>0.59299999999999997</v>
      </c>
      <c r="N37" s="25">
        <v>0.43969999999999998</v>
      </c>
      <c r="O37">
        <v>2.13</v>
      </c>
      <c r="P37" s="25">
        <v>0.20280000000000001</v>
      </c>
      <c r="Q37" s="25">
        <v>0.25180000000000002</v>
      </c>
      <c r="R37" s="26">
        <v>528021000</v>
      </c>
      <c r="S37" s="26">
        <v>18794600000</v>
      </c>
      <c r="T37">
        <v>0.79</v>
      </c>
      <c r="U37" s="25">
        <v>1.6E-2</v>
      </c>
    </row>
    <row r="38" spans="1:21" x14ac:dyDescent="0.25">
      <c r="A38" t="s">
        <v>324</v>
      </c>
      <c r="B38">
        <v>21</v>
      </c>
      <c r="C38">
        <v>6.63</v>
      </c>
      <c r="D38">
        <v>1.1299999999999999</v>
      </c>
      <c r="E38">
        <v>0.99299999999999999</v>
      </c>
      <c r="F38" s="25">
        <v>6.4600000000000005E-2</v>
      </c>
      <c r="G38">
        <v>0.73099999999999998</v>
      </c>
      <c r="H38">
        <v>1.43</v>
      </c>
      <c r="I38">
        <v>6.04</v>
      </c>
      <c r="J38">
        <v>1.95</v>
      </c>
      <c r="K38">
        <v>4.2</v>
      </c>
      <c r="L38">
        <v>3.65</v>
      </c>
      <c r="M38" s="25">
        <v>0.16450000000000001</v>
      </c>
      <c r="N38" s="25">
        <v>0.1517</v>
      </c>
      <c r="O38">
        <v>3.3</v>
      </c>
      <c r="P38" s="25">
        <v>0.17910000000000001</v>
      </c>
      <c r="Q38" s="25">
        <v>0.1699</v>
      </c>
      <c r="R38" s="26">
        <v>2433.36</v>
      </c>
      <c r="S38" s="26">
        <v>182554000</v>
      </c>
      <c r="T38">
        <v>0.09</v>
      </c>
      <c r="U38" s="25">
        <v>6.9500000000000006E-2</v>
      </c>
    </row>
    <row r="39" spans="1:21" x14ac:dyDescent="0.25">
      <c r="A39" t="s">
        <v>325</v>
      </c>
      <c r="B39">
        <v>15.8</v>
      </c>
      <c r="C39">
        <v>4.99</v>
      </c>
      <c r="D39">
        <v>0.85</v>
      </c>
      <c r="E39">
        <v>0.747</v>
      </c>
      <c r="F39" s="25">
        <v>8.5900000000000004E-2</v>
      </c>
      <c r="G39">
        <v>0.55000000000000004</v>
      </c>
      <c r="H39">
        <v>1.08</v>
      </c>
      <c r="I39">
        <v>4.54</v>
      </c>
      <c r="J39">
        <v>1.47</v>
      </c>
      <c r="K39">
        <v>2.7</v>
      </c>
      <c r="L39">
        <v>2.35</v>
      </c>
      <c r="M39" s="25">
        <v>0.16450000000000001</v>
      </c>
      <c r="N39" s="25">
        <v>0.1517</v>
      </c>
      <c r="O39">
        <v>3.3</v>
      </c>
      <c r="P39" s="25">
        <v>0.17910000000000001</v>
      </c>
      <c r="Q39" s="25">
        <v>0.1699</v>
      </c>
      <c r="R39" s="26">
        <v>12217.4</v>
      </c>
      <c r="S39" s="26">
        <v>182554000</v>
      </c>
      <c r="T39">
        <v>0.09</v>
      </c>
      <c r="U39" s="25">
        <v>6.9500000000000006E-2</v>
      </c>
    </row>
    <row r="40" spans="1:21" x14ac:dyDescent="0.25">
      <c r="A40" t="s">
        <v>326</v>
      </c>
      <c r="B40">
        <v>82.47</v>
      </c>
      <c r="C40">
        <v>16.100000000000001</v>
      </c>
      <c r="D40">
        <v>3.3</v>
      </c>
      <c r="E40">
        <v>1.681</v>
      </c>
      <c r="F40" s="25">
        <v>1.4999999999999999E-2</v>
      </c>
      <c r="G40">
        <v>2.2679999999999998</v>
      </c>
      <c r="H40">
        <v>9.61</v>
      </c>
      <c r="I40">
        <v>21.78</v>
      </c>
      <c r="J40">
        <v>10.3</v>
      </c>
      <c r="K40">
        <v>19.510000000000002</v>
      </c>
      <c r="L40">
        <v>15.29</v>
      </c>
      <c r="M40" s="25">
        <v>7.7200000000000005E-2</v>
      </c>
      <c r="N40" s="25">
        <v>0.10440000000000001</v>
      </c>
      <c r="O40">
        <v>1.79</v>
      </c>
      <c r="P40" s="25">
        <v>0.17910000000000001</v>
      </c>
      <c r="Q40" s="25">
        <v>0.2051</v>
      </c>
      <c r="R40" s="26">
        <v>19242.099999999999</v>
      </c>
      <c r="S40" s="26">
        <v>130425000</v>
      </c>
      <c r="T40">
        <v>0</v>
      </c>
      <c r="U40" s="25">
        <v>9.0999999999999998E-2</v>
      </c>
    </row>
    <row r="41" spans="1:21" x14ac:dyDescent="0.25">
      <c r="A41" t="s">
        <v>327</v>
      </c>
      <c r="B41">
        <v>70.22</v>
      </c>
      <c r="C41">
        <v>3.19</v>
      </c>
      <c r="D41">
        <v>0.59</v>
      </c>
      <c r="E41">
        <v>0</v>
      </c>
      <c r="F41" s="25">
        <v>0.1137</v>
      </c>
      <c r="G41">
        <v>0</v>
      </c>
      <c r="H41">
        <v>0</v>
      </c>
      <c r="I41">
        <v>0</v>
      </c>
      <c r="J41">
        <v>0</v>
      </c>
      <c r="K41">
        <v>0</v>
      </c>
      <c r="L41">
        <v>0</v>
      </c>
      <c r="M41" s="25">
        <v>0</v>
      </c>
      <c r="N41" s="25">
        <v>0</v>
      </c>
      <c r="O41">
        <v>0</v>
      </c>
      <c r="P41" s="25">
        <v>0</v>
      </c>
      <c r="Q41" s="25">
        <v>0.1842</v>
      </c>
      <c r="R41" s="26">
        <v>793198</v>
      </c>
      <c r="S41" s="26">
        <v>6691270000</v>
      </c>
      <c r="T41">
        <v>0</v>
      </c>
      <c r="U41" s="25">
        <v>9.7000000000000003E-2</v>
      </c>
    </row>
    <row r="42" spans="1:21" x14ac:dyDescent="0.25">
      <c r="A42" t="s">
        <v>232</v>
      </c>
      <c r="B42">
        <v>20.21</v>
      </c>
      <c r="C42">
        <v>3.48</v>
      </c>
      <c r="D42">
        <v>0.66</v>
      </c>
      <c r="E42">
        <v>0</v>
      </c>
      <c r="F42" s="25">
        <v>0.1177</v>
      </c>
      <c r="G42">
        <v>0</v>
      </c>
      <c r="H42">
        <v>0</v>
      </c>
      <c r="I42">
        <v>0</v>
      </c>
      <c r="J42">
        <v>0</v>
      </c>
      <c r="K42">
        <v>0</v>
      </c>
      <c r="L42">
        <v>0</v>
      </c>
      <c r="M42" s="25">
        <v>0</v>
      </c>
      <c r="N42" s="25">
        <v>0</v>
      </c>
      <c r="O42">
        <v>0</v>
      </c>
      <c r="P42" s="25">
        <v>0</v>
      </c>
      <c r="Q42" s="25">
        <v>0.1905</v>
      </c>
      <c r="R42" s="26">
        <v>701408000</v>
      </c>
      <c r="S42" s="26">
        <v>174643000000</v>
      </c>
      <c r="T42">
        <v>0</v>
      </c>
      <c r="U42" s="25">
        <v>0.15529999999999999</v>
      </c>
    </row>
    <row r="43" spans="1:21" x14ac:dyDescent="0.25">
      <c r="A43" t="s">
        <v>95</v>
      </c>
      <c r="B43">
        <v>13.63</v>
      </c>
      <c r="C43">
        <v>6.98</v>
      </c>
      <c r="D43">
        <v>0.88</v>
      </c>
      <c r="E43">
        <v>0</v>
      </c>
      <c r="F43" s="25">
        <v>8.3199999999999996E-2</v>
      </c>
      <c r="G43">
        <v>0</v>
      </c>
      <c r="H43">
        <v>0</v>
      </c>
      <c r="I43">
        <v>0</v>
      </c>
      <c r="J43">
        <v>0</v>
      </c>
      <c r="K43">
        <v>0</v>
      </c>
      <c r="L43">
        <v>0</v>
      </c>
      <c r="M43" s="25">
        <v>0</v>
      </c>
      <c r="N43" s="25">
        <v>0</v>
      </c>
      <c r="O43">
        <v>0</v>
      </c>
      <c r="P43" s="25">
        <v>0</v>
      </c>
      <c r="Q43" s="25">
        <v>0.12590000000000001</v>
      </c>
      <c r="R43" s="26">
        <v>131860000</v>
      </c>
      <c r="S43" s="26">
        <v>164193000000</v>
      </c>
      <c r="T43">
        <v>0</v>
      </c>
      <c r="U43" s="25">
        <v>-4.48E-2</v>
      </c>
    </row>
    <row r="44" spans="1:21" x14ac:dyDescent="0.25">
      <c r="A44" t="s">
        <v>110</v>
      </c>
      <c r="B44">
        <v>15.88</v>
      </c>
      <c r="C44">
        <v>8.1300000000000008</v>
      </c>
      <c r="D44">
        <v>1.02</v>
      </c>
      <c r="E44">
        <v>0</v>
      </c>
      <c r="F44" s="25">
        <v>7.85E-2</v>
      </c>
      <c r="G44">
        <v>0</v>
      </c>
      <c r="H44">
        <v>0</v>
      </c>
      <c r="I44">
        <v>0</v>
      </c>
      <c r="J44">
        <v>0</v>
      </c>
      <c r="K44">
        <v>0</v>
      </c>
      <c r="L44">
        <v>0</v>
      </c>
      <c r="M44" s="25">
        <v>0</v>
      </c>
      <c r="N44" s="25">
        <v>0</v>
      </c>
      <c r="O44">
        <v>0</v>
      </c>
      <c r="P44" s="25">
        <v>0</v>
      </c>
      <c r="Q44" s="25">
        <v>0.12590000000000001</v>
      </c>
      <c r="R44" s="26">
        <v>490577000</v>
      </c>
      <c r="S44" s="26">
        <v>164193000000</v>
      </c>
      <c r="T44">
        <v>0</v>
      </c>
      <c r="U44" s="25">
        <v>-4.48E-2</v>
      </c>
    </row>
    <row r="45" spans="1:21" x14ac:dyDescent="0.25">
      <c r="A45" t="s">
        <v>42</v>
      </c>
      <c r="B45">
        <v>33.78</v>
      </c>
      <c r="C45">
        <v>7.82</v>
      </c>
      <c r="D45">
        <v>5.79</v>
      </c>
      <c r="E45">
        <v>0</v>
      </c>
      <c r="F45" s="25">
        <v>0.1096</v>
      </c>
      <c r="G45">
        <v>3.6469999999999998</v>
      </c>
      <c r="H45">
        <v>0</v>
      </c>
      <c r="I45">
        <v>6.98</v>
      </c>
      <c r="J45">
        <v>0</v>
      </c>
      <c r="K45">
        <v>0</v>
      </c>
      <c r="L45">
        <v>0</v>
      </c>
      <c r="M45" s="25">
        <v>0</v>
      </c>
      <c r="N45" s="25">
        <v>0</v>
      </c>
      <c r="O45">
        <v>0</v>
      </c>
      <c r="P45" s="25">
        <v>0</v>
      </c>
      <c r="Q45" s="25">
        <v>0.74129999999999996</v>
      </c>
      <c r="R45" s="26">
        <v>181335000</v>
      </c>
      <c r="S45" s="26">
        <v>11662000000</v>
      </c>
      <c r="T45">
        <v>0</v>
      </c>
      <c r="U45" s="25">
        <v>0</v>
      </c>
    </row>
    <row r="46" spans="1:21" x14ac:dyDescent="0.25">
      <c r="A46" t="s">
        <v>328</v>
      </c>
      <c r="B46">
        <v>9</v>
      </c>
      <c r="C46">
        <v>-0.54</v>
      </c>
      <c r="D46">
        <v>-0.06</v>
      </c>
      <c r="E46">
        <v>0.34300000000000003</v>
      </c>
      <c r="F46" s="25">
        <v>0</v>
      </c>
      <c r="G46">
        <v>2.7E-2</v>
      </c>
      <c r="H46">
        <v>-0.05</v>
      </c>
      <c r="I46">
        <v>-1.1599999999999999</v>
      </c>
      <c r="J46">
        <v>-0.03</v>
      </c>
      <c r="K46">
        <v>-14.84</v>
      </c>
      <c r="L46">
        <v>-17.7</v>
      </c>
      <c r="M46" s="25">
        <v>-0.29549999999999998</v>
      </c>
      <c r="N46" s="25">
        <v>-0.63990000000000002</v>
      </c>
      <c r="O46">
        <v>0.46</v>
      </c>
      <c r="P46" s="25">
        <v>-2.5100000000000001E-2</v>
      </c>
      <c r="Q46" s="25">
        <v>0.11509999999999999</v>
      </c>
      <c r="R46" s="26">
        <v>339.52</v>
      </c>
      <c r="S46" s="26">
        <v>-233585000</v>
      </c>
      <c r="T46">
        <v>-0.8</v>
      </c>
      <c r="U46" s="25">
        <v>0.21890000000000001</v>
      </c>
    </row>
    <row r="47" spans="1:21" x14ac:dyDescent="0.25">
      <c r="A47" t="s">
        <v>329</v>
      </c>
      <c r="B47">
        <v>7.45</v>
      </c>
      <c r="C47">
        <v>-0.44</v>
      </c>
      <c r="D47">
        <v>-0.05</v>
      </c>
      <c r="E47">
        <v>0.28399999999999997</v>
      </c>
      <c r="F47" s="25">
        <v>0</v>
      </c>
      <c r="G47">
        <v>2.1999999999999999E-2</v>
      </c>
      <c r="H47">
        <v>-0.05</v>
      </c>
      <c r="I47">
        <v>-0.96</v>
      </c>
      <c r="J47">
        <v>-0.02</v>
      </c>
      <c r="K47">
        <v>-14.64</v>
      </c>
      <c r="L47">
        <v>-17.47</v>
      </c>
      <c r="M47" s="25">
        <v>-0.29549999999999998</v>
      </c>
      <c r="N47" s="25">
        <v>-0.63990000000000002</v>
      </c>
      <c r="O47">
        <v>0.46</v>
      </c>
      <c r="P47" s="25">
        <v>-2.5100000000000001E-2</v>
      </c>
      <c r="Q47" s="25">
        <v>0.11509999999999999</v>
      </c>
      <c r="R47" s="26">
        <v>1212.17</v>
      </c>
      <c r="S47" s="26">
        <v>-233585000</v>
      </c>
      <c r="T47">
        <v>-0.8</v>
      </c>
      <c r="U47" s="25">
        <v>0.21890000000000001</v>
      </c>
    </row>
    <row r="48" spans="1:21" x14ac:dyDescent="0.25">
      <c r="A48" t="s">
        <v>179</v>
      </c>
      <c r="B48">
        <v>5.24</v>
      </c>
      <c r="C48">
        <v>-4.34</v>
      </c>
      <c r="D48">
        <v>-8.01</v>
      </c>
      <c r="E48">
        <v>0.13700000000000001</v>
      </c>
      <c r="F48" s="25">
        <v>0</v>
      </c>
      <c r="G48">
        <v>0.13</v>
      </c>
      <c r="H48">
        <v>0.7</v>
      </c>
      <c r="I48">
        <v>2</v>
      </c>
      <c r="J48">
        <v>-0.3</v>
      </c>
      <c r="K48">
        <v>7.99</v>
      </c>
      <c r="L48">
        <v>6.19</v>
      </c>
      <c r="M48" s="25">
        <v>6.8400000000000002E-2</v>
      </c>
      <c r="N48" s="25">
        <v>-3.1300000000000001E-2</v>
      </c>
      <c r="O48">
        <v>1.48</v>
      </c>
      <c r="P48" s="25">
        <v>0.12130000000000001</v>
      </c>
      <c r="Q48" s="25">
        <v>1.8464</v>
      </c>
      <c r="R48" s="26">
        <v>77867600</v>
      </c>
      <c r="S48" s="26">
        <v>-650682000</v>
      </c>
      <c r="T48">
        <v>-42.2</v>
      </c>
      <c r="U48" s="25">
        <v>0.1232</v>
      </c>
    </row>
    <row r="49" spans="1:21" x14ac:dyDescent="0.25">
      <c r="A49" t="s">
        <v>6</v>
      </c>
      <c r="B49">
        <v>8.44</v>
      </c>
      <c r="C49">
        <v>7.04</v>
      </c>
      <c r="D49">
        <v>1.17</v>
      </c>
      <c r="E49">
        <v>0</v>
      </c>
      <c r="F49" s="25">
        <v>6.0900000000000003E-2</v>
      </c>
      <c r="G49">
        <v>0</v>
      </c>
      <c r="H49">
        <v>0</v>
      </c>
      <c r="I49">
        <v>0</v>
      </c>
      <c r="J49">
        <v>0</v>
      </c>
      <c r="K49">
        <v>0</v>
      </c>
      <c r="L49">
        <v>0</v>
      </c>
      <c r="M49" s="25">
        <v>0</v>
      </c>
      <c r="N49" s="25">
        <v>0</v>
      </c>
      <c r="O49">
        <v>0</v>
      </c>
      <c r="P49" s="25">
        <v>0</v>
      </c>
      <c r="Q49" s="25">
        <v>0.16669999999999999</v>
      </c>
      <c r="R49" s="26">
        <v>98346.4</v>
      </c>
      <c r="S49" s="26">
        <v>2271950000</v>
      </c>
      <c r="T49">
        <v>0</v>
      </c>
      <c r="U49" s="25">
        <v>0.13350000000000001</v>
      </c>
    </row>
    <row r="50" spans="1:21" x14ac:dyDescent="0.25">
      <c r="A50" t="s">
        <v>23</v>
      </c>
      <c r="B50">
        <v>8.3699999999999992</v>
      </c>
      <c r="C50">
        <v>6.98</v>
      </c>
      <c r="D50">
        <v>1.1599999999999999</v>
      </c>
      <c r="E50">
        <v>0</v>
      </c>
      <c r="F50" s="25">
        <v>6.1400000000000003E-2</v>
      </c>
      <c r="G50">
        <v>0</v>
      </c>
      <c r="H50">
        <v>0</v>
      </c>
      <c r="I50">
        <v>0</v>
      </c>
      <c r="J50">
        <v>0</v>
      </c>
      <c r="K50">
        <v>0</v>
      </c>
      <c r="L50">
        <v>0</v>
      </c>
      <c r="M50" s="25">
        <v>0</v>
      </c>
      <c r="N50" s="25">
        <v>0</v>
      </c>
      <c r="O50">
        <v>0</v>
      </c>
      <c r="P50" s="25">
        <v>0</v>
      </c>
      <c r="Q50" s="25">
        <v>0.16669999999999999</v>
      </c>
      <c r="R50" s="26">
        <v>33945.1</v>
      </c>
      <c r="S50" s="26">
        <v>2271950000</v>
      </c>
      <c r="T50">
        <v>0</v>
      </c>
      <c r="U50" s="25">
        <v>0.13350000000000001</v>
      </c>
    </row>
    <row r="51" spans="1:21" x14ac:dyDescent="0.25">
      <c r="A51" t="s">
        <v>330</v>
      </c>
      <c r="B51">
        <v>34.99</v>
      </c>
      <c r="C51">
        <v>5.14</v>
      </c>
      <c r="D51">
        <v>0.93</v>
      </c>
      <c r="E51">
        <v>0</v>
      </c>
      <c r="F51" s="25">
        <v>0.1046</v>
      </c>
      <c r="G51">
        <v>0</v>
      </c>
      <c r="H51">
        <v>0</v>
      </c>
      <c r="I51">
        <v>0</v>
      </c>
      <c r="J51">
        <v>0</v>
      </c>
      <c r="K51">
        <v>0</v>
      </c>
      <c r="L51">
        <v>0</v>
      </c>
      <c r="M51" s="25">
        <v>0</v>
      </c>
      <c r="N51" s="25">
        <v>0</v>
      </c>
      <c r="O51">
        <v>0</v>
      </c>
      <c r="P51" s="25">
        <v>0</v>
      </c>
      <c r="Q51" s="25">
        <v>0.18110000000000001</v>
      </c>
      <c r="R51" s="26">
        <v>459.17</v>
      </c>
      <c r="S51" s="26">
        <v>810042000</v>
      </c>
      <c r="T51">
        <v>0</v>
      </c>
      <c r="U51" s="25">
        <v>2.1499999999999998E-2</v>
      </c>
    </row>
    <row r="52" spans="1:21" x14ac:dyDescent="0.25">
      <c r="A52" t="s">
        <v>331</v>
      </c>
      <c r="B52">
        <v>28</v>
      </c>
      <c r="C52">
        <v>4.1100000000000003</v>
      </c>
      <c r="D52">
        <v>0.74</v>
      </c>
      <c r="E52">
        <v>0</v>
      </c>
      <c r="F52" s="25">
        <v>0.14380000000000001</v>
      </c>
      <c r="G52">
        <v>0</v>
      </c>
      <c r="H52">
        <v>0</v>
      </c>
      <c r="I52">
        <v>0</v>
      </c>
      <c r="J52">
        <v>0</v>
      </c>
      <c r="K52">
        <v>0</v>
      </c>
      <c r="L52">
        <v>0</v>
      </c>
      <c r="M52" s="25">
        <v>0</v>
      </c>
      <c r="N52" s="25">
        <v>0</v>
      </c>
      <c r="O52">
        <v>0</v>
      </c>
      <c r="P52" s="25">
        <v>0</v>
      </c>
      <c r="Q52" s="25">
        <v>0.18110000000000001</v>
      </c>
      <c r="R52" s="26">
        <v>58065.599999999999</v>
      </c>
      <c r="S52" s="26">
        <v>810042000</v>
      </c>
      <c r="T52">
        <v>0</v>
      </c>
      <c r="U52" s="25">
        <v>2.1499999999999998E-2</v>
      </c>
    </row>
    <row r="53" spans="1:21" x14ac:dyDescent="0.25">
      <c r="A53" t="s">
        <v>332</v>
      </c>
      <c r="B53">
        <v>3.12</v>
      </c>
      <c r="C53">
        <v>-0.25</v>
      </c>
      <c r="D53">
        <v>0.14000000000000001</v>
      </c>
      <c r="E53">
        <v>1.0999999999999999E-2</v>
      </c>
      <c r="F53" s="25">
        <v>0</v>
      </c>
      <c r="G53">
        <v>8.9999999999999993E-3</v>
      </c>
      <c r="H53">
        <v>-0.06</v>
      </c>
      <c r="I53">
        <v>0.16</v>
      </c>
      <c r="J53">
        <v>-0.02</v>
      </c>
      <c r="K53">
        <v>4.75</v>
      </c>
      <c r="L53">
        <v>3.02</v>
      </c>
      <c r="M53" s="25">
        <v>6.6900000000000001E-2</v>
      </c>
      <c r="N53" s="25">
        <v>-4.2799999999999998E-2</v>
      </c>
      <c r="O53">
        <v>0.74</v>
      </c>
      <c r="P53" s="25">
        <v>7.8200000000000006E-2</v>
      </c>
      <c r="Q53" s="25">
        <v>-0.5706</v>
      </c>
      <c r="R53" s="26">
        <v>16473200</v>
      </c>
      <c r="S53" s="26">
        <v>2089000000</v>
      </c>
      <c r="T53">
        <v>4.66</v>
      </c>
      <c r="U53" s="25">
        <v>-2.52E-2</v>
      </c>
    </row>
    <row r="54" spans="1:21" x14ac:dyDescent="0.25">
      <c r="A54" t="s">
        <v>333</v>
      </c>
      <c r="B54">
        <v>3.4</v>
      </c>
      <c r="C54">
        <v>-1.23</v>
      </c>
      <c r="D54">
        <v>1.19</v>
      </c>
      <c r="E54">
        <v>0.25</v>
      </c>
      <c r="F54" s="25">
        <v>0</v>
      </c>
      <c r="G54">
        <v>0.17899999999999999</v>
      </c>
      <c r="H54">
        <v>-0.84</v>
      </c>
      <c r="I54">
        <v>48.9</v>
      </c>
      <c r="J54">
        <v>-0.26</v>
      </c>
      <c r="K54">
        <v>69.64</v>
      </c>
      <c r="L54">
        <v>7.02</v>
      </c>
      <c r="M54" s="25">
        <v>5.1000000000000004E-3</v>
      </c>
      <c r="N54" s="25">
        <v>-0.2056</v>
      </c>
      <c r="O54">
        <v>0.32</v>
      </c>
      <c r="P54" s="25">
        <v>3.8999999999999998E-3</v>
      </c>
      <c r="Q54" s="25">
        <v>-0.9677</v>
      </c>
      <c r="R54" s="26">
        <v>23483.4</v>
      </c>
      <c r="S54" s="26">
        <v>75212000</v>
      </c>
      <c r="T54">
        <v>0.72</v>
      </c>
      <c r="U54" s="25">
        <v>0.13039999999999999</v>
      </c>
    </row>
    <row r="55" spans="1:21" x14ac:dyDescent="0.25">
      <c r="A55" t="s">
        <v>334</v>
      </c>
      <c r="B55">
        <v>7.68</v>
      </c>
      <c r="C55">
        <v>-13.56</v>
      </c>
      <c r="D55">
        <v>3.88</v>
      </c>
      <c r="E55">
        <v>6.7679999999999998</v>
      </c>
      <c r="F55" s="25">
        <v>0</v>
      </c>
      <c r="G55">
        <v>2.1739999999999999</v>
      </c>
      <c r="H55" s="26">
        <v>7.04</v>
      </c>
      <c r="I55">
        <v>-14.89</v>
      </c>
      <c r="J55">
        <v>37.99</v>
      </c>
      <c r="K55">
        <v>-14.93</v>
      </c>
      <c r="L55">
        <v>-14.78</v>
      </c>
      <c r="M55" s="25">
        <v>-0.4546</v>
      </c>
      <c r="N55" s="25">
        <v>-0.499</v>
      </c>
      <c r="O55">
        <v>2.64</v>
      </c>
      <c r="P55" s="25">
        <v>-0.218</v>
      </c>
      <c r="Q55" s="25">
        <v>-0.28610000000000002</v>
      </c>
      <c r="R55" s="26">
        <v>431897</v>
      </c>
      <c r="S55" s="26">
        <v>250993000</v>
      </c>
      <c r="T55">
        <v>0.46</v>
      </c>
      <c r="U55" s="25">
        <v>0.1827</v>
      </c>
    </row>
    <row r="56" spans="1:21" x14ac:dyDescent="0.25">
      <c r="A56" t="s">
        <v>187</v>
      </c>
      <c r="B56">
        <v>12.41</v>
      </c>
      <c r="C56" s="26">
        <v>8.31</v>
      </c>
      <c r="D56">
        <v>1.01</v>
      </c>
      <c r="E56">
        <v>1.2589999999999999</v>
      </c>
      <c r="F56" s="25">
        <v>2.7199999999999998E-2</v>
      </c>
      <c r="G56">
        <v>0.64900000000000002</v>
      </c>
      <c r="H56">
        <v>1.96</v>
      </c>
      <c r="I56">
        <v>5.97</v>
      </c>
      <c r="J56">
        <v>5.52</v>
      </c>
      <c r="K56">
        <v>6.15</v>
      </c>
      <c r="L56">
        <v>5.37</v>
      </c>
      <c r="M56" s="25">
        <v>0.2109</v>
      </c>
      <c r="N56" s="25">
        <v>0.1497</v>
      </c>
      <c r="O56">
        <v>3.23</v>
      </c>
      <c r="P56" s="25">
        <v>0.13789999999999999</v>
      </c>
      <c r="Q56" s="25">
        <v>0.12180000000000001</v>
      </c>
      <c r="R56" s="26">
        <v>4351680</v>
      </c>
      <c r="S56" s="26">
        <v>2201560000</v>
      </c>
      <c r="T56">
        <v>0.23</v>
      </c>
      <c r="U56" s="25">
        <v>7.4300000000000005E-2</v>
      </c>
    </row>
    <row r="57" spans="1:21" x14ac:dyDescent="0.25">
      <c r="A57" t="s">
        <v>335</v>
      </c>
      <c r="B57">
        <v>5.14</v>
      </c>
      <c r="C57">
        <v>-5.63</v>
      </c>
      <c r="D57">
        <v>0.46</v>
      </c>
      <c r="E57">
        <v>0</v>
      </c>
      <c r="F57" s="25">
        <v>0</v>
      </c>
      <c r="G57">
        <v>0.13800000000000001</v>
      </c>
      <c r="H57">
        <v>-0.76</v>
      </c>
      <c r="I57">
        <v>-42.93</v>
      </c>
      <c r="J57">
        <v>-0.2</v>
      </c>
      <c r="K57">
        <v>-53.97</v>
      </c>
      <c r="L57">
        <v>-53.97</v>
      </c>
      <c r="M57" s="25">
        <v>0</v>
      </c>
      <c r="N57" s="25">
        <v>0</v>
      </c>
      <c r="O57">
        <v>0</v>
      </c>
      <c r="P57" s="25">
        <v>-3.3E-3</v>
      </c>
      <c r="Q57" s="25">
        <v>-8.2400000000000001E-2</v>
      </c>
      <c r="R57" s="26">
        <v>3091.81</v>
      </c>
      <c r="S57" s="26">
        <v>56569000</v>
      </c>
      <c r="T57">
        <v>0.12</v>
      </c>
      <c r="U57" s="25">
        <v>0</v>
      </c>
    </row>
    <row r="58" spans="1:21" x14ac:dyDescent="0.25">
      <c r="A58" t="s">
        <v>336</v>
      </c>
      <c r="B58">
        <v>1.52</v>
      </c>
      <c r="C58">
        <v>-1.66</v>
      </c>
      <c r="D58">
        <v>0.14000000000000001</v>
      </c>
      <c r="E58">
        <v>0</v>
      </c>
      <c r="F58" s="25">
        <v>0</v>
      </c>
      <c r="G58">
        <v>4.1000000000000002E-2</v>
      </c>
      <c r="H58">
        <v>-0.22</v>
      </c>
      <c r="I58">
        <v>-12.69</v>
      </c>
      <c r="J58">
        <v>-0.06</v>
      </c>
      <c r="K58">
        <v>-23.74</v>
      </c>
      <c r="L58">
        <v>-23.74</v>
      </c>
      <c r="M58" s="25">
        <v>0</v>
      </c>
      <c r="N58" s="25">
        <v>0</v>
      </c>
      <c r="O58">
        <v>0</v>
      </c>
      <c r="P58" s="25">
        <v>-3.3E-3</v>
      </c>
      <c r="Q58" s="25">
        <v>-8.2400000000000001E-2</v>
      </c>
      <c r="R58" s="26">
        <v>10453.200000000001</v>
      </c>
      <c r="S58" s="26">
        <v>56569000</v>
      </c>
      <c r="T58">
        <v>0.12</v>
      </c>
      <c r="U58" s="25">
        <v>0</v>
      </c>
    </row>
    <row r="59" spans="1:21" x14ac:dyDescent="0.25">
      <c r="A59" t="s">
        <v>337</v>
      </c>
      <c r="B59">
        <v>33.39</v>
      </c>
      <c r="C59">
        <v>4.2300000000000004</v>
      </c>
      <c r="D59">
        <v>1.85</v>
      </c>
      <c r="E59">
        <v>0</v>
      </c>
      <c r="F59" s="25">
        <v>6.0600000000000001E-2</v>
      </c>
      <c r="G59">
        <v>0</v>
      </c>
      <c r="H59">
        <v>0</v>
      </c>
      <c r="I59">
        <v>0</v>
      </c>
      <c r="J59">
        <v>0</v>
      </c>
      <c r="K59">
        <v>0</v>
      </c>
      <c r="L59">
        <v>0</v>
      </c>
      <c r="M59" s="25">
        <v>0</v>
      </c>
      <c r="N59" s="25">
        <v>0</v>
      </c>
      <c r="O59">
        <v>0</v>
      </c>
      <c r="P59" s="25">
        <v>0</v>
      </c>
      <c r="Q59" s="25">
        <v>0.43669999999999998</v>
      </c>
      <c r="R59" s="26">
        <v>11015.2</v>
      </c>
      <c r="S59" s="26">
        <v>1894930000</v>
      </c>
      <c r="T59">
        <v>0</v>
      </c>
      <c r="U59" s="25">
        <v>0.2278</v>
      </c>
    </row>
    <row r="60" spans="1:21" x14ac:dyDescent="0.25">
      <c r="A60" t="s">
        <v>92</v>
      </c>
      <c r="B60">
        <v>39.5</v>
      </c>
      <c r="C60">
        <v>5</v>
      </c>
      <c r="D60">
        <v>2.19</v>
      </c>
      <c r="E60">
        <v>0</v>
      </c>
      <c r="F60" s="25">
        <v>5.6399999999999999E-2</v>
      </c>
      <c r="G60">
        <v>0</v>
      </c>
      <c r="H60">
        <v>0</v>
      </c>
      <c r="I60">
        <v>0</v>
      </c>
      <c r="J60">
        <v>0</v>
      </c>
      <c r="K60">
        <v>0</v>
      </c>
      <c r="L60">
        <v>0</v>
      </c>
      <c r="M60" s="25">
        <v>0</v>
      </c>
      <c r="N60" s="25">
        <v>0</v>
      </c>
      <c r="O60">
        <v>0</v>
      </c>
      <c r="P60" s="25">
        <v>0</v>
      </c>
      <c r="Q60" s="25">
        <v>0.43669999999999998</v>
      </c>
      <c r="R60" s="26">
        <v>415998</v>
      </c>
      <c r="S60" s="26">
        <v>1894930000</v>
      </c>
      <c r="T60">
        <v>0</v>
      </c>
      <c r="U60" s="25">
        <v>0.2278</v>
      </c>
    </row>
    <row r="61" spans="1:21" x14ac:dyDescent="0.25">
      <c r="A61" t="s">
        <v>46</v>
      </c>
      <c r="B61">
        <v>3.67</v>
      </c>
      <c r="C61">
        <v>4.8600000000000003</v>
      </c>
      <c r="D61">
        <v>0.59</v>
      </c>
      <c r="E61">
        <v>0</v>
      </c>
      <c r="F61" s="25">
        <v>8.2299999999999998E-2</v>
      </c>
      <c r="G61">
        <v>0</v>
      </c>
      <c r="H61">
        <v>0</v>
      </c>
      <c r="I61">
        <v>0</v>
      </c>
      <c r="J61">
        <v>0</v>
      </c>
      <c r="K61">
        <v>0</v>
      </c>
      <c r="L61">
        <v>0</v>
      </c>
      <c r="M61" s="25">
        <v>0</v>
      </c>
      <c r="N61" s="25">
        <v>0</v>
      </c>
      <c r="O61">
        <v>0</v>
      </c>
      <c r="P61" s="25">
        <v>0</v>
      </c>
      <c r="Q61" s="25">
        <v>0.1207</v>
      </c>
      <c r="R61" s="26">
        <v>1788480</v>
      </c>
      <c r="S61" s="26">
        <v>3648070000</v>
      </c>
      <c r="T61">
        <v>0</v>
      </c>
      <c r="U61" s="25">
        <v>-4.4499999999999998E-2</v>
      </c>
    </row>
    <row r="62" spans="1:21" x14ac:dyDescent="0.25">
      <c r="A62" t="s">
        <v>338</v>
      </c>
      <c r="B62">
        <v>20</v>
      </c>
      <c r="C62">
        <v>11.63</v>
      </c>
      <c r="D62">
        <v>0.69</v>
      </c>
      <c r="E62">
        <v>0</v>
      </c>
      <c r="F62" s="25">
        <v>1.77E-2</v>
      </c>
      <c r="G62">
        <v>0</v>
      </c>
      <c r="H62">
        <v>0</v>
      </c>
      <c r="I62">
        <v>0</v>
      </c>
      <c r="J62">
        <v>0</v>
      </c>
      <c r="K62">
        <v>0</v>
      </c>
      <c r="L62">
        <v>0</v>
      </c>
      <c r="M62" s="25">
        <v>0</v>
      </c>
      <c r="N62" s="25">
        <v>0</v>
      </c>
      <c r="O62">
        <v>0</v>
      </c>
      <c r="P62" s="25">
        <v>0</v>
      </c>
      <c r="Q62" s="25">
        <v>5.9400000000000001E-2</v>
      </c>
      <c r="R62" s="26">
        <v>93.55</v>
      </c>
      <c r="S62" s="26">
        <v>139754000</v>
      </c>
      <c r="T62">
        <v>0</v>
      </c>
      <c r="U62" s="25">
        <v>0.17380000000000001</v>
      </c>
    </row>
    <row r="63" spans="1:21" x14ac:dyDescent="0.25">
      <c r="A63" t="s">
        <v>339</v>
      </c>
      <c r="B63">
        <v>16.8</v>
      </c>
      <c r="C63">
        <v>9.77</v>
      </c>
      <c r="D63">
        <v>0.57999999999999996</v>
      </c>
      <c r="E63">
        <v>0</v>
      </c>
      <c r="F63" s="25">
        <v>8.3299999999999999E-2</v>
      </c>
      <c r="G63">
        <v>0</v>
      </c>
      <c r="H63">
        <v>0</v>
      </c>
      <c r="I63">
        <v>0</v>
      </c>
      <c r="J63">
        <v>0</v>
      </c>
      <c r="K63">
        <v>0</v>
      </c>
      <c r="L63">
        <v>0</v>
      </c>
      <c r="M63" s="25">
        <v>0</v>
      </c>
      <c r="N63" s="25">
        <v>0</v>
      </c>
      <c r="O63">
        <v>0</v>
      </c>
      <c r="P63" s="25">
        <v>0</v>
      </c>
      <c r="Q63" s="25">
        <v>5.9400000000000001E-2</v>
      </c>
      <c r="R63" s="26">
        <v>683.19</v>
      </c>
      <c r="S63" s="26">
        <v>139754000</v>
      </c>
      <c r="T63">
        <v>0</v>
      </c>
      <c r="U63" s="25">
        <v>0.17380000000000001</v>
      </c>
    </row>
    <row r="64" spans="1:21" x14ac:dyDescent="0.25">
      <c r="A64" t="s">
        <v>340</v>
      </c>
      <c r="B64">
        <v>379.01</v>
      </c>
      <c r="C64">
        <v>11.44</v>
      </c>
      <c r="D64">
        <v>0.83</v>
      </c>
      <c r="E64">
        <v>11.009</v>
      </c>
      <c r="F64" s="25">
        <v>8.7400000000000005E-2</v>
      </c>
      <c r="G64">
        <v>0.72599999999999998</v>
      </c>
      <c r="H64">
        <v>0.99</v>
      </c>
      <c r="I64">
        <v>-34.1</v>
      </c>
      <c r="J64">
        <v>1.1399999999999999</v>
      </c>
      <c r="K64">
        <v>-1.69</v>
      </c>
      <c r="L64">
        <v>-1.73</v>
      </c>
      <c r="M64" s="25">
        <v>-0.32279999999999998</v>
      </c>
      <c r="N64" s="25">
        <v>0.96220000000000006</v>
      </c>
      <c r="O64">
        <v>20.54</v>
      </c>
      <c r="P64" s="25">
        <v>-7.3800000000000004E-2</v>
      </c>
      <c r="Q64" s="25">
        <v>7.2900000000000006E-2</v>
      </c>
      <c r="R64" s="26">
        <v>27238.2</v>
      </c>
      <c r="S64" s="26">
        <v>206593000</v>
      </c>
      <c r="T64">
        <v>0.02</v>
      </c>
      <c r="U64" s="25">
        <v>-8.5099999999999995E-2</v>
      </c>
    </row>
    <row r="65" spans="1:21" x14ac:dyDescent="0.25">
      <c r="A65" t="s">
        <v>25</v>
      </c>
      <c r="B65">
        <v>21.12</v>
      </c>
      <c r="C65">
        <v>14.04</v>
      </c>
      <c r="D65">
        <v>1.55</v>
      </c>
      <c r="E65">
        <v>1.179</v>
      </c>
      <c r="F65" s="25">
        <v>6.3399999999999998E-2</v>
      </c>
      <c r="G65">
        <v>1.111</v>
      </c>
      <c r="H65">
        <v>2.69</v>
      </c>
      <c r="I65">
        <v>14.65</v>
      </c>
      <c r="J65">
        <v>2.92</v>
      </c>
      <c r="K65">
        <v>10.43</v>
      </c>
      <c r="L65">
        <v>6.73</v>
      </c>
      <c r="M65" s="25">
        <v>8.0500000000000002E-2</v>
      </c>
      <c r="N65" s="25">
        <v>8.4500000000000006E-2</v>
      </c>
      <c r="O65">
        <v>2.65</v>
      </c>
      <c r="P65" s="25">
        <v>0.12670000000000001</v>
      </c>
      <c r="Q65" s="25">
        <v>0.11070000000000001</v>
      </c>
      <c r="R65" s="26">
        <v>8427640</v>
      </c>
      <c r="S65" s="26">
        <v>1163230000</v>
      </c>
      <c r="T65">
        <v>0</v>
      </c>
      <c r="U65" s="25">
        <v>0.58779999999999999</v>
      </c>
    </row>
    <row r="66" spans="1:21" x14ac:dyDescent="0.25">
      <c r="A66" t="s">
        <v>341</v>
      </c>
      <c r="B66">
        <v>92.1</v>
      </c>
      <c r="C66">
        <v>4.16</v>
      </c>
      <c r="D66">
        <v>0.64</v>
      </c>
      <c r="E66">
        <v>0</v>
      </c>
      <c r="F66" s="25">
        <v>6.2E-2</v>
      </c>
      <c r="G66">
        <v>0</v>
      </c>
      <c r="H66">
        <v>0</v>
      </c>
      <c r="I66">
        <v>0</v>
      </c>
      <c r="J66">
        <v>0</v>
      </c>
      <c r="K66">
        <v>0</v>
      </c>
      <c r="L66">
        <v>0</v>
      </c>
      <c r="M66" s="25">
        <v>0</v>
      </c>
      <c r="N66" s="25">
        <v>0</v>
      </c>
      <c r="O66">
        <v>0</v>
      </c>
      <c r="P66" s="25">
        <v>0</v>
      </c>
      <c r="Q66" s="25">
        <v>0.1547</v>
      </c>
      <c r="R66" s="26">
        <v>18160.3</v>
      </c>
      <c r="S66" s="26">
        <v>14115100000</v>
      </c>
      <c r="T66">
        <v>0</v>
      </c>
      <c r="U66" s="25">
        <v>0.1033</v>
      </c>
    </row>
    <row r="67" spans="1:21" x14ac:dyDescent="0.25">
      <c r="A67" t="s">
        <v>185</v>
      </c>
      <c r="B67">
        <v>1.4</v>
      </c>
      <c r="C67">
        <v>5</v>
      </c>
      <c r="D67">
        <v>386.35</v>
      </c>
      <c r="E67">
        <v>0.23699999999999999</v>
      </c>
      <c r="F67" s="25">
        <v>0</v>
      </c>
      <c r="G67">
        <v>0.39600000000000002</v>
      </c>
      <c r="H67">
        <v>-21.6</v>
      </c>
      <c r="I67">
        <v>1.79</v>
      </c>
      <c r="J67">
        <v>-0.86</v>
      </c>
      <c r="K67">
        <v>3.07</v>
      </c>
      <c r="L67">
        <v>2.71</v>
      </c>
      <c r="M67" s="25">
        <v>0.13239999999999999</v>
      </c>
      <c r="N67" s="25">
        <v>4.7300000000000002E-2</v>
      </c>
      <c r="O67">
        <v>0.97</v>
      </c>
      <c r="P67" s="25">
        <v>0.33329999999999999</v>
      </c>
      <c r="Q67" s="25">
        <v>77.215000000000003</v>
      </c>
      <c r="R67" s="26">
        <v>15428.7</v>
      </c>
      <c r="S67" s="26">
        <v>944000</v>
      </c>
      <c r="T67">
        <v>400.27</v>
      </c>
      <c r="U67" s="25">
        <v>0.1055</v>
      </c>
    </row>
    <row r="68" spans="1:21" x14ac:dyDescent="0.25">
      <c r="A68" t="s">
        <v>342</v>
      </c>
      <c r="B68">
        <v>40.39</v>
      </c>
      <c r="C68">
        <v>12.67</v>
      </c>
      <c r="D68">
        <v>2.59</v>
      </c>
      <c r="E68">
        <v>0</v>
      </c>
      <c r="F68" s="25">
        <v>1.12E-2</v>
      </c>
      <c r="G68">
        <v>0</v>
      </c>
      <c r="H68">
        <v>0</v>
      </c>
      <c r="I68">
        <v>0</v>
      </c>
      <c r="J68">
        <v>0</v>
      </c>
      <c r="K68">
        <v>0</v>
      </c>
      <c r="L68">
        <v>0</v>
      </c>
      <c r="M68" s="25">
        <v>0</v>
      </c>
      <c r="N68" s="25">
        <v>0</v>
      </c>
      <c r="O68">
        <v>0</v>
      </c>
      <c r="P68" s="25">
        <v>0</v>
      </c>
      <c r="Q68" s="25">
        <v>0.20449999999999999</v>
      </c>
      <c r="R68" s="26">
        <v>315860000</v>
      </c>
      <c r="S68" s="26">
        <v>59778600000</v>
      </c>
      <c r="T68">
        <v>0</v>
      </c>
      <c r="U68" s="25">
        <v>0.31590000000000001</v>
      </c>
    </row>
    <row r="69" spans="1:21" x14ac:dyDescent="0.25">
      <c r="A69" t="s">
        <v>141</v>
      </c>
      <c r="B69">
        <v>22.17</v>
      </c>
      <c r="C69">
        <v>20.87</v>
      </c>
      <c r="D69">
        <v>4.2699999999999996</v>
      </c>
      <c r="E69">
        <v>0</v>
      </c>
      <c r="F69" s="25">
        <v>6.7999999999999996E-3</v>
      </c>
      <c r="G69">
        <v>0</v>
      </c>
      <c r="H69">
        <v>0</v>
      </c>
      <c r="I69">
        <v>0</v>
      </c>
      <c r="J69">
        <v>0</v>
      </c>
      <c r="K69">
        <v>0</v>
      </c>
      <c r="L69">
        <v>0</v>
      </c>
      <c r="M69" s="25">
        <v>0</v>
      </c>
      <c r="N69" s="25">
        <v>0</v>
      </c>
      <c r="O69">
        <v>0</v>
      </c>
      <c r="P69" s="25">
        <v>0</v>
      </c>
      <c r="Q69" s="25">
        <v>0.20449999999999999</v>
      </c>
      <c r="R69" s="26">
        <v>62804.3</v>
      </c>
      <c r="S69" s="26">
        <v>59778600000</v>
      </c>
      <c r="T69">
        <v>0</v>
      </c>
      <c r="U69" s="25">
        <v>0.31590000000000001</v>
      </c>
    </row>
    <row r="70" spans="1:21" x14ac:dyDescent="0.25">
      <c r="A70" t="s">
        <v>148</v>
      </c>
      <c r="B70">
        <v>8.9600000000000009</v>
      </c>
      <c r="C70">
        <v>8.43</v>
      </c>
      <c r="D70">
        <v>1.72</v>
      </c>
      <c r="E70">
        <v>0</v>
      </c>
      <c r="F70" s="25">
        <v>1.6799999999999999E-2</v>
      </c>
      <c r="G70">
        <v>0</v>
      </c>
      <c r="H70">
        <v>0</v>
      </c>
      <c r="I70">
        <v>0</v>
      </c>
      <c r="J70">
        <v>0</v>
      </c>
      <c r="K70">
        <v>0</v>
      </c>
      <c r="L70">
        <v>0</v>
      </c>
      <c r="M70" s="25">
        <v>0</v>
      </c>
      <c r="N70" s="25">
        <v>0</v>
      </c>
      <c r="O70">
        <v>0</v>
      </c>
      <c r="P70" s="25">
        <v>0</v>
      </c>
      <c r="Q70" s="25">
        <v>0.20449999999999999</v>
      </c>
      <c r="R70" s="26">
        <v>30926.799999999999</v>
      </c>
      <c r="S70" s="26">
        <v>59778600000</v>
      </c>
      <c r="T70">
        <v>0</v>
      </c>
      <c r="U70" s="25">
        <v>0.31590000000000001</v>
      </c>
    </row>
    <row r="71" spans="1:21" x14ac:dyDescent="0.25">
      <c r="A71" t="s">
        <v>76</v>
      </c>
      <c r="B71">
        <v>7.81</v>
      </c>
      <c r="C71">
        <v>12.65</v>
      </c>
      <c r="D71">
        <v>1.31</v>
      </c>
      <c r="E71">
        <v>0</v>
      </c>
      <c r="F71" s="25">
        <v>3.09E-2</v>
      </c>
      <c r="G71">
        <v>0</v>
      </c>
      <c r="H71">
        <v>0</v>
      </c>
      <c r="I71">
        <v>0</v>
      </c>
      <c r="J71">
        <v>0</v>
      </c>
      <c r="K71">
        <v>0</v>
      </c>
      <c r="L71">
        <v>0</v>
      </c>
      <c r="M71" s="25">
        <v>0</v>
      </c>
      <c r="N71" s="25">
        <v>0</v>
      </c>
      <c r="O71">
        <v>0</v>
      </c>
      <c r="P71" s="25">
        <v>0</v>
      </c>
      <c r="Q71" s="25">
        <v>0.10340000000000001</v>
      </c>
      <c r="R71" s="26">
        <v>13331500</v>
      </c>
      <c r="S71" s="26">
        <v>7575030000</v>
      </c>
      <c r="T71">
        <v>0</v>
      </c>
      <c r="U71" s="25">
        <v>3.8699999999999998E-2</v>
      </c>
    </row>
    <row r="72" spans="1:21" x14ac:dyDescent="0.25">
      <c r="A72" t="s">
        <v>28</v>
      </c>
      <c r="B72">
        <v>15.41</v>
      </c>
      <c r="C72">
        <v>5.19</v>
      </c>
      <c r="D72">
        <v>0.7</v>
      </c>
      <c r="E72">
        <v>0</v>
      </c>
      <c r="F72" s="25">
        <v>0.1197</v>
      </c>
      <c r="G72">
        <v>0.68899999999999995</v>
      </c>
      <c r="H72">
        <v>10.27</v>
      </c>
      <c r="I72">
        <v>-203.85</v>
      </c>
      <c r="J72">
        <v>10.35</v>
      </c>
      <c r="K72">
        <v>-179.92</v>
      </c>
      <c r="L72">
        <v>-179.92</v>
      </c>
      <c r="M72" s="25">
        <v>0</v>
      </c>
      <c r="N72" s="25">
        <v>0</v>
      </c>
      <c r="O72">
        <v>5.83</v>
      </c>
      <c r="P72" s="25">
        <v>-3.7000000000000002E-3</v>
      </c>
      <c r="Q72" s="25">
        <v>0.13469999999999999</v>
      </c>
      <c r="R72" s="26">
        <v>861294</v>
      </c>
      <c r="S72" s="26">
        <v>8667970000</v>
      </c>
      <c r="T72">
        <v>0</v>
      </c>
      <c r="U72" s="25">
        <v>0</v>
      </c>
    </row>
    <row r="73" spans="1:21" x14ac:dyDescent="0.25">
      <c r="A73" t="s">
        <v>127</v>
      </c>
      <c r="B73">
        <v>16.98</v>
      </c>
      <c r="C73">
        <v>5.72</v>
      </c>
      <c r="D73">
        <v>0.77</v>
      </c>
      <c r="E73">
        <v>0</v>
      </c>
      <c r="F73" s="25">
        <v>0.1195</v>
      </c>
      <c r="G73">
        <v>0.75900000000000001</v>
      </c>
      <c r="H73">
        <v>11.32</v>
      </c>
      <c r="I73">
        <v>-224.62</v>
      </c>
      <c r="J73">
        <v>11.4</v>
      </c>
      <c r="K73">
        <v>-200.69</v>
      </c>
      <c r="L73">
        <v>-200.69</v>
      </c>
      <c r="M73" s="25">
        <v>0</v>
      </c>
      <c r="N73" s="25">
        <v>0</v>
      </c>
      <c r="O73">
        <v>5.83</v>
      </c>
      <c r="P73" s="25">
        <v>-3.7000000000000002E-3</v>
      </c>
      <c r="Q73" s="25">
        <v>0.13469999999999999</v>
      </c>
      <c r="R73" s="26">
        <v>62255700</v>
      </c>
      <c r="S73" s="26">
        <v>8667970000</v>
      </c>
      <c r="T73">
        <v>0</v>
      </c>
      <c r="U73" s="25">
        <v>0</v>
      </c>
    </row>
    <row r="74" spans="1:21" x14ac:dyDescent="0.25">
      <c r="A74" t="s">
        <v>61</v>
      </c>
      <c r="B74">
        <v>19.18</v>
      </c>
      <c r="C74">
        <v>57.4</v>
      </c>
      <c r="D74">
        <v>0.8</v>
      </c>
      <c r="E74">
        <v>0.92800000000000005</v>
      </c>
      <c r="F74" s="25">
        <v>0</v>
      </c>
      <c r="G74">
        <v>0.20599999999999999</v>
      </c>
      <c r="H74">
        <v>4.3</v>
      </c>
      <c r="I74">
        <v>4.5999999999999996</v>
      </c>
      <c r="J74">
        <v>-0.36</v>
      </c>
      <c r="K74">
        <v>11.49</v>
      </c>
      <c r="L74">
        <v>6.49</v>
      </c>
      <c r="M74" s="25">
        <v>0.20169999999999999</v>
      </c>
      <c r="N74" s="25">
        <v>1.5599999999999999E-2</v>
      </c>
      <c r="O74">
        <v>1.4</v>
      </c>
      <c r="P74" s="25">
        <v>5.3100000000000001E-2</v>
      </c>
      <c r="Q74" s="25">
        <v>1.3899999999999999E-2</v>
      </c>
      <c r="R74" s="26">
        <v>152608000</v>
      </c>
      <c r="S74" s="26">
        <v>11151200000</v>
      </c>
      <c r="T74">
        <v>1.59</v>
      </c>
      <c r="U74" s="25">
        <v>1.2646999999999999</v>
      </c>
    </row>
    <row r="75" spans="1:21" x14ac:dyDescent="0.25">
      <c r="A75" t="s">
        <v>343</v>
      </c>
      <c r="B75">
        <v>16</v>
      </c>
      <c r="C75">
        <v>8.9700000000000006</v>
      </c>
      <c r="D75">
        <v>2.11</v>
      </c>
      <c r="E75">
        <v>4.5780000000000003</v>
      </c>
      <c r="F75" s="25">
        <v>0.12559999999999999</v>
      </c>
      <c r="G75">
        <v>0.109</v>
      </c>
      <c r="H75">
        <v>2.65</v>
      </c>
      <c r="I75">
        <v>79</v>
      </c>
      <c r="J75">
        <v>2.65</v>
      </c>
      <c r="K75">
        <v>25.55</v>
      </c>
      <c r="L75">
        <v>17.79</v>
      </c>
      <c r="M75" s="25">
        <v>5.8000000000000003E-2</v>
      </c>
      <c r="N75" s="25">
        <v>0.51049999999999995</v>
      </c>
      <c r="O75">
        <v>1.04</v>
      </c>
      <c r="P75" s="25">
        <v>0.1241</v>
      </c>
      <c r="Q75" s="25">
        <v>0.23530000000000001</v>
      </c>
      <c r="R75" s="26">
        <v>3503450</v>
      </c>
      <c r="S75" s="26">
        <v>796079000</v>
      </c>
      <c r="T75">
        <v>17.75</v>
      </c>
      <c r="U75" s="25">
        <v>-0.2029</v>
      </c>
    </row>
    <row r="76" spans="1:21" x14ac:dyDescent="0.25">
      <c r="A76" t="s">
        <v>135</v>
      </c>
      <c r="B76">
        <v>21.75</v>
      </c>
      <c r="C76">
        <v>9.5500000000000007</v>
      </c>
      <c r="D76">
        <v>2.2799999999999998</v>
      </c>
      <c r="E76">
        <v>0.57599999999999996</v>
      </c>
      <c r="F76" s="25">
        <v>3.2399999999999998E-2</v>
      </c>
      <c r="G76">
        <v>0.58199999999999996</v>
      </c>
      <c r="H76">
        <v>3.7</v>
      </c>
      <c r="I76">
        <v>4.92</v>
      </c>
      <c r="J76">
        <v>-2.6</v>
      </c>
      <c r="K76">
        <v>5.85</v>
      </c>
      <c r="L76">
        <v>3.98</v>
      </c>
      <c r="M76" s="25">
        <v>0.1171</v>
      </c>
      <c r="N76" s="25">
        <v>6.7400000000000002E-2</v>
      </c>
      <c r="O76">
        <v>1.46</v>
      </c>
      <c r="P76" s="25">
        <v>0.21329999999999999</v>
      </c>
      <c r="Q76" s="25">
        <v>0.2389</v>
      </c>
      <c r="R76" s="26">
        <v>225212000</v>
      </c>
      <c r="S76" s="26">
        <v>16044400000</v>
      </c>
      <c r="T76">
        <v>1.24</v>
      </c>
      <c r="U76" s="25">
        <v>9.9400000000000002E-2</v>
      </c>
    </row>
    <row r="77" spans="1:21" x14ac:dyDescent="0.25">
      <c r="A77" t="s">
        <v>247</v>
      </c>
      <c r="B77">
        <v>9.14</v>
      </c>
      <c r="C77">
        <v>-0.79</v>
      </c>
      <c r="D77">
        <v>-1.72</v>
      </c>
      <c r="E77">
        <v>9.1999999999999998E-2</v>
      </c>
      <c r="F77" s="25">
        <v>0</v>
      </c>
      <c r="G77">
        <v>7.5999999999999998E-2</v>
      </c>
      <c r="H77">
        <v>0.89</v>
      </c>
      <c r="I77">
        <v>7.99</v>
      </c>
      <c r="J77">
        <v>-0.11</v>
      </c>
      <c r="K77">
        <v>47.59</v>
      </c>
      <c r="L77">
        <v>7.45</v>
      </c>
      <c r="M77" s="25">
        <v>1.1599999999999999E-2</v>
      </c>
      <c r="N77" s="25">
        <v>-0.127</v>
      </c>
      <c r="O77">
        <v>1.32</v>
      </c>
      <c r="P77" s="25">
        <v>1.37E-2</v>
      </c>
      <c r="Q77" s="25">
        <v>2.19</v>
      </c>
      <c r="R77" s="26">
        <v>309235</v>
      </c>
      <c r="S77" s="26">
        <v>-4236000000</v>
      </c>
      <c r="T77">
        <v>-11.6</v>
      </c>
      <c r="U77" s="25">
        <v>-1.7999999999999999E-2</v>
      </c>
    </row>
    <row r="78" spans="1:21" x14ac:dyDescent="0.25">
      <c r="A78" t="s">
        <v>344</v>
      </c>
      <c r="B78">
        <v>9.01</v>
      </c>
      <c r="C78">
        <v>-0.77</v>
      </c>
      <c r="D78">
        <v>-1.7</v>
      </c>
      <c r="E78">
        <v>9.0999999999999998E-2</v>
      </c>
      <c r="F78" s="25">
        <v>0</v>
      </c>
      <c r="G78">
        <v>7.4999999999999997E-2</v>
      </c>
      <c r="H78">
        <v>0.88</v>
      </c>
      <c r="I78">
        <v>7.88</v>
      </c>
      <c r="J78">
        <v>-0.11</v>
      </c>
      <c r="K78">
        <v>47.47</v>
      </c>
      <c r="L78">
        <v>7.43</v>
      </c>
      <c r="M78" s="25">
        <v>1.1599999999999999E-2</v>
      </c>
      <c r="N78" s="25">
        <v>-0.127</v>
      </c>
      <c r="O78">
        <v>1.32</v>
      </c>
      <c r="P78" s="25">
        <v>1.37E-2</v>
      </c>
      <c r="Q78" s="25">
        <v>2.19</v>
      </c>
      <c r="R78" s="26">
        <v>43115400</v>
      </c>
      <c r="S78" s="26">
        <v>-4236000000</v>
      </c>
      <c r="T78">
        <v>-11.6</v>
      </c>
      <c r="U78" s="25">
        <v>-1.7999999999999999E-2</v>
      </c>
    </row>
    <row r="79" spans="1:21" x14ac:dyDescent="0.25">
      <c r="A79" t="s">
        <v>345</v>
      </c>
      <c r="B79">
        <v>8.6</v>
      </c>
      <c r="C79">
        <v>-0.74</v>
      </c>
      <c r="D79">
        <v>-1.62</v>
      </c>
      <c r="E79">
        <v>8.6999999999999994E-2</v>
      </c>
      <c r="F79" s="25">
        <v>0</v>
      </c>
      <c r="G79">
        <v>7.1999999999999995E-2</v>
      </c>
      <c r="H79">
        <v>0.84</v>
      </c>
      <c r="I79">
        <v>7.52</v>
      </c>
      <c r="J79">
        <v>-0.11</v>
      </c>
      <c r="K79">
        <v>47.11</v>
      </c>
      <c r="L79">
        <v>7.38</v>
      </c>
      <c r="M79" s="25">
        <v>1.1599999999999999E-2</v>
      </c>
      <c r="N79" s="25">
        <v>-0.127</v>
      </c>
      <c r="O79">
        <v>1.32</v>
      </c>
      <c r="P79" s="25">
        <v>1.37E-2</v>
      </c>
      <c r="Q79" s="25">
        <v>2.19</v>
      </c>
      <c r="R79" s="26">
        <v>1274.05</v>
      </c>
      <c r="S79" s="26">
        <v>-4236000000</v>
      </c>
      <c r="T79">
        <v>-11.6</v>
      </c>
      <c r="U79" s="25">
        <v>-1.7999999999999999E-2</v>
      </c>
    </row>
    <row r="80" spans="1:21" x14ac:dyDescent="0.25">
      <c r="A80" t="s">
        <v>346</v>
      </c>
      <c r="B80">
        <v>11.62</v>
      </c>
      <c r="C80">
        <v>4.9000000000000004</v>
      </c>
      <c r="D80">
        <v>0.46</v>
      </c>
      <c r="E80">
        <v>0</v>
      </c>
      <c r="F80" s="25">
        <v>9.4200000000000006E-2</v>
      </c>
      <c r="G80">
        <v>0</v>
      </c>
      <c r="H80">
        <v>0</v>
      </c>
      <c r="I80">
        <v>0</v>
      </c>
      <c r="J80">
        <v>0</v>
      </c>
      <c r="K80">
        <v>0</v>
      </c>
      <c r="L80">
        <v>0</v>
      </c>
      <c r="M80" s="25">
        <v>0</v>
      </c>
      <c r="N80" s="25">
        <v>0</v>
      </c>
      <c r="O80">
        <v>0</v>
      </c>
      <c r="P80" s="25">
        <v>0</v>
      </c>
      <c r="Q80" s="25">
        <v>9.3100000000000002E-2</v>
      </c>
      <c r="R80" s="26">
        <v>48387.8</v>
      </c>
      <c r="S80" s="26">
        <v>10409200000</v>
      </c>
      <c r="T80">
        <v>0</v>
      </c>
      <c r="U80" s="25">
        <v>4.7E-2</v>
      </c>
    </row>
    <row r="81" spans="1:21" x14ac:dyDescent="0.25">
      <c r="A81" t="s">
        <v>347</v>
      </c>
      <c r="B81">
        <v>15.6</v>
      </c>
      <c r="C81">
        <v>6.58</v>
      </c>
      <c r="D81">
        <v>0.61</v>
      </c>
      <c r="E81">
        <v>0</v>
      </c>
      <c r="F81" s="25">
        <v>8.7800000000000003E-2</v>
      </c>
      <c r="G81">
        <v>0</v>
      </c>
      <c r="H81" s="26">
        <v>0</v>
      </c>
      <c r="I81">
        <v>0</v>
      </c>
      <c r="J81">
        <v>0</v>
      </c>
      <c r="K81">
        <v>0</v>
      </c>
      <c r="L81">
        <v>0</v>
      </c>
      <c r="M81" s="25">
        <v>0</v>
      </c>
      <c r="N81" s="25">
        <v>0</v>
      </c>
      <c r="O81">
        <v>0</v>
      </c>
      <c r="P81" s="25">
        <v>0</v>
      </c>
      <c r="Q81" s="25">
        <v>9.3100000000000002E-2</v>
      </c>
      <c r="R81" s="26">
        <v>424.07</v>
      </c>
      <c r="S81" s="26">
        <v>10409200000</v>
      </c>
      <c r="T81">
        <v>0</v>
      </c>
      <c r="U81" s="25">
        <v>4.7E-2</v>
      </c>
    </row>
    <row r="82" spans="1:21" x14ac:dyDescent="0.25">
      <c r="A82" t="s">
        <v>37</v>
      </c>
      <c r="B82">
        <v>10.88</v>
      </c>
      <c r="C82">
        <v>4.59</v>
      </c>
      <c r="D82">
        <v>0.43</v>
      </c>
      <c r="E82">
        <v>0</v>
      </c>
      <c r="F82" s="25">
        <v>0.10059999999999999</v>
      </c>
      <c r="G82">
        <v>0</v>
      </c>
      <c r="H82">
        <v>0</v>
      </c>
      <c r="I82">
        <v>0</v>
      </c>
      <c r="J82">
        <v>0</v>
      </c>
      <c r="K82">
        <v>0</v>
      </c>
      <c r="L82">
        <v>0</v>
      </c>
      <c r="M82" s="25">
        <v>0</v>
      </c>
      <c r="N82" s="25">
        <v>0</v>
      </c>
      <c r="O82">
        <v>0</v>
      </c>
      <c r="P82" s="25">
        <v>0</v>
      </c>
      <c r="Q82" s="25">
        <v>9.3100000000000002E-2</v>
      </c>
      <c r="R82" s="26">
        <v>13194100</v>
      </c>
      <c r="S82" s="26">
        <v>10409200000</v>
      </c>
      <c r="T82">
        <v>0</v>
      </c>
      <c r="U82" s="25">
        <v>4.7E-2</v>
      </c>
    </row>
    <row r="83" spans="1:21" x14ac:dyDescent="0.25">
      <c r="A83" t="s">
        <v>348</v>
      </c>
      <c r="B83">
        <v>2.64</v>
      </c>
      <c r="C83">
        <v>19.190000000000001</v>
      </c>
      <c r="D83">
        <v>0.75</v>
      </c>
      <c r="E83">
        <v>0.77900000000000003</v>
      </c>
      <c r="F83" s="25">
        <v>1.5599999999999999E-2</v>
      </c>
      <c r="G83">
        <v>0.28199999999999997</v>
      </c>
      <c r="H83">
        <v>-8.51</v>
      </c>
      <c r="I83">
        <v>6.05</v>
      </c>
      <c r="J83">
        <v>-0.63</v>
      </c>
      <c r="K83">
        <v>13.52</v>
      </c>
      <c r="L83">
        <v>4.1100000000000003</v>
      </c>
      <c r="M83" s="25">
        <v>0.1288</v>
      </c>
      <c r="N83" s="25">
        <v>4.0599999999999997E-2</v>
      </c>
      <c r="O83">
        <v>0.84</v>
      </c>
      <c r="P83" s="25">
        <v>5.6599999999999998E-2</v>
      </c>
      <c r="Q83" s="25">
        <v>3.9199999999999999E-2</v>
      </c>
      <c r="R83" s="26">
        <v>621350</v>
      </c>
      <c r="S83" s="26">
        <v>1537560000</v>
      </c>
      <c r="T83">
        <v>1.23</v>
      </c>
      <c r="U83" s="25">
        <v>0</v>
      </c>
    </row>
    <row r="84" spans="1:21" x14ac:dyDescent="0.25">
      <c r="A84" t="s">
        <v>349</v>
      </c>
      <c r="B84">
        <v>8.4</v>
      </c>
      <c r="C84">
        <v>8.58</v>
      </c>
      <c r="D84">
        <v>1.06</v>
      </c>
      <c r="E84">
        <v>0</v>
      </c>
      <c r="F84" s="25">
        <v>0.4506</v>
      </c>
      <c r="G84">
        <v>0</v>
      </c>
      <c r="H84">
        <v>0</v>
      </c>
      <c r="I84">
        <v>0</v>
      </c>
      <c r="J84">
        <v>0</v>
      </c>
      <c r="K84">
        <v>0</v>
      </c>
      <c r="L84" s="26">
        <v>0</v>
      </c>
      <c r="M84" s="25">
        <v>0</v>
      </c>
      <c r="N84" s="25">
        <v>0</v>
      </c>
      <c r="O84">
        <v>0</v>
      </c>
      <c r="P84" s="25">
        <v>0</v>
      </c>
      <c r="Q84" s="25">
        <v>0.1234</v>
      </c>
      <c r="R84" s="26">
        <v>11418</v>
      </c>
      <c r="S84" s="26">
        <v>3858140000</v>
      </c>
      <c r="T84">
        <v>0</v>
      </c>
      <c r="U84" s="25">
        <v>0.15579999999999999</v>
      </c>
    </row>
    <row r="85" spans="1:21" x14ac:dyDescent="0.25">
      <c r="A85" t="s">
        <v>350</v>
      </c>
      <c r="B85">
        <v>8.83</v>
      </c>
      <c r="C85">
        <v>9.02</v>
      </c>
      <c r="D85">
        <v>1.1100000000000001</v>
      </c>
      <c r="E85">
        <v>0</v>
      </c>
      <c r="F85" s="25">
        <v>0.47149999999999997</v>
      </c>
      <c r="G85">
        <v>0</v>
      </c>
      <c r="H85">
        <v>0</v>
      </c>
      <c r="I85">
        <v>0</v>
      </c>
      <c r="J85">
        <v>0</v>
      </c>
      <c r="K85">
        <v>0</v>
      </c>
      <c r="L85">
        <v>0</v>
      </c>
      <c r="M85" s="25">
        <v>0</v>
      </c>
      <c r="N85" s="25">
        <v>0</v>
      </c>
      <c r="O85">
        <v>0</v>
      </c>
      <c r="P85" s="25">
        <v>0</v>
      </c>
      <c r="Q85" s="25">
        <v>0.1234</v>
      </c>
      <c r="R85" s="26">
        <v>17615.900000000001</v>
      </c>
      <c r="S85" s="26">
        <v>3858140000</v>
      </c>
      <c r="T85">
        <v>0</v>
      </c>
      <c r="U85" s="25">
        <v>0.15579999999999999</v>
      </c>
    </row>
    <row r="86" spans="1:21" x14ac:dyDescent="0.25">
      <c r="A86" t="s">
        <v>27</v>
      </c>
      <c r="B86">
        <v>9.5</v>
      </c>
      <c r="C86">
        <v>5.36</v>
      </c>
      <c r="D86">
        <v>1.35</v>
      </c>
      <c r="E86">
        <v>0.94299999999999995</v>
      </c>
      <c r="F86" s="25">
        <v>8.8499999999999995E-2</v>
      </c>
      <c r="G86">
        <v>1.0580000000000001</v>
      </c>
      <c r="H86">
        <v>3.16</v>
      </c>
      <c r="I86">
        <v>4.6100000000000003</v>
      </c>
      <c r="J86">
        <v>3.82</v>
      </c>
      <c r="K86">
        <v>4.09</v>
      </c>
      <c r="L86">
        <v>3.53</v>
      </c>
      <c r="M86" s="25">
        <v>0.20469999999999999</v>
      </c>
      <c r="N86" s="25">
        <v>0.1759</v>
      </c>
      <c r="O86">
        <v>3.09</v>
      </c>
      <c r="P86" s="25">
        <v>0.27610000000000001</v>
      </c>
      <c r="Q86" s="25">
        <v>0.2525</v>
      </c>
      <c r="R86" s="26">
        <v>298087</v>
      </c>
      <c r="S86" s="26">
        <v>296523000</v>
      </c>
      <c r="T86">
        <v>0.01</v>
      </c>
      <c r="U86" s="25">
        <v>0.30299999999999999</v>
      </c>
    </row>
    <row r="87" spans="1:21" x14ac:dyDescent="0.25">
      <c r="A87" t="s">
        <v>251</v>
      </c>
      <c r="B87">
        <v>4.93</v>
      </c>
      <c r="C87">
        <v>8.44</v>
      </c>
      <c r="D87">
        <v>0.49</v>
      </c>
      <c r="E87">
        <v>0.14299999999999999</v>
      </c>
      <c r="F87" s="25">
        <v>5.9499999999999997E-2</v>
      </c>
      <c r="G87">
        <v>0.14199999999999999</v>
      </c>
      <c r="H87">
        <v>0.81</v>
      </c>
      <c r="I87">
        <v>3.06</v>
      </c>
      <c r="J87">
        <v>-1.18</v>
      </c>
      <c r="K87">
        <v>9.9499999999999993</v>
      </c>
      <c r="L87">
        <v>6.74</v>
      </c>
      <c r="M87" s="25">
        <v>4.6800000000000001E-2</v>
      </c>
      <c r="N87" s="25">
        <v>1.7000000000000001E-2</v>
      </c>
      <c r="O87">
        <v>1.42</v>
      </c>
      <c r="P87" s="25">
        <v>6.8500000000000005E-2</v>
      </c>
      <c r="Q87" s="25">
        <v>5.8599999999999999E-2</v>
      </c>
      <c r="R87" s="26">
        <v>6482190</v>
      </c>
      <c r="S87" s="26">
        <v>3488880000</v>
      </c>
      <c r="T87">
        <v>1.58</v>
      </c>
      <c r="U87" s="25">
        <v>0.1105</v>
      </c>
    </row>
    <row r="88" spans="1:21" x14ac:dyDescent="0.25">
      <c r="A88" t="s">
        <v>226</v>
      </c>
      <c r="B88">
        <v>5.97</v>
      </c>
      <c r="C88">
        <v>-37.68</v>
      </c>
      <c r="D88">
        <v>1.91</v>
      </c>
      <c r="E88">
        <v>1.7569999999999999</v>
      </c>
      <c r="F88" s="25">
        <v>0.32650000000000001</v>
      </c>
      <c r="G88">
        <v>1.383</v>
      </c>
      <c r="H88">
        <v>3.11</v>
      </c>
      <c r="I88">
        <v>-39.86</v>
      </c>
      <c r="J88">
        <v>3.73</v>
      </c>
      <c r="K88">
        <v>-26.2</v>
      </c>
      <c r="L88">
        <v>-109.1</v>
      </c>
      <c r="M88" s="25">
        <v>-4.41E-2</v>
      </c>
      <c r="N88" s="25">
        <v>-5.33E-2</v>
      </c>
      <c r="O88">
        <v>3.35</v>
      </c>
      <c r="P88" s="25">
        <v>-6.8599999999999994E-2</v>
      </c>
      <c r="Q88" s="25">
        <v>-5.0700000000000002E-2</v>
      </c>
      <c r="R88" s="26">
        <v>27349000</v>
      </c>
      <c r="S88" s="26">
        <v>352593000</v>
      </c>
      <c r="T88">
        <v>0</v>
      </c>
      <c r="U88" s="25">
        <v>0.21690000000000001</v>
      </c>
    </row>
    <row r="89" spans="1:21" x14ac:dyDescent="0.25">
      <c r="A89" t="s">
        <v>137</v>
      </c>
      <c r="B89">
        <v>4.7699999999999996</v>
      </c>
      <c r="C89">
        <v>17.190000000000001</v>
      </c>
      <c r="D89">
        <v>0.73</v>
      </c>
      <c r="E89">
        <v>0.35199999999999998</v>
      </c>
      <c r="F89" s="25">
        <v>0</v>
      </c>
      <c r="G89">
        <v>0.23200000000000001</v>
      </c>
      <c r="H89">
        <v>1.71</v>
      </c>
      <c r="I89">
        <v>4.28</v>
      </c>
      <c r="J89">
        <v>-0.67</v>
      </c>
      <c r="K89">
        <v>8.67</v>
      </c>
      <c r="L89">
        <v>4.5</v>
      </c>
      <c r="M89" s="25">
        <v>8.2299999999999998E-2</v>
      </c>
      <c r="N89" s="25">
        <v>3.3000000000000002E-2</v>
      </c>
      <c r="O89">
        <v>1.77</v>
      </c>
      <c r="P89" s="25">
        <v>6.4600000000000005E-2</v>
      </c>
      <c r="Q89" s="25">
        <v>4.2200000000000001E-2</v>
      </c>
      <c r="R89" s="26">
        <v>20087600</v>
      </c>
      <c r="S89" s="26">
        <v>4280660000</v>
      </c>
      <c r="T89">
        <v>0.94</v>
      </c>
      <c r="U89" s="25">
        <v>-2.0299999999999999E-2</v>
      </c>
    </row>
    <row r="90" spans="1:21" x14ac:dyDescent="0.25">
      <c r="A90" t="s">
        <v>351</v>
      </c>
      <c r="B90">
        <v>14.83</v>
      </c>
      <c r="C90">
        <v>8.15</v>
      </c>
      <c r="D90">
        <v>0.66</v>
      </c>
      <c r="E90">
        <v>0.627</v>
      </c>
      <c r="F90" s="25">
        <v>2.8199999999999999E-2</v>
      </c>
      <c r="G90">
        <v>0.28299999999999997</v>
      </c>
      <c r="H90">
        <v>-2.15</v>
      </c>
      <c r="I90">
        <v>4.8499999999999996</v>
      </c>
      <c r="J90">
        <v>-0.79</v>
      </c>
      <c r="K90">
        <v>8.61</v>
      </c>
      <c r="L90">
        <v>4.95</v>
      </c>
      <c r="M90" s="25">
        <v>0.12920000000000001</v>
      </c>
      <c r="N90" s="25">
        <v>7.6899999999999996E-2</v>
      </c>
      <c r="O90">
        <v>0.62</v>
      </c>
      <c r="P90" s="25">
        <v>6.3899999999999998E-2</v>
      </c>
      <c r="Q90" s="25">
        <v>8.14E-2</v>
      </c>
      <c r="R90" s="26">
        <v>1011.12</v>
      </c>
      <c r="S90" s="26">
        <v>8493750000</v>
      </c>
      <c r="T90">
        <v>0.55000000000000004</v>
      </c>
      <c r="U90" s="25">
        <v>5.4899999999999997E-2</v>
      </c>
    </row>
    <row r="91" spans="1:21" x14ac:dyDescent="0.25">
      <c r="A91" t="s">
        <v>195</v>
      </c>
      <c r="B91">
        <v>17.27</v>
      </c>
      <c r="C91">
        <v>13.8</v>
      </c>
      <c r="D91">
        <v>1.63</v>
      </c>
      <c r="E91">
        <v>0.68300000000000005</v>
      </c>
      <c r="F91" s="25">
        <v>2.2100000000000002E-2</v>
      </c>
      <c r="G91">
        <v>0.57399999999999995</v>
      </c>
      <c r="H91">
        <v>5.29</v>
      </c>
      <c r="I91">
        <v>5.38</v>
      </c>
      <c r="J91">
        <v>-3.21</v>
      </c>
      <c r="K91">
        <v>5.31</v>
      </c>
      <c r="L91">
        <v>4.22</v>
      </c>
      <c r="M91" s="25">
        <v>0.1268</v>
      </c>
      <c r="N91" s="25">
        <v>4.9500000000000002E-2</v>
      </c>
      <c r="O91">
        <v>1.3</v>
      </c>
      <c r="P91" s="25">
        <v>0.16889999999999999</v>
      </c>
      <c r="Q91" s="25">
        <v>0.1182</v>
      </c>
      <c r="R91" s="26">
        <v>49656700</v>
      </c>
      <c r="S91" s="26">
        <v>3262550000</v>
      </c>
      <c r="T91">
        <v>0.44</v>
      </c>
      <c r="U91" s="25">
        <v>0.17480000000000001</v>
      </c>
    </row>
    <row r="92" spans="1:21" x14ac:dyDescent="0.25">
      <c r="A92" t="s">
        <v>352</v>
      </c>
      <c r="B92">
        <v>19.149999999999999</v>
      </c>
      <c r="C92">
        <v>7.65</v>
      </c>
      <c r="D92">
        <v>1.24</v>
      </c>
      <c r="E92">
        <v>3.5329999999999999</v>
      </c>
      <c r="F92" s="25">
        <v>0.1031</v>
      </c>
      <c r="G92">
        <v>0.90200000000000002</v>
      </c>
      <c r="H92">
        <v>1.77</v>
      </c>
      <c r="I92">
        <v>10.5</v>
      </c>
      <c r="J92">
        <v>1.91</v>
      </c>
      <c r="K92">
        <v>5.31</v>
      </c>
      <c r="L92">
        <v>4.99</v>
      </c>
      <c r="M92" s="25">
        <v>0.3367</v>
      </c>
      <c r="N92" s="25">
        <v>0.60240000000000005</v>
      </c>
      <c r="O92">
        <v>9.39</v>
      </c>
      <c r="P92" s="25">
        <v>0.15870000000000001</v>
      </c>
      <c r="Q92" s="25">
        <v>0.1618</v>
      </c>
      <c r="R92" s="26">
        <v>102586</v>
      </c>
      <c r="S92" s="26">
        <v>1115020000</v>
      </c>
      <c r="T92">
        <v>0</v>
      </c>
      <c r="U92" s="25">
        <v>3.6600000000000001E-2</v>
      </c>
    </row>
    <row r="93" spans="1:21" x14ac:dyDescent="0.25">
      <c r="A93" t="s">
        <v>353</v>
      </c>
      <c r="B93">
        <v>19</v>
      </c>
      <c r="C93">
        <v>7.59</v>
      </c>
      <c r="D93">
        <v>1.23</v>
      </c>
      <c r="E93">
        <v>3.5059999999999998</v>
      </c>
      <c r="F93" s="25">
        <v>0.10390000000000001</v>
      </c>
      <c r="G93">
        <v>0.89500000000000002</v>
      </c>
      <c r="H93">
        <v>1.75</v>
      </c>
      <c r="I93">
        <v>10.41</v>
      </c>
      <c r="J93">
        <v>1.89</v>
      </c>
      <c r="K93">
        <v>5.23</v>
      </c>
      <c r="L93">
        <v>4.91</v>
      </c>
      <c r="M93" s="25">
        <v>0.3367</v>
      </c>
      <c r="N93" s="25">
        <v>0.60240000000000005</v>
      </c>
      <c r="O93">
        <v>9.39</v>
      </c>
      <c r="P93" s="25">
        <v>0.15870000000000001</v>
      </c>
      <c r="Q93" s="25">
        <v>0.1618</v>
      </c>
      <c r="R93" s="26">
        <v>65509.3</v>
      </c>
      <c r="S93" s="26">
        <v>1115020000</v>
      </c>
      <c r="T93">
        <v>0</v>
      </c>
      <c r="U93" s="25">
        <v>3.6600000000000001E-2</v>
      </c>
    </row>
    <row r="94" spans="1:21" x14ac:dyDescent="0.25">
      <c r="A94" t="s">
        <v>20</v>
      </c>
      <c r="B94">
        <v>20.86</v>
      </c>
      <c r="C94">
        <v>8.34</v>
      </c>
      <c r="D94">
        <v>1.35</v>
      </c>
      <c r="E94">
        <v>3.8490000000000002</v>
      </c>
      <c r="F94" s="25">
        <v>0.1041</v>
      </c>
      <c r="G94">
        <v>0.98299999999999998</v>
      </c>
      <c r="H94">
        <v>1.92</v>
      </c>
      <c r="I94">
        <v>11.43</v>
      </c>
      <c r="J94">
        <v>2.08</v>
      </c>
      <c r="K94">
        <v>6.25</v>
      </c>
      <c r="L94">
        <v>5.87</v>
      </c>
      <c r="M94" s="25">
        <v>0.3367</v>
      </c>
      <c r="N94" s="25">
        <v>0.60240000000000005</v>
      </c>
      <c r="O94">
        <v>9.39</v>
      </c>
      <c r="P94" s="25">
        <v>0.15870000000000001</v>
      </c>
      <c r="Q94" s="25">
        <v>0.1618</v>
      </c>
      <c r="R94" s="26">
        <v>118324</v>
      </c>
      <c r="S94" s="26">
        <v>1115020000</v>
      </c>
      <c r="T94">
        <v>0</v>
      </c>
      <c r="U94" s="25">
        <v>3.6600000000000001E-2</v>
      </c>
    </row>
    <row r="95" spans="1:21" x14ac:dyDescent="0.25">
      <c r="A95" t="s">
        <v>354</v>
      </c>
      <c r="B95">
        <v>21</v>
      </c>
      <c r="C95">
        <v>2.1</v>
      </c>
      <c r="D95">
        <v>0.67</v>
      </c>
      <c r="E95">
        <v>0.20300000000000001</v>
      </c>
      <c r="F95" s="25">
        <v>0</v>
      </c>
      <c r="G95">
        <v>0.216</v>
      </c>
      <c r="H95">
        <v>3.17</v>
      </c>
      <c r="I95">
        <v>1.1599999999999999</v>
      </c>
      <c r="J95">
        <v>-0.87</v>
      </c>
      <c r="K95">
        <v>3.28</v>
      </c>
      <c r="L95">
        <v>2.89</v>
      </c>
      <c r="M95" s="25">
        <v>0.17499999999999999</v>
      </c>
      <c r="N95" s="25">
        <v>9.64E-2</v>
      </c>
      <c r="O95">
        <v>1.19</v>
      </c>
      <c r="P95" s="25">
        <v>0.2024</v>
      </c>
      <c r="Q95" s="25">
        <v>0.31819999999999998</v>
      </c>
      <c r="R95" s="26">
        <v>1251.8800000000001</v>
      </c>
      <c r="S95" s="26">
        <v>313676000</v>
      </c>
      <c r="T95">
        <v>1.25</v>
      </c>
      <c r="U95" s="25">
        <v>9.4399999999999998E-2</v>
      </c>
    </row>
    <row r="96" spans="1:21" x14ac:dyDescent="0.25">
      <c r="A96" t="s">
        <v>355</v>
      </c>
      <c r="B96">
        <v>16.329999999999998</v>
      </c>
      <c r="C96">
        <v>1.64</v>
      </c>
      <c r="D96">
        <v>0.52</v>
      </c>
      <c r="E96">
        <v>0.158</v>
      </c>
      <c r="F96" s="25">
        <v>0</v>
      </c>
      <c r="G96">
        <v>0.16800000000000001</v>
      </c>
      <c r="H96">
        <v>2.46</v>
      </c>
      <c r="I96">
        <v>0.9</v>
      </c>
      <c r="J96">
        <v>-0.68</v>
      </c>
      <c r="K96">
        <v>3.03</v>
      </c>
      <c r="L96">
        <v>2.67</v>
      </c>
      <c r="M96" s="25">
        <v>0.17499999999999999</v>
      </c>
      <c r="N96" s="25">
        <v>9.64E-2</v>
      </c>
      <c r="O96">
        <v>1.19</v>
      </c>
      <c r="P96" s="25">
        <v>0.2024</v>
      </c>
      <c r="Q96" s="25">
        <v>0.31819999999999998</v>
      </c>
      <c r="R96" s="26">
        <v>25095</v>
      </c>
      <c r="S96" s="26">
        <v>313676000</v>
      </c>
      <c r="T96">
        <v>1.25</v>
      </c>
      <c r="U96" s="25">
        <v>9.4399999999999998E-2</v>
      </c>
    </row>
    <row r="97" spans="1:21" x14ac:dyDescent="0.25">
      <c r="A97" t="s">
        <v>356</v>
      </c>
      <c r="B97">
        <v>37.28</v>
      </c>
      <c r="C97">
        <v>4.58</v>
      </c>
      <c r="D97">
        <v>1.1499999999999999</v>
      </c>
      <c r="E97">
        <v>0.55800000000000005</v>
      </c>
      <c r="F97" s="25">
        <v>4.9500000000000002E-2</v>
      </c>
      <c r="G97">
        <v>0.30599999999999999</v>
      </c>
      <c r="H97">
        <v>-11.28</v>
      </c>
      <c r="I97">
        <v>2.2200000000000002</v>
      </c>
      <c r="J97">
        <v>-0.54</v>
      </c>
      <c r="K97">
        <v>5.65</v>
      </c>
      <c r="L97">
        <v>4.59</v>
      </c>
      <c r="M97" s="25">
        <v>0.25109999999999999</v>
      </c>
      <c r="N97" s="25">
        <v>0.12180000000000001</v>
      </c>
      <c r="O97">
        <v>0.86</v>
      </c>
      <c r="P97" s="25">
        <v>0.14580000000000001</v>
      </c>
      <c r="Q97" s="25">
        <v>0.252</v>
      </c>
      <c r="R97" s="26">
        <v>13391.1</v>
      </c>
      <c r="S97" s="26">
        <v>8461000000</v>
      </c>
      <c r="T97">
        <v>1.84</v>
      </c>
      <c r="U97" s="25">
        <v>6.5100000000000005E-2</v>
      </c>
    </row>
    <row r="98" spans="1:21" x14ac:dyDescent="0.25">
      <c r="A98" t="s">
        <v>357</v>
      </c>
      <c r="B98">
        <v>37.43</v>
      </c>
      <c r="C98">
        <v>4.5999999999999996</v>
      </c>
      <c r="D98">
        <v>1.1599999999999999</v>
      </c>
      <c r="E98">
        <v>0.56000000000000005</v>
      </c>
      <c r="F98" s="25">
        <v>4.9299999999999997E-2</v>
      </c>
      <c r="G98">
        <v>0.307</v>
      </c>
      <c r="H98">
        <v>-11.33</v>
      </c>
      <c r="I98">
        <v>2.23</v>
      </c>
      <c r="J98">
        <v>-0.54</v>
      </c>
      <c r="K98">
        <v>5.66</v>
      </c>
      <c r="L98">
        <v>4.59</v>
      </c>
      <c r="M98" s="25">
        <v>0.25109999999999999</v>
      </c>
      <c r="N98" s="25">
        <v>0.12180000000000001</v>
      </c>
      <c r="O98">
        <v>0.86</v>
      </c>
      <c r="P98" s="25">
        <v>0.14580000000000001</v>
      </c>
      <c r="Q98" s="25">
        <v>0.252</v>
      </c>
      <c r="R98" s="26">
        <v>474.31</v>
      </c>
      <c r="S98" s="26">
        <v>8461000000</v>
      </c>
      <c r="T98">
        <v>1.84</v>
      </c>
      <c r="U98" s="25">
        <v>6.5100000000000005E-2</v>
      </c>
    </row>
    <row r="99" spans="1:21" x14ac:dyDescent="0.25">
      <c r="A99" t="s">
        <v>358</v>
      </c>
      <c r="B99">
        <v>7.09</v>
      </c>
      <c r="C99">
        <v>-1.02</v>
      </c>
      <c r="D99">
        <v>-0.13</v>
      </c>
      <c r="E99">
        <v>8.5999999999999993E-2</v>
      </c>
      <c r="F99" s="25">
        <v>0</v>
      </c>
      <c r="G99">
        <v>5.8999999999999997E-2</v>
      </c>
      <c r="H99">
        <v>1.59</v>
      </c>
      <c r="I99">
        <v>0.81</v>
      </c>
      <c r="J99">
        <v>-0.05</v>
      </c>
      <c r="K99">
        <v>9.17</v>
      </c>
      <c r="L99">
        <v>7.14</v>
      </c>
      <c r="M99" s="25">
        <v>0.1061</v>
      </c>
      <c r="N99" s="25">
        <v>-8.4500000000000006E-2</v>
      </c>
      <c r="O99">
        <v>1.1299999999999999</v>
      </c>
      <c r="P99" s="25">
        <v>8.6699999999999999E-2</v>
      </c>
      <c r="Q99" s="25">
        <v>0.13139999999999999</v>
      </c>
      <c r="R99" s="26">
        <v>2302.14</v>
      </c>
      <c r="S99" s="26">
        <v>-3617840000</v>
      </c>
      <c r="T99">
        <v>-1.58</v>
      </c>
      <c r="U99" s="25">
        <v>8.8400000000000006E-2</v>
      </c>
    </row>
    <row r="100" spans="1:21" x14ac:dyDescent="0.25">
      <c r="A100" t="s">
        <v>359</v>
      </c>
      <c r="B100">
        <v>123.6</v>
      </c>
      <c r="C100">
        <v>9.32</v>
      </c>
      <c r="D100">
        <v>11.53</v>
      </c>
      <c r="E100">
        <v>1.1000000000000001</v>
      </c>
      <c r="F100" s="25">
        <v>8.0299999999999996E-2</v>
      </c>
      <c r="G100">
        <v>1.1679999999999999</v>
      </c>
      <c r="H100">
        <v>9.1199999999999992</v>
      </c>
      <c r="I100">
        <v>5.64</v>
      </c>
      <c r="J100">
        <v>-1.84</v>
      </c>
      <c r="K100">
        <v>8.17</v>
      </c>
      <c r="L100">
        <v>6.64</v>
      </c>
      <c r="M100" s="25">
        <v>0.1951</v>
      </c>
      <c r="N100" s="25">
        <v>0.1179</v>
      </c>
      <c r="O100">
        <v>1.95</v>
      </c>
      <c r="P100" s="25">
        <v>0.2429</v>
      </c>
      <c r="Q100" s="25">
        <v>1.2369000000000001</v>
      </c>
      <c r="R100" s="26">
        <v>10825.2</v>
      </c>
      <c r="S100" s="26">
        <v>1420180000</v>
      </c>
      <c r="T100">
        <v>5.98</v>
      </c>
      <c r="U100" s="25">
        <v>0.1389</v>
      </c>
    </row>
    <row r="101" spans="1:21" x14ac:dyDescent="0.25">
      <c r="A101" t="s">
        <v>360</v>
      </c>
      <c r="B101">
        <v>128.55000000000001</v>
      </c>
      <c r="C101">
        <v>9.6999999999999993</v>
      </c>
      <c r="D101">
        <v>12</v>
      </c>
      <c r="E101">
        <v>1.1439999999999999</v>
      </c>
      <c r="F101" s="25">
        <v>8.5000000000000006E-2</v>
      </c>
      <c r="G101">
        <v>1.214</v>
      </c>
      <c r="H101">
        <v>9.48</v>
      </c>
      <c r="I101">
        <v>5.86</v>
      </c>
      <c r="J101">
        <v>-1.91</v>
      </c>
      <c r="K101">
        <v>8.39</v>
      </c>
      <c r="L101">
        <v>6.83</v>
      </c>
      <c r="M101" s="25">
        <v>0.1951</v>
      </c>
      <c r="N101" s="25">
        <v>0.1179</v>
      </c>
      <c r="O101">
        <v>1.95</v>
      </c>
      <c r="P101" s="25">
        <v>0.2429</v>
      </c>
      <c r="Q101" s="25">
        <v>1.2369000000000001</v>
      </c>
      <c r="R101" s="26">
        <v>99844.2</v>
      </c>
      <c r="S101" s="26">
        <v>1420180000</v>
      </c>
      <c r="T101">
        <v>5.98</v>
      </c>
      <c r="U101" s="25">
        <v>0.1389</v>
      </c>
    </row>
    <row r="102" spans="1:21" x14ac:dyDescent="0.25">
      <c r="A102" t="s">
        <v>361</v>
      </c>
      <c r="B102">
        <v>27.75</v>
      </c>
      <c r="C102">
        <v>5.52</v>
      </c>
      <c r="D102">
        <v>0.6</v>
      </c>
      <c r="E102">
        <v>0.77600000000000002</v>
      </c>
      <c r="F102" s="25">
        <v>0.1163</v>
      </c>
      <c r="G102">
        <v>0.43</v>
      </c>
      <c r="H102">
        <v>1.59</v>
      </c>
      <c r="I102">
        <v>6.61</v>
      </c>
      <c r="J102">
        <v>2.66</v>
      </c>
      <c r="K102">
        <v>4.2300000000000004</v>
      </c>
      <c r="L102">
        <v>3.21</v>
      </c>
      <c r="M102" s="25">
        <v>0.1174</v>
      </c>
      <c r="N102" s="25">
        <v>0.14069999999999999</v>
      </c>
      <c r="O102">
        <v>2.52</v>
      </c>
      <c r="P102" s="25">
        <v>8.6199999999999999E-2</v>
      </c>
      <c r="Q102" s="25">
        <v>0.10929999999999999</v>
      </c>
      <c r="R102" s="26">
        <v>101163</v>
      </c>
      <c r="S102" s="26">
        <v>947333000</v>
      </c>
      <c r="T102">
        <v>0</v>
      </c>
      <c r="U102" s="25">
        <v>0.10879999999999999</v>
      </c>
    </row>
    <row r="103" spans="1:21" x14ac:dyDescent="0.25">
      <c r="A103" t="s">
        <v>4</v>
      </c>
      <c r="B103">
        <v>27.75</v>
      </c>
      <c r="C103">
        <v>5.52</v>
      </c>
      <c r="D103">
        <v>0.6</v>
      </c>
      <c r="E103">
        <v>0.77600000000000002</v>
      </c>
      <c r="F103" s="25">
        <v>0.1163</v>
      </c>
      <c r="G103">
        <v>0.43</v>
      </c>
      <c r="H103">
        <v>1.59</v>
      </c>
      <c r="I103">
        <v>6.61</v>
      </c>
      <c r="J103">
        <v>2.66</v>
      </c>
      <c r="K103">
        <v>4.2300000000000004</v>
      </c>
      <c r="L103">
        <v>3.21</v>
      </c>
      <c r="M103" s="25">
        <v>0.1174</v>
      </c>
      <c r="N103" s="25">
        <v>0.14069999999999999</v>
      </c>
      <c r="O103">
        <v>2.52</v>
      </c>
      <c r="P103" s="25">
        <v>8.6199999999999999E-2</v>
      </c>
      <c r="Q103" s="25">
        <v>0.10929999999999999</v>
      </c>
      <c r="R103" s="26">
        <v>317299</v>
      </c>
      <c r="S103" s="26">
        <v>947333000</v>
      </c>
      <c r="T103">
        <v>0</v>
      </c>
      <c r="U103" s="25">
        <v>0.10879999999999999</v>
      </c>
    </row>
    <row r="104" spans="1:21" x14ac:dyDescent="0.25">
      <c r="A104" t="s">
        <v>362</v>
      </c>
      <c r="B104">
        <v>95.99</v>
      </c>
      <c r="C104">
        <v>5.03</v>
      </c>
      <c r="D104">
        <v>0.96</v>
      </c>
      <c r="E104">
        <v>0.33500000000000002</v>
      </c>
      <c r="F104" s="25">
        <v>6.8400000000000002E-2</v>
      </c>
      <c r="G104">
        <v>0.27600000000000002</v>
      </c>
      <c r="H104">
        <v>3.96</v>
      </c>
      <c r="I104">
        <v>3.28</v>
      </c>
      <c r="J104">
        <v>-0.7</v>
      </c>
      <c r="K104">
        <v>6.35</v>
      </c>
      <c r="L104" s="26">
        <v>4.83</v>
      </c>
      <c r="M104" s="25">
        <v>0.1022</v>
      </c>
      <c r="N104" s="25">
        <v>6.6699999999999995E-2</v>
      </c>
      <c r="O104">
        <v>1.28</v>
      </c>
      <c r="P104" s="25">
        <v>9.6699999999999994E-2</v>
      </c>
      <c r="Q104" s="25">
        <v>0.19059999999999999</v>
      </c>
      <c r="R104" s="26">
        <v>6520.93</v>
      </c>
      <c r="S104" s="26">
        <v>3863830000</v>
      </c>
      <c r="T104">
        <v>1.0900000000000001</v>
      </c>
      <c r="U104" s="25">
        <v>2.5100000000000001E-2</v>
      </c>
    </row>
    <row r="105" spans="1:21" x14ac:dyDescent="0.25">
      <c r="A105" t="s">
        <v>363</v>
      </c>
      <c r="B105">
        <v>104.82</v>
      </c>
      <c r="C105">
        <v>5.49</v>
      </c>
      <c r="D105">
        <v>1.05</v>
      </c>
      <c r="E105">
        <v>0.36599999999999999</v>
      </c>
      <c r="F105" s="25">
        <v>6.8900000000000003E-2</v>
      </c>
      <c r="G105">
        <v>0.30099999999999999</v>
      </c>
      <c r="H105">
        <v>4.32</v>
      </c>
      <c r="I105">
        <v>3.59</v>
      </c>
      <c r="J105">
        <v>-0.76</v>
      </c>
      <c r="K105">
        <v>6.66</v>
      </c>
      <c r="L105">
        <v>5.0599999999999996</v>
      </c>
      <c r="M105" s="25">
        <v>0.1022</v>
      </c>
      <c r="N105" s="25">
        <v>6.6699999999999995E-2</v>
      </c>
      <c r="O105">
        <v>1.28</v>
      </c>
      <c r="P105" s="25">
        <v>9.6699999999999994E-2</v>
      </c>
      <c r="Q105" s="25">
        <v>0.19059999999999999</v>
      </c>
      <c r="R105" s="26">
        <v>377119</v>
      </c>
      <c r="S105" s="26">
        <v>3863830000</v>
      </c>
      <c r="T105">
        <v>1.0900000000000001</v>
      </c>
      <c r="U105" s="25">
        <v>2.5100000000000001E-2</v>
      </c>
    </row>
    <row r="106" spans="1:21" x14ac:dyDescent="0.25">
      <c r="A106" t="s">
        <v>364</v>
      </c>
      <c r="B106">
        <v>14.98</v>
      </c>
      <c r="C106">
        <v>6.12</v>
      </c>
      <c r="D106">
        <v>1.54</v>
      </c>
      <c r="E106">
        <v>1.056</v>
      </c>
      <c r="F106" s="25">
        <v>8.6999999999999994E-2</v>
      </c>
      <c r="G106">
        <v>0.67100000000000004</v>
      </c>
      <c r="H106">
        <v>49.38</v>
      </c>
      <c r="I106">
        <v>6.14</v>
      </c>
      <c r="J106">
        <v>-2.09</v>
      </c>
      <c r="K106">
        <v>7.65</v>
      </c>
      <c r="L106">
        <v>6.37</v>
      </c>
      <c r="M106" s="25">
        <v>0.17180000000000001</v>
      </c>
      <c r="N106" s="25">
        <v>0.17249999999999999</v>
      </c>
      <c r="O106">
        <v>1.06</v>
      </c>
      <c r="P106" s="25">
        <v>0.1241</v>
      </c>
      <c r="Q106" s="25">
        <v>0.25090000000000001</v>
      </c>
      <c r="R106" s="26">
        <v>5551200</v>
      </c>
      <c r="S106" s="26">
        <v>27914500000</v>
      </c>
      <c r="T106">
        <v>0.55000000000000004</v>
      </c>
      <c r="U106" s="25">
        <v>9.9699999999999997E-2</v>
      </c>
    </row>
    <row r="107" spans="1:21" x14ac:dyDescent="0.25">
      <c r="A107" t="s">
        <v>22</v>
      </c>
      <c r="B107">
        <v>10.58</v>
      </c>
      <c r="C107">
        <v>4.32</v>
      </c>
      <c r="D107">
        <v>1.08</v>
      </c>
      <c r="E107">
        <v>0.746</v>
      </c>
      <c r="F107" s="25">
        <v>0.1232</v>
      </c>
      <c r="G107">
        <v>0.47399999999999998</v>
      </c>
      <c r="H107">
        <v>34.869999999999997</v>
      </c>
      <c r="I107">
        <v>4.34</v>
      </c>
      <c r="J107">
        <v>-1.48</v>
      </c>
      <c r="K107">
        <v>5.85</v>
      </c>
      <c r="L107">
        <v>4.87</v>
      </c>
      <c r="M107" s="25">
        <v>0.17180000000000001</v>
      </c>
      <c r="N107" s="25">
        <v>0.17249999999999999</v>
      </c>
      <c r="O107">
        <v>1.06</v>
      </c>
      <c r="P107" s="25">
        <v>0.1241</v>
      </c>
      <c r="Q107" s="25">
        <v>0.25090000000000001</v>
      </c>
      <c r="R107" s="26">
        <v>116043000</v>
      </c>
      <c r="S107" s="26">
        <v>27914500000</v>
      </c>
      <c r="T107">
        <v>0.55000000000000004</v>
      </c>
      <c r="U107" s="25">
        <v>9.9699999999999997E-2</v>
      </c>
    </row>
    <row r="108" spans="1:21" x14ac:dyDescent="0.25">
      <c r="A108" t="s">
        <v>365</v>
      </c>
      <c r="B108">
        <v>5.37</v>
      </c>
      <c r="C108">
        <v>8.15</v>
      </c>
      <c r="D108">
        <v>2.88</v>
      </c>
      <c r="E108">
        <v>1.7430000000000001</v>
      </c>
      <c r="F108" s="25">
        <v>0.15459999999999999</v>
      </c>
      <c r="G108">
        <v>0.83399999999999996</v>
      </c>
      <c r="H108">
        <v>3.19</v>
      </c>
      <c r="I108">
        <v>5.86</v>
      </c>
      <c r="J108">
        <v>-3.5</v>
      </c>
      <c r="K108">
        <v>4.97</v>
      </c>
      <c r="L108">
        <v>4.03</v>
      </c>
      <c r="M108" s="25">
        <v>0.29749999999999999</v>
      </c>
      <c r="N108" s="25">
        <v>0.21379999999999999</v>
      </c>
      <c r="O108">
        <v>2.2400000000000002</v>
      </c>
      <c r="P108" s="25">
        <v>0.26140000000000002</v>
      </c>
      <c r="Q108" s="25">
        <v>0.35299999999999998</v>
      </c>
      <c r="R108" s="26">
        <v>31446200</v>
      </c>
      <c r="S108" s="26">
        <v>10233800000</v>
      </c>
      <c r="T108">
        <v>0.96</v>
      </c>
      <c r="U108" s="25">
        <v>-4.8999999999999998E-3</v>
      </c>
    </row>
    <row r="109" spans="1:21" x14ac:dyDescent="0.25">
      <c r="A109" t="s">
        <v>366</v>
      </c>
      <c r="B109">
        <v>26</v>
      </c>
      <c r="C109">
        <v>6.03</v>
      </c>
      <c r="D109">
        <v>0.43</v>
      </c>
      <c r="E109">
        <v>0.26600000000000001</v>
      </c>
      <c r="F109" s="25">
        <v>4.6899999999999997E-2</v>
      </c>
      <c r="G109">
        <v>0.15</v>
      </c>
      <c r="H109">
        <v>-0.65</v>
      </c>
      <c r="I109">
        <v>1.85</v>
      </c>
      <c r="J109">
        <v>-0.34</v>
      </c>
      <c r="K109">
        <v>6.34</v>
      </c>
      <c r="L109">
        <v>4.08</v>
      </c>
      <c r="M109" s="25">
        <v>0.1439</v>
      </c>
      <c r="N109" s="25">
        <v>4.3999999999999997E-2</v>
      </c>
      <c r="O109">
        <v>0.48</v>
      </c>
      <c r="P109" s="25">
        <v>9.0300000000000005E-2</v>
      </c>
      <c r="Q109" s="25">
        <v>7.1900000000000006E-2</v>
      </c>
      <c r="R109" s="26">
        <v>3893.95</v>
      </c>
      <c r="S109" s="26">
        <v>5174440000</v>
      </c>
      <c r="T109">
        <v>1.1100000000000001</v>
      </c>
      <c r="U109" s="25">
        <v>6.7100000000000007E-2</v>
      </c>
    </row>
    <row r="110" spans="1:21" x14ac:dyDescent="0.25">
      <c r="A110" t="s">
        <v>194</v>
      </c>
      <c r="B110">
        <v>27.65</v>
      </c>
      <c r="C110">
        <v>6.42</v>
      </c>
      <c r="D110">
        <v>0.46</v>
      </c>
      <c r="E110">
        <v>0.28299999999999997</v>
      </c>
      <c r="F110" s="25">
        <v>4.41E-2</v>
      </c>
      <c r="G110">
        <v>0.16</v>
      </c>
      <c r="H110">
        <v>-0.69</v>
      </c>
      <c r="I110">
        <v>1.96</v>
      </c>
      <c r="J110">
        <v>-0.36</v>
      </c>
      <c r="K110">
        <v>6.45</v>
      </c>
      <c r="L110">
        <v>4.1500000000000004</v>
      </c>
      <c r="M110" s="25">
        <v>0.1439</v>
      </c>
      <c r="N110" s="25">
        <v>4.3999999999999997E-2</v>
      </c>
      <c r="O110">
        <v>0.48</v>
      </c>
      <c r="P110" s="25">
        <v>9.0300000000000005E-2</v>
      </c>
      <c r="Q110" s="25">
        <v>7.1900000000000006E-2</v>
      </c>
      <c r="R110" s="26">
        <v>187481</v>
      </c>
      <c r="S110" s="26">
        <v>5174440000</v>
      </c>
      <c r="T110">
        <v>1.1100000000000001</v>
      </c>
      <c r="U110" s="25">
        <v>6.7100000000000007E-2</v>
      </c>
    </row>
    <row r="111" spans="1:21" x14ac:dyDescent="0.25">
      <c r="A111" t="s">
        <v>218</v>
      </c>
      <c r="B111">
        <v>2.64</v>
      </c>
      <c r="C111">
        <v>5.04</v>
      </c>
      <c r="D111">
        <v>0.4</v>
      </c>
      <c r="E111">
        <v>0.76200000000000001</v>
      </c>
      <c r="F111" s="25">
        <v>2.53E-2</v>
      </c>
      <c r="G111">
        <v>0.20499999999999999</v>
      </c>
      <c r="H111">
        <v>3.8</v>
      </c>
      <c r="I111">
        <v>2.39</v>
      </c>
      <c r="J111">
        <v>-0.84</v>
      </c>
      <c r="K111">
        <v>5.0199999999999996</v>
      </c>
      <c r="L111">
        <v>3.76</v>
      </c>
      <c r="M111" s="25">
        <v>0.31909999999999999</v>
      </c>
      <c r="N111" s="25">
        <v>0.1676</v>
      </c>
      <c r="O111">
        <v>1.38</v>
      </c>
      <c r="P111" s="25">
        <v>9.5500000000000002E-2</v>
      </c>
      <c r="Q111" s="25">
        <v>7.9000000000000001E-2</v>
      </c>
      <c r="R111" s="26">
        <v>95544700</v>
      </c>
      <c r="S111" s="26">
        <v>12444500000</v>
      </c>
      <c r="T111">
        <v>0.55000000000000004</v>
      </c>
      <c r="U111" s="25">
        <v>8.7900000000000006E-2</v>
      </c>
    </row>
    <row r="112" spans="1:21" x14ac:dyDescent="0.25">
      <c r="A112" t="s">
        <v>103</v>
      </c>
      <c r="B112">
        <v>38.5</v>
      </c>
      <c r="C112">
        <v>8.32</v>
      </c>
      <c r="D112">
        <v>1.99</v>
      </c>
      <c r="E112">
        <v>1.0289999999999999</v>
      </c>
      <c r="F112" s="25">
        <v>7.2599999999999998E-2</v>
      </c>
      <c r="G112">
        <v>0.56399999999999995</v>
      </c>
      <c r="H112">
        <v>-178.13</v>
      </c>
      <c r="I112">
        <v>4.01</v>
      </c>
      <c r="J112">
        <v>-1.17</v>
      </c>
      <c r="K112">
        <v>6.2</v>
      </c>
      <c r="L112">
        <v>5.25</v>
      </c>
      <c r="M112" s="25">
        <v>0.25650000000000001</v>
      </c>
      <c r="N112" s="25">
        <v>0.13039999999999999</v>
      </c>
      <c r="O112">
        <v>0.99</v>
      </c>
      <c r="P112" s="25">
        <v>0.15609999999999999</v>
      </c>
      <c r="Q112" s="25">
        <v>0.2397</v>
      </c>
      <c r="R112" s="26">
        <v>46633100</v>
      </c>
      <c r="S112" s="26">
        <v>22249300000</v>
      </c>
      <c r="T112">
        <v>1.27</v>
      </c>
      <c r="U112" s="25">
        <v>6.1699999999999998E-2</v>
      </c>
    </row>
    <row r="113" spans="1:21" x14ac:dyDescent="0.25">
      <c r="A113" t="s">
        <v>93</v>
      </c>
      <c r="B113">
        <v>11.1</v>
      </c>
      <c r="C113">
        <v>11.25</v>
      </c>
      <c r="D113">
        <v>1.26</v>
      </c>
      <c r="E113">
        <v>1.4319999999999999</v>
      </c>
      <c r="F113" s="25">
        <v>6.6799999999999998E-2</v>
      </c>
      <c r="G113">
        <v>0.55000000000000004</v>
      </c>
      <c r="H113">
        <v>6.29</v>
      </c>
      <c r="I113">
        <v>7.97</v>
      </c>
      <c r="J113">
        <v>-1.85</v>
      </c>
      <c r="K113">
        <v>11.04</v>
      </c>
      <c r="L113">
        <v>8.17</v>
      </c>
      <c r="M113" s="25">
        <v>0.17960000000000001</v>
      </c>
      <c r="N113" s="25">
        <v>0.12670000000000001</v>
      </c>
      <c r="O113">
        <v>1.48</v>
      </c>
      <c r="P113" s="25">
        <v>8.0100000000000005E-2</v>
      </c>
      <c r="Q113" s="25">
        <v>0.112</v>
      </c>
      <c r="R113" s="26">
        <v>57462600</v>
      </c>
      <c r="S113" s="26">
        <v>26272200000</v>
      </c>
      <c r="T113">
        <v>0.72</v>
      </c>
      <c r="U113" s="25">
        <v>2.06E-2</v>
      </c>
    </row>
    <row r="114" spans="1:21" x14ac:dyDescent="0.25">
      <c r="A114" t="s">
        <v>367</v>
      </c>
      <c r="B114">
        <v>12.01</v>
      </c>
      <c r="C114">
        <v>12.17</v>
      </c>
      <c r="D114">
        <v>1.36</v>
      </c>
      <c r="E114">
        <v>1.5489999999999999</v>
      </c>
      <c r="F114" s="25">
        <v>6.7900000000000002E-2</v>
      </c>
      <c r="G114">
        <v>0.59499999999999997</v>
      </c>
      <c r="H114">
        <v>6.8</v>
      </c>
      <c r="I114">
        <v>8.6300000000000008</v>
      </c>
      <c r="J114">
        <v>-2.0099999999999998</v>
      </c>
      <c r="K114">
        <v>11.69</v>
      </c>
      <c r="L114">
        <v>8.66</v>
      </c>
      <c r="M114" s="25">
        <v>0.17960000000000001</v>
      </c>
      <c r="N114" s="25">
        <v>0.12670000000000001</v>
      </c>
      <c r="O114">
        <v>1.48</v>
      </c>
      <c r="P114" s="25">
        <v>8.0100000000000005E-2</v>
      </c>
      <c r="Q114" s="25">
        <v>0.112</v>
      </c>
      <c r="R114" s="26">
        <v>4526.67</v>
      </c>
      <c r="S114" s="26">
        <v>26272200000</v>
      </c>
      <c r="T114">
        <v>0.72</v>
      </c>
      <c r="U114" s="25">
        <v>2.06E-2</v>
      </c>
    </row>
    <row r="115" spans="1:21" x14ac:dyDescent="0.25">
      <c r="A115" t="s">
        <v>19</v>
      </c>
      <c r="B115">
        <v>11.88</v>
      </c>
      <c r="C115">
        <v>12.04</v>
      </c>
      <c r="D115">
        <v>1.35</v>
      </c>
      <c r="E115">
        <v>1.532</v>
      </c>
      <c r="F115" s="25">
        <v>6.8699999999999997E-2</v>
      </c>
      <c r="G115">
        <v>0.58799999999999997</v>
      </c>
      <c r="H115">
        <v>6.73</v>
      </c>
      <c r="I115">
        <v>8.5299999999999994</v>
      </c>
      <c r="J115">
        <v>-1.98</v>
      </c>
      <c r="K115">
        <v>11.6</v>
      </c>
      <c r="L115">
        <v>8.59</v>
      </c>
      <c r="M115" s="25">
        <v>0.17960000000000001</v>
      </c>
      <c r="N115" s="25">
        <v>0.12670000000000001</v>
      </c>
      <c r="O115">
        <v>1.48</v>
      </c>
      <c r="P115" s="25">
        <v>8.0100000000000005E-2</v>
      </c>
      <c r="Q115" s="25">
        <v>0.112</v>
      </c>
      <c r="R115" s="26">
        <v>141016000</v>
      </c>
      <c r="S115" s="26">
        <v>26272200000</v>
      </c>
      <c r="T115">
        <v>0.72</v>
      </c>
      <c r="U115" s="25">
        <v>2.06E-2</v>
      </c>
    </row>
    <row r="116" spans="1:21" x14ac:dyDescent="0.25">
      <c r="A116" t="s">
        <v>34</v>
      </c>
      <c r="B116">
        <v>8.48</v>
      </c>
      <c r="C116">
        <v>8.92</v>
      </c>
      <c r="D116">
        <v>0.84</v>
      </c>
      <c r="E116">
        <v>0.15</v>
      </c>
      <c r="F116" s="25">
        <v>1.12E-2</v>
      </c>
      <c r="G116">
        <v>0.19</v>
      </c>
      <c r="H116">
        <v>-25.37</v>
      </c>
      <c r="I116">
        <v>3.73</v>
      </c>
      <c r="J116">
        <v>-0.68</v>
      </c>
      <c r="K116">
        <v>7.24</v>
      </c>
      <c r="L116">
        <v>5.24</v>
      </c>
      <c r="M116" s="25">
        <v>4.0300000000000002E-2</v>
      </c>
      <c r="N116" s="25">
        <v>1.8599999999999998E-2</v>
      </c>
      <c r="O116">
        <v>0.98</v>
      </c>
      <c r="P116" s="25">
        <v>6.5799999999999997E-2</v>
      </c>
      <c r="Q116" s="25">
        <v>9.3600000000000003E-2</v>
      </c>
      <c r="R116" s="26">
        <v>4743860</v>
      </c>
      <c r="S116" s="26">
        <v>21416000000</v>
      </c>
      <c r="T116">
        <v>1.1100000000000001</v>
      </c>
      <c r="U116" s="25">
        <v>0.125</v>
      </c>
    </row>
    <row r="117" spans="1:21" x14ac:dyDescent="0.25">
      <c r="A117" t="s">
        <v>368</v>
      </c>
      <c r="B117">
        <v>15.61</v>
      </c>
      <c r="C117">
        <v>-3.85</v>
      </c>
      <c r="D117">
        <v>0.77</v>
      </c>
      <c r="E117">
        <v>0.63600000000000001</v>
      </c>
      <c r="F117" s="25">
        <v>0</v>
      </c>
      <c r="G117">
        <v>0.52</v>
      </c>
      <c r="H117" s="26">
        <v>1.23</v>
      </c>
      <c r="I117">
        <v>-12.22</v>
      </c>
      <c r="J117">
        <v>1.75</v>
      </c>
      <c r="K117">
        <v>-8.7100000000000009</v>
      </c>
      <c r="L117">
        <v>-47</v>
      </c>
      <c r="M117" s="25">
        <v>-5.21E-2</v>
      </c>
      <c r="N117" s="25">
        <v>-0.1651</v>
      </c>
      <c r="O117">
        <v>3.13</v>
      </c>
      <c r="P117" s="25">
        <v>-5.8700000000000002E-2</v>
      </c>
      <c r="Q117" s="25">
        <v>-0.1993</v>
      </c>
      <c r="R117" s="26">
        <v>1299.19</v>
      </c>
      <c r="S117" s="26">
        <v>589725000</v>
      </c>
      <c r="T117">
        <v>0.02</v>
      </c>
      <c r="U117" s="25">
        <v>-0.08</v>
      </c>
    </row>
    <row r="118" spans="1:21" x14ac:dyDescent="0.25">
      <c r="A118" t="s">
        <v>211</v>
      </c>
      <c r="B118">
        <v>16.22</v>
      </c>
      <c r="C118">
        <v>-4.01</v>
      </c>
      <c r="D118">
        <v>0.8</v>
      </c>
      <c r="E118">
        <v>0.66100000000000003</v>
      </c>
      <c r="F118" s="25">
        <v>0</v>
      </c>
      <c r="G118">
        <v>0.54</v>
      </c>
      <c r="H118" s="26">
        <v>1.28</v>
      </c>
      <c r="I118">
        <v>-12.7</v>
      </c>
      <c r="J118">
        <v>1.82</v>
      </c>
      <c r="K118">
        <v>-9.19</v>
      </c>
      <c r="L118">
        <v>-49.58</v>
      </c>
      <c r="M118" s="25">
        <v>-5.21E-2</v>
      </c>
      <c r="N118" s="25">
        <v>-0.1651</v>
      </c>
      <c r="O118">
        <v>3.13</v>
      </c>
      <c r="P118" s="25">
        <v>-5.8700000000000002E-2</v>
      </c>
      <c r="Q118" s="25">
        <v>-0.1993</v>
      </c>
      <c r="R118" s="26">
        <v>49535.199999999997</v>
      </c>
      <c r="S118" s="26">
        <v>589725000</v>
      </c>
      <c r="T118">
        <v>0.02</v>
      </c>
      <c r="U118" s="25">
        <v>-0.08</v>
      </c>
    </row>
    <row r="119" spans="1:21" x14ac:dyDescent="0.25">
      <c r="A119" t="s">
        <v>369</v>
      </c>
      <c r="B119">
        <v>18.989999999999998</v>
      </c>
      <c r="C119">
        <v>-4.6900000000000004</v>
      </c>
      <c r="D119">
        <v>0.93</v>
      </c>
      <c r="E119">
        <v>0.77400000000000002</v>
      </c>
      <c r="F119" s="25">
        <v>0</v>
      </c>
      <c r="G119">
        <v>0.63200000000000001</v>
      </c>
      <c r="H119" s="26">
        <v>1.5</v>
      </c>
      <c r="I119">
        <v>-14.86</v>
      </c>
      <c r="J119">
        <v>2.13</v>
      </c>
      <c r="K119">
        <v>-11.36</v>
      </c>
      <c r="L119">
        <v>-61.27</v>
      </c>
      <c r="M119" s="25">
        <v>-5.21E-2</v>
      </c>
      <c r="N119" s="25">
        <v>-0.1651</v>
      </c>
      <c r="O119">
        <v>3.13</v>
      </c>
      <c r="P119" s="25">
        <v>-5.8700000000000002E-2</v>
      </c>
      <c r="Q119" s="25">
        <v>-0.1993</v>
      </c>
      <c r="R119" s="26">
        <v>2701.79</v>
      </c>
      <c r="S119" s="26">
        <v>589725000</v>
      </c>
      <c r="T119">
        <v>0.02</v>
      </c>
      <c r="U119" s="25">
        <v>-0.08</v>
      </c>
    </row>
    <row r="120" spans="1:21" x14ac:dyDescent="0.25">
      <c r="A120" t="s">
        <v>246</v>
      </c>
      <c r="B120">
        <v>5.87</v>
      </c>
      <c r="C120">
        <v>-0.99</v>
      </c>
      <c r="D120">
        <v>1.39</v>
      </c>
      <c r="E120">
        <v>0.25</v>
      </c>
      <c r="F120" s="25">
        <v>0</v>
      </c>
      <c r="G120">
        <v>8.5999999999999993E-2</v>
      </c>
      <c r="H120">
        <v>0.73</v>
      </c>
      <c r="I120">
        <v>1.19</v>
      </c>
      <c r="J120">
        <v>-0.17</v>
      </c>
      <c r="K120">
        <v>6.86</v>
      </c>
      <c r="L120">
        <v>3.88</v>
      </c>
      <c r="M120" s="25">
        <v>0.21060000000000001</v>
      </c>
      <c r="N120" s="25">
        <v>-0.23669999999999999</v>
      </c>
      <c r="O120">
        <v>2.13</v>
      </c>
      <c r="P120" s="25">
        <v>8.48E-2</v>
      </c>
      <c r="Q120" s="25">
        <v>-1.3964000000000001</v>
      </c>
      <c r="R120" s="26">
        <v>126307000</v>
      </c>
      <c r="S120" s="26">
        <v>7891660000</v>
      </c>
      <c r="T120">
        <v>8.5</v>
      </c>
      <c r="U120" s="25">
        <v>0.28720000000000001</v>
      </c>
    </row>
    <row r="121" spans="1:21" x14ac:dyDescent="0.25">
      <c r="A121" t="s">
        <v>157</v>
      </c>
      <c r="B121">
        <v>4.92</v>
      </c>
      <c r="C121">
        <v>9.34</v>
      </c>
      <c r="D121">
        <v>1.1499999999999999</v>
      </c>
      <c r="E121">
        <v>0.68200000000000005</v>
      </c>
      <c r="F121" s="25">
        <v>7.6399999999999996E-2</v>
      </c>
      <c r="G121">
        <v>0.373</v>
      </c>
      <c r="H121">
        <v>6.34</v>
      </c>
      <c r="I121">
        <v>3.62</v>
      </c>
      <c r="J121">
        <v>-0.83</v>
      </c>
      <c r="K121">
        <v>4.6399999999999997</v>
      </c>
      <c r="L121">
        <v>3.06</v>
      </c>
      <c r="M121" s="25">
        <v>0.18859999999999999</v>
      </c>
      <c r="N121" s="25">
        <v>7.2999999999999995E-2</v>
      </c>
      <c r="O121">
        <v>1.35</v>
      </c>
      <c r="P121" s="25">
        <v>0.12790000000000001</v>
      </c>
      <c r="Q121" s="25">
        <v>0.1234</v>
      </c>
      <c r="R121" s="26">
        <v>1920210</v>
      </c>
      <c r="S121" s="26">
        <v>1557200000</v>
      </c>
      <c r="T121">
        <v>0.85</v>
      </c>
      <c r="U121" s="25">
        <v>0.1042</v>
      </c>
    </row>
    <row r="122" spans="1:21" x14ac:dyDescent="0.25">
      <c r="A122" t="s">
        <v>128</v>
      </c>
      <c r="B122">
        <v>25.82</v>
      </c>
      <c r="C122">
        <v>7.04</v>
      </c>
      <c r="D122">
        <v>1.18</v>
      </c>
      <c r="E122">
        <v>1.216</v>
      </c>
      <c r="F122" s="25">
        <v>6.4600000000000005E-2</v>
      </c>
      <c r="G122">
        <v>0.61599999999999999</v>
      </c>
      <c r="H122">
        <v>22.26</v>
      </c>
      <c r="I122">
        <v>4.3600000000000003</v>
      </c>
      <c r="J122">
        <v>-1.88</v>
      </c>
      <c r="K122">
        <v>6.7</v>
      </c>
      <c r="L122">
        <v>4.9000000000000004</v>
      </c>
      <c r="M122" s="25">
        <v>0.27900000000000003</v>
      </c>
      <c r="N122" s="25">
        <v>0.1726</v>
      </c>
      <c r="O122">
        <v>1.22</v>
      </c>
      <c r="P122" s="25">
        <v>0.1515</v>
      </c>
      <c r="Q122" s="25">
        <v>0.16800000000000001</v>
      </c>
      <c r="R122" s="26">
        <v>65540200</v>
      </c>
      <c r="S122" s="26">
        <v>8296170000</v>
      </c>
      <c r="T122">
        <v>0.72</v>
      </c>
      <c r="U122" s="25">
        <v>0.1081</v>
      </c>
    </row>
    <row r="123" spans="1:21" x14ac:dyDescent="0.25">
      <c r="A123" t="s">
        <v>238</v>
      </c>
      <c r="B123">
        <v>8.77</v>
      </c>
      <c r="C123">
        <v>-4.4400000000000004</v>
      </c>
      <c r="D123">
        <v>0.89</v>
      </c>
      <c r="E123">
        <v>0.25900000000000001</v>
      </c>
      <c r="F123" s="25">
        <v>6.2799999999999995E-2</v>
      </c>
      <c r="G123">
        <v>0.11700000000000001</v>
      </c>
      <c r="H123">
        <v>0.84</v>
      </c>
      <c r="I123">
        <v>1.99</v>
      </c>
      <c r="J123">
        <v>-0.24</v>
      </c>
      <c r="K123">
        <v>7.54</v>
      </c>
      <c r="L123">
        <v>4.53</v>
      </c>
      <c r="M123" s="25">
        <v>0.1305</v>
      </c>
      <c r="N123" s="25">
        <v>-3.9899999999999998E-2</v>
      </c>
      <c r="O123">
        <v>1.64</v>
      </c>
      <c r="P123" s="25">
        <v>8.1000000000000003E-2</v>
      </c>
      <c r="Q123" s="25">
        <v>-0.20030000000000001</v>
      </c>
      <c r="R123" s="26">
        <v>75278500</v>
      </c>
      <c r="S123" s="26">
        <v>13083900000</v>
      </c>
      <c r="T123">
        <v>4.07</v>
      </c>
      <c r="U123" s="25">
        <v>3.2500000000000001E-2</v>
      </c>
    </row>
    <row r="124" spans="1:21" x14ac:dyDescent="0.25">
      <c r="A124" t="s">
        <v>31</v>
      </c>
      <c r="B124">
        <v>17.399999999999999</v>
      </c>
      <c r="C124">
        <v>7.96</v>
      </c>
      <c r="D124">
        <v>1.47</v>
      </c>
      <c r="E124">
        <v>1.256</v>
      </c>
      <c r="F124" s="25">
        <v>6.4799999999999996E-2</v>
      </c>
      <c r="G124">
        <v>1.026</v>
      </c>
      <c r="H124">
        <v>16.600000000000001</v>
      </c>
      <c r="I124">
        <v>5.86</v>
      </c>
      <c r="J124">
        <v>-117.78</v>
      </c>
      <c r="K124">
        <v>5.74</v>
      </c>
      <c r="L124">
        <v>3.83</v>
      </c>
      <c r="M124" s="25">
        <v>0.2142</v>
      </c>
      <c r="N124" s="25">
        <v>0.1578</v>
      </c>
      <c r="O124">
        <v>1.27</v>
      </c>
      <c r="P124" s="25">
        <v>0.21060000000000001</v>
      </c>
      <c r="Q124" s="25">
        <v>0.1847</v>
      </c>
      <c r="R124" s="26">
        <v>538120</v>
      </c>
      <c r="S124" s="26">
        <v>494617000</v>
      </c>
      <c r="T124">
        <v>0.13</v>
      </c>
      <c r="U124" s="25">
        <v>4.7100000000000003E-2</v>
      </c>
    </row>
    <row r="125" spans="1:21" x14ac:dyDescent="0.25">
      <c r="A125" t="s">
        <v>498</v>
      </c>
      <c r="B125">
        <v>1.07</v>
      </c>
      <c r="C125">
        <v>-0.18</v>
      </c>
      <c r="D125">
        <v>0.27</v>
      </c>
      <c r="E125">
        <v>7.2999999999999995E-2</v>
      </c>
      <c r="F125" s="25">
        <v>0</v>
      </c>
      <c r="G125">
        <v>2.5999999999999999E-2</v>
      </c>
      <c r="H125">
        <v>-0.1</v>
      </c>
      <c r="I125">
        <v>-0.53</v>
      </c>
      <c r="J125">
        <v>-0.03</v>
      </c>
      <c r="K125">
        <v>-3.44</v>
      </c>
      <c r="L125">
        <v>-17.52</v>
      </c>
      <c r="M125" s="25">
        <v>-0.1366</v>
      </c>
      <c r="N125" s="25">
        <v>-0.41139999999999999</v>
      </c>
      <c r="O125">
        <v>0.38</v>
      </c>
      <c r="P125" s="25">
        <v>-5.28E-2</v>
      </c>
      <c r="Q125" s="25">
        <v>-1.5024</v>
      </c>
      <c r="R125" s="26">
        <v>13526.8</v>
      </c>
      <c r="S125" s="26">
        <v>107351000</v>
      </c>
      <c r="T125">
        <v>2.09</v>
      </c>
      <c r="U125" s="25">
        <v>-0.25879999999999997</v>
      </c>
    </row>
    <row r="126" spans="1:21" x14ac:dyDescent="0.25">
      <c r="A126" t="s">
        <v>370</v>
      </c>
      <c r="B126">
        <v>34.18</v>
      </c>
      <c r="C126">
        <v>1.77</v>
      </c>
      <c r="D126">
        <v>11.43</v>
      </c>
      <c r="E126">
        <v>0.29799999999999999</v>
      </c>
      <c r="F126" s="25">
        <v>0</v>
      </c>
      <c r="G126">
        <v>0.3</v>
      </c>
      <c r="H126">
        <v>0.98</v>
      </c>
      <c r="I126">
        <v>2.4900000000000002</v>
      </c>
      <c r="J126">
        <v>-0.94</v>
      </c>
      <c r="K126">
        <v>6.86</v>
      </c>
      <c r="L126">
        <v>5.57</v>
      </c>
      <c r="M126" s="25">
        <v>0.11940000000000001</v>
      </c>
      <c r="N126" s="25">
        <v>0.1686</v>
      </c>
      <c r="O126">
        <v>1.87</v>
      </c>
      <c r="P126" s="25">
        <v>0.1578</v>
      </c>
      <c r="Q126" s="25">
        <v>6.4744000000000002</v>
      </c>
      <c r="R126" s="26">
        <v>256.12</v>
      </c>
      <c r="S126" s="26">
        <v>18555000</v>
      </c>
      <c r="T126">
        <v>23.99</v>
      </c>
      <c r="U126" s="25">
        <v>0.13420000000000001</v>
      </c>
    </row>
    <row r="127" spans="1:21" x14ac:dyDescent="0.25">
      <c r="A127" t="s">
        <v>371</v>
      </c>
      <c r="B127">
        <v>34.99</v>
      </c>
      <c r="C127">
        <v>1.81</v>
      </c>
      <c r="D127">
        <v>11.7</v>
      </c>
      <c r="E127">
        <v>0.30499999999999999</v>
      </c>
      <c r="F127" s="25">
        <v>0</v>
      </c>
      <c r="G127">
        <v>0.307</v>
      </c>
      <c r="H127">
        <v>1.01</v>
      </c>
      <c r="I127">
        <v>2.5499999999999998</v>
      </c>
      <c r="J127">
        <v>-0.96</v>
      </c>
      <c r="K127">
        <v>6.92</v>
      </c>
      <c r="L127">
        <v>5.62</v>
      </c>
      <c r="M127" s="25">
        <v>0.11940000000000001</v>
      </c>
      <c r="N127" s="25">
        <v>0.1686</v>
      </c>
      <c r="O127">
        <v>1.87</v>
      </c>
      <c r="P127" s="25">
        <v>0.1578</v>
      </c>
      <c r="Q127" s="25">
        <v>6.4744000000000002</v>
      </c>
      <c r="R127" s="26">
        <v>8873.17</v>
      </c>
      <c r="S127" s="26">
        <v>18555000</v>
      </c>
      <c r="T127">
        <v>23.99</v>
      </c>
      <c r="U127" s="25">
        <v>0.13420000000000001</v>
      </c>
    </row>
    <row r="128" spans="1:21" x14ac:dyDescent="0.25">
      <c r="A128" t="s">
        <v>372</v>
      </c>
      <c r="B128">
        <v>2.87</v>
      </c>
      <c r="C128">
        <v>-0.16</v>
      </c>
      <c r="D128">
        <v>0.15</v>
      </c>
      <c r="E128">
        <v>0.20300000000000001</v>
      </c>
      <c r="F128" s="25">
        <v>0</v>
      </c>
      <c r="G128">
        <v>3.4000000000000002E-2</v>
      </c>
      <c r="H128">
        <v>-0.09</v>
      </c>
      <c r="I128">
        <v>-0.28999999999999998</v>
      </c>
      <c r="J128">
        <v>-0.05</v>
      </c>
      <c r="K128">
        <v>-3.38</v>
      </c>
      <c r="L128">
        <v>-3.99</v>
      </c>
      <c r="M128" s="25">
        <v>-0.69220000000000004</v>
      </c>
      <c r="N128" s="25">
        <v>-1.246</v>
      </c>
      <c r="O128">
        <v>0.3</v>
      </c>
      <c r="P128" s="25">
        <v>-0.13220000000000001</v>
      </c>
      <c r="Q128" s="25">
        <v>-0.93740000000000001</v>
      </c>
      <c r="R128" s="26">
        <v>1637.5</v>
      </c>
      <c r="S128" s="26">
        <v>130725000</v>
      </c>
      <c r="T128">
        <v>1.66</v>
      </c>
      <c r="U128" s="25">
        <v>-0.34389999999999998</v>
      </c>
    </row>
    <row r="129" spans="1:21" x14ac:dyDescent="0.25">
      <c r="A129" t="s">
        <v>373</v>
      </c>
      <c r="B129">
        <v>2.6</v>
      </c>
      <c r="C129">
        <v>-0.15</v>
      </c>
      <c r="D129">
        <v>0.14000000000000001</v>
      </c>
      <c r="E129">
        <v>0.184</v>
      </c>
      <c r="F129" s="25">
        <v>0</v>
      </c>
      <c r="G129">
        <v>3.1E-2</v>
      </c>
      <c r="H129">
        <v>-0.09</v>
      </c>
      <c r="I129">
        <v>-0.27</v>
      </c>
      <c r="J129">
        <v>-0.05</v>
      </c>
      <c r="K129">
        <v>-3.35</v>
      </c>
      <c r="L129">
        <v>-3.95</v>
      </c>
      <c r="M129" s="25">
        <v>-0.69220000000000004</v>
      </c>
      <c r="N129" s="25">
        <v>-1.246</v>
      </c>
      <c r="O129">
        <v>0.3</v>
      </c>
      <c r="P129" s="25">
        <v>-0.13220000000000001</v>
      </c>
      <c r="Q129" s="25">
        <v>-0.93740000000000001</v>
      </c>
      <c r="R129" s="26">
        <v>4764.6899999999996</v>
      </c>
      <c r="S129" s="26">
        <v>130725000</v>
      </c>
      <c r="T129">
        <v>1.66</v>
      </c>
      <c r="U129" s="25">
        <v>-0.34389999999999998</v>
      </c>
    </row>
    <row r="130" spans="1:21" x14ac:dyDescent="0.25">
      <c r="A130" t="s">
        <v>114</v>
      </c>
      <c r="B130">
        <v>29.18</v>
      </c>
      <c r="C130">
        <v>11.8</v>
      </c>
      <c r="D130">
        <v>7.51</v>
      </c>
      <c r="E130">
        <v>1.978</v>
      </c>
      <c r="F130" s="25">
        <v>4.1599999999999998E-2</v>
      </c>
      <c r="G130">
        <v>1.7490000000000001</v>
      </c>
      <c r="H130">
        <v>5.01</v>
      </c>
      <c r="I130">
        <v>8.39</v>
      </c>
      <c r="J130">
        <v>-18.48</v>
      </c>
      <c r="K130">
        <v>8.1300000000000008</v>
      </c>
      <c r="L130">
        <v>7.88</v>
      </c>
      <c r="M130" s="25">
        <v>0.2359</v>
      </c>
      <c r="N130" s="25">
        <v>0.18079999999999999</v>
      </c>
      <c r="O130">
        <v>2.2599999999999998</v>
      </c>
      <c r="P130" s="25">
        <v>0.33079999999999998</v>
      </c>
      <c r="Q130" s="25">
        <v>0.63680000000000003</v>
      </c>
      <c r="R130" s="26">
        <v>61055000</v>
      </c>
      <c r="S130" s="26">
        <v>1133950000</v>
      </c>
      <c r="T130">
        <v>1.1299999999999999</v>
      </c>
      <c r="U130" s="25">
        <v>0.34849999999999998</v>
      </c>
    </row>
    <row r="131" spans="1:21" x14ac:dyDescent="0.25">
      <c r="A131" t="s">
        <v>71</v>
      </c>
      <c r="B131">
        <v>2.4300000000000002</v>
      </c>
      <c r="C131">
        <v>-16.72</v>
      </c>
      <c r="D131">
        <v>2.46</v>
      </c>
      <c r="E131">
        <v>0.88500000000000001</v>
      </c>
      <c r="F131" s="25">
        <v>0</v>
      </c>
      <c r="G131">
        <v>0.34200000000000003</v>
      </c>
      <c r="H131">
        <v>-4.22</v>
      </c>
      <c r="I131">
        <v>11.12</v>
      </c>
      <c r="J131">
        <v>-1.21</v>
      </c>
      <c r="K131">
        <v>12.55</v>
      </c>
      <c r="L131">
        <v>4.25</v>
      </c>
      <c r="M131" s="25">
        <v>7.9600000000000004E-2</v>
      </c>
      <c r="N131" s="25">
        <v>-5.2900000000000003E-2</v>
      </c>
      <c r="O131">
        <v>0.88</v>
      </c>
      <c r="P131" s="25">
        <v>4.1700000000000001E-2</v>
      </c>
      <c r="Q131" s="25">
        <v>-0.1472</v>
      </c>
      <c r="R131" s="26">
        <v>27548000</v>
      </c>
      <c r="S131" s="26">
        <v>519227000</v>
      </c>
      <c r="T131">
        <v>1.0900000000000001</v>
      </c>
      <c r="U131" s="25">
        <v>0.35599999999999998</v>
      </c>
    </row>
    <row r="132" spans="1:21" x14ac:dyDescent="0.25">
      <c r="A132" t="s">
        <v>56</v>
      </c>
      <c r="B132">
        <v>13.73</v>
      </c>
      <c r="C132">
        <v>10.4</v>
      </c>
      <c r="D132">
        <v>2.94</v>
      </c>
      <c r="E132">
        <v>0</v>
      </c>
      <c r="F132" s="25">
        <v>8.3500000000000005E-2</v>
      </c>
      <c r="G132">
        <v>2.89</v>
      </c>
      <c r="H132">
        <v>22.69</v>
      </c>
      <c r="I132">
        <v>-321.58</v>
      </c>
      <c r="J132">
        <v>22.74</v>
      </c>
      <c r="K132">
        <v>-312.17</v>
      </c>
      <c r="L132">
        <v>-312.19</v>
      </c>
      <c r="M132" s="25">
        <v>0</v>
      </c>
      <c r="N132" s="25">
        <v>0</v>
      </c>
      <c r="O132">
        <v>9.32</v>
      </c>
      <c r="P132" s="25">
        <v>-9.7999999999999997E-3</v>
      </c>
      <c r="Q132" s="25">
        <v>0.28220000000000001</v>
      </c>
      <c r="R132" s="26">
        <v>67118100</v>
      </c>
      <c r="S132" s="26">
        <v>14032600000</v>
      </c>
      <c r="T132">
        <v>0</v>
      </c>
      <c r="U132" s="25">
        <v>0</v>
      </c>
    </row>
    <row r="133" spans="1:21" x14ac:dyDescent="0.25">
      <c r="A133" t="s">
        <v>55</v>
      </c>
      <c r="B133">
        <v>25.94</v>
      </c>
      <c r="C133">
        <v>5.83</v>
      </c>
      <c r="D133">
        <v>1.07</v>
      </c>
      <c r="E133">
        <v>1.194</v>
      </c>
      <c r="F133" s="25">
        <v>4.1200000000000001E-2</v>
      </c>
      <c r="G133">
        <v>0.45600000000000002</v>
      </c>
      <c r="H133">
        <v>1.1399999999999999</v>
      </c>
      <c r="I133">
        <v>6.5</v>
      </c>
      <c r="J133">
        <v>10.44</v>
      </c>
      <c r="K133">
        <v>8.4600000000000009</v>
      </c>
      <c r="L133">
        <v>8.0299999999999994</v>
      </c>
      <c r="M133" s="25">
        <v>0.18360000000000001</v>
      </c>
      <c r="N133" s="25">
        <v>0.17449999999999999</v>
      </c>
      <c r="O133">
        <v>3.36</v>
      </c>
      <c r="P133" s="25">
        <v>8.2600000000000007E-2</v>
      </c>
      <c r="Q133" s="25">
        <v>0.18279999999999999</v>
      </c>
      <c r="R133" s="26">
        <v>117289000</v>
      </c>
      <c r="S133" s="26">
        <v>9350230000</v>
      </c>
      <c r="T133">
        <v>0.64</v>
      </c>
      <c r="U133" s="25">
        <v>0.18590000000000001</v>
      </c>
    </row>
    <row r="134" spans="1:21" x14ac:dyDescent="0.25">
      <c r="A134" t="s">
        <v>255</v>
      </c>
      <c r="B134">
        <v>1.22</v>
      </c>
      <c r="C134">
        <v>-1.35</v>
      </c>
      <c r="D134">
        <v>0.2</v>
      </c>
      <c r="E134">
        <v>9.9000000000000005E-2</v>
      </c>
      <c r="F134" s="25">
        <v>0</v>
      </c>
      <c r="G134">
        <v>5.3999999999999999E-2</v>
      </c>
      <c r="H134">
        <v>0.31</v>
      </c>
      <c r="I134">
        <v>1.42</v>
      </c>
      <c r="J134">
        <v>-0.15</v>
      </c>
      <c r="K134">
        <v>9.83</v>
      </c>
      <c r="L134">
        <v>4.33</v>
      </c>
      <c r="M134" s="25">
        <v>6.9699999999999998E-2</v>
      </c>
      <c r="N134" s="25">
        <v>-7.3400000000000007E-2</v>
      </c>
      <c r="O134">
        <v>1.92</v>
      </c>
      <c r="P134" s="25">
        <v>4.6100000000000002E-2</v>
      </c>
      <c r="Q134" s="25">
        <v>-0.14549999999999999</v>
      </c>
      <c r="R134" s="26">
        <v>1402640</v>
      </c>
      <c r="S134" s="26">
        <v>7813960000</v>
      </c>
      <c r="T134">
        <v>1.61</v>
      </c>
      <c r="U134" s="25">
        <v>0.1711</v>
      </c>
    </row>
    <row r="135" spans="1:21" x14ac:dyDescent="0.25">
      <c r="A135" t="s">
        <v>107</v>
      </c>
      <c r="B135">
        <v>8.26</v>
      </c>
      <c r="C135">
        <v>10.6</v>
      </c>
      <c r="D135">
        <v>0.7</v>
      </c>
      <c r="E135">
        <v>0.82899999999999996</v>
      </c>
      <c r="F135" s="25">
        <v>4.4999999999999997E-3</v>
      </c>
      <c r="G135">
        <v>0.26700000000000002</v>
      </c>
      <c r="H135">
        <v>5.74</v>
      </c>
      <c r="I135">
        <v>2.82</v>
      </c>
      <c r="J135">
        <v>-0.61</v>
      </c>
      <c r="K135">
        <v>5.93</v>
      </c>
      <c r="L135">
        <v>3.56</v>
      </c>
      <c r="M135" s="25">
        <v>0.29360000000000003</v>
      </c>
      <c r="N135" s="25">
        <v>8.7300000000000003E-2</v>
      </c>
      <c r="O135">
        <v>1.37</v>
      </c>
      <c r="P135" s="25">
        <v>0.108</v>
      </c>
      <c r="Q135" s="25">
        <v>6.59E-2</v>
      </c>
      <c r="R135" s="26">
        <v>1546730</v>
      </c>
      <c r="S135" s="26">
        <v>1369920000</v>
      </c>
      <c r="T135">
        <v>1.02</v>
      </c>
      <c r="U135" s="25">
        <v>0.36709999999999998</v>
      </c>
    </row>
    <row r="136" spans="1:21" x14ac:dyDescent="0.25">
      <c r="A136" t="s">
        <v>58</v>
      </c>
      <c r="B136">
        <v>8.83</v>
      </c>
      <c r="C136">
        <v>6.17</v>
      </c>
      <c r="D136">
        <v>0.97</v>
      </c>
      <c r="E136">
        <v>0.47699999999999998</v>
      </c>
      <c r="F136" s="25">
        <v>5.96E-2</v>
      </c>
      <c r="G136">
        <v>0.59399999999999997</v>
      </c>
      <c r="H136">
        <v>1.35</v>
      </c>
      <c r="I136">
        <v>6.2</v>
      </c>
      <c r="J136">
        <v>2.19</v>
      </c>
      <c r="K136">
        <v>5.97</v>
      </c>
      <c r="L136">
        <v>4.9400000000000004</v>
      </c>
      <c r="M136" s="25">
        <v>7.6899999999999996E-2</v>
      </c>
      <c r="N136" s="25">
        <v>7.9000000000000001E-2</v>
      </c>
      <c r="O136">
        <v>3.06</v>
      </c>
      <c r="P136" s="25">
        <v>0.13239999999999999</v>
      </c>
      <c r="Q136" s="25">
        <v>0.15640000000000001</v>
      </c>
      <c r="R136" s="26">
        <v>788774</v>
      </c>
      <c r="S136" s="26">
        <v>999766000</v>
      </c>
      <c r="T136">
        <v>0.24</v>
      </c>
      <c r="U136" s="25">
        <v>0.1051</v>
      </c>
    </row>
    <row r="137" spans="1:21" x14ac:dyDescent="0.25">
      <c r="A137" t="s">
        <v>374</v>
      </c>
      <c r="B137">
        <v>8.59</v>
      </c>
      <c r="C137">
        <v>6</v>
      </c>
      <c r="D137">
        <v>0.94</v>
      </c>
      <c r="E137">
        <v>0.46400000000000002</v>
      </c>
      <c r="F137" s="25">
        <v>6.2600000000000003E-2</v>
      </c>
      <c r="G137">
        <v>0.57799999999999996</v>
      </c>
      <c r="H137">
        <v>1.31</v>
      </c>
      <c r="I137">
        <v>6.03</v>
      </c>
      <c r="J137">
        <v>2.13</v>
      </c>
      <c r="K137">
        <v>5.8</v>
      </c>
      <c r="L137">
        <v>4.8</v>
      </c>
      <c r="M137" s="25">
        <v>7.6899999999999996E-2</v>
      </c>
      <c r="N137" s="25">
        <v>7.9000000000000001E-2</v>
      </c>
      <c r="O137">
        <v>3.06</v>
      </c>
      <c r="P137" s="25">
        <v>0.13239999999999999</v>
      </c>
      <c r="Q137" s="25">
        <v>0.15640000000000001</v>
      </c>
      <c r="R137" s="26">
        <v>52577.1</v>
      </c>
      <c r="S137" s="26">
        <v>999766000</v>
      </c>
      <c r="T137">
        <v>0.24</v>
      </c>
      <c r="U137" s="25">
        <v>0.1051</v>
      </c>
    </row>
    <row r="138" spans="1:21" x14ac:dyDescent="0.25">
      <c r="A138" t="s">
        <v>120</v>
      </c>
      <c r="B138">
        <v>39.5</v>
      </c>
      <c r="C138">
        <v>10.5</v>
      </c>
      <c r="D138">
        <v>3.15</v>
      </c>
      <c r="E138">
        <v>1.9179999999999999</v>
      </c>
      <c r="F138" s="25">
        <v>9.4399999999999998E-2</v>
      </c>
      <c r="G138">
        <v>0.64600000000000002</v>
      </c>
      <c r="H138">
        <v>1.98</v>
      </c>
      <c r="I138">
        <v>8.66</v>
      </c>
      <c r="J138">
        <v>-1.93</v>
      </c>
      <c r="K138">
        <v>9.11</v>
      </c>
      <c r="L138">
        <v>8.35</v>
      </c>
      <c r="M138" s="25">
        <v>0.22140000000000001</v>
      </c>
      <c r="N138" s="25">
        <v>0.2099</v>
      </c>
      <c r="O138">
        <v>3.82</v>
      </c>
      <c r="P138" s="25">
        <v>8.9499999999999996E-2</v>
      </c>
      <c r="Q138" s="25">
        <v>0.29959999999999998</v>
      </c>
      <c r="R138" s="26">
        <v>65122800</v>
      </c>
      <c r="S138" s="26">
        <v>2178390000</v>
      </c>
      <c r="T138">
        <v>0.91</v>
      </c>
      <c r="U138" s="25">
        <v>0.2064</v>
      </c>
    </row>
    <row r="139" spans="1:21" x14ac:dyDescent="0.25">
      <c r="A139" t="s">
        <v>9</v>
      </c>
      <c r="B139">
        <v>4.71</v>
      </c>
      <c r="C139">
        <v>9.5500000000000007</v>
      </c>
      <c r="D139">
        <v>0.27</v>
      </c>
      <c r="E139">
        <v>0.106</v>
      </c>
      <c r="F139" s="25">
        <v>0</v>
      </c>
      <c r="G139">
        <v>0.13</v>
      </c>
      <c r="H139">
        <v>5.65</v>
      </c>
      <c r="I139">
        <v>3.77</v>
      </c>
      <c r="J139">
        <v>-0.66</v>
      </c>
      <c r="K139">
        <v>3.83</v>
      </c>
      <c r="L139">
        <v>1.31</v>
      </c>
      <c r="M139" s="25">
        <v>2.8199999999999999E-2</v>
      </c>
      <c r="N139" s="25">
        <v>1.11E-2</v>
      </c>
      <c r="O139">
        <v>1.08</v>
      </c>
      <c r="P139" s="25">
        <v>4.3799999999999999E-2</v>
      </c>
      <c r="Q139" s="25">
        <v>2.7799999999999998E-2</v>
      </c>
      <c r="R139" s="26">
        <v>319613</v>
      </c>
      <c r="S139" s="26">
        <v>896843000</v>
      </c>
      <c r="T139">
        <v>0.04</v>
      </c>
      <c r="U139" s="25">
        <v>0.23039999999999999</v>
      </c>
    </row>
    <row r="140" spans="1:21" x14ac:dyDescent="0.25">
      <c r="A140" t="s">
        <v>375</v>
      </c>
      <c r="B140">
        <v>6.51</v>
      </c>
      <c r="C140">
        <v>-117.73</v>
      </c>
      <c r="D140">
        <v>0.71</v>
      </c>
      <c r="E140">
        <v>0.77</v>
      </c>
      <c r="F140" s="25">
        <v>1.5E-3</v>
      </c>
      <c r="G140">
        <v>0.495</v>
      </c>
      <c r="H140">
        <v>1.03</v>
      </c>
      <c r="I140">
        <v>-15.12</v>
      </c>
      <c r="J140">
        <v>1.83</v>
      </c>
      <c r="K140">
        <v>-17.440000000000001</v>
      </c>
      <c r="L140">
        <v>-51.74</v>
      </c>
      <c r="M140" s="25">
        <v>-5.0900000000000001E-2</v>
      </c>
      <c r="N140" s="25">
        <v>-6.4999999999999997E-3</v>
      </c>
      <c r="O140">
        <v>6</v>
      </c>
      <c r="P140" s="25">
        <v>-3.6600000000000001E-2</v>
      </c>
      <c r="Q140" s="25">
        <v>-6.0000000000000001E-3</v>
      </c>
      <c r="R140" s="26">
        <v>60.88</v>
      </c>
      <c r="S140" s="26">
        <v>693418000</v>
      </c>
      <c r="T140">
        <v>0.22</v>
      </c>
      <c r="U140" s="25">
        <v>7.3000000000000001E-3</v>
      </c>
    </row>
    <row r="141" spans="1:21" x14ac:dyDescent="0.25">
      <c r="A141" t="s">
        <v>134</v>
      </c>
      <c r="B141">
        <v>4.29</v>
      </c>
      <c r="C141">
        <v>-77.58</v>
      </c>
      <c r="D141">
        <v>0.47</v>
      </c>
      <c r="E141">
        <v>0.50700000000000001</v>
      </c>
      <c r="F141" s="25">
        <v>2.5999999999999999E-3</v>
      </c>
      <c r="G141">
        <v>0.32600000000000001</v>
      </c>
      <c r="H141">
        <v>0.68</v>
      </c>
      <c r="I141">
        <v>-9.9600000000000009</v>
      </c>
      <c r="J141">
        <v>1.2</v>
      </c>
      <c r="K141">
        <v>-12.29</v>
      </c>
      <c r="L141">
        <v>-36.450000000000003</v>
      </c>
      <c r="M141" s="25">
        <v>-5.0900000000000001E-2</v>
      </c>
      <c r="N141" s="25">
        <v>-6.4999999999999997E-3</v>
      </c>
      <c r="O141">
        <v>6</v>
      </c>
      <c r="P141" s="25">
        <v>-3.6600000000000001E-2</v>
      </c>
      <c r="Q141" s="25">
        <v>-6.0000000000000001E-3</v>
      </c>
      <c r="R141" s="26">
        <v>3539.88</v>
      </c>
      <c r="S141" s="26">
        <v>693418000</v>
      </c>
      <c r="T141">
        <v>0.22</v>
      </c>
      <c r="U141" s="25">
        <v>7.3000000000000001E-3</v>
      </c>
    </row>
    <row r="142" spans="1:21" x14ac:dyDescent="0.25">
      <c r="A142" t="s">
        <v>259</v>
      </c>
      <c r="B142">
        <v>5</v>
      </c>
      <c r="C142">
        <v>-9.15</v>
      </c>
      <c r="D142">
        <v>-0.27</v>
      </c>
      <c r="E142">
        <v>0.41</v>
      </c>
      <c r="F142" s="25">
        <v>0</v>
      </c>
      <c r="G142">
        <v>0.35299999999999998</v>
      </c>
      <c r="H142">
        <v>-0.3</v>
      </c>
      <c r="I142">
        <v>9.65</v>
      </c>
      <c r="J142">
        <v>-0.18</v>
      </c>
      <c r="K142">
        <v>14.34</v>
      </c>
      <c r="L142">
        <v>2.74</v>
      </c>
      <c r="M142" s="25">
        <v>4.2500000000000003E-2</v>
      </c>
      <c r="N142" s="25">
        <v>-4.48E-2</v>
      </c>
      <c r="O142">
        <v>0.23</v>
      </c>
      <c r="P142" s="25">
        <v>5.8299999999999998E-2</v>
      </c>
      <c r="Q142" s="25">
        <v>2.9399999999999999E-2</v>
      </c>
      <c r="R142" s="26">
        <v>119218</v>
      </c>
      <c r="S142" s="26">
        <v>-247366000</v>
      </c>
      <c r="T142">
        <v>-0.23</v>
      </c>
      <c r="U142" s="25">
        <v>7.1099999999999997E-2</v>
      </c>
    </row>
    <row r="143" spans="1:21" x14ac:dyDescent="0.25">
      <c r="A143" t="s">
        <v>376</v>
      </c>
      <c r="B143">
        <v>3.05</v>
      </c>
      <c r="C143">
        <v>-39.29</v>
      </c>
      <c r="D143">
        <v>29.83</v>
      </c>
      <c r="E143">
        <v>5.5419999999999998</v>
      </c>
      <c r="F143" s="25">
        <v>0</v>
      </c>
      <c r="G143">
        <v>4.1269999999999998</v>
      </c>
      <c r="H143">
        <v>9.31</v>
      </c>
      <c r="I143">
        <v>-40.85</v>
      </c>
      <c r="J143">
        <v>84.87</v>
      </c>
      <c r="K143">
        <v>-39.549999999999997</v>
      </c>
      <c r="L143">
        <v>-262.93</v>
      </c>
      <c r="M143" s="25">
        <v>-0.13569999999999999</v>
      </c>
      <c r="N143" s="25">
        <v>-0.14099999999999999</v>
      </c>
      <c r="O143">
        <v>1.95</v>
      </c>
      <c r="P143" s="25">
        <v>-0.1195</v>
      </c>
      <c r="Q143" s="25">
        <v>-0.75919999999999999</v>
      </c>
      <c r="R143" s="26">
        <v>3982.88</v>
      </c>
      <c r="S143" s="26">
        <v>1138000</v>
      </c>
      <c r="T143">
        <v>0</v>
      </c>
      <c r="U143" s="25">
        <v>-0.16789999999999999</v>
      </c>
    </row>
    <row r="144" spans="1:21" x14ac:dyDescent="0.25">
      <c r="A144" t="s">
        <v>149</v>
      </c>
      <c r="B144">
        <v>5.4</v>
      </c>
      <c r="C144">
        <v>17.190000000000001</v>
      </c>
      <c r="D144">
        <v>0.64</v>
      </c>
      <c r="E144">
        <v>0.54</v>
      </c>
      <c r="F144" s="25">
        <v>9.9000000000000008E-3</v>
      </c>
      <c r="G144">
        <v>0.246</v>
      </c>
      <c r="H144">
        <v>3.39</v>
      </c>
      <c r="I144">
        <v>5.65</v>
      </c>
      <c r="J144">
        <v>-0.73</v>
      </c>
      <c r="K144">
        <v>12.06</v>
      </c>
      <c r="L144">
        <v>4.75</v>
      </c>
      <c r="M144" s="25">
        <v>9.5699999999999993E-2</v>
      </c>
      <c r="N144" s="25">
        <v>3.27E-2</v>
      </c>
      <c r="O144">
        <v>1.37</v>
      </c>
      <c r="P144" s="25">
        <v>5.11E-2</v>
      </c>
      <c r="Q144" s="25">
        <v>3.7499999999999999E-2</v>
      </c>
      <c r="R144" s="26">
        <v>15218400</v>
      </c>
      <c r="S144" s="26">
        <v>6872730000</v>
      </c>
      <c r="T144">
        <v>0.95</v>
      </c>
      <c r="U144" s="25">
        <v>3.61E-2</v>
      </c>
    </row>
    <row r="145" spans="1:21" x14ac:dyDescent="0.25">
      <c r="A145" t="s">
        <v>377</v>
      </c>
      <c r="B145">
        <v>15.18</v>
      </c>
      <c r="C145">
        <v>3.6</v>
      </c>
      <c r="D145">
        <v>1.01</v>
      </c>
      <c r="E145">
        <v>0.58099999999999996</v>
      </c>
      <c r="F145" s="25">
        <v>3.78E-2</v>
      </c>
      <c r="G145">
        <v>0.53</v>
      </c>
      <c r="H145">
        <v>5.74</v>
      </c>
      <c r="I145">
        <v>3.65</v>
      </c>
      <c r="J145">
        <v>-10.93</v>
      </c>
      <c r="K145">
        <v>4.7</v>
      </c>
      <c r="L145">
        <v>3.74</v>
      </c>
      <c r="M145" s="25">
        <v>0.15939999999999999</v>
      </c>
      <c r="N145" s="25">
        <v>0.1613</v>
      </c>
      <c r="O145">
        <v>1.27</v>
      </c>
      <c r="P145" s="25">
        <v>0.15529999999999999</v>
      </c>
      <c r="Q145" s="25">
        <v>0.28110000000000002</v>
      </c>
      <c r="R145" s="26">
        <v>16456.099999999999</v>
      </c>
      <c r="S145" s="26">
        <v>337052000</v>
      </c>
      <c r="T145">
        <v>0.32</v>
      </c>
      <c r="U145" s="25">
        <v>0.1925</v>
      </c>
    </row>
    <row r="146" spans="1:21" x14ac:dyDescent="0.25">
      <c r="A146" t="s">
        <v>74</v>
      </c>
      <c r="B146">
        <v>13.88</v>
      </c>
      <c r="C146">
        <v>3.3</v>
      </c>
      <c r="D146">
        <v>0.93</v>
      </c>
      <c r="E146">
        <v>0.53200000000000003</v>
      </c>
      <c r="F146" s="25">
        <v>4.5400000000000003E-2</v>
      </c>
      <c r="G146">
        <v>0.48499999999999999</v>
      </c>
      <c r="H146">
        <v>5.25</v>
      </c>
      <c r="I146">
        <v>3.33</v>
      </c>
      <c r="J146">
        <v>-9.99</v>
      </c>
      <c r="K146">
        <v>4.3899999999999997</v>
      </c>
      <c r="L146">
        <v>3.49</v>
      </c>
      <c r="M146" s="25">
        <v>0.15939999999999999</v>
      </c>
      <c r="N146" s="25">
        <v>0.1613</v>
      </c>
      <c r="O146">
        <v>1.27</v>
      </c>
      <c r="P146" s="25">
        <v>0.15529999999999999</v>
      </c>
      <c r="Q146" s="25">
        <v>0.28110000000000002</v>
      </c>
      <c r="R146" s="26">
        <v>142277</v>
      </c>
      <c r="S146" s="26">
        <v>337052000</v>
      </c>
      <c r="T146">
        <v>0.32</v>
      </c>
      <c r="U146" s="25">
        <v>0.1925</v>
      </c>
    </row>
    <row r="147" spans="1:21" x14ac:dyDescent="0.25">
      <c r="A147" t="s">
        <v>192</v>
      </c>
      <c r="B147">
        <v>6.78</v>
      </c>
      <c r="C147">
        <v>5.76</v>
      </c>
      <c r="D147">
        <v>1.32</v>
      </c>
      <c r="E147">
        <v>0.46400000000000002</v>
      </c>
      <c r="F147" s="25">
        <v>0</v>
      </c>
      <c r="G147">
        <v>0.14599999999999999</v>
      </c>
      <c r="H147">
        <v>-9.1300000000000008</v>
      </c>
      <c r="I147">
        <v>1.3</v>
      </c>
      <c r="J147">
        <v>-0.2</v>
      </c>
      <c r="K147">
        <v>6.55</v>
      </c>
      <c r="L147">
        <v>5.0599999999999996</v>
      </c>
      <c r="M147" s="25">
        <v>0.35809999999999997</v>
      </c>
      <c r="N147" s="25">
        <v>7.9899999999999999E-2</v>
      </c>
      <c r="O147">
        <v>0.9</v>
      </c>
      <c r="P147" s="25">
        <v>0.12909999999999999</v>
      </c>
      <c r="Q147" s="25">
        <v>0.2293</v>
      </c>
      <c r="R147" s="26">
        <v>26853800</v>
      </c>
      <c r="S147" s="26">
        <v>3574010000</v>
      </c>
      <c r="T147">
        <v>6.44</v>
      </c>
      <c r="U147" s="25">
        <v>0.28670000000000001</v>
      </c>
    </row>
    <row r="148" spans="1:21" x14ac:dyDescent="0.25">
      <c r="A148" t="s">
        <v>78</v>
      </c>
      <c r="B148">
        <v>42.53</v>
      </c>
      <c r="C148">
        <v>10.32</v>
      </c>
      <c r="D148">
        <v>2.87</v>
      </c>
      <c r="E148">
        <v>2.9860000000000002</v>
      </c>
      <c r="F148" s="25">
        <v>5.4699999999999999E-2</v>
      </c>
      <c r="G148">
        <v>0.65800000000000003</v>
      </c>
      <c r="H148">
        <v>18.29</v>
      </c>
      <c r="I148">
        <v>6.05</v>
      </c>
      <c r="J148">
        <v>-1.1299999999999999</v>
      </c>
      <c r="K148">
        <v>9.59</v>
      </c>
      <c r="L148">
        <v>7.99</v>
      </c>
      <c r="M148" s="25">
        <v>0.49340000000000001</v>
      </c>
      <c r="N148" s="25">
        <v>0.2964</v>
      </c>
      <c r="O148">
        <v>1.27</v>
      </c>
      <c r="P148" s="25">
        <v>0.1239</v>
      </c>
      <c r="Q148" s="25">
        <v>0.27839999999999998</v>
      </c>
      <c r="R148" s="26">
        <v>65895800</v>
      </c>
      <c r="S148" s="26">
        <v>12083000000</v>
      </c>
      <c r="T148">
        <v>2.14</v>
      </c>
      <c r="U148" s="25">
        <v>-3.7199999999999997E-2</v>
      </c>
    </row>
    <row r="149" spans="1:21" x14ac:dyDescent="0.25">
      <c r="A149" t="s">
        <v>378</v>
      </c>
      <c r="B149">
        <v>45</v>
      </c>
      <c r="C149">
        <v>9.0399999999999991</v>
      </c>
      <c r="D149">
        <v>3.74</v>
      </c>
      <c r="E149">
        <v>0.91200000000000003</v>
      </c>
      <c r="F149" s="25">
        <v>0.152</v>
      </c>
      <c r="G149">
        <v>0.70899999999999996</v>
      </c>
      <c r="H149">
        <v>14.06</v>
      </c>
      <c r="I149">
        <v>3.8</v>
      </c>
      <c r="J149">
        <v>-1.29</v>
      </c>
      <c r="K149">
        <v>6.77</v>
      </c>
      <c r="L149">
        <v>5.73</v>
      </c>
      <c r="M149" s="25">
        <v>0.24</v>
      </c>
      <c r="N149" s="25">
        <v>0.1008</v>
      </c>
      <c r="O149">
        <v>1.24</v>
      </c>
      <c r="P149" s="25">
        <v>0.2097</v>
      </c>
      <c r="Q149" s="25">
        <v>0.41320000000000001</v>
      </c>
      <c r="R149" s="26">
        <v>2031</v>
      </c>
      <c r="S149" s="26">
        <v>2333000000</v>
      </c>
      <c r="T149">
        <v>3.18</v>
      </c>
      <c r="U149" s="25">
        <v>4.8800000000000003E-2</v>
      </c>
    </row>
    <row r="150" spans="1:21" x14ac:dyDescent="0.25">
      <c r="A150" t="s">
        <v>379</v>
      </c>
      <c r="B150">
        <v>53.04</v>
      </c>
      <c r="C150">
        <v>10.66</v>
      </c>
      <c r="D150">
        <v>4.41</v>
      </c>
      <c r="E150">
        <v>1.0740000000000001</v>
      </c>
      <c r="F150" s="25">
        <v>0.14180000000000001</v>
      </c>
      <c r="G150">
        <v>0.83599999999999997</v>
      </c>
      <c r="H150">
        <v>16.579999999999998</v>
      </c>
      <c r="I150">
        <v>4.4800000000000004</v>
      </c>
      <c r="J150">
        <v>-1.52</v>
      </c>
      <c r="K150">
        <v>7.45</v>
      </c>
      <c r="L150">
        <v>6.3</v>
      </c>
      <c r="M150" s="25">
        <v>0.24</v>
      </c>
      <c r="N150" s="25">
        <v>0.1008</v>
      </c>
      <c r="O150">
        <v>1.24</v>
      </c>
      <c r="P150" s="25">
        <v>0.2097</v>
      </c>
      <c r="Q150" s="25">
        <v>0.41320000000000001</v>
      </c>
      <c r="R150" s="26">
        <v>44251.6</v>
      </c>
      <c r="S150" s="26">
        <v>2333000000</v>
      </c>
      <c r="T150">
        <v>3.18</v>
      </c>
      <c r="U150" s="25">
        <v>4.8800000000000003E-2</v>
      </c>
    </row>
    <row r="151" spans="1:21" x14ac:dyDescent="0.25">
      <c r="A151" t="s">
        <v>118</v>
      </c>
      <c r="B151">
        <v>38.78</v>
      </c>
      <c r="C151">
        <v>9.23</v>
      </c>
      <c r="D151">
        <v>0.74</v>
      </c>
      <c r="E151">
        <v>2.1379999999999999</v>
      </c>
      <c r="F151" s="25">
        <v>4.53E-2</v>
      </c>
      <c r="G151">
        <v>0.317</v>
      </c>
      <c r="H151">
        <v>2.77</v>
      </c>
      <c r="I151">
        <v>6.35</v>
      </c>
      <c r="J151">
        <v>-0.87</v>
      </c>
      <c r="K151">
        <v>9.2100000000000009</v>
      </c>
      <c r="L151">
        <v>7.13</v>
      </c>
      <c r="M151" s="25">
        <v>0.33650000000000002</v>
      </c>
      <c r="N151" s="25">
        <v>0.23150000000000001</v>
      </c>
      <c r="O151">
        <v>2.29</v>
      </c>
      <c r="P151" s="25">
        <v>5.6599999999999998E-2</v>
      </c>
      <c r="Q151" s="25">
        <v>7.9799999999999996E-2</v>
      </c>
      <c r="R151" s="26">
        <v>246569000</v>
      </c>
      <c r="S151" s="26">
        <v>121494000000</v>
      </c>
      <c r="T151">
        <v>0.57999999999999996</v>
      </c>
      <c r="U151" s="25">
        <v>6.1199999999999997E-2</v>
      </c>
    </row>
    <row r="152" spans="1:21" x14ac:dyDescent="0.25">
      <c r="A152" t="s">
        <v>500</v>
      </c>
      <c r="B152">
        <v>82.5</v>
      </c>
      <c r="C152">
        <v>19.64</v>
      </c>
      <c r="D152">
        <v>1.57</v>
      </c>
      <c r="E152">
        <v>4.548</v>
      </c>
      <c r="F152" s="25">
        <v>0</v>
      </c>
      <c r="G152">
        <v>0.67500000000000004</v>
      </c>
      <c r="H152">
        <v>5.89</v>
      </c>
      <c r="I152">
        <v>13.52</v>
      </c>
      <c r="J152">
        <v>-1.85</v>
      </c>
      <c r="K152">
        <v>16.37</v>
      </c>
      <c r="L152">
        <v>12.68</v>
      </c>
      <c r="M152" s="25">
        <v>0.33650000000000002</v>
      </c>
      <c r="N152" s="25">
        <v>0.23150000000000001</v>
      </c>
      <c r="O152">
        <v>2.29</v>
      </c>
      <c r="P152" s="25">
        <v>5.6599999999999998E-2</v>
      </c>
      <c r="Q152" s="25">
        <v>7.9799999999999996E-2</v>
      </c>
      <c r="R152" s="26">
        <v>196.43</v>
      </c>
      <c r="S152" s="26">
        <v>121494000000</v>
      </c>
      <c r="T152">
        <v>0.57999999999999996</v>
      </c>
      <c r="U152" s="25">
        <v>6.1199999999999997E-2</v>
      </c>
    </row>
    <row r="153" spans="1:21" x14ac:dyDescent="0.25">
      <c r="A153" t="s">
        <v>380</v>
      </c>
      <c r="B153">
        <v>42.44</v>
      </c>
      <c r="C153">
        <v>10.1</v>
      </c>
      <c r="D153">
        <v>0.81</v>
      </c>
      <c r="E153">
        <v>2.34</v>
      </c>
      <c r="F153" s="25">
        <v>4.5499999999999999E-2</v>
      </c>
      <c r="G153">
        <v>0.34699999999999998</v>
      </c>
      <c r="H153">
        <v>3.03</v>
      </c>
      <c r="I153">
        <v>6.95</v>
      </c>
      <c r="J153">
        <v>-0.95</v>
      </c>
      <c r="K153">
        <v>9.81</v>
      </c>
      <c r="L153">
        <v>7.59</v>
      </c>
      <c r="M153" s="25">
        <v>0.33650000000000002</v>
      </c>
      <c r="N153" s="25">
        <v>0.23150000000000001</v>
      </c>
      <c r="O153">
        <v>2.29</v>
      </c>
      <c r="P153" s="25">
        <v>5.6599999999999998E-2</v>
      </c>
      <c r="Q153" s="25">
        <v>7.9799999999999996E-2</v>
      </c>
      <c r="R153" s="26">
        <v>47108600</v>
      </c>
      <c r="S153" s="26">
        <v>121494000000</v>
      </c>
      <c r="T153">
        <v>0.57999999999999996</v>
      </c>
      <c r="U153" s="25">
        <v>6.1199999999999997E-2</v>
      </c>
    </row>
    <row r="154" spans="1:21" x14ac:dyDescent="0.25">
      <c r="A154" t="s">
        <v>381</v>
      </c>
      <c r="B154">
        <v>31</v>
      </c>
      <c r="C154">
        <v>39.74</v>
      </c>
      <c r="D154">
        <v>4.53</v>
      </c>
      <c r="E154">
        <v>3.5550000000000002</v>
      </c>
      <c r="F154" s="25">
        <v>6.3E-3</v>
      </c>
      <c r="G154">
        <v>1.3939999999999999</v>
      </c>
      <c r="H154">
        <v>10.24</v>
      </c>
      <c r="I154">
        <v>13.53</v>
      </c>
      <c r="J154">
        <v>-4.49</v>
      </c>
      <c r="K154">
        <v>15.97</v>
      </c>
      <c r="L154">
        <v>11.64</v>
      </c>
      <c r="M154" s="25">
        <v>0.2626</v>
      </c>
      <c r="N154" s="25">
        <v>0.1144</v>
      </c>
      <c r="O154">
        <v>1.76</v>
      </c>
      <c r="P154" s="25">
        <v>0.13800000000000001</v>
      </c>
      <c r="Q154" s="25">
        <v>0.114</v>
      </c>
      <c r="R154" s="26">
        <v>330988</v>
      </c>
      <c r="S154" s="26">
        <v>983781000</v>
      </c>
      <c r="T154">
        <v>1.45</v>
      </c>
      <c r="U154" s="25">
        <v>0.52680000000000005</v>
      </c>
    </row>
    <row r="155" spans="1:21" x14ac:dyDescent="0.25">
      <c r="A155" t="s">
        <v>382</v>
      </c>
      <c r="B155">
        <v>29.35</v>
      </c>
      <c r="C155">
        <v>16.28</v>
      </c>
      <c r="D155">
        <v>0.88</v>
      </c>
      <c r="E155">
        <v>1.758</v>
      </c>
      <c r="F155" s="25">
        <v>2.86E-2</v>
      </c>
      <c r="G155">
        <v>0.504</v>
      </c>
      <c r="H155">
        <v>2.31</v>
      </c>
      <c r="I155">
        <v>13.74</v>
      </c>
      <c r="J155">
        <v>-3.73</v>
      </c>
      <c r="K155">
        <v>10.37</v>
      </c>
      <c r="L155">
        <v>9.15</v>
      </c>
      <c r="M155" s="25">
        <v>0.128</v>
      </c>
      <c r="N155" s="25">
        <v>0.108</v>
      </c>
      <c r="O155">
        <v>3.91</v>
      </c>
      <c r="P155" s="25">
        <v>4.2000000000000003E-2</v>
      </c>
      <c r="Q155" s="25">
        <v>5.4100000000000002E-2</v>
      </c>
      <c r="R155" s="26">
        <v>114567</v>
      </c>
      <c r="S155" s="26">
        <v>1231320000</v>
      </c>
      <c r="T155">
        <v>0</v>
      </c>
      <c r="U155" s="25">
        <v>7.4399999999999994E-2</v>
      </c>
    </row>
    <row r="156" spans="1:21" x14ac:dyDescent="0.25">
      <c r="A156" t="s">
        <v>165</v>
      </c>
      <c r="B156">
        <v>68.459999999999994</v>
      </c>
      <c r="C156">
        <v>22.94</v>
      </c>
      <c r="D156">
        <v>2.77</v>
      </c>
      <c r="E156">
        <v>1.3560000000000001</v>
      </c>
      <c r="F156" s="25">
        <v>1E-3</v>
      </c>
      <c r="G156">
        <v>0.755</v>
      </c>
      <c r="H156">
        <v>5.8</v>
      </c>
      <c r="I156">
        <v>13.24</v>
      </c>
      <c r="J156">
        <v>-4.49</v>
      </c>
      <c r="K156">
        <v>14.27</v>
      </c>
      <c r="L156">
        <v>10.43</v>
      </c>
      <c r="M156" s="25">
        <v>0.1024</v>
      </c>
      <c r="N156" s="25">
        <v>5.9700000000000003E-2</v>
      </c>
      <c r="O156">
        <v>1.32</v>
      </c>
      <c r="P156" s="25">
        <v>7.2900000000000006E-2</v>
      </c>
      <c r="Q156" s="25">
        <v>0.1207</v>
      </c>
      <c r="R156" s="26">
        <v>439071000</v>
      </c>
      <c r="S156" s="26">
        <v>18314200000</v>
      </c>
      <c r="T156">
        <v>0.64</v>
      </c>
      <c r="U156" s="25">
        <v>0.1338</v>
      </c>
    </row>
    <row r="157" spans="1:21" x14ac:dyDescent="0.25">
      <c r="A157" t="s">
        <v>155</v>
      </c>
      <c r="B157">
        <v>13.99</v>
      </c>
      <c r="C157">
        <v>55.61</v>
      </c>
      <c r="D157">
        <v>1.42</v>
      </c>
      <c r="E157">
        <v>1.9630000000000001</v>
      </c>
      <c r="F157" s="25">
        <v>0</v>
      </c>
      <c r="G157">
        <v>0.497</v>
      </c>
      <c r="H157">
        <v>7.26</v>
      </c>
      <c r="I157">
        <v>8.86</v>
      </c>
      <c r="J157">
        <v>-1.17</v>
      </c>
      <c r="K157">
        <v>13.58</v>
      </c>
      <c r="L157">
        <v>8.3800000000000008</v>
      </c>
      <c r="M157" s="25">
        <v>0.2215</v>
      </c>
      <c r="N157" s="25">
        <v>6.8900000000000003E-2</v>
      </c>
      <c r="O157">
        <v>1.53</v>
      </c>
      <c r="P157" s="25">
        <v>6.3299999999999995E-2</v>
      </c>
      <c r="Q157" s="25">
        <v>2.5499999999999998E-2</v>
      </c>
      <c r="R157" s="26">
        <v>129939000</v>
      </c>
      <c r="S157" s="26">
        <v>19137700000</v>
      </c>
      <c r="T157">
        <v>1</v>
      </c>
      <c r="U157" s="25">
        <v>0.42749999999999999</v>
      </c>
    </row>
    <row r="158" spans="1:21" x14ac:dyDescent="0.25">
      <c r="A158" t="s">
        <v>383</v>
      </c>
      <c r="B158">
        <v>46</v>
      </c>
      <c r="C158">
        <v>5.75</v>
      </c>
      <c r="D158">
        <v>1.17</v>
      </c>
      <c r="E158">
        <v>0.61699999999999999</v>
      </c>
      <c r="F158" s="25">
        <v>6.3E-2</v>
      </c>
      <c r="G158">
        <v>0.26900000000000002</v>
      </c>
      <c r="H158">
        <v>4.2</v>
      </c>
      <c r="I158">
        <v>3.35</v>
      </c>
      <c r="J158">
        <v>-0.56000000000000005</v>
      </c>
      <c r="K158">
        <v>7.82</v>
      </c>
      <c r="L158">
        <v>5.98</v>
      </c>
      <c r="M158" s="25">
        <v>0.18410000000000001</v>
      </c>
      <c r="N158" s="25">
        <v>0.1326</v>
      </c>
      <c r="O158">
        <v>1.38</v>
      </c>
      <c r="P158" s="25">
        <v>9.3700000000000006E-2</v>
      </c>
      <c r="Q158" s="25">
        <v>0.2036</v>
      </c>
      <c r="R158" s="26">
        <v>105434000</v>
      </c>
      <c r="S158" s="26">
        <v>17989300000</v>
      </c>
      <c r="T158">
        <v>2.04</v>
      </c>
      <c r="U158" s="25">
        <v>0.1101</v>
      </c>
    </row>
    <row r="159" spans="1:21" x14ac:dyDescent="0.25">
      <c r="A159" t="s">
        <v>384</v>
      </c>
      <c r="B159">
        <v>11.45</v>
      </c>
      <c r="C159">
        <v>7.16</v>
      </c>
      <c r="D159">
        <v>1.46</v>
      </c>
      <c r="E159">
        <v>0.76800000000000002</v>
      </c>
      <c r="F159" s="25">
        <v>5.0700000000000002E-2</v>
      </c>
      <c r="G159">
        <v>0.33500000000000002</v>
      </c>
      <c r="H159">
        <v>5.23</v>
      </c>
      <c r="I159">
        <v>4.17</v>
      </c>
      <c r="J159">
        <v>-0.7</v>
      </c>
      <c r="K159">
        <v>8.64</v>
      </c>
      <c r="L159">
        <v>6.61</v>
      </c>
      <c r="M159" s="25">
        <v>0.18410000000000001</v>
      </c>
      <c r="N159" s="25">
        <v>0.1326</v>
      </c>
      <c r="O159">
        <v>1.38</v>
      </c>
      <c r="P159" s="25">
        <v>9.3700000000000006E-2</v>
      </c>
      <c r="Q159" s="25">
        <v>0.2036</v>
      </c>
      <c r="R159" s="26">
        <v>59379.7</v>
      </c>
      <c r="S159" s="26">
        <v>17989300000</v>
      </c>
      <c r="T159">
        <v>2.04</v>
      </c>
      <c r="U159" s="25">
        <v>0.1101</v>
      </c>
    </row>
    <row r="160" spans="1:21" x14ac:dyDescent="0.25">
      <c r="A160" t="s">
        <v>166</v>
      </c>
      <c r="B160">
        <v>8.68</v>
      </c>
      <c r="C160">
        <v>5.42</v>
      </c>
      <c r="D160">
        <v>1.1000000000000001</v>
      </c>
      <c r="E160">
        <v>0.58199999999999996</v>
      </c>
      <c r="F160" s="25">
        <v>6.6799999999999998E-2</v>
      </c>
      <c r="G160">
        <v>0.254</v>
      </c>
      <c r="H160">
        <v>3.97</v>
      </c>
      <c r="I160">
        <v>3.16</v>
      </c>
      <c r="J160">
        <v>-0.53</v>
      </c>
      <c r="K160">
        <v>7.63</v>
      </c>
      <c r="L160">
        <v>5.83</v>
      </c>
      <c r="M160" s="25">
        <v>0.18410000000000001</v>
      </c>
      <c r="N160" s="25">
        <v>0.1326</v>
      </c>
      <c r="O160">
        <v>1.38</v>
      </c>
      <c r="P160" s="25">
        <v>9.3700000000000006E-2</v>
      </c>
      <c r="Q160" s="25">
        <v>0.2036</v>
      </c>
      <c r="R160" s="26">
        <v>44478.8</v>
      </c>
      <c r="S160" s="26">
        <v>17989300000</v>
      </c>
      <c r="T160">
        <v>2.04</v>
      </c>
      <c r="U160" s="25">
        <v>0.1101</v>
      </c>
    </row>
    <row r="161" spans="1:21" x14ac:dyDescent="0.25">
      <c r="A161" t="s">
        <v>230</v>
      </c>
      <c r="B161">
        <v>1.03</v>
      </c>
      <c r="C161">
        <v>-10.14</v>
      </c>
      <c r="D161">
        <v>0.67</v>
      </c>
      <c r="E161">
        <v>0.79900000000000004</v>
      </c>
      <c r="F161" s="25">
        <v>0</v>
      </c>
      <c r="G161">
        <v>0.501</v>
      </c>
      <c r="H161">
        <v>1.3</v>
      </c>
      <c r="I161">
        <v>-6.62</v>
      </c>
      <c r="J161">
        <v>1.63</v>
      </c>
      <c r="K161">
        <v>-0.45</v>
      </c>
      <c r="L161">
        <v>2.62</v>
      </c>
      <c r="M161" s="25">
        <v>-0.1207</v>
      </c>
      <c r="N161" s="25">
        <v>-7.8799999999999995E-2</v>
      </c>
      <c r="O161">
        <v>3.2</v>
      </c>
      <c r="P161" s="25">
        <v>-0.1643</v>
      </c>
      <c r="Q161" s="25">
        <v>-6.6400000000000001E-2</v>
      </c>
      <c r="R161" s="26">
        <v>1151410</v>
      </c>
      <c r="S161" s="26">
        <v>313950000</v>
      </c>
      <c r="T161">
        <v>0</v>
      </c>
      <c r="U161" s="25">
        <v>0.34839999999999999</v>
      </c>
    </row>
    <row r="162" spans="1:21" x14ac:dyDescent="0.25">
      <c r="A162" t="s">
        <v>385</v>
      </c>
      <c r="B162">
        <v>65.900000000000006</v>
      </c>
      <c r="C162">
        <v>14.35</v>
      </c>
      <c r="D162">
        <v>3.59</v>
      </c>
      <c r="E162">
        <v>1.7430000000000001</v>
      </c>
      <c r="F162" s="25">
        <v>4.2099999999999999E-2</v>
      </c>
      <c r="G162">
        <v>1.008</v>
      </c>
      <c r="H162">
        <v>10.210000000000001</v>
      </c>
      <c r="I162">
        <v>8.39</v>
      </c>
      <c r="J162">
        <v>-2.2799999999999998</v>
      </c>
      <c r="K162">
        <v>11.8</v>
      </c>
      <c r="L162">
        <v>9.84</v>
      </c>
      <c r="M162" s="25">
        <v>0.20780000000000001</v>
      </c>
      <c r="N162" s="25">
        <v>0.1215</v>
      </c>
      <c r="O162">
        <v>1.56</v>
      </c>
      <c r="P162" s="25">
        <v>0.14069999999999999</v>
      </c>
      <c r="Q162" s="25">
        <v>0.25009999999999999</v>
      </c>
      <c r="R162" s="26">
        <v>20287.599999999999</v>
      </c>
      <c r="S162" s="26">
        <v>4019070000</v>
      </c>
      <c r="T162">
        <v>1.83</v>
      </c>
      <c r="U162" s="25">
        <v>9.1300000000000006E-2</v>
      </c>
    </row>
    <row r="163" spans="1:21" x14ac:dyDescent="0.25">
      <c r="A163" t="s">
        <v>386</v>
      </c>
      <c r="B163">
        <v>59</v>
      </c>
      <c r="C163">
        <v>12.85</v>
      </c>
      <c r="D163">
        <v>3.21</v>
      </c>
      <c r="E163">
        <v>1.5609999999999999</v>
      </c>
      <c r="F163" s="25">
        <v>4.7E-2</v>
      </c>
      <c r="G163">
        <v>0.90200000000000002</v>
      </c>
      <c r="H163">
        <v>9.14</v>
      </c>
      <c r="I163">
        <v>7.51</v>
      </c>
      <c r="J163">
        <v>-2.04</v>
      </c>
      <c r="K163">
        <v>10.92</v>
      </c>
      <c r="L163">
        <v>9.11</v>
      </c>
      <c r="M163" s="25">
        <v>0.20780000000000001</v>
      </c>
      <c r="N163" s="25">
        <v>0.1215</v>
      </c>
      <c r="O163">
        <v>1.56</v>
      </c>
      <c r="P163" s="25">
        <v>0.14069999999999999</v>
      </c>
      <c r="Q163" s="25">
        <v>0.25009999999999999</v>
      </c>
      <c r="R163" s="26">
        <v>1560.79</v>
      </c>
      <c r="S163" s="26">
        <v>4019070000</v>
      </c>
      <c r="T163">
        <v>1.83</v>
      </c>
      <c r="U163" s="25">
        <v>9.1300000000000006E-2</v>
      </c>
    </row>
    <row r="164" spans="1:21" x14ac:dyDescent="0.25">
      <c r="A164" t="s">
        <v>233</v>
      </c>
      <c r="B164">
        <v>4.7</v>
      </c>
      <c r="C164">
        <v>12.17</v>
      </c>
      <c r="D164">
        <v>1.28</v>
      </c>
      <c r="E164">
        <v>9.9049999999999994</v>
      </c>
      <c r="F164" s="25">
        <v>0.39090000000000003</v>
      </c>
      <c r="G164">
        <v>1.012</v>
      </c>
      <c r="H164">
        <v>4.3499999999999996</v>
      </c>
      <c r="I164">
        <v>-10.84</v>
      </c>
      <c r="J164">
        <v>24</v>
      </c>
      <c r="K164">
        <v>-8.61</v>
      </c>
      <c r="L164">
        <v>-10.91</v>
      </c>
      <c r="M164" s="25">
        <v>-0.91390000000000005</v>
      </c>
      <c r="N164" s="25">
        <v>0.81379999999999997</v>
      </c>
      <c r="O164">
        <v>13.71</v>
      </c>
      <c r="P164" s="25">
        <v>-0.11840000000000001</v>
      </c>
      <c r="Q164" s="25">
        <v>0.105</v>
      </c>
      <c r="R164" s="26">
        <v>25679</v>
      </c>
      <c r="S164" s="26">
        <v>54645000</v>
      </c>
      <c r="T164">
        <v>0</v>
      </c>
      <c r="U164" s="25">
        <v>-0.63080000000000003</v>
      </c>
    </row>
    <row r="165" spans="1:21" x14ac:dyDescent="0.25">
      <c r="A165" t="s">
        <v>387</v>
      </c>
      <c r="B165">
        <v>28.6</v>
      </c>
      <c r="C165">
        <v>6.45</v>
      </c>
      <c r="D165">
        <v>1.1100000000000001</v>
      </c>
      <c r="E165">
        <v>0.73399999999999999</v>
      </c>
      <c r="F165" s="25">
        <v>9.5799999999999996E-2</v>
      </c>
      <c r="G165">
        <v>0.42699999999999999</v>
      </c>
      <c r="H165">
        <v>5.8</v>
      </c>
      <c r="I165">
        <v>3.57</v>
      </c>
      <c r="J165">
        <v>-1.19</v>
      </c>
      <c r="K165">
        <v>5.95</v>
      </c>
      <c r="L165">
        <v>4.75</v>
      </c>
      <c r="M165" s="25">
        <v>0.20580000000000001</v>
      </c>
      <c r="N165" s="25">
        <v>0.1139</v>
      </c>
      <c r="O165">
        <v>1.4</v>
      </c>
      <c r="P165" s="25">
        <v>0.14169999999999999</v>
      </c>
      <c r="Q165" s="25">
        <v>0.1721</v>
      </c>
      <c r="R165" s="26">
        <v>6999.07</v>
      </c>
      <c r="S165" s="26">
        <v>4231080000</v>
      </c>
      <c r="T165">
        <v>1.02</v>
      </c>
      <c r="U165" s="25">
        <v>9.1200000000000003E-2</v>
      </c>
    </row>
    <row r="166" spans="1:21" x14ac:dyDescent="0.25">
      <c r="A166" t="s">
        <v>388</v>
      </c>
      <c r="B166">
        <v>5.51</v>
      </c>
      <c r="C166">
        <v>6.28</v>
      </c>
      <c r="D166">
        <v>2.2599999999999998</v>
      </c>
      <c r="E166">
        <v>1.0900000000000001</v>
      </c>
      <c r="F166" s="25">
        <v>0.1195</v>
      </c>
      <c r="G166">
        <v>0.70399999999999996</v>
      </c>
      <c r="H166">
        <v>8.24</v>
      </c>
      <c r="I166">
        <v>4.13</v>
      </c>
      <c r="J166">
        <v>-1.95</v>
      </c>
      <c r="K166">
        <v>5.58</v>
      </c>
      <c r="L166">
        <v>4.8899999999999997</v>
      </c>
      <c r="M166" s="25">
        <v>0.26429999999999998</v>
      </c>
      <c r="N166" s="25">
        <v>0.17369999999999999</v>
      </c>
      <c r="O166">
        <v>1.35</v>
      </c>
      <c r="P166" s="25">
        <v>0.21609999999999999</v>
      </c>
      <c r="Q166" s="25">
        <v>0.36009999999999998</v>
      </c>
      <c r="R166" s="26">
        <v>75851.600000000006</v>
      </c>
      <c r="S166" s="26">
        <v>5385610000</v>
      </c>
      <c r="T166">
        <v>1.27</v>
      </c>
      <c r="U166" s="25">
        <v>0.1515</v>
      </c>
    </row>
    <row r="167" spans="1:21" x14ac:dyDescent="0.25">
      <c r="A167" t="s">
        <v>389</v>
      </c>
      <c r="B167">
        <v>6.46</v>
      </c>
      <c r="C167">
        <v>7.36</v>
      </c>
      <c r="D167">
        <v>2.65</v>
      </c>
      <c r="E167">
        <v>1.278</v>
      </c>
      <c r="F167" s="25">
        <v>0.10199999999999999</v>
      </c>
      <c r="G167">
        <v>0.82499999999999996</v>
      </c>
      <c r="H167">
        <v>9.66</v>
      </c>
      <c r="I167">
        <v>4.84</v>
      </c>
      <c r="J167">
        <v>-2.29</v>
      </c>
      <c r="K167">
        <v>6.3</v>
      </c>
      <c r="L167">
        <v>5.51</v>
      </c>
      <c r="M167" s="25">
        <v>0.26429999999999998</v>
      </c>
      <c r="N167" s="25">
        <v>0.17369999999999999</v>
      </c>
      <c r="O167">
        <v>1.35</v>
      </c>
      <c r="P167" s="25">
        <v>0.21609999999999999</v>
      </c>
      <c r="Q167" s="25">
        <v>0.36009999999999998</v>
      </c>
      <c r="R167" s="26">
        <v>30.76</v>
      </c>
      <c r="S167" s="26">
        <v>5385610000</v>
      </c>
      <c r="T167">
        <v>1.27</v>
      </c>
      <c r="U167" s="25">
        <v>0.1515</v>
      </c>
    </row>
    <row r="168" spans="1:21" x14ac:dyDescent="0.25">
      <c r="A168" t="s">
        <v>911</v>
      </c>
      <c r="B168">
        <v>7.1</v>
      </c>
      <c r="C168">
        <v>8.09</v>
      </c>
      <c r="D168">
        <v>2.91</v>
      </c>
      <c r="E168">
        <v>1.405</v>
      </c>
      <c r="F168" s="25">
        <v>9.2799999999999994E-2</v>
      </c>
      <c r="G168">
        <v>0.90700000000000003</v>
      </c>
      <c r="H168">
        <v>10.62</v>
      </c>
      <c r="I168">
        <v>5.32</v>
      </c>
      <c r="J168">
        <v>-2.52</v>
      </c>
      <c r="K168">
        <v>6.78</v>
      </c>
      <c r="L168">
        <v>5.93</v>
      </c>
      <c r="M168" s="25">
        <v>0.26429999999999998</v>
      </c>
      <c r="N168" s="25">
        <v>0.17369999999999999</v>
      </c>
      <c r="O168">
        <v>1.35</v>
      </c>
      <c r="P168" s="25">
        <v>0.21609999999999999</v>
      </c>
      <c r="Q168" s="25">
        <v>0.36009999999999998</v>
      </c>
      <c r="R168" s="26">
        <v>169.48</v>
      </c>
      <c r="S168" s="26">
        <v>5385610000</v>
      </c>
      <c r="T168">
        <v>1.27</v>
      </c>
      <c r="U168" s="25">
        <v>0.1515</v>
      </c>
    </row>
    <row r="169" spans="1:21" x14ac:dyDescent="0.25">
      <c r="A169" t="s">
        <v>3</v>
      </c>
      <c r="B169">
        <v>8.0500000000000007</v>
      </c>
      <c r="C169">
        <v>9.17</v>
      </c>
      <c r="D169">
        <v>3.3</v>
      </c>
      <c r="E169">
        <v>1.593</v>
      </c>
      <c r="F169" s="25">
        <v>8.1799999999999998E-2</v>
      </c>
      <c r="G169">
        <v>1.028</v>
      </c>
      <c r="H169">
        <v>12.04</v>
      </c>
      <c r="I169">
        <v>6.03</v>
      </c>
      <c r="J169">
        <v>-2.86</v>
      </c>
      <c r="K169">
        <v>7.49</v>
      </c>
      <c r="L169">
        <v>6.55</v>
      </c>
      <c r="M169" s="25">
        <v>0.26429999999999998</v>
      </c>
      <c r="N169" s="25">
        <v>0.17369999999999999</v>
      </c>
      <c r="O169">
        <v>1.35</v>
      </c>
      <c r="P169" s="25">
        <v>0.21609999999999999</v>
      </c>
      <c r="Q169" s="25">
        <v>0.36009999999999998</v>
      </c>
      <c r="R169" s="26">
        <v>95.83</v>
      </c>
      <c r="S169" s="26">
        <v>5385610000</v>
      </c>
      <c r="T169">
        <v>1.27</v>
      </c>
      <c r="U169" s="25">
        <v>0.1515</v>
      </c>
    </row>
    <row r="170" spans="1:21" x14ac:dyDescent="0.25">
      <c r="A170" t="s">
        <v>81</v>
      </c>
      <c r="B170">
        <v>34.6</v>
      </c>
      <c r="C170">
        <v>14.06</v>
      </c>
      <c r="D170">
        <v>1.62</v>
      </c>
      <c r="E170">
        <v>0.92</v>
      </c>
      <c r="F170" s="25">
        <v>2.2800000000000001E-2</v>
      </c>
      <c r="G170">
        <v>0.375</v>
      </c>
      <c r="H170">
        <v>8.42</v>
      </c>
      <c r="I170">
        <v>4.3899999999999997</v>
      </c>
      <c r="J170">
        <v>-0.74</v>
      </c>
      <c r="K170">
        <v>8.83</v>
      </c>
      <c r="L170">
        <v>7.17</v>
      </c>
      <c r="M170" s="25">
        <v>0.20960000000000001</v>
      </c>
      <c r="N170" s="25">
        <v>8.2600000000000007E-2</v>
      </c>
      <c r="O170">
        <v>1.24</v>
      </c>
      <c r="P170" s="25">
        <v>9.8000000000000004E-2</v>
      </c>
      <c r="Q170" s="25">
        <v>0.1153</v>
      </c>
      <c r="R170" s="26">
        <v>242143000</v>
      </c>
      <c r="S170" s="26">
        <v>26784000000</v>
      </c>
      <c r="T170">
        <v>2.0299999999999998</v>
      </c>
      <c r="U170" s="25">
        <v>0.27089999999999997</v>
      </c>
    </row>
    <row r="171" spans="1:21" x14ac:dyDescent="0.25">
      <c r="A171" t="s">
        <v>180</v>
      </c>
      <c r="B171">
        <v>1.0900000000000001</v>
      </c>
      <c r="C171">
        <v>45.27</v>
      </c>
      <c r="D171">
        <v>0.45</v>
      </c>
      <c r="E171">
        <v>0.38</v>
      </c>
      <c r="F171" s="25">
        <v>1.5E-3</v>
      </c>
      <c r="G171">
        <v>0.17199999999999999</v>
      </c>
      <c r="H171">
        <v>1.1399999999999999</v>
      </c>
      <c r="I171">
        <v>2.65</v>
      </c>
      <c r="J171">
        <v>-1.07</v>
      </c>
      <c r="K171">
        <v>6.94</v>
      </c>
      <c r="L171">
        <v>4.3600000000000003</v>
      </c>
      <c r="M171" s="25">
        <v>0.14380000000000001</v>
      </c>
      <c r="N171" s="25">
        <v>7.9000000000000008E-3</v>
      </c>
      <c r="O171">
        <v>1.48</v>
      </c>
      <c r="P171" s="25">
        <v>7.2300000000000003E-2</v>
      </c>
      <c r="Q171" s="25">
        <v>0.01</v>
      </c>
      <c r="R171" s="26">
        <v>379354</v>
      </c>
      <c r="S171" s="26">
        <v>867856000</v>
      </c>
      <c r="T171">
        <v>0.98</v>
      </c>
      <c r="U171" s="25">
        <v>0.1706</v>
      </c>
    </row>
    <row r="172" spans="1:21" x14ac:dyDescent="0.25">
      <c r="A172" t="s">
        <v>390</v>
      </c>
      <c r="B172">
        <v>3.49</v>
      </c>
      <c r="C172">
        <v>-1.06</v>
      </c>
      <c r="D172">
        <v>-0.05</v>
      </c>
      <c r="E172">
        <v>0.17199999999999999</v>
      </c>
      <c r="F172" s="25">
        <v>0</v>
      </c>
      <c r="G172">
        <v>8.5999999999999993E-2</v>
      </c>
      <c r="H172">
        <v>-0.04</v>
      </c>
      <c r="I172">
        <v>-4.21</v>
      </c>
      <c r="J172">
        <v>-0.04</v>
      </c>
      <c r="K172">
        <v>-19.579999999999998</v>
      </c>
      <c r="L172">
        <v>-26.73</v>
      </c>
      <c r="M172" s="25">
        <v>-4.0899999999999999E-2</v>
      </c>
      <c r="N172" s="25">
        <v>-0.16170000000000001</v>
      </c>
      <c r="O172">
        <v>0.14000000000000001</v>
      </c>
      <c r="P172" s="25">
        <v>-2.18E-2</v>
      </c>
      <c r="Q172" s="25">
        <v>4.6300000000000001E-2</v>
      </c>
      <c r="R172" s="26">
        <v>516.95000000000005</v>
      </c>
      <c r="S172" s="26">
        <v>-573005000</v>
      </c>
      <c r="T172">
        <v>-0.18</v>
      </c>
      <c r="U172" s="25">
        <v>9.4000000000000004E-3</v>
      </c>
    </row>
    <row r="173" spans="1:21" x14ac:dyDescent="0.25">
      <c r="A173" t="s">
        <v>186</v>
      </c>
      <c r="B173">
        <v>3.7</v>
      </c>
      <c r="C173">
        <v>8.23</v>
      </c>
      <c r="D173">
        <v>0.28999999999999998</v>
      </c>
      <c r="E173">
        <v>0.19400000000000001</v>
      </c>
      <c r="F173" s="25">
        <v>3.39E-2</v>
      </c>
      <c r="G173">
        <v>0.17499999999999999</v>
      </c>
      <c r="H173">
        <v>1.05</v>
      </c>
      <c r="I173">
        <v>10.83</v>
      </c>
      <c r="J173">
        <v>18.66</v>
      </c>
      <c r="K173">
        <v>16.12</v>
      </c>
      <c r="L173">
        <v>4.6100000000000003</v>
      </c>
      <c r="M173" s="25">
        <v>1.7899999999999999E-2</v>
      </c>
      <c r="N173" s="25">
        <v>2.3599999999999999E-2</v>
      </c>
      <c r="O173">
        <v>1.72</v>
      </c>
      <c r="P173" s="25">
        <v>1.78E-2</v>
      </c>
      <c r="Q173" s="25">
        <v>3.49E-2</v>
      </c>
      <c r="R173" s="26">
        <v>310850</v>
      </c>
      <c r="S173" s="26">
        <v>795309000</v>
      </c>
      <c r="T173">
        <v>0.17</v>
      </c>
      <c r="U173" s="25">
        <v>6.88E-2</v>
      </c>
    </row>
    <row r="174" spans="1:21" x14ac:dyDescent="0.25">
      <c r="A174" t="s">
        <v>391</v>
      </c>
      <c r="B174">
        <v>19</v>
      </c>
      <c r="C174">
        <v>7.31</v>
      </c>
      <c r="D174">
        <v>0.66</v>
      </c>
      <c r="E174">
        <v>0.59399999999999997</v>
      </c>
      <c r="F174" s="25">
        <v>3.5200000000000002E-2</v>
      </c>
      <c r="G174">
        <v>0.36199999999999999</v>
      </c>
      <c r="H174">
        <v>1.78</v>
      </c>
      <c r="I174">
        <v>4.05</v>
      </c>
      <c r="J174">
        <v>-6.16</v>
      </c>
      <c r="K174">
        <v>5.4</v>
      </c>
      <c r="L174">
        <v>3.56</v>
      </c>
      <c r="M174" s="25">
        <v>0.1467</v>
      </c>
      <c r="N174" s="25">
        <v>8.1299999999999997E-2</v>
      </c>
      <c r="O174">
        <v>2.06</v>
      </c>
      <c r="P174" s="25">
        <v>0.10580000000000001</v>
      </c>
      <c r="Q174" s="25">
        <v>9.0700000000000003E-2</v>
      </c>
      <c r="R174" s="26">
        <v>29129.8</v>
      </c>
      <c r="S174" s="26">
        <v>2652920000</v>
      </c>
      <c r="T174">
        <v>0.4</v>
      </c>
      <c r="U174" s="25">
        <v>9.1399999999999995E-2</v>
      </c>
    </row>
    <row r="175" spans="1:21" x14ac:dyDescent="0.25">
      <c r="A175" t="s">
        <v>11</v>
      </c>
      <c r="B175">
        <v>17.11</v>
      </c>
      <c r="C175">
        <v>6.58</v>
      </c>
      <c r="D175">
        <v>0.6</v>
      </c>
      <c r="E175">
        <v>0.53500000000000003</v>
      </c>
      <c r="F175" s="25">
        <v>4.2999999999999997E-2</v>
      </c>
      <c r="G175">
        <v>0.32600000000000001</v>
      </c>
      <c r="H175">
        <v>1.61</v>
      </c>
      <c r="I175">
        <v>3.65</v>
      </c>
      <c r="J175">
        <v>-5.55</v>
      </c>
      <c r="K175">
        <v>4.99</v>
      </c>
      <c r="L175">
        <v>3.3</v>
      </c>
      <c r="M175" s="25">
        <v>0.1467</v>
      </c>
      <c r="N175" s="25">
        <v>8.1299999999999997E-2</v>
      </c>
      <c r="O175">
        <v>2.06</v>
      </c>
      <c r="P175" s="25">
        <v>0.10580000000000001</v>
      </c>
      <c r="Q175" s="25">
        <v>9.0700000000000003E-2</v>
      </c>
      <c r="R175" s="26">
        <v>1049360</v>
      </c>
      <c r="S175" s="26">
        <v>2652920000</v>
      </c>
      <c r="T175">
        <v>0.4</v>
      </c>
      <c r="U175" s="25">
        <v>9.1399999999999995E-2</v>
      </c>
    </row>
    <row r="176" spans="1:21" x14ac:dyDescent="0.25">
      <c r="A176" t="s">
        <v>122</v>
      </c>
      <c r="B176">
        <v>7.08</v>
      </c>
      <c r="C176">
        <v>45.57</v>
      </c>
      <c r="D176">
        <v>0.75</v>
      </c>
      <c r="E176">
        <v>0.76700000000000002</v>
      </c>
      <c r="F176" s="25">
        <v>5.6500000000000002E-2</v>
      </c>
      <c r="G176">
        <v>0.27500000000000002</v>
      </c>
      <c r="H176">
        <v>0.44</v>
      </c>
      <c r="I176">
        <v>4.8499999999999996</v>
      </c>
      <c r="J176">
        <v>1.17</v>
      </c>
      <c r="K176">
        <v>5.69</v>
      </c>
      <c r="L176">
        <v>5.63</v>
      </c>
      <c r="M176" s="25">
        <v>0.15820000000000001</v>
      </c>
      <c r="N176" s="25">
        <v>5.6500000000000002E-2</v>
      </c>
      <c r="O176">
        <v>4.38</v>
      </c>
      <c r="P176" s="25">
        <v>6.93E-2</v>
      </c>
      <c r="Q176" s="25">
        <v>1.6500000000000001E-2</v>
      </c>
      <c r="R176" s="26">
        <v>4194310</v>
      </c>
      <c r="S176" s="26">
        <v>1885180000</v>
      </c>
      <c r="T176">
        <v>0.59</v>
      </c>
      <c r="U176" s="25">
        <v>2.75E-2</v>
      </c>
    </row>
    <row r="177" spans="1:21" x14ac:dyDescent="0.25">
      <c r="A177" t="s">
        <v>90</v>
      </c>
      <c r="B177">
        <v>13.27</v>
      </c>
      <c r="C177">
        <v>6.63</v>
      </c>
      <c r="D177">
        <v>0.6</v>
      </c>
      <c r="E177">
        <v>1.796</v>
      </c>
      <c r="F177" s="25">
        <v>8.8099999999999998E-2</v>
      </c>
      <c r="G177">
        <v>0.42099999999999999</v>
      </c>
      <c r="H177">
        <v>1.1100000000000001</v>
      </c>
      <c r="I177">
        <v>9.56</v>
      </c>
      <c r="J177">
        <v>2.75</v>
      </c>
      <c r="K177">
        <v>10.86</v>
      </c>
      <c r="L177">
        <v>10</v>
      </c>
      <c r="M177" s="25">
        <v>0.18779999999999999</v>
      </c>
      <c r="N177" s="25">
        <v>0.28749999999999998</v>
      </c>
      <c r="O177">
        <v>7.71</v>
      </c>
      <c r="P177" s="25">
        <v>5.3499999999999999E-2</v>
      </c>
      <c r="Q177" s="25">
        <v>9.0200000000000002E-2</v>
      </c>
      <c r="R177" s="26">
        <v>13337400</v>
      </c>
      <c r="S177" s="26">
        <v>4898440000</v>
      </c>
      <c r="T177">
        <v>0.32</v>
      </c>
      <c r="U177" s="25">
        <v>0.1333</v>
      </c>
    </row>
    <row r="178" spans="1:21" x14ac:dyDescent="0.25">
      <c r="A178" t="s">
        <v>392</v>
      </c>
      <c r="B178">
        <v>12.06</v>
      </c>
      <c r="C178">
        <v>13.72</v>
      </c>
      <c r="D178">
        <v>1.27</v>
      </c>
      <c r="E178">
        <v>1.871</v>
      </c>
      <c r="F178" s="25">
        <v>3.7699999999999997E-2</v>
      </c>
      <c r="G178">
        <v>0.98299999999999998</v>
      </c>
      <c r="H178">
        <v>3.77</v>
      </c>
      <c r="I178">
        <v>20.56</v>
      </c>
      <c r="J178">
        <v>6.06</v>
      </c>
      <c r="K178">
        <v>18.21</v>
      </c>
      <c r="L178">
        <v>7.93</v>
      </c>
      <c r="M178" s="25">
        <v>9.0999999999999998E-2</v>
      </c>
      <c r="N178" s="25">
        <v>0.13650000000000001</v>
      </c>
      <c r="O178">
        <v>3.09</v>
      </c>
      <c r="P178" s="25">
        <v>6.1600000000000002E-2</v>
      </c>
      <c r="Q178" s="25">
        <v>9.2299999999999993E-2</v>
      </c>
      <c r="R178" s="26">
        <v>1635.48</v>
      </c>
      <c r="S178" s="26">
        <v>3363440000</v>
      </c>
      <c r="T178">
        <v>0.1</v>
      </c>
      <c r="U178" s="25">
        <v>3.2500000000000001E-2</v>
      </c>
    </row>
    <row r="179" spans="1:21" x14ac:dyDescent="0.25">
      <c r="A179" t="s">
        <v>252</v>
      </c>
      <c r="B179">
        <v>6.79</v>
      </c>
      <c r="C179">
        <v>7.72</v>
      </c>
      <c r="D179">
        <v>0.71</v>
      </c>
      <c r="E179">
        <v>1.0529999999999999</v>
      </c>
      <c r="F179" s="25">
        <v>7.3700000000000002E-2</v>
      </c>
      <c r="G179">
        <v>0.55300000000000005</v>
      </c>
      <c r="H179">
        <v>2.12</v>
      </c>
      <c r="I179">
        <v>11.58</v>
      </c>
      <c r="J179">
        <v>3.41</v>
      </c>
      <c r="K179">
        <v>9.23</v>
      </c>
      <c r="L179">
        <v>4.0199999999999996</v>
      </c>
      <c r="M179" s="25">
        <v>9.0999999999999998E-2</v>
      </c>
      <c r="N179" s="25">
        <v>0.13650000000000001</v>
      </c>
      <c r="O179">
        <v>3.09</v>
      </c>
      <c r="P179" s="25">
        <v>6.1600000000000002E-2</v>
      </c>
      <c r="Q179" s="25">
        <v>9.2299999999999993E-2</v>
      </c>
      <c r="R179" s="26">
        <v>3384780</v>
      </c>
      <c r="S179" s="26">
        <v>3363440000</v>
      </c>
      <c r="T179">
        <v>0.1</v>
      </c>
      <c r="U179" s="25">
        <v>3.2500000000000001E-2</v>
      </c>
    </row>
    <row r="180" spans="1:21" x14ac:dyDescent="0.25">
      <c r="A180" t="s">
        <v>227</v>
      </c>
      <c r="B180">
        <v>4.05</v>
      </c>
      <c r="C180">
        <v>-0.23</v>
      </c>
      <c r="D180">
        <v>-0.2</v>
      </c>
      <c r="E180">
        <v>4.8000000000000001E-2</v>
      </c>
      <c r="F180" s="25">
        <v>0</v>
      </c>
      <c r="G180">
        <v>7.4999999999999997E-2</v>
      </c>
      <c r="H180">
        <v>-0.53</v>
      </c>
      <c r="I180">
        <v>-1.04</v>
      </c>
      <c r="J180">
        <v>-0.11</v>
      </c>
      <c r="K180">
        <v>-0.1</v>
      </c>
      <c r="L180">
        <v>-0.14000000000000001</v>
      </c>
      <c r="M180" s="25">
        <v>-4.6100000000000002E-2</v>
      </c>
      <c r="N180" s="25">
        <v>-0.20930000000000001</v>
      </c>
      <c r="O180">
        <v>0.83</v>
      </c>
      <c r="P180" s="25">
        <v>-0.39689999999999998</v>
      </c>
      <c r="Q180" s="25">
        <v>0.87439999999999996</v>
      </c>
      <c r="R180" s="26">
        <v>245472</v>
      </c>
      <c r="S180" s="26">
        <v>-1087650000</v>
      </c>
      <c r="T180">
        <v>-0.02</v>
      </c>
      <c r="U180" s="25">
        <v>0.1242</v>
      </c>
    </row>
    <row r="181" spans="1:21" x14ac:dyDescent="0.25">
      <c r="A181" t="s">
        <v>393</v>
      </c>
      <c r="B181">
        <v>3.2</v>
      </c>
      <c r="C181">
        <v>-3.12</v>
      </c>
      <c r="D181">
        <v>-8.3699999999999992</v>
      </c>
      <c r="E181">
        <v>-6.3150000000000004</v>
      </c>
      <c r="F181" s="25">
        <v>0</v>
      </c>
      <c r="G181">
        <v>17.138000000000002</v>
      </c>
      <c r="H181">
        <v>-58.64</v>
      </c>
      <c r="I181">
        <v>-15.26</v>
      </c>
      <c r="J181">
        <v>-5.64</v>
      </c>
      <c r="K181">
        <v>-16.13</v>
      </c>
      <c r="L181">
        <v>-15.39</v>
      </c>
      <c r="M181" s="25">
        <v>0.41389999999999999</v>
      </c>
      <c r="N181" s="25">
        <v>2.0249999999999999</v>
      </c>
      <c r="O181">
        <v>0.03</v>
      </c>
      <c r="P181" s="25">
        <v>-1.1304000000000001</v>
      </c>
      <c r="Q181" s="25">
        <v>2.6833999999999998</v>
      </c>
      <c r="R181" s="26">
        <v>66598.2</v>
      </c>
      <c r="S181" s="26">
        <v>-9103000</v>
      </c>
      <c r="T181">
        <v>-0.48</v>
      </c>
      <c r="U181" s="25">
        <v>-0.1394</v>
      </c>
    </row>
    <row r="182" spans="1:21" x14ac:dyDescent="0.25">
      <c r="A182" t="s">
        <v>394</v>
      </c>
      <c r="B182">
        <v>13</v>
      </c>
      <c r="C182">
        <v>-49.51</v>
      </c>
      <c r="D182">
        <v>0.4</v>
      </c>
      <c r="E182">
        <v>12.558999999999999</v>
      </c>
      <c r="F182" s="25">
        <v>0</v>
      </c>
      <c r="G182">
        <v>0.29899999999999999</v>
      </c>
      <c r="H182">
        <v>2.93</v>
      </c>
      <c r="I182">
        <v>-5.31</v>
      </c>
      <c r="J182">
        <v>-6.41</v>
      </c>
      <c r="K182">
        <v>-7.19</v>
      </c>
      <c r="L182">
        <v>-7.65</v>
      </c>
      <c r="M182" s="25">
        <v>-2.3645999999999998</v>
      </c>
      <c r="N182" s="25">
        <v>-0.25490000000000002</v>
      </c>
      <c r="O182">
        <v>2.0499999999999998</v>
      </c>
      <c r="P182" s="25">
        <v>-5.9299999999999999E-2</v>
      </c>
      <c r="Q182" s="25">
        <v>-8.0000000000000002E-3</v>
      </c>
      <c r="R182" s="26">
        <v>27097.1</v>
      </c>
      <c r="S182" s="26">
        <v>79440000</v>
      </c>
      <c r="T182">
        <v>0.15</v>
      </c>
      <c r="U182" s="25">
        <v>-2.1299999999999999E-2</v>
      </c>
    </row>
    <row r="183" spans="1:21" x14ac:dyDescent="0.25">
      <c r="A183" t="s">
        <v>395</v>
      </c>
      <c r="B183">
        <v>3.64</v>
      </c>
      <c r="C183">
        <v>7.57</v>
      </c>
      <c r="D183">
        <v>1.08</v>
      </c>
      <c r="E183">
        <v>1.26</v>
      </c>
      <c r="F183" s="25">
        <v>2.7199999999999998E-2</v>
      </c>
      <c r="G183">
        <v>0.56799999999999995</v>
      </c>
      <c r="H183">
        <v>5.73</v>
      </c>
      <c r="I183">
        <v>5.26</v>
      </c>
      <c r="J183">
        <v>-2.93</v>
      </c>
      <c r="K183">
        <v>5.88</v>
      </c>
      <c r="L183">
        <v>2.99</v>
      </c>
      <c r="M183" s="25">
        <v>0.23960000000000001</v>
      </c>
      <c r="N183" s="25">
        <v>0.16639999999999999</v>
      </c>
      <c r="O183">
        <v>1.55</v>
      </c>
      <c r="P183" s="25">
        <v>0.1351</v>
      </c>
      <c r="Q183" s="25">
        <v>0.14269999999999999</v>
      </c>
      <c r="R183" s="26">
        <v>938392</v>
      </c>
      <c r="S183" s="26">
        <v>1220080000</v>
      </c>
      <c r="T183">
        <v>0.47</v>
      </c>
      <c r="U183" s="25">
        <v>0.2616</v>
      </c>
    </row>
    <row r="184" spans="1:21" x14ac:dyDescent="0.25">
      <c r="A184" t="s">
        <v>51</v>
      </c>
      <c r="B184">
        <v>14.51</v>
      </c>
      <c r="C184">
        <v>12.65</v>
      </c>
      <c r="D184">
        <v>1.52</v>
      </c>
      <c r="E184">
        <v>1.0189999999999999</v>
      </c>
      <c r="F184" s="25">
        <v>7.0099999999999996E-2</v>
      </c>
      <c r="G184">
        <v>0.59799999999999998</v>
      </c>
      <c r="H184">
        <v>3.02</v>
      </c>
      <c r="I184">
        <v>6.61</v>
      </c>
      <c r="J184">
        <v>-2.42</v>
      </c>
      <c r="K184">
        <v>9.14</v>
      </c>
      <c r="L184">
        <v>5.48</v>
      </c>
      <c r="M184" s="25">
        <v>0.154</v>
      </c>
      <c r="N184" s="25">
        <v>7.8399999999999997E-2</v>
      </c>
      <c r="O184">
        <v>2.29</v>
      </c>
      <c r="P184" s="25">
        <v>0.11849999999999999</v>
      </c>
      <c r="Q184" s="25">
        <v>0.1201</v>
      </c>
      <c r="R184" s="26">
        <v>42824100</v>
      </c>
      <c r="S184" s="26">
        <v>5226800000</v>
      </c>
      <c r="T184">
        <v>1.05</v>
      </c>
      <c r="U184" s="25">
        <v>0.26790000000000003</v>
      </c>
    </row>
    <row r="185" spans="1:21" x14ac:dyDescent="0.25">
      <c r="A185" t="s">
        <v>65</v>
      </c>
      <c r="B185">
        <v>23.45</v>
      </c>
      <c r="C185">
        <v>20.05</v>
      </c>
      <c r="D185">
        <v>3.08</v>
      </c>
      <c r="E185">
        <v>1.4750000000000001</v>
      </c>
      <c r="F185" s="25">
        <v>2.5000000000000001E-2</v>
      </c>
      <c r="G185">
        <v>0.97599999999999998</v>
      </c>
      <c r="H185">
        <v>3.69</v>
      </c>
      <c r="I185">
        <v>9.93</v>
      </c>
      <c r="J185">
        <v>-5.1100000000000003</v>
      </c>
      <c r="K185">
        <v>12.98</v>
      </c>
      <c r="L185">
        <v>10.09</v>
      </c>
      <c r="M185" s="25">
        <v>0.14849999999999999</v>
      </c>
      <c r="N185" s="25">
        <v>7.5300000000000006E-2</v>
      </c>
      <c r="O185">
        <v>2.19</v>
      </c>
      <c r="P185" s="25">
        <v>0.123</v>
      </c>
      <c r="Q185" s="25">
        <v>0.15379999999999999</v>
      </c>
      <c r="R185" s="26">
        <v>13277900</v>
      </c>
      <c r="S185" s="26">
        <v>2131360000</v>
      </c>
      <c r="T185">
        <v>1.28</v>
      </c>
      <c r="U185" s="25">
        <v>0.2069</v>
      </c>
    </row>
    <row r="186" spans="1:21" x14ac:dyDescent="0.25">
      <c r="A186" t="s">
        <v>396</v>
      </c>
      <c r="B186">
        <v>203</v>
      </c>
      <c r="C186">
        <v>-56.87</v>
      </c>
      <c r="D186">
        <v>3.89</v>
      </c>
      <c r="E186">
        <v>0.55500000000000005</v>
      </c>
      <c r="F186" s="25">
        <v>0</v>
      </c>
      <c r="G186">
        <v>0.66200000000000003</v>
      </c>
      <c r="H186">
        <v>5.15</v>
      </c>
      <c r="I186">
        <v>14.12</v>
      </c>
      <c r="J186">
        <v>-6.37</v>
      </c>
      <c r="K186">
        <v>21.99</v>
      </c>
      <c r="L186">
        <v>12.13</v>
      </c>
      <c r="M186" s="25">
        <v>3.9300000000000002E-2</v>
      </c>
      <c r="N186" s="25">
        <v>-1.43E-2</v>
      </c>
      <c r="O186">
        <v>1.23</v>
      </c>
      <c r="P186" s="25">
        <v>6.7299999999999999E-2</v>
      </c>
      <c r="Q186" s="25">
        <v>-6.8400000000000002E-2</v>
      </c>
      <c r="R186" s="26">
        <v>36680.800000000003</v>
      </c>
      <c r="S186" s="26">
        <v>327983000</v>
      </c>
      <c r="T186">
        <v>2.5</v>
      </c>
      <c r="U186" s="25">
        <v>7.6799999999999993E-2</v>
      </c>
    </row>
    <row r="187" spans="1:21" x14ac:dyDescent="0.25">
      <c r="A187" t="s">
        <v>397</v>
      </c>
      <c r="B187">
        <v>33.340000000000003</v>
      </c>
      <c r="C187">
        <v>32.409999999999997</v>
      </c>
      <c r="D187">
        <v>1.86</v>
      </c>
      <c r="E187">
        <v>9.0120000000000005</v>
      </c>
      <c r="F187" s="25">
        <v>0.2104</v>
      </c>
      <c r="G187">
        <v>0.89500000000000002</v>
      </c>
      <c r="H187">
        <v>-8.4499999999999993</v>
      </c>
      <c r="I187">
        <v>19.05</v>
      </c>
      <c r="J187">
        <v>-2.67</v>
      </c>
      <c r="K187">
        <v>20.2</v>
      </c>
      <c r="L187">
        <v>14.35</v>
      </c>
      <c r="M187" s="25">
        <v>0.47299999999999998</v>
      </c>
      <c r="N187" s="25">
        <v>0.27810000000000001</v>
      </c>
      <c r="O187">
        <v>0.63</v>
      </c>
      <c r="P187" s="25">
        <v>6.2899999999999998E-2</v>
      </c>
      <c r="Q187" s="25">
        <v>5.74E-2</v>
      </c>
      <c r="R187" s="26">
        <v>2471.9299999999998</v>
      </c>
      <c r="S187" s="26">
        <v>1691660000</v>
      </c>
      <c r="T187">
        <v>0.37</v>
      </c>
      <c r="U187" s="25">
        <v>-0.25559999999999999</v>
      </c>
    </row>
    <row r="188" spans="1:21" x14ac:dyDescent="0.25">
      <c r="A188" t="s">
        <v>398</v>
      </c>
      <c r="B188">
        <v>36.01</v>
      </c>
      <c r="C188">
        <v>35.01</v>
      </c>
      <c r="D188">
        <v>2.0099999999999998</v>
      </c>
      <c r="E188">
        <v>9.734</v>
      </c>
      <c r="F188" s="25">
        <v>0.1948</v>
      </c>
      <c r="G188">
        <v>0.96699999999999997</v>
      </c>
      <c r="H188">
        <v>-9.1300000000000008</v>
      </c>
      <c r="I188">
        <v>20.58</v>
      </c>
      <c r="J188">
        <v>-2.88</v>
      </c>
      <c r="K188">
        <v>21.73</v>
      </c>
      <c r="L188">
        <v>15.43</v>
      </c>
      <c r="M188" s="25">
        <v>0.47299999999999998</v>
      </c>
      <c r="N188" s="25">
        <v>0.27810000000000001</v>
      </c>
      <c r="O188">
        <v>0.63</v>
      </c>
      <c r="P188" s="25">
        <v>6.2899999999999998E-2</v>
      </c>
      <c r="Q188" s="25">
        <v>5.74E-2</v>
      </c>
      <c r="R188" s="26">
        <v>17356.3</v>
      </c>
      <c r="S188" s="26">
        <v>1691660000</v>
      </c>
      <c r="T188">
        <v>0.37</v>
      </c>
      <c r="U188" s="25">
        <v>-0.25559999999999999</v>
      </c>
    </row>
    <row r="189" spans="1:21" x14ac:dyDescent="0.25">
      <c r="A189" t="s">
        <v>228</v>
      </c>
      <c r="B189">
        <v>16.88</v>
      </c>
      <c r="C189">
        <v>-2.89</v>
      </c>
      <c r="D189">
        <v>0.06</v>
      </c>
      <c r="E189">
        <v>0.115</v>
      </c>
      <c r="F189" s="25">
        <v>0</v>
      </c>
      <c r="G189">
        <v>2.3E-2</v>
      </c>
      <c r="H189">
        <v>0.1</v>
      </c>
      <c r="I189">
        <v>-0.59</v>
      </c>
      <c r="J189">
        <v>-2.4700000000000002</v>
      </c>
      <c r="K189">
        <v>-7.54</v>
      </c>
      <c r="L189">
        <v>-8.15</v>
      </c>
      <c r="M189" s="25">
        <v>-0.1966</v>
      </c>
      <c r="N189" s="25">
        <v>-0.04</v>
      </c>
      <c r="O189">
        <v>1.67</v>
      </c>
      <c r="P189" s="25">
        <v>-4.1599999999999998E-2</v>
      </c>
      <c r="Q189" s="25">
        <v>-1.9699999999999999E-2</v>
      </c>
      <c r="R189" s="26">
        <v>7017840</v>
      </c>
      <c r="S189" s="26">
        <v>1995250000</v>
      </c>
      <c r="T189">
        <v>0.75</v>
      </c>
      <c r="U189" s="25">
        <v>2.4199999999999999E-2</v>
      </c>
    </row>
    <row r="190" spans="1:21" x14ac:dyDescent="0.25">
      <c r="A190" t="s">
        <v>33</v>
      </c>
      <c r="B190">
        <v>15.3</v>
      </c>
      <c r="C190">
        <v>9.48</v>
      </c>
      <c r="D190">
        <v>0.55000000000000004</v>
      </c>
      <c r="E190">
        <v>0.45500000000000002</v>
      </c>
      <c r="F190" s="25">
        <v>4.3200000000000002E-2</v>
      </c>
      <c r="G190">
        <v>0.36299999999999999</v>
      </c>
      <c r="H190">
        <v>1.55</v>
      </c>
      <c r="I190">
        <v>4.76</v>
      </c>
      <c r="J190">
        <v>10.94</v>
      </c>
      <c r="K190">
        <v>5.93</v>
      </c>
      <c r="L190">
        <v>3.95</v>
      </c>
      <c r="M190" s="25">
        <v>9.5600000000000004E-2</v>
      </c>
      <c r="N190" s="25">
        <v>4.8500000000000001E-2</v>
      </c>
      <c r="O190">
        <v>2.64</v>
      </c>
      <c r="P190" s="25">
        <v>9.0200000000000002E-2</v>
      </c>
      <c r="Q190" s="25">
        <v>5.8400000000000001E-2</v>
      </c>
      <c r="R190" s="26">
        <v>592098</v>
      </c>
      <c r="S190" s="26">
        <v>56017100000</v>
      </c>
      <c r="T190">
        <v>0.26</v>
      </c>
      <c r="U190" s="25">
        <v>3.73E-2</v>
      </c>
    </row>
    <row r="191" spans="1:21" x14ac:dyDescent="0.25">
      <c r="A191" t="s">
        <v>48</v>
      </c>
      <c r="B191">
        <v>17.22</v>
      </c>
      <c r="C191">
        <v>10.67</v>
      </c>
      <c r="D191">
        <v>0.62</v>
      </c>
      <c r="E191">
        <v>0.51200000000000001</v>
      </c>
      <c r="F191" s="25">
        <v>3.8399999999999997E-2</v>
      </c>
      <c r="G191">
        <v>0.40799999999999997</v>
      </c>
      <c r="H191">
        <v>1.75</v>
      </c>
      <c r="I191">
        <v>5.36</v>
      </c>
      <c r="J191">
        <v>12.31</v>
      </c>
      <c r="K191">
        <v>6.53</v>
      </c>
      <c r="L191">
        <v>4.34</v>
      </c>
      <c r="M191" s="25">
        <v>9.5600000000000004E-2</v>
      </c>
      <c r="N191" s="25">
        <v>4.8500000000000001E-2</v>
      </c>
      <c r="O191">
        <v>2.64</v>
      </c>
      <c r="P191" s="25">
        <v>9.0200000000000002E-2</v>
      </c>
      <c r="Q191" s="25">
        <v>5.8400000000000001E-2</v>
      </c>
      <c r="R191" s="26">
        <v>180617000</v>
      </c>
      <c r="S191" s="26">
        <v>56017100000</v>
      </c>
      <c r="T191">
        <v>0.26</v>
      </c>
      <c r="U191" s="25">
        <v>3.73E-2</v>
      </c>
    </row>
    <row r="192" spans="1:21" x14ac:dyDescent="0.25">
      <c r="A192" t="s">
        <v>99</v>
      </c>
      <c r="B192">
        <v>14.8</v>
      </c>
      <c r="C192">
        <v>15.05</v>
      </c>
      <c r="D192">
        <v>2.73</v>
      </c>
      <c r="E192">
        <v>0.63400000000000001</v>
      </c>
      <c r="F192" s="25">
        <v>2.18E-2</v>
      </c>
      <c r="G192">
        <v>0.69199999999999995</v>
      </c>
      <c r="H192">
        <v>2.2799999999999998</v>
      </c>
      <c r="I192">
        <v>8.33</v>
      </c>
      <c r="J192">
        <v>-3.2</v>
      </c>
      <c r="K192">
        <v>9.9700000000000006</v>
      </c>
      <c r="L192">
        <v>7.4</v>
      </c>
      <c r="M192" s="25">
        <v>7.6200000000000004E-2</v>
      </c>
      <c r="N192" s="25">
        <v>4.2700000000000002E-2</v>
      </c>
      <c r="O192">
        <v>2.34</v>
      </c>
      <c r="P192" s="25">
        <v>0.1101</v>
      </c>
      <c r="Q192" s="25">
        <v>0.18149999999999999</v>
      </c>
      <c r="R192" s="26">
        <v>44043100</v>
      </c>
      <c r="S192" s="26">
        <v>3670500000</v>
      </c>
      <c r="T192">
        <v>1.38</v>
      </c>
      <c r="U192" s="25">
        <v>0.28439999999999999</v>
      </c>
    </row>
    <row r="193" spans="1:21" x14ac:dyDescent="0.25">
      <c r="A193" t="s">
        <v>139</v>
      </c>
      <c r="B193">
        <v>7.61</v>
      </c>
      <c r="C193">
        <v>12.27</v>
      </c>
      <c r="D193">
        <v>1.71</v>
      </c>
      <c r="E193">
        <v>0.51800000000000002</v>
      </c>
      <c r="F193" s="25">
        <v>2.8199999999999999E-2</v>
      </c>
      <c r="G193">
        <v>0.85099999999999998</v>
      </c>
      <c r="H193">
        <v>2.33</v>
      </c>
      <c r="I193">
        <v>7.65</v>
      </c>
      <c r="J193">
        <v>6.59</v>
      </c>
      <c r="K193">
        <v>7.92</v>
      </c>
      <c r="L193">
        <v>6.78</v>
      </c>
      <c r="M193" s="25">
        <v>6.7699999999999996E-2</v>
      </c>
      <c r="N193" s="25">
        <v>4.2799999999999998E-2</v>
      </c>
      <c r="O193">
        <v>2.4</v>
      </c>
      <c r="P193" s="25">
        <v>0.1507</v>
      </c>
      <c r="Q193" s="25">
        <v>0.13930000000000001</v>
      </c>
      <c r="R193" s="26">
        <v>26451300</v>
      </c>
      <c r="S193" s="26">
        <v>10013600000</v>
      </c>
      <c r="T193">
        <v>0.21</v>
      </c>
      <c r="U193" s="25">
        <v>0.26050000000000001</v>
      </c>
    </row>
    <row r="194" spans="1:21" x14ac:dyDescent="0.25">
      <c r="A194" t="s">
        <v>43</v>
      </c>
      <c r="B194">
        <v>9.67</v>
      </c>
      <c r="C194">
        <v>8.6</v>
      </c>
      <c r="D194">
        <v>0.49</v>
      </c>
      <c r="E194">
        <v>0.14099999999999999</v>
      </c>
      <c r="F194" s="25">
        <v>3.6200000000000003E-2</v>
      </c>
      <c r="G194">
        <v>0.112</v>
      </c>
      <c r="H194">
        <v>0.48</v>
      </c>
      <c r="I194">
        <v>1.48</v>
      </c>
      <c r="J194">
        <v>3.33</v>
      </c>
      <c r="K194">
        <v>2.65</v>
      </c>
      <c r="L194">
        <v>1.76</v>
      </c>
      <c r="M194" s="25">
        <v>9.5399999999999999E-2</v>
      </c>
      <c r="N194" s="25">
        <v>4.8599999999999997E-2</v>
      </c>
      <c r="O194">
        <v>2.64</v>
      </c>
      <c r="P194" s="25">
        <v>0.09</v>
      </c>
      <c r="Q194" s="25">
        <v>5.74E-2</v>
      </c>
      <c r="R194" s="26">
        <v>278903</v>
      </c>
      <c r="S194" s="26">
        <v>19459900000</v>
      </c>
      <c r="T194">
        <v>0.75</v>
      </c>
      <c r="U194" s="25">
        <v>3.73E-2</v>
      </c>
    </row>
    <row r="195" spans="1:21" x14ac:dyDescent="0.25">
      <c r="A195" t="s">
        <v>133</v>
      </c>
      <c r="B195">
        <v>9.6300000000000008</v>
      </c>
      <c r="C195">
        <v>8.57</v>
      </c>
      <c r="D195">
        <v>0.49</v>
      </c>
      <c r="E195">
        <v>0.14000000000000001</v>
      </c>
      <c r="F195" s="25">
        <v>3.6299999999999999E-2</v>
      </c>
      <c r="G195">
        <v>0.112</v>
      </c>
      <c r="H195">
        <v>0.48</v>
      </c>
      <c r="I195">
        <v>1.47</v>
      </c>
      <c r="J195">
        <v>3.31</v>
      </c>
      <c r="K195">
        <v>2.64</v>
      </c>
      <c r="L195">
        <v>1.76</v>
      </c>
      <c r="M195" s="25">
        <v>9.5399999999999999E-2</v>
      </c>
      <c r="N195" s="25">
        <v>4.8599999999999997E-2</v>
      </c>
      <c r="O195">
        <v>2.64</v>
      </c>
      <c r="P195" s="25">
        <v>0.09</v>
      </c>
      <c r="Q195" s="25">
        <v>5.74E-2</v>
      </c>
      <c r="R195" s="26">
        <v>67518800</v>
      </c>
      <c r="S195" s="26">
        <v>19459900000</v>
      </c>
      <c r="T195">
        <v>0.75</v>
      </c>
      <c r="U195" s="25">
        <v>3.73E-2</v>
      </c>
    </row>
    <row r="196" spans="1:21" x14ac:dyDescent="0.25">
      <c r="A196" t="s">
        <v>250</v>
      </c>
      <c r="B196">
        <v>0.79</v>
      </c>
      <c r="C196">
        <v>-112.13</v>
      </c>
      <c r="D196">
        <v>-34.340000000000003</v>
      </c>
      <c r="E196">
        <v>47.427</v>
      </c>
      <c r="F196" s="25">
        <v>0</v>
      </c>
      <c r="G196">
        <v>40.497999999999998</v>
      </c>
      <c r="H196">
        <v>-49.36</v>
      </c>
      <c r="I196" s="26">
        <v>-1785.15</v>
      </c>
      <c r="J196">
        <v>-21.29</v>
      </c>
      <c r="K196" s="26">
        <v>-1822.83</v>
      </c>
      <c r="L196">
        <v>595.66</v>
      </c>
      <c r="M196" s="25">
        <v>-2.6599999999999999E-2</v>
      </c>
      <c r="N196" s="25">
        <v>-0.42299999999999999</v>
      </c>
      <c r="O196">
        <v>0.25</v>
      </c>
      <c r="P196" s="25">
        <v>-2.7799999999999998E-2</v>
      </c>
      <c r="Q196" s="25">
        <v>0.30630000000000002</v>
      </c>
      <c r="R196" s="26">
        <v>9486840</v>
      </c>
      <c r="S196" s="26">
        <v>-27683900000</v>
      </c>
      <c r="T196">
        <v>-0.79</v>
      </c>
      <c r="U196" s="25">
        <v>0.43</v>
      </c>
    </row>
    <row r="197" spans="1:21" x14ac:dyDescent="0.25">
      <c r="A197" t="s">
        <v>399</v>
      </c>
      <c r="B197">
        <v>22.9</v>
      </c>
      <c r="C197">
        <v>55.5</v>
      </c>
      <c r="D197">
        <v>2.31</v>
      </c>
      <c r="E197">
        <v>56.457999999999998</v>
      </c>
      <c r="F197" s="25">
        <v>0</v>
      </c>
      <c r="G197">
        <v>2.1150000000000002</v>
      </c>
      <c r="H197">
        <v>6.26</v>
      </c>
      <c r="I197">
        <v>-100.73</v>
      </c>
      <c r="J197">
        <v>7.97</v>
      </c>
      <c r="K197">
        <v>-87.92</v>
      </c>
      <c r="L197">
        <v>-97.9</v>
      </c>
      <c r="M197" s="25">
        <v>-0.5605</v>
      </c>
      <c r="N197" s="25">
        <v>1.0183</v>
      </c>
      <c r="O197">
        <v>29.82</v>
      </c>
      <c r="P197" s="25">
        <v>-2.93E-2</v>
      </c>
      <c r="Q197" s="25">
        <v>4.1599999999999998E-2</v>
      </c>
      <c r="R197" s="26">
        <v>54.52</v>
      </c>
      <c r="S197" s="26">
        <v>789920000</v>
      </c>
      <c r="T197">
        <v>0.02</v>
      </c>
      <c r="U197" s="25">
        <v>-0.54990000000000006</v>
      </c>
    </row>
    <row r="198" spans="1:21" x14ac:dyDescent="0.25">
      <c r="A198" t="s">
        <v>400</v>
      </c>
      <c r="B198">
        <v>4.16</v>
      </c>
      <c r="C198">
        <v>-1.51</v>
      </c>
      <c r="D198">
        <v>0.21</v>
      </c>
      <c r="E198">
        <v>-4.274</v>
      </c>
      <c r="F198" s="25">
        <v>0</v>
      </c>
      <c r="G198">
        <v>0.105</v>
      </c>
      <c r="H198">
        <v>1.1100000000000001</v>
      </c>
      <c r="I198">
        <v>-1.96</v>
      </c>
      <c r="J198">
        <v>-4</v>
      </c>
      <c r="K198">
        <v>0.31</v>
      </c>
      <c r="L198">
        <v>0.31</v>
      </c>
      <c r="M198" s="25">
        <v>2.1772999999999998</v>
      </c>
      <c r="N198" s="25">
        <v>5.7458999999999998</v>
      </c>
      <c r="O198">
        <v>2.74</v>
      </c>
      <c r="P198" s="25">
        <v>-6.2399999999999997E-2</v>
      </c>
      <c r="Q198" s="25">
        <v>-0.1384</v>
      </c>
      <c r="R198" s="26">
        <v>38509.4</v>
      </c>
      <c r="S198" s="26">
        <v>1347650000</v>
      </c>
      <c r="T198">
        <v>0.03</v>
      </c>
      <c r="U198" s="25">
        <v>-9.7500000000000003E-2</v>
      </c>
    </row>
    <row r="199" spans="1:21" x14ac:dyDescent="0.25">
      <c r="A199" t="s">
        <v>75</v>
      </c>
      <c r="B199">
        <v>5.15</v>
      </c>
      <c r="C199">
        <v>6.55</v>
      </c>
      <c r="D199">
        <v>1.18</v>
      </c>
      <c r="E199">
        <v>1.7509999999999999</v>
      </c>
      <c r="F199" s="25">
        <v>9.3799999999999994E-2</v>
      </c>
      <c r="G199">
        <v>0.99299999999999999</v>
      </c>
      <c r="H199">
        <v>1.85</v>
      </c>
      <c r="I199">
        <v>9.3800000000000008</v>
      </c>
      <c r="J199">
        <v>1.87</v>
      </c>
      <c r="K199">
        <v>6.52</v>
      </c>
      <c r="L199">
        <v>5.7</v>
      </c>
      <c r="M199" s="25">
        <v>0.1867</v>
      </c>
      <c r="N199" s="25">
        <v>0.26719999999999999</v>
      </c>
      <c r="O199">
        <v>4.47</v>
      </c>
      <c r="P199" s="25">
        <v>0.16539999999999999</v>
      </c>
      <c r="Q199" s="25">
        <v>0.1802</v>
      </c>
      <c r="R199" s="26">
        <v>13928500</v>
      </c>
      <c r="S199" s="26">
        <v>3934740000</v>
      </c>
      <c r="T199">
        <v>0.05</v>
      </c>
      <c r="U199" s="25">
        <v>5.8200000000000002E-2</v>
      </c>
    </row>
    <row r="200" spans="1:21" x14ac:dyDescent="0.25">
      <c r="A200" t="s">
        <v>401</v>
      </c>
      <c r="B200">
        <v>4.3</v>
      </c>
      <c r="C200">
        <v>-0.01</v>
      </c>
      <c r="D200">
        <v>-0.01</v>
      </c>
      <c r="E200">
        <v>4.4999999999999998E-2</v>
      </c>
      <c r="F200" s="25">
        <v>0</v>
      </c>
      <c r="G200">
        <v>7.0000000000000001E-3</v>
      </c>
      <c r="H200">
        <v>-0.51</v>
      </c>
      <c r="I200">
        <v>0.15</v>
      </c>
      <c r="J200">
        <v>0</v>
      </c>
      <c r="K200">
        <v>39.6</v>
      </c>
      <c r="L200">
        <v>38.049999999999997</v>
      </c>
      <c r="M200" s="25">
        <v>0.2949</v>
      </c>
      <c r="N200" s="25">
        <v>-3.1928000000000001</v>
      </c>
      <c r="O200">
        <v>0.92</v>
      </c>
      <c r="P200" s="25">
        <v>5.0999999999999997E-2</v>
      </c>
      <c r="Q200" s="25">
        <v>0.4163</v>
      </c>
      <c r="R200" s="26">
        <v>4730.05</v>
      </c>
      <c r="S200" s="26">
        <v>-1409770000</v>
      </c>
      <c r="T200">
        <v>-1.6</v>
      </c>
      <c r="U200" s="25">
        <v>0.1696</v>
      </c>
    </row>
    <row r="201" spans="1:21" x14ac:dyDescent="0.25">
      <c r="A201" t="s">
        <v>216</v>
      </c>
      <c r="B201">
        <v>8.0299999999999994</v>
      </c>
      <c r="C201">
        <v>12.32</v>
      </c>
      <c r="D201">
        <v>0.74</v>
      </c>
      <c r="E201">
        <v>0.40699999999999997</v>
      </c>
      <c r="F201" s="25">
        <v>0</v>
      </c>
      <c r="G201">
        <v>0.30299999999999999</v>
      </c>
      <c r="H201">
        <v>1.48</v>
      </c>
      <c r="I201">
        <v>4.7</v>
      </c>
      <c r="J201">
        <v>10.65</v>
      </c>
      <c r="K201">
        <v>5.71</v>
      </c>
      <c r="L201">
        <v>3.15</v>
      </c>
      <c r="M201" s="25">
        <v>8.6699999999999999E-2</v>
      </c>
      <c r="N201" s="25">
        <v>3.3099999999999997E-2</v>
      </c>
      <c r="O201">
        <v>1.49</v>
      </c>
      <c r="P201" s="25">
        <v>7.8799999999999995E-2</v>
      </c>
      <c r="Q201" s="25">
        <v>6.0499999999999998E-2</v>
      </c>
      <c r="R201" s="26">
        <v>6396790</v>
      </c>
      <c r="S201" s="26">
        <v>5382710000</v>
      </c>
      <c r="T201">
        <v>0.37</v>
      </c>
      <c r="U201" s="25">
        <v>0.126</v>
      </c>
    </row>
    <row r="202" spans="1:21" x14ac:dyDescent="0.25">
      <c r="A202" t="s">
        <v>60</v>
      </c>
      <c r="B202">
        <v>1.93</v>
      </c>
      <c r="C202">
        <v>11.59</v>
      </c>
      <c r="D202">
        <v>-0.45</v>
      </c>
      <c r="E202">
        <v>0.75700000000000001</v>
      </c>
      <c r="F202" s="25">
        <v>0</v>
      </c>
      <c r="G202">
        <v>0.34200000000000003</v>
      </c>
      <c r="H202">
        <v>0.65</v>
      </c>
      <c r="I202">
        <v>-14.67</v>
      </c>
      <c r="J202">
        <v>-0.4</v>
      </c>
      <c r="K202">
        <v>3.21</v>
      </c>
      <c r="L202">
        <v>9.18</v>
      </c>
      <c r="M202" s="25">
        <v>-5.16E-2</v>
      </c>
      <c r="N202" s="25">
        <v>6.5299999999999997E-2</v>
      </c>
      <c r="O202">
        <v>2.4300000000000002</v>
      </c>
      <c r="P202" s="25">
        <v>-9.11E-2</v>
      </c>
      <c r="Q202" s="25">
        <v>-3.9E-2</v>
      </c>
      <c r="R202" s="26">
        <v>1703.05</v>
      </c>
      <c r="S202" s="26">
        <v>-50773000</v>
      </c>
      <c r="T202">
        <v>-0.41</v>
      </c>
      <c r="U202" s="25">
        <v>-6.59E-2</v>
      </c>
    </row>
    <row r="203" spans="1:21" x14ac:dyDescent="0.25">
      <c r="A203" t="s">
        <v>29</v>
      </c>
      <c r="B203">
        <v>1.1599999999999999</v>
      </c>
      <c r="C203">
        <v>6.97</v>
      </c>
      <c r="D203">
        <v>-0.27</v>
      </c>
      <c r="E203">
        <v>0.45500000000000002</v>
      </c>
      <c r="F203" s="25">
        <v>0</v>
      </c>
      <c r="G203">
        <v>0.20599999999999999</v>
      </c>
      <c r="H203">
        <v>0.39</v>
      </c>
      <c r="I203">
        <v>-8.82</v>
      </c>
      <c r="J203">
        <v>-0.24</v>
      </c>
      <c r="K203">
        <v>9.06</v>
      </c>
      <c r="L203">
        <v>25.94</v>
      </c>
      <c r="M203" s="25">
        <v>-5.16E-2</v>
      </c>
      <c r="N203" s="25">
        <v>6.5299999999999997E-2</v>
      </c>
      <c r="O203">
        <v>2.4300000000000002</v>
      </c>
      <c r="P203" s="25">
        <v>-9.11E-2</v>
      </c>
      <c r="Q203" s="25">
        <v>-3.9E-2</v>
      </c>
      <c r="R203" s="26">
        <v>9753.43</v>
      </c>
      <c r="S203" s="26">
        <v>-50773000</v>
      </c>
      <c r="T203">
        <v>-0.41</v>
      </c>
      <c r="U203" s="25">
        <v>-6.59E-2</v>
      </c>
    </row>
    <row r="204" spans="1:21" x14ac:dyDescent="0.25">
      <c r="A204" t="s">
        <v>241</v>
      </c>
      <c r="B204">
        <v>31.82</v>
      </c>
      <c r="C204">
        <v>-30.27</v>
      </c>
      <c r="D204">
        <v>0.33</v>
      </c>
      <c r="E204">
        <v>0.55000000000000004</v>
      </c>
      <c r="F204" s="25">
        <v>0</v>
      </c>
      <c r="G204">
        <v>0.215</v>
      </c>
      <c r="H204">
        <v>2.5099999999999998</v>
      </c>
      <c r="I204">
        <v>18.68</v>
      </c>
      <c r="J204">
        <v>-1.21</v>
      </c>
      <c r="K204">
        <v>22.97</v>
      </c>
      <c r="L204">
        <v>11.18</v>
      </c>
      <c r="M204" s="25">
        <v>2.9499999999999998E-2</v>
      </c>
      <c r="N204" s="25">
        <v>-1.8200000000000001E-2</v>
      </c>
      <c r="O204">
        <v>2.1</v>
      </c>
      <c r="P204" s="25">
        <v>1.3299999999999999E-2</v>
      </c>
      <c r="Q204" s="25">
        <v>-1.0800000000000001E-2</v>
      </c>
      <c r="R204" s="26">
        <v>187544000</v>
      </c>
      <c r="S204" s="26">
        <v>48864200000</v>
      </c>
      <c r="T204">
        <v>0.27</v>
      </c>
      <c r="U204" s="25">
        <v>0.3775</v>
      </c>
    </row>
    <row r="205" spans="1:21" x14ac:dyDescent="0.25">
      <c r="A205" t="s">
        <v>210</v>
      </c>
      <c r="B205">
        <v>2.4900000000000002</v>
      </c>
      <c r="C205">
        <v>5.84</v>
      </c>
      <c r="D205">
        <v>0.23</v>
      </c>
      <c r="E205">
        <v>0.26200000000000001</v>
      </c>
      <c r="F205" s="25">
        <v>4.0599999999999997E-2</v>
      </c>
      <c r="G205">
        <v>5.1999999999999998E-2</v>
      </c>
      <c r="H205">
        <v>0.36</v>
      </c>
      <c r="I205">
        <v>1.58</v>
      </c>
      <c r="J205">
        <v>-0.28999999999999998</v>
      </c>
      <c r="K205">
        <v>8.66</v>
      </c>
      <c r="L205">
        <v>7.57</v>
      </c>
      <c r="M205" s="25">
        <v>0.16569999999999999</v>
      </c>
      <c r="N205" s="25">
        <v>0.12989999999999999</v>
      </c>
      <c r="O205">
        <v>1.61</v>
      </c>
      <c r="P205" s="25">
        <v>3.4700000000000002E-2</v>
      </c>
      <c r="Q205" s="25">
        <v>3.9100000000000003E-2</v>
      </c>
      <c r="R205" s="26">
        <v>4057310</v>
      </c>
      <c r="S205" s="26">
        <v>1459720000</v>
      </c>
      <c r="T205">
        <v>1.18</v>
      </c>
      <c r="U205" s="25">
        <v>9.6799999999999997E-2</v>
      </c>
    </row>
    <row r="206" spans="1:21" x14ac:dyDescent="0.25">
      <c r="A206" t="s">
        <v>223</v>
      </c>
      <c r="B206">
        <v>3.05</v>
      </c>
      <c r="C206">
        <v>8.8699999999999992</v>
      </c>
      <c r="D206">
        <v>0.15</v>
      </c>
      <c r="E206">
        <v>1.8420000000000001</v>
      </c>
      <c r="F206" s="25">
        <v>0</v>
      </c>
      <c r="G206">
        <v>6.0999999999999999E-2</v>
      </c>
      <c r="H206">
        <v>1.72</v>
      </c>
      <c r="I206">
        <v>1.1000000000000001</v>
      </c>
      <c r="J206">
        <v>-0.19</v>
      </c>
      <c r="K206">
        <v>6.09</v>
      </c>
      <c r="L206">
        <v>5.98</v>
      </c>
      <c r="M206" s="25">
        <v>1.6667000000000001</v>
      </c>
      <c r="N206" s="25">
        <v>0.70950000000000002</v>
      </c>
      <c r="O206">
        <v>1.57</v>
      </c>
      <c r="P206" s="25">
        <v>5.74E-2</v>
      </c>
      <c r="Q206" s="25">
        <v>1.7399999999999999E-2</v>
      </c>
      <c r="R206" s="26">
        <v>1195830</v>
      </c>
      <c r="S206" s="26">
        <v>2040590000</v>
      </c>
      <c r="T206">
        <v>0.77</v>
      </c>
      <c r="U206" s="25">
        <v>0.2213</v>
      </c>
    </row>
    <row r="207" spans="1:21" x14ac:dyDescent="0.25">
      <c r="A207" t="s">
        <v>100</v>
      </c>
      <c r="B207">
        <v>3.77</v>
      </c>
      <c r="C207">
        <v>-9.7200000000000006</v>
      </c>
      <c r="D207">
        <v>5.4</v>
      </c>
      <c r="E207">
        <v>3.5790000000000002</v>
      </c>
      <c r="F207" s="25">
        <v>0</v>
      </c>
      <c r="G207">
        <v>0.81899999999999995</v>
      </c>
      <c r="H207">
        <v>7.99</v>
      </c>
      <c r="I207">
        <v>-26.45</v>
      </c>
      <c r="J207">
        <v>-1.38</v>
      </c>
      <c r="K207">
        <v>-44.26</v>
      </c>
      <c r="L207">
        <v>37.81</v>
      </c>
      <c r="M207" s="25">
        <v>-0.1353</v>
      </c>
      <c r="N207" s="25">
        <v>-0.36820000000000003</v>
      </c>
      <c r="O207">
        <v>1.67</v>
      </c>
      <c r="P207" s="25">
        <v>-3.3599999999999998E-2</v>
      </c>
      <c r="Q207" s="25">
        <v>-0.55549999999999999</v>
      </c>
      <c r="R207" s="26">
        <v>10497300</v>
      </c>
      <c r="S207" s="26">
        <v>949871000</v>
      </c>
      <c r="T207">
        <v>4.05</v>
      </c>
      <c r="U207" s="25">
        <v>2.8000000000000001E-2</v>
      </c>
    </row>
    <row r="208" spans="1:21" x14ac:dyDescent="0.25">
      <c r="A208" t="s">
        <v>402</v>
      </c>
      <c r="B208">
        <v>28.06</v>
      </c>
      <c r="C208">
        <v>12.47</v>
      </c>
      <c r="D208">
        <v>0.4</v>
      </c>
      <c r="E208">
        <v>3.6989999999999998</v>
      </c>
      <c r="F208" s="25">
        <v>0.2102</v>
      </c>
      <c r="G208">
        <v>0.159</v>
      </c>
      <c r="H208">
        <v>4.8600000000000003</v>
      </c>
      <c r="I208">
        <v>-4.32</v>
      </c>
      <c r="J208">
        <v>-0.33</v>
      </c>
      <c r="K208">
        <v>-8.2100000000000009</v>
      </c>
      <c r="L208">
        <v>-8.4600000000000009</v>
      </c>
      <c r="M208" s="25">
        <v>-0.85560000000000003</v>
      </c>
      <c r="N208" s="25">
        <v>0.29649999999999999</v>
      </c>
      <c r="O208">
        <v>1.37</v>
      </c>
      <c r="P208" s="25">
        <v>-3.7999999999999999E-2</v>
      </c>
      <c r="Q208" s="25">
        <v>3.1699999999999999E-2</v>
      </c>
      <c r="R208" s="26">
        <v>4124.4799999999996</v>
      </c>
      <c r="S208" s="26">
        <v>647667000</v>
      </c>
      <c r="T208">
        <v>0.43</v>
      </c>
      <c r="U208" s="25">
        <v>-8.4599999999999995E-2</v>
      </c>
    </row>
    <row r="209" spans="1:21" x14ac:dyDescent="0.25">
      <c r="A209" t="s">
        <v>403</v>
      </c>
      <c r="B209">
        <v>5.5</v>
      </c>
      <c r="C209">
        <v>3.18</v>
      </c>
      <c r="D209">
        <v>-0.01</v>
      </c>
      <c r="E209">
        <v>0.66900000000000004</v>
      </c>
      <c r="F209" s="25">
        <v>0</v>
      </c>
      <c r="G209">
        <v>0.22700000000000001</v>
      </c>
      <c r="H209">
        <v>-0.8</v>
      </c>
      <c r="I209">
        <v>0.72</v>
      </c>
      <c r="J209">
        <v>-0.01</v>
      </c>
      <c r="K209">
        <v>83.92</v>
      </c>
      <c r="L209">
        <v>83.92</v>
      </c>
      <c r="M209" s="25">
        <v>0.93100000000000005</v>
      </c>
      <c r="N209" s="25">
        <v>0.21049999999999999</v>
      </c>
      <c r="O209">
        <v>0.32</v>
      </c>
      <c r="P209" s="25">
        <v>0.31859999999999999</v>
      </c>
      <c r="Q209" s="25">
        <v>-2.5000000000000001E-3</v>
      </c>
      <c r="R209" s="26">
        <v>78.67</v>
      </c>
      <c r="S209" s="26">
        <v>-350747000</v>
      </c>
      <c r="T209">
        <v>-0.93</v>
      </c>
      <c r="U209" s="25">
        <v>0.25180000000000002</v>
      </c>
    </row>
    <row r="210" spans="1:21" x14ac:dyDescent="0.25">
      <c r="A210" t="s">
        <v>404</v>
      </c>
      <c r="B210">
        <v>3.9</v>
      </c>
      <c r="C210">
        <v>0.88</v>
      </c>
      <c r="D210">
        <v>-1.5</v>
      </c>
      <c r="E210">
        <v>0.40200000000000002</v>
      </c>
      <c r="F210" s="25">
        <v>0</v>
      </c>
      <c r="G210">
        <v>0.13700000000000001</v>
      </c>
      <c r="H210">
        <v>-1.24</v>
      </c>
      <c r="I210">
        <v>1.1399999999999999</v>
      </c>
      <c r="J210">
        <v>-0.14000000000000001</v>
      </c>
      <c r="K210">
        <v>0.63</v>
      </c>
      <c r="L210">
        <v>0.54</v>
      </c>
      <c r="M210" s="25">
        <v>0.35339999999999999</v>
      </c>
      <c r="N210" s="25">
        <v>0.45440000000000003</v>
      </c>
      <c r="O210">
        <v>0.64</v>
      </c>
      <c r="P210" s="25">
        <v>0.13039999999999999</v>
      </c>
      <c r="Q210" s="25">
        <v>-1.6920999999999999</v>
      </c>
      <c r="R210" s="26">
        <v>29425.9</v>
      </c>
      <c r="S210" s="26">
        <v>-47880000</v>
      </c>
      <c r="T210">
        <v>-0.02</v>
      </c>
      <c r="U210" s="25">
        <v>0.67969999999999997</v>
      </c>
    </row>
    <row r="211" spans="1:21" x14ac:dyDescent="0.25">
      <c r="A211" t="s">
        <v>229</v>
      </c>
      <c r="B211">
        <v>26.48</v>
      </c>
      <c r="C211">
        <v>20.74</v>
      </c>
      <c r="D211">
        <v>1.43</v>
      </c>
      <c r="E211">
        <v>2.5049999999999999</v>
      </c>
      <c r="F211" s="25">
        <v>4.41E-2</v>
      </c>
      <c r="G211">
        <v>0.68899999999999995</v>
      </c>
      <c r="H211">
        <v>13.7</v>
      </c>
      <c r="I211">
        <v>17.559999999999999</v>
      </c>
      <c r="J211">
        <v>-2.5</v>
      </c>
      <c r="K211">
        <v>25.47</v>
      </c>
      <c r="L211">
        <v>19.54</v>
      </c>
      <c r="M211" s="25">
        <v>0.1426</v>
      </c>
      <c r="N211" s="25">
        <v>0.1196</v>
      </c>
      <c r="O211">
        <v>1.26</v>
      </c>
      <c r="P211" s="25">
        <v>4.2999999999999997E-2</v>
      </c>
      <c r="Q211" s="25">
        <v>6.8900000000000003E-2</v>
      </c>
      <c r="R211" s="26">
        <v>82931500</v>
      </c>
      <c r="S211" s="26">
        <v>11738300000</v>
      </c>
      <c r="T211">
        <v>0.79</v>
      </c>
      <c r="U211" s="25">
        <v>0.113</v>
      </c>
    </row>
    <row r="212" spans="1:21" x14ac:dyDescent="0.25">
      <c r="A212" t="s">
        <v>240</v>
      </c>
      <c r="B212">
        <v>0.04</v>
      </c>
      <c r="C212">
        <v>-0.04</v>
      </c>
      <c r="D212">
        <v>-0.49</v>
      </c>
      <c r="E212">
        <v>7.0000000000000007E-2</v>
      </c>
      <c r="F212" s="25">
        <v>0</v>
      </c>
      <c r="G212">
        <v>4.9000000000000002E-2</v>
      </c>
      <c r="H212">
        <v>-0.27</v>
      </c>
      <c r="I212">
        <v>-0.05</v>
      </c>
      <c r="J212">
        <v>-0.08</v>
      </c>
      <c r="K212">
        <v>-0.53</v>
      </c>
      <c r="L212">
        <v>-0.56999999999999995</v>
      </c>
      <c r="M212" s="25">
        <v>-1.4795</v>
      </c>
      <c r="N212" s="25">
        <v>-1.6592</v>
      </c>
      <c r="O212">
        <v>0.73</v>
      </c>
      <c r="P212" s="25">
        <v>-1.4582999999999999</v>
      </c>
      <c r="Q212" s="25">
        <v>11.5709</v>
      </c>
      <c r="R212" s="26">
        <v>671641</v>
      </c>
      <c r="S212" s="26">
        <v>-147834000</v>
      </c>
      <c r="T212">
        <v>-5.62</v>
      </c>
      <c r="U212" s="25">
        <v>0.23169999999999999</v>
      </c>
    </row>
    <row r="213" spans="1:21" x14ac:dyDescent="0.25">
      <c r="A213" t="s">
        <v>405</v>
      </c>
      <c r="B213">
        <v>175.99</v>
      </c>
      <c r="C213">
        <v>0.56000000000000005</v>
      </c>
      <c r="D213">
        <v>-0.34</v>
      </c>
      <c r="E213">
        <v>30.247</v>
      </c>
      <c r="F213" s="25">
        <v>0</v>
      </c>
      <c r="G213">
        <v>1.0349999999999999</v>
      </c>
      <c r="H213">
        <v>-0.99</v>
      </c>
      <c r="I213">
        <v>-3.7</v>
      </c>
      <c r="J213">
        <v>-0.28999999999999998</v>
      </c>
      <c r="K213">
        <v>-7.85</v>
      </c>
      <c r="L213">
        <v>-8.2100000000000009</v>
      </c>
      <c r="M213" s="25">
        <v>-8.1712000000000007</v>
      </c>
      <c r="N213" s="25">
        <v>53.793199999999999</v>
      </c>
      <c r="O213">
        <v>0.33</v>
      </c>
      <c r="P213" s="25">
        <v>-0.57989999999999997</v>
      </c>
      <c r="Q213" s="25">
        <v>-0.60099999999999998</v>
      </c>
      <c r="R213" s="26">
        <v>10393.299999999999</v>
      </c>
      <c r="S213" s="26">
        <v>-650957000</v>
      </c>
      <c r="T213">
        <v>-0.54</v>
      </c>
      <c r="U213" s="25">
        <v>0.13969999999999999</v>
      </c>
    </row>
    <row r="214" spans="1:21" x14ac:dyDescent="0.25">
      <c r="A214" t="s">
        <v>406</v>
      </c>
      <c r="B214">
        <v>21.34</v>
      </c>
      <c r="C214">
        <v>14.86</v>
      </c>
      <c r="D214">
        <v>1.44</v>
      </c>
      <c r="E214">
        <v>4.992</v>
      </c>
      <c r="F214" s="25">
        <v>1.84E-2</v>
      </c>
      <c r="G214">
        <v>0.70699999999999996</v>
      </c>
      <c r="H214">
        <v>2.96</v>
      </c>
      <c r="I214">
        <v>8.9600000000000009</v>
      </c>
      <c r="J214">
        <v>-3.42</v>
      </c>
      <c r="K214">
        <v>11.56</v>
      </c>
      <c r="L214">
        <v>9.2899999999999991</v>
      </c>
      <c r="M214" s="25">
        <v>0.55730000000000002</v>
      </c>
      <c r="N214" s="25">
        <v>0.33600000000000002</v>
      </c>
      <c r="O214">
        <v>4.9000000000000004</v>
      </c>
      <c r="P214" s="25">
        <v>0.1065</v>
      </c>
      <c r="Q214" s="25">
        <v>9.6600000000000005E-2</v>
      </c>
      <c r="R214" s="26">
        <v>60146800</v>
      </c>
      <c r="S214" s="26">
        <v>4409240000</v>
      </c>
      <c r="T214">
        <v>0.94</v>
      </c>
      <c r="U214" s="25">
        <v>0.15790000000000001</v>
      </c>
    </row>
    <row r="215" spans="1:21" x14ac:dyDescent="0.25">
      <c r="A215" t="s">
        <v>108</v>
      </c>
      <c r="B215">
        <v>2.46</v>
      </c>
      <c r="C215">
        <v>11.99</v>
      </c>
      <c r="D215">
        <v>1.1599999999999999</v>
      </c>
      <c r="E215">
        <v>4.0279999999999996</v>
      </c>
      <c r="F215" s="25">
        <v>2.2800000000000001E-2</v>
      </c>
      <c r="G215">
        <v>0.57099999999999995</v>
      </c>
      <c r="H215">
        <v>2.39</v>
      </c>
      <c r="I215">
        <v>7.23</v>
      </c>
      <c r="J215">
        <v>-2.76</v>
      </c>
      <c r="K215">
        <v>9.83</v>
      </c>
      <c r="L215">
        <v>7.9</v>
      </c>
      <c r="M215" s="25">
        <v>0.55730000000000002</v>
      </c>
      <c r="N215" s="25">
        <v>0.33600000000000002</v>
      </c>
      <c r="O215">
        <v>4.9000000000000004</v>
      </c>
      <c r="P215" s="25">
        <v>0.1065</v>
      </c>
      <c r="Q215" s="25">
        <v>9.6600000000000005E-2</v>
      </c>
      <c r="R215" s="26">
        <v>170617</v>
      </c>
      <c r="S215" s="26">
        <v>4409240000</v>
      </c>
      <c r="T215">
        <v>0.94</v>
      </c>
      <c r="U215" s="25">
        <v>0.15790000000000001</v>
      </c>
    </row>
    <row r="216" spans="1:21" x14ac:dyDescent="0.25">
      <c r="A216" t="s">
        <v>407</v>
      </c>
      <c r="B216">
        <v>1.87</v>
      </c>
      <c r="C216">
        <v>-0.36</v>
      </c>
      <c r="D216">
        <v>-0.06</v>
      </c>
      <c r="E216">
        <v>18.949000000000002</v>
      </c>
      <c r="F216" s="25">
        <v>0</v>
      </c>
      <c r="G216">
        <v>8.8999999999999996E-2</v>
      </c>
      <c r="H216">
        <v>-7.0000000000000007E-2</v>
      </c>
      <c r="I216">
        <v>-1.1499999999999999</v>
      </c>
      <c r="J216">
        <v>-0.04</v>
      </c>
      <c r="K216">
        <v>-13.94</v>
      </c>
      <c r="L216">
        <v>-15.33</v>
      </c>
      <c r="M216" s="25">
        <v>-16.470199999999998</v>
      </c>
      <c r="N216" s="25">
        <v>-53.787599999999998</v>
      </c>
      <c r="O216">
        <v>0.08</v>
      </c>
      <c r="P216" s="25">
        <v>-8.3099999999999993E-2</v>
      </c>
      <c r="Q216" s="25">
        <v>0.16059999999999999</v>
      </c>
      <c r="R216" s="26">
        <v>47751.5</v>
      </c>
      <c r="S216" s="26">
        <v>-1448530000</v>
      </c>
      <c r="T216">
        <v>-0.64</v>
      </c>
      <c r="U216" s="25">
        <v>-0.21640000000000001</v>
      </c>
    </row>
    <row r="217" spans="1:21" x14ac:dyDescent="0.25">
      <c r="A217" t="s">
        <v>244</v>
      </c>
      <c r="B217">
        <v>1.5</v>
      </c>
      <c r="C217">
        <v>-0.28999999999999998</v>
      </c>
      <c r="D217">
        <v>-0.05</v>
      </c>
      <c r="E217">
        <v>15.2</v>
      </c>
      <c r="F217" s="25">
        <v>0</v>
      </c>
      <c r="G217">
        <v>7.1999999999999995E-2</v>
      </c>
      <c r="H217">
        <v>-0.06</v>
      </c>
      <c r="I217">
        <v>-0.92</v>
      </c>
      <c r="J217">
        <v>-0.03</v>
      </c>
      <c r="K217">
        <v>-13.71</v>
      </c>
      <c r="L217">
        <v>-15.08</v>
      </c>
      <c r="M217" s="25">
        <v>-16.470199999999998</v>
      </c>
      <c r="N217" s="25">
        <v>-53.787599999999998</v>
      </c>
      <c r="O217">
        <v>0.08</v>
      </c>
      <c r="P217" s="25">
        <v>-8.3099999999999993E-2</v>
      </c>
      <c r="Q217" s="25">
        <v>0.16059999999999999</v>
      </c>
      <c r="R217" s="26">
        <v>49477.8</v>
      </c>
      <c r="S217" s="26">
        <v>-1448530000</v>
      </c>
      <c r="T217">
        <v>-0.64</v>
      </c>
      <c r="U217" s="25">
        <v>-0.21640000000000001</v>
      </c>
    </row>
    <row r="218" spans="1:21" x14ac:dyDescent="0.25">
      <c r="A218" t="s">
        <v>136</v>
      </c>
      <c r="B218">
        <v>14.96</v>
      </c>
      <c r="C218">
        <v>11.23</v>
      </c>
      <c r="D218">
        <v>1.67</v>
      </c>
      <c r="E218">
        <v>1.0569999999999999</v>
      </c>
      <c r="F218" s="25">
        <v>3.0800000000000001E-2</v>
      </c>
      <c r="G218">
        <v>0.95799999999999996</v>
      </c>
      <c r="H218">
        <v>2.12</v>
      </c>
      <c r="I218">
        <v>10.029999999999999</v>
      </c>
      <c r="J218">
        <v>3.32</v>
      </c>
      <c r="K218">
        <v>10.7</v>
      </c>
      <c r="L218">
        <v>8.82</v>
      </c>
      <c r="M218" s="25">
        <v>0.10539999999999999</v>
      </c>
      <c r="N218" s="25">
        <v>9.4E-2</v>
      </c>
      <c r="O218">
        <v>2.77</v>
      </c>
      <c r="P218" s="25">
        <v>0.1321</v>
      </c>
      <c r="Q218" s="25">
        <v>0.1484</v>
      </c>
      <c r="R218" s="26">
        <v>34208400</v>
      </c>
      <c r="S218" s="26">
        <v>2941250000</v>
      </c>
      <c r="T218">
        <v>0.33</v>
      </c>
      <c r="U218" s="25">
        <v>0.1691</v>
      </c>
    </row>
    <row r="219" spans="1:21" x14ac:dyDescent="0.25">
      <c r="A219" t="s">
        <v>73</v>
      </c>
      <c r="B219">
        <v>44.66</v>
      </c>
      <c r="C219">
        <v>-35.58</v>
      </c>
      <c r="D219">
        <v>0.72</v>
      </c>
      <c r="E219">
        <v>0.61</v>
      </c>
      <c r="F219" s="25">
        <v>0</v>
      </c>
      <c r="G219">
        <v>0.22800000000000001</v>
      </c>
      <c r="H219">
        <v>0</v>
      </c>
      <c r="I219">
        <v>4.72</v>
      </c>
      <c r="J219">
        <v>0</v>
      </c>
      <c r="K219">
        <v>0</v>
      </c>
      <c r="L219">
        <v>0</v>
      </c>
      <c r="M219" s="25">
        <v>0.129</v>
      </c>
      <c r="N219" s="25">
        <v>-1.7100000000000001E-2</v>
      </c>
      <c r="O219">
        <v>0</v>
      </c>
      <c r="P219" s="25">
        <v>0</v>
      </c>
      <c r="Q219" s="25">
        <v>-2.0199999999999999E-2</v>
      </c>
      <c r="R219" s="26">
        <v>37080600</v>
      </c>
      <c r="S219" s="26">
        <v>5087450000</v>
      </c>
      <c r="T219">
        <v>0</v>
      </c>
      <c r="U219" s="25">
        <v>0</v>
      </c>
    </row>
    <row r="220" spans="1:21" x14ac:dyDescent="0.25">
      <c r="A220" t="s">
        <v>408</v>
      </c>
      <c r="B220">
        <v>30.9</v>
      </c>
      <c r="C220">
        <v>5.71</v>
      </c>
      <c r="D220">
        <v>1</v>
      </c>
      <c r="E220">
        <v>2.4239999999999999</v>
      </c>
      <c r="F220" s="25">
        <v>7.6399999999999996E-2</v>
      </c>
      <c r="G220">
        <v>0.45600000000000002</v>
      </c>
      <c r="H220">
        <v>3.44</v>
      </c>
      <c r="I220">
        <v>4.34</v>
      </c>
      <c r="J220">
        <v>-1.29</v>
      </c>
      <c r="K220">
        <v>6.83</v>
      </c>
      <c r="L220">
        <v>6.78</v>
      </c>
      <c r="M220" s="25">
        <v>0.55840000000000001</v>
      </c>
      <c r="N220" s="25">
        <v>0.43109999999999998</v>
      </c>
      <c r="O220">
        <v>3.77</v>
      </c>
      <c r="P220" s="25">
        <v>0.114</v>
      </c>
      <c r="Q220" s="25">
        <v>0.17480000000000001</v>
      </c>
      <c r="R220" s="26">
        <v>77678.5</v>
      </c>
      <c r="S220" s="26">
        <v>20414900000</v>
      </c>
      <c r="T220">
        <v>0.73</v>
      </c>
      <c r="U220" s="25">
        <v>0.17660000000000001</v>
      </c>
    </row>
    <row r="221" spans="1:21" x14ac:dyDescent="0.25">
      <c r="A221" t="s">
        <v>5</v>
      </c>
      <c r="B221">
        <v>22.44</v>
      </c>
      <c r="C221">
        <v>4.1399999999999997</v>
      </c>
      <c r="D221">
        <v>0.72</v>
      </c>
      <c r="E221">
        <v>1.76</v>
      </c>
      <c r="F221" s="25">
        <v>0.1052</v>
      </c>
      <c r="G221">
        <v>0.33100000000000002</v>
      </c>
      <c r="H221">
        <v>2.5</v>
      </c>
      <c r="I221">
        <v>3.15</v>
      </c>
      <c r="J221">
        <v>-0.94</v>
      </c>
      <c r="K221">
        <v>5.64</v>
      </c>
      <c r="L221">
        <v>5.6</v>
      </c>
      <c r="M221" s="25">
        <v>0.55840000000000001</v>
      </c>
      <c r="N221" s="25">
        <v>0.43109999999999998</v>
      </c>
      <c r="O221">
        <v>3.77</v>
      </c>
      <c r="P221" s="25">
        <v>0.114</v>
      </c>
      <c r="Q221" s="25">
        <v>0.17480000000000001</v>
      </c>
      <c r="R221" s="26">
        <v>34640800</v>
      </c>
      <c r="S221" s="26">
        <v>20414900000</v>
      </c>
      <c r="T221">
        <v>0.73</v>
      </c>
      <c r="U221" s="25">
        <v>0.17660000000000001</v>
      </c>
    </row>
    <row r="222" spans="1:21" x14ac:dyDescent="0.25">
      <c r="A222" t="s">
        <v>40</v>
      </c>
      <c r="B222">
        <v>10.53</v>
      </c>
      <c r="C222">
        <v>7.61</v>
      </c>
      <c r="D222">
        <v>1.35</v>
      </c>
      <c r="E222">
        <v>14.114000000000001</v>
      </c>
      <c r="F222" s="25">
        <v>8.0299999999999996E-2</v>
      </c>
      <c r="G222">
        <v>1.046</v>
      </c>
      <c r="H222">
        <v>19.25</v>
      </c>
      <c r="I222">
        <v>203.45</v>
      </c>
      <c r="J222">
        <v>-14.47</v>
      </c>
      <c r="K222">
        <v>210.18</v>
      </c>
      <c r="L222">
        <v>66.959999999999994</v>
      </c>
      <c r="M222" s="25">
        <v>6.9400000000000003E-2</v>
      </c>
      <c r="N222" s="25">
        <v>1.8759999999999999</v>
      </c>
      <c r="O222">
        <v>1.97</v>
      </c>
      <c r="P222" s="25">
        <v>5.5999999999999999E-3</v>
      </c>
      <c r="Q222" s="25">
        <v>0.17710000000000001</v>
      </c>
      <c r="R222" s="26">
        <v>1087820</v>
      </c>
      <c r="S222" s="26">
        <v>85938000000</v>
      </c>
      <c r="T222">
        <v>0.13</v>
      </c>
      <c r="U222" s="25">
        <v>3.61E-2</v>
      </c>
    </row>
    <row r="223" spans="1:21" x14ac:dyDescent="0.25">
      <c r="A223" t="s">
        <v>49</v>
      </c>
      <c r="B223">
        <v>10.54</v>
      </c>
      <c r="C223">
        <v>7.61</v>
      </c>
      <c r="D223">
        <v>1.35</v>
      </c>
      <c r="E223">
        <v>14.128</v>
      </c>
      <c r="F223" s="25">
        <v>8.0199999999999994E-2</v>
      </c>
      <c r="G223">
        <v>1.0469999999999999</v>
      </c>
      <c r="H223">
        <v>19.27</v>
      </c>
      <c r="I223">
        <v>203.65</v>
      </c>
      <c r="J223">
        <v>-14.48</v>
      </c>
      <c r="K223">
        <v>210.37</v>
      </c>
      <c r="L223">
        <v>67.02</v>
      </c>
      <c r="M223" s="25">
        <v>6.9400000000000003E-2</v>
      </c>
      <c r="N223" s="25">
        <v>1.8759999999999999</v>
      </c>
      <c r="O223">
        <v>1.97</v>
      </c>
      <c r="P223" s="25">
        <v>5.5999999999999999E-3</v>
      </c>
      <c r="Q223" s="25">
        <v>0.17710000000000001</v>
      </c>
      <c r="R223" s="26">
        <v>261915000</v>
      </c>
      <c r="S223" s="26">
        <v>85938000000</v>
      </c>
      <c r="T223">
        <v>0.13</v>
      </c>
      <c r="U223" s="25">
        <v>3.61E-2</v>
      </c>
    </row>
    <row r="224" spans="1:21" x14ac:dyDescent="0.25">
      <c r="A224" t="s">
        <v>62</v>
      </c>
      <c r="B224">
        <v>31.77</v>
      </c>
      <c r="C224">
        <v>8.6999999999999993</v>
      </c>
      <c r="D224">
        <v>1.77</v>
      </c>
      <c r="E224">
        <v>0</v>
      </c>
      <c r="F224" s="25">
        <v>7.8700000000000006E-2</v>
      </c>
      <c r="G224">
        <v>0</v>
      </c>
      <c r="H224">
        <v>0</v>
      </c>
      <c r="I224">
        <v>0</v>
      </c>
      <c r="J224">
        <v>0</v>
      </c>
      <c r="K224">
        <v>0</v>
      </c>
      <c r="L224">
        <v>0</v>
      </c>
      <c r="M224" s="25">
        <v>0</v>
      </c>
      <c r="N224" s="25">
        <v>0</v>
      </c>
      <c r="O224">
        <v>0</v>
      </c>
      <c r="P224" s="25">
        <v>0</v>
      </c>
      <c r="Q224" s="25">
        <v>0.20330000000000001</v>
      </c>
      <c r="R224" s="26">
        <v>16443600</v>
      </c>
      <c r="S224" s="26">
        <v>193682000000</v>
      </c>
      <c r="T224">
        <v>0</v>
      </c>
      <c r="U224" s="25">
        <v>0.79800000000000004</v>
      </c>
    </row>
    <row r="225" spans="1:21" x14ac:dyDescent="0.25">
      <c r="A225" t="s">
        <v>44</v>
      </c>
      <c r="B225">
        <v>35.39</v>
      </c>
      <c r="C225">
        <v>9.69</v>
      </c>
      <c r="D225">
        <v>1.97</v>
      </c>
      <c r="E225">
        <v>0</v>
      </c>
      <c r="F225" s="25">
        <v>7.0599999999999996E-2</v>
      </c>
      <c r="G225">
        <v>0</v>
      </c>
      <c r="H225">
        <v>0</v>
      </c>
      <c r="I225">
        <v>0</v>
      </c>
      <c r="J225">
        <v>0</v>
      </c>
      <c r="K225">
        <v>0</v>
      </c>
      <c r="L225">
        <v>0</v>
      </c>
      <c r="M225" s="25">
        <v>0</v>
      </c>
      <c r="N225" s="25">
        <v>0</v>
      </c>
      <c r="O225">
        <v>0</v>
      </c>
      <c r="P225" s="25">
        <v>0</v>
      </c>
      <c r="Q225" s="25">
        <v>0.20330000000000001</v>
      </c>
      <c r="R225" s="26">
        <v>743309000</v>
      </c>
      <c r="S225" s="26">
        <v>193682000000</v>
      </c>
      <c r="T225">
        <v>0</v>
      </c>
      <c r="U225" s="25">
        <v>0.79800000000000004</v>
      </c>
    </row>
    <row r="226" spans="1:21" x14ac:dyDescent="0.25">
      <c r="A226" t="s">
        <v>126</v>
      </c>
      <c r="B226">
        <v>3.51</v>
      </c>
      <c r="C226">
        <v>-19.04</v>
      </c>
      <c r="D226">
        <v>0.53</v>
      </c>
      <c r="E226">
        <v>0.45600000000000002</v>
      </c>
      <c r="F226" s="25">
        <v>1.9300000000000001E-2</v>
      </c>
      <c r="G226">
        <v>0.14899999999999999</v>
      </c>
      <c r="H226">
        <v>0.85</v>
      </c>
      <c r="I226">
        <v>3.58</v>
      </c>
      <c r="J226">
        <v>-0.38</v>
      </c>
      <c r="K226">
        <v>14.67</v>
      </c>
      <c r="L226">
        <v>3.21</v>
      </c>
      <c r="M226" s="25">
        <v>0.1275</v>
      </c>
      <c r="N226" s="25">
        <v>-2.3900000000000001E-2</v>
      </c>
      <c r="O226">
        <v>2.19</v>
      </c>
      <c r="P226" s="25">
        <v>5.1700000000000003E-2</v>
      </c>
      <c r="Q226" s="25">
        <v>-2.7900000000000001E-2</v>
      </c>
      <c r="R226" s="26">
        <v>2273380</v>
      </c>
      <c r="S226" s="26">
        <v>2003170000</v>
      </c>
      <c r="T226">
        <v>2.27</v>
      </c>
      <c r="U226" s="25">
        <v>0.19850000000000001</v>
      </c>
    </row>
    <row r="227" spans="1:21" x14ac:dyDescent="0.25">
      <c r="A227" t="s">
        <v>79</v>
      </c>
      <c r="B227">
        <v>39.03</v>
      </c>
      <c r="C227">
        <v>3.11</v>
      </c>
      <c r="D227">
        <v>0.78</v>
      </c>
      <c r="E227">
        <v>7.6999999999999999E-2</v>
      </c>
      <c r="F227" s="25">
        <v>0.39269999999999999</v>
      </c>
      <c r="G227">
        <v>0.14099999999999999</v>
      </c>
      <c r="H227">
        <v>0.88</v>
      </c>
      <c r="I227">
        <v>1.31</v>
      </c>
      <c r="J227">
        <v>-0.37</v>
      </c>
      <c r="K227">
        <v>4.58</v>
      </c>
      <c r="L227">
        <v>3.11</v>
      </c>
      <c r="M227" s="25">
        <v>5.8599999999999999E-2</v>
      </c>
      <c r="N227" s="25">
        <v>2.75E-2</v>
      </c>
      <c r="O227">
        <v>1.62</v>
      </c>
      <c r="P227" s="25">
        <v>0.14699999999999999</v>
      </c>
      <c r="Q227" s="25">
        <v>0.2515</v>
      </c>
      <c r="R227" s="26">
        <v>219747000</v>
      </c>
      <c r="S227" s="26">
        <v>43308500000</v>
      </c>
      <c r="T227">
        <v>2.64</v>
      </c>
      <c r="U227" s="25">
        <v>8.8700000000000001E-2</v>
      </c>
    </row>
    <row r="228" spans="1:21" x14ac:dyDescent="0.25">
      <c r="A228" t="s">
        <v>112</v>
      </c>
      <c r="B228">
        <v>1.52</v>
      </c>
      <c r="C228">
        <v>-0.08</v>
      </c>
      <c r="D228">
        <v>-0.48</v>
      </c>
      <c r="E228">
        <v>8.2000000000000003E-2</v>
      </c>
      <c r="F228" s="25">
        <v>0</v>
      </c>
      <c r="G228">
        <v>2.3E-2</v>
      </c>
      <c r="H228">
        <v>0.06</v>
      </c>
      <c r="I228">
        <v>-0.16</v>
      </c>
      <c r="J228">
        <v>-0.09</v>
      </c>
      <c r="K228">
        <v>-2.42</v>
      </c>
      <c r="L228">
        <v>-2.83</v>
      </c>
      <c r="M228" s="25">
        <v>-0.52080000000000004</v>
      </c>
      <c r="N228" s="25">
        <v>-1.0672999999999999</v>
      </c>
      <c r="O228">
        <v>1.76</v>
      </c>
      <c r="P228" s="25">
        <v>-0.15640000000000001</v>
      </c>
      <c r="Q228" s="25">
        <v>6.1649000000000003</v>
      </c>
      <c r="R228" s="26">
        <v>13272.6</v>
      </c>
      <c r="S228" s="26">
        <v>-39186000</v>
      </c>
      <c r="T228">
        <v>-6.97</v>
      </c>
      <c r="U228" s="25">
        <v>0.99990000000000001</v>
      </c>
    </row>
    <row r="229" spans="1:21" x14ac:dyDescent="0.25">
      <c r="A229" t="s">
        <v>214</v>
      </c>
      <c r="B229">
        <v>5.2</v>
      </c>
      <c r="C229">
        <v>3.32</v>
      </c>
      <c r="D229">
        <v>0.62</v>
      </c>
      <c r="E229">
        <v>2.0630000000000002</v>
      </c>
      <c r="F229" s="25">
        <v>7.7399999999999997E-2</v>
      </c>
      <c r="G229">
        <v>0.24299999999999999</v>
      </c>
      <c r="H229">
        <v>1.41</v>
      </c>
      <c r="I229">
        <v>5.82</v>
      </c>
      <c r="J229">
        <v>-0.99</v>
      </c>
      <c r="K229">
        <v>11.17</v>
      </c>
      <c r="L229">
        <v>9.9499999999999993</v>
      </c>
      <c r="M229" s="25">
        <v>0.35460000000000003</v>
      </c>
      <c r="N229" s="25">
        <v>0.61619999999999997</v>
      </c>
      <c r="O229">
        <v>2.1</v>
      </c>
      <c r="P229" s="25">
        <v>4.8099999999999997E-2</v>
      </c>
      <c r="Q229" s="25">
        <v>0.1855</v>
      </c>
      <c r="R229" s="26">
        <v>14425500</v>
      </c>
      <c r="S229" s="26">
        <v>5753280000</v>
      </c>
      <c r="T229">
        <v>0.9</v>
      </c>
      <c r="U229" s="25">
        <v>1.18E-2</v>
      </c>
    </row>
    <row r="230" spans="1:21" x14ac:dyDescent="0.25">
      <c r="A230" t="s">
        <v>409</v>
      </c>
      <c r="B230">
        <v>22</v>
      </c>
      <c r="C230">
        <v>11.62</v>
      </c>
      <c r="D230">
        <v>0.39</v>
      </c>
      <c r="E230">
        <v>0.106</v>
      </c>
      <c r="F230" s="25">
        <v>2.8799999999999999E-2</v>
      </c>
      <c r="G230">
        <v>0.10199999999999999</v>
      </c>
      <c r="H230">
        <v>0.32</v>
      </c>
      <c r="I230">
        <v>2.38</v>
      </c>
      <c r="J230">
        <v>1.75</v>
      </c>
      <c r="K230">
        <v>7.91</v>
      </c>
      <c r="L230">
        <v>6.95</v>
      </c>
      <c r="M230" s="25">
        <v>4.48E-2</v>
      </c>
      <c r="N230" s="25">
        <v>1.1599999999999999E-2</v>
      </c>
      <c r="O230">
        <v>1.82</v>
      </c>
      <c r="P230" s="25">
        <v>6.4000000000000001E-2</v>
      </c>
      <c r="Q230" s="25">
        <v>3.3300000000000003E-2</v>
      </c>
      <c r="R230" s="26">
        <v>2114.7600000000002</v>
      </c>
      <c r="S230" s="26">
        <v>602064000</v>
      </c>
      <c r="T230">
        <v>1.99</v>
      </c>
      <c r="U230" s="25">
        <v>6.0199999999999997E-2</v>
      </c>
    </row>
    <row r="231" spans="1:21" x14ac:dyDescent="0.25">
      <c r="A231" t="s">
        <v>410</v>
      </c>
      <c r="B231">
        <v>29.02</v>
      </c>
      <c r="C231">
        <v>20.27</v>
      </c>
      <c r="D231">
        <v>1.93</v>
      </c>
      <c r="E231">
        <v>4.6669999999999998</v>
      </c>
      <c r="F231" s="25">
        <v>2.8999999999999998E-3</v>
      </c>
      <c r="G231">
        <v>0.46800000000000003</v>
      </c>
      <c r="H231">
        <v>2.34</v>
      </c>
      <c r="I231">
        <v>12.96</v>
      </c>
      <c r="J231">
        <v>-1.68</v>
      </c>
      <c r="K231">
        <v>20.350000000000001</v>
      </c>
      <c r="L231">
        <v>12.83</v>
      </c>
      <c r="M231" s="25">
        <v>0.36020000000000002</v>
      </c>
      <c r="N231" s="25">
        <v>0.46310000000000001</v>
      </c>
      <c r="O231">
        <v>5.31</v>
      </c>
      <c r="P231" s="25">
        <v>4.5600000000000002E-2</v>
      </c>
      <c r="Q231" s="25">
        <v>9.5100000000000004E-2</v>
      </c>
      <c r="R231" s="26">
        <v>7666510</v>
      </c>
      <c r="S231" s="26">
        <v>1762140000</v>
      </c>
      <c r="T231">
        <v>1.94</v>
      </c>
      <c r="U231" s="25">
        <v>1.01E-2</v>
      </c>
    </row>
    <row r="232" spans="1:21" x14ac:dyDescent="0.25">
      <c r="A232" t="s">
        <v>207</v>
      </c>
      <c r="B232">
        <v>5.38</v>
      </c>
      <c r="C232">
        <v>7.49</v>
      </c>
      <c r="D232">
        <v>0.86</v>
      </c>
      <c r="E232">
        <v>0.16600000000000001</v>
      </c>
      <c r="F232" s="25">
        <v>7.8200000000000006E-2</v>
      </c>
      <c r="G232">
        <v>0.122</v>
      </c>
      <c r="H232">
        <v>0.86</v>
      </c>
      <c r="I232">
        <v>1.48</v>
      </c>
      <c r="J232">
        <v>-0.25</v>
      </c>
      <c r="K232">
        <v>7.63</v>
      </c>
      <c r="L232">
        <v>4.71</v>
      </c>
      <c r="M232" s="25">
        <v>0.11219999999999999</v>
      </c>
      <c r="N232" s="25">
        <v>2.2100000000000002E-2</v>
      </c>
      <c r="O232">
        <v>1.62</v>
      </c>
      <c r="P232" s="25">
        <v>0.1004</v>
      </c>
      <c r="Q232" s="25">
        <v>0.1148</v>
      </c>
      <c r="R232" s="26">
        <v>3179510</v>
      </c>
      <c r="S232" s="26">
        <v>1791170000</v>
      </c>
      <c r="T232">
        <v>4.6399999999999997</v>
      </c>
      <c r="U232" s="25">
        <v>0.55510000000000004</v>
      </c>
    </row>
    <row r="233" spans="1:21" x14ac:dyDescent="0.25">
      <c r="A233" t="s">
        <v>109</v>
      </c>
      <c r="B233">
        <v>7.27</v>
      </c>
      <c r="C233">
        <v>7.57</v>
      </c>
      <c r="D233">
        <v>1.83</v>
      </c>
      <c r="E233">
        <v>0.82499999999999996</v>
      </c>
      <c r="F233" s="25">
        <v>9.01E-2</v>
      </c>
      <c r="G233">
        <v>0.86199999999999999</v>
      </c>
      <c r="H233">
        <v>2.6</v>
      </c>
      <c r="I233">
        <v>5.39</v>
      </c>
      <c r="J233">
        <v>6.53</v>
      </c>
      <c r="K233">
        <v>5.26</v>
      </c>
      <c r="L233">
        <v>4.5199999999999996</v>
      </c>
      <c r="M233" s="25">
        <v>0.15290000000000001</v>
      </c>
      <c r="N233" s="25">
        <v>0.1089</v>
      </c>
      <c r="O233">
        <v>2.0099999999999998</v>
      </c>
      <c r="P233" s="25">
        <v>0.23169999999999999</v>
      </c>
      <c r="Q233" s="25">
        <v>0.2417</v>
      </c>
      <c r="R233" s="26">
        <v>9547520</v>
      </c>
      <c r="S233" s="26">
        <v>714159000</v>
      </c>
      <c r="T233">
        <v>0.45</v>
      </c>
      <c r="U233" s="25">
        <v>0.16320000000000001</v>
      </c>
    </row>
    <row r="234" spans="1:21" x14ac:dyDescent="0.25">
      <c r="A234" t="s">
        <v>411</v>
      </c>
      <c r="B234">
        <v>18.690000000000001</v>
      </c>
      <c r="C234">
        <v>12.79</v>
      </c>
      <c r="D234">
        <v>2.68</v>
      </c>
      <c r="E234">
        <v>1.151</v>
      </c>
      <c r="F234" s="25">
        <v>6.2700000000000006E-2</v>
      </c>
      <c r="G234">
        <v>0.40200000000000002</v>
      </c>
      <c r="H234">
        <v>3.63</v>
      </c>
      <c r="I234">
        <v>5.04</v>
      </c>
      <c r="J234">
        <v>-0.7</v>
      </c>
      <c r="K234">
        <v>11.53</v>
      </c>
      <c r="L234">
        <v>5.88</v>
      </c>
      <c r="M234" s="25">
        <v>0.22819999999999999</v>
      </c>
      <c r="N234" s="25">
        <v>0.1013</v>
      </c>
      <c r="O234">
        <v>1.96</v>
      </c>
      <c r="P234" s="25">
        <v>9.5799999999999996E-2</v>
      </c>
      <c r="Q234" s="25">
        <v>0.2094</v>
      </c>
      <c r="R234" s="26">
        <v>91900600</v>
      </c>
      <c r="S234" s="26">
        <v>8626520000</v>
      </c>
      <c r="T234">
        <v>4.1900000000000004</v>
      </c>
      <c r="U234" s="25">
        <v>9.4899999999999998E-2</v>
      </c>
    </row>
    <row r="235" spans="1:21" x14ac:dyDescent="0.25">
      <c r="A235" t="s">
        <v>138</v>
      </c>
      <c r="B235">
        <v>3.82</v>
      </c>
      <c r="C235">
        <v>13.07</v>
      </c>
      <c r="D235">
        <v>2.74</v>
      </c>
      <c r="E235">
        <v>1.1759999999999999</v>
      </c>
      <c r="F235" s="25">
        <v>6.1400000000000003E-2</v>
      </c>
      <c r="G235">
        <v>0.41099999999999998</v>
      </c>
      <c r="H235">
        <v>3.71</v>
      </c>
      <c r="I235">
        <v>5.15</v>
      </c>
      <c r="J235">
        <v>-0.71</v>
      </c>
      <c r="K235">
        <v>11.64</v>
      </c>
      <c r="L235">
        <v>5.93</v>
      </c>
      <c r="M235" s="25">
        <v>0.22819999999999999</v>
      </c>
      <c r="N235" s="25">
        <v>0.1013</v>
      </c>
      <c r="O235">
        <v>1.96</v>
      </c>
      <c r="P235" s="25">
        <v>9.5799999999999996E-2</v>
      </c>
      <c r="Q235" s="25">
        <v>0.2094</v>
      </c>
      <c r="R235" s="26">
        <v>1475960</v>
      </c>
      <c r="S235" s="26">
        <v>8626520000</v>
      </c>
      <c r="T235">
        <v>4.1900000000000004</v>
      </c>
      <c r="U235" s="25">
        <v>9.4899999999999998E-2</v>
      </c>
    </row>
    <row r="236" spans="1:21" x14ac:dyDescent="0.25">
      <c r="A236" t="s">
        <v>147</v>
      </c>
      <c r="B236">
        <v>3.7</v>
      </c>
      <c r="C236">
        <v>12.66</v>
      </c>
      <c r="D236">
        <v>2.65</v>
      </c>
      <c r="E236">
        <v>1.139</v>
      </c>
      <c r="F236" s="25">
        <v>6.3399999999999998E-2</v>
      </c>
      <c r="G236">
        <v>0.39800000000000002</v>
      </c>
      <c r="H236">
        <v>3.59</v>
      </c>
      <c r="I236">
        <v>4.99</v>
      </c>
      <c r="J236">
        <v>-0.69</v>
      </c>
      <c r="K236">
        <v>11.47</v>
      </c>
      <c r="L236">
        <v>5.85</v>
      </c>
      <c r="M236" s="25">
        <v>0.22819999999999999</v>
      </c>
      <c r="N236" s="25">
        <v>0.1013</v>
      </c>
      <c r="O236">
        <v>1.96</v>
      </c>
      <c r="P236" s="25">
        <v>9.5799999999999996E-2</v>
      </c>
      <c r="Q236" s="25">
        <v>0.2094</v>
      </c>
      <c r="R236" s="26">
        <v>6801430</v>
      </c>
      <c r="S236" s="26">
        <v>8626520000</v>
      </c>
      <c r="T236">
        <v>4.1900000000000004</v>
      </c>
      <c r="U236" s="25">
        <v>9.4899999999999998E-2</v>
      </c>
    </row>
    <row r="237" spans="1:21" x14ac:dyDescent="0.25">
      <c r="A237" t="s">
        <v>47</v>
      </c>
      <c r="B237">
        <v>10.38</v>
      </c>
      <c r="C237">
        <v>94.09</v>
      </c>
      <c r="D237">
        <v>1.37</v>
      </c>
      <c r="E237">
        <v>13.502000000000001</v>
      </c>
      <c r="F237" s="25">
        <v>7.0000000000000001E-3</v>
      </c>
      <c r="G237">
        <v>1.0449999999999999</v>
      </c>
      <c r="H237">
        <v>-67.3</v>
      </c>
      <c r="I237">
        <v>26.47</v>
      </c>
      <c r="J237">
        <v>-6.04</v>
      </c>
      <c r="K237">
        <v>29.06</v>
      </c>
      <c r="L237">
        <v>26.74</v>
      </c>
      <c r="M237" s="25">
        <v>0.51</v>
      </c>
      <c r="N237" s="25">
        <v>0.14349999999999999</v>
      </c>
      <c r="O237">
        <v>0.8</v>
      </c>
      <c r="P237" s="25">
        <v>3.9699999999999999E-2</v>
      </c>
      <c r="Q237" s="25">
        <v>1.46E-2</v>
      </c>
      <c r="R237" s="26">
        <v>401438</v>
      </c>
      <c r="S237" s="26">
        <v>729614000</v>
      </c>
      <c r="T237">
        <v>0.14000000000000001</v>
      </c>
      <c r="U237" s="25">
        <v>-7.0300000000000001E-2</v>
      </c>
    </row>
    <row r="238" spans="1:21" x14ac:dyDescent="0.25">
      <c r="A238" t="s">
        <v>89</v>
      </c>
      <c r="B238">
        <v>11.92</v>
      </c>
      <c r="C238">
        <v>6.48</v>
      </c>
      <c r="D238">
        <v>1.56</v>
      </c>
      <c r="E238">
        <v>1.4570000000000001</v>
      </c>
      <c r="F238" s="25">
        <v>8.6099999999999996E-2</v>
      </c>
      <c r="G238">
        <v>0.66</v>
      </c>
      <c r="H238">
        <v>1.0900000000000001</v>
      </c>
      <c r="I238">
        <v>6.72</v>
      </c>
      <c r="J238">
        <v>2.48</v>
      </c>
      <c r="K238">
        <v>6.74</v>
      </c>
      <c r="L238">
        <v>6.72</v>
      </c>
      <c r="M238" s="25">
        <v>0.21690000000000001</v>
      </c>
      <c r="N238" s="25">
        <v>0.2606</v>
      </c>
      <c r="O238">
        <v>4.8499999999999996</v>
      </c>
      <c r="P238" s="25">
        <v>0.12559999999999999</v>
      </c>
      <c r="Q238" s="25">
        <v>0.2407</v>
      </c>
      <c r="R238" s="26">
        <v>5872680</v>
      </c>
      <c r="S238" s="26">
        <v>1493340000</v>
      </c>
      <c r="T238">
        <v>0.48</v>
      </c>
      <c r="U238" s="25">
        <v>0.3831</v>
      </c>
    </row>
    <row r="239" spans="1:21" x14ac:dyDescent="0.25">
      <c r="A239" t="s">
        <v>18</v>
      </c>
      <c r="B239">
        <v>28.61</v>
      </c>
      <c r="C239">
        <v>7.76</v>
      </c>
      <c r="D239">
        <v>4.37</v>
      </c>
      <c r="E239">
        <v>0.80700000000000005</v>
      </c>
      <c r="F239" s="25">
        <v>9.2200000000000004E-2</v>
      </c>
      <c r="G239">
        <v>1.0449999999999999</v>
      </c>
      <c r="H239">
        <v>6.76</v>
      </c>
      <c r="I239">
        <v>4.72</v>
      </c>
      <c r="J239">
        <v>-7.13</v>
      </c>
      <c r="K239">
        <v>5.58</v>
      </c>
      <c r="L239">
        <v>4.9000000000000004</v>
      </c>
      <c r="M239" s="25">
        <v>0.17100000000000001</v>
      </c>
      <c r="N239" s="25">
        <v>0.104</v>
      </c>
      <c r="O239">
        <v>1.34</v>
      </c>
      <c r="P239" s="25">
        <v>0.34749999999999998</v>
      </c>
      <c r="Q239" s="25">
        <v>0.56359999999999999</v>
      </c>
      <c r="R239" s="26">
        <v>7525650</v>
      </c>
      <c r="S239" s="26">
        <v>886641000</v>
      </c>
      <c r="T239">
        <v>1.1599999999999999</v>
      </c>
      <c r="U239" s="25">
        <v>0.14410000000000001</v>
      </c>
    </row>
    <row r="240" spans="1:21" x14ac:dyDescent="0.25">
      <c r="A240" t="s">
        <v>156</v>
      </c>
      <c r="B240">
        <v>6.2</v>
      </c>
      <c r="C240">
        <v>0.95</v>
      </c>
      <c r="D240">
        <v>0.41</v>
      </c>
      <c r="E240">
        <v>0.151</v>
      </c>
      <c r="F240" s="25">
        <v>0</v>
      </c>
      <c r="G240">
        <v>8.5999999999999993E-2</v>
      </c>
      <c r="H240">
        <v>0.89</v>
      </c>
      <c r="I240">
        <v>1.2</v>
      </c>
      <c r="J240">
        <v>-0.18</v>
      </c>
      <c r="K240">
        <v>4.5</v>
      </c>
      <c r="L240">
        <v>3.07</v>
      </c>
      <c r="M240" s="25">
        <v>0.1263</v>
      </c>
      <c r="N240" s="25">
        <v>0.15820000000000001</v>
      </c>
      <c r="O240">
        <v>1.44</v>
      </c>
      <c r="P240" s="25">
        <v>9.2100000000000001E-2</v>
      </c>
      <c r="Q240" s="25">
        <v>0.42920000000000003</v>
      </c>
      <c r="R240" s="26">
        <v>8695410</v>
      </c>
      <c r="S240" s="26">
        <v>5639690000</v>
      </c>
      <c r="T240">
        <v>1.77</v>
      </c>
      <c r="U240" s="25">
        <v>1.54E-2</v>
      </c>
    </row>
    <row r="241" spans="1:21" x14ac:dyDescent="0.25">
      <c r="A241" t="s">
        <v>412</v>
      </c>
      <c r="B241">
        <v>36.01</v>
      </c>
      <c r="C241">
        <v>16.64</v>
      </c>
      <c r="D241">
        <v>1.82</v>
      </c>
      <c r="E241">
        <v>0</v>
      </c>
      <c r="F241" s="25">
        <v>3.95E-2</v>
      </c>
      <c r="G241">
        <v>1.706</v>
      </c>
      <c r="H241">
        <v>6.65</v>
      </c>
      <c r="I241">
        <v>-54.89</v>
      </c>
      <c r="J241">
        <v>7.07</v>
      </c>
      <c r="K241">
        <v>-45.91</v>
      </c>
      <c r="L241">
        <v>-45.91</v>
      </c>
      <c r="M241" s="25">
        <v>0</v>
      </c>
      <c r="N241" s="25">
        <v>0</v>
      </c>
      <c r="O241">
        <v>6.18</v>
      </c>
      <c r="P241" s="25">
        <v>-4.3099999999999999E-2</v>
      </c>
      <c r="Q241" s="25">
        <v>0.1096</v>
      </c>
      <c r="R241" s="26">
        <v>171.48</v>
      </c>
      <c r="S241" s="26">
        <v>232276000</v>
      </c>
      <c r="T241">
        <v>0</v>
      </c>
      <c r="U241" s="25">
        <v>0</v>
      </c>
    </row>
    <row r="242" spans="1:21" x14ac:dyDescent="0.25">
      <c r="A242" t="s">
        <v>253</v>
      </c>
      <c r="B242">
        <v>2.5299999999999998</v>
      </c>
      <c r="C242">
        <v>-5.81</v>
      </c>
      <c r="D242">
        <v>0.92</v>
      </c>
      <c r="E242">
        <v>0.17899999999999999</v>
      </c>
      <c r="F242" s="25">
        <v>4.82E-2</v>
      </c>
      <c r="G242">
        <v>0.14399999999999999</v>
      </c>
      <c r="H242">
        <v>0.59</v>
      </c>
      <c r="I242">
        <v>6.75</v>
      </c>
      <c r="J242">
        <v>-0.96</v>
      </c>
      <c r="K242">
        <v>9.07</v>
      </c>
      <c r="L242">
        <v>3.19</v>
      </c>
      <c r="M242" s="25">
        <v>2.6599999999999999E-2</v>
      </c>
      <c r="N242" s="25">
        <v>-3.09E-2</v>
      </c>
      <c r="O242">
        <v>1.54</v>
      </c>
      <c r="P242" s="25">
        <v>2.64E-2</v>
      </c>
      <c r="Q242" s="25">
        <v>-0.15840000000000001</v>
      </c>
      <c r="R242" s="26">
        <v>5515910</v>
      </c>
      <c r="S242" s="26">
        <v>536003000</v>
      </c>
      <c r="T242">
        <v>0.93</v>
      </c>
      <c r="U242" s="25">
        <v>0.1094</v>
      </c>
    </row>
    <row r="243" spans="1:21" x14ac:dyDescent="0.25">
      <c r="A243" t="s">
        <v>143</v>
      </c>
      <c r="B243">
        <v>19.78</v>
      </c>
      <c r="C243">
        <v>4.6399999999999997</v>
      </c>
      <c r="D243">
        <v>0.47</v>
      </c>
      <c r="E243">
        <v>7.8550000000000004</v>
      </c>
      <c r="F243" s="25">
        <v>9.8799999999999999E-2</v>
      </c>
      <c r="G243">
        <v>0.25800000000000001</v>
      </c>
      <c r="H243">
        <v>12.45</v>
      </c>
      <c r="I243">
        <v>10.9</v>
      </c>
      <c r="J243">
        <v>-0.81</v>
      </c>
      <c r="K243">
        <v>22.93</v>
      </c>
      <c r="L243">
        <v>22.06</v>
      </c>
      <c r="M243" s="25">
        <v>0.72060000000000002</v>
      </c>
      <c r="N243" s="25">
        <v>1.6971000000000001</v>
      </c>
      <c r="O243">
        <v>1.18</v>
      </c>
      <c r="P243" s="25">
        <v>2.4199999999999999E-2</v>
      </c>
      <c r="Q243" s="25">
        <v>0.10199999999999999</v>
      </c>
      <c r="R243" s="26">
        <v>4463590</v>
      </c>
      <c r="S243" s="26">
        <v>3672920000</v>
      </c>
      <c r="T243">
        <v>0.55000000000000004</v>
      </c>
      <c r="U243" s="25">
        <v>0.12239999999999999</v>
      </c>
    </row>
    <row r="244" spans="1:21" x14ac:dyDescent="0.25">
      <c r="A244" t="s">
        <v>212</v>
      </c>
      <c r="B244">
        <v>25.03</v>
      </c>
      <c r="C244">
        <v>37.39</v>
      </c>
      <c r="D244">
        <v>2.65</v>
      </c>
      <c r="E244">
        <v>0.93899999999999995</v>
      </c>
      <c r="F244" s="25">
        <v>0</v>
      </c>
      <c r="G244">
        <v>0.68100000000000005</v>
      </c>
      <c r="H244">
        <v>25.44</v>
      </c>
      <c r="I244">
        <v>10.07</v>
      </c>
      <c r="J244">
        <v>-1.42</v>
      </c>
      <c r="K244">
        <v>15.11</v>
      </c>
      <c r="L244">
        <v>7.28</v>
      </c>
      <c r="M244" s="25">
        <v>9.3200000000000005E-2</v>
      </c>
      <c r="N244" s="25">
        <v>2.5100000000000001E-2</v>
      </c>
      <c r="O244">
        <v>1.1100000000000001</v>
      </c>
      <c r="P244" s="25">
        <v>7.6499999999999999E-2</v>
      </c>
      <c r="Q244" s="25">
        <v>7.0999999999999994E-2</v>
      </c>
      <c r="R244" s="26">
        <v>388619</v>
      </c>
      <c r="S244" s="26">
        <v>1011710000</v>
      </c>
      <c r="T244">
        <v>1.66</v>
      </c>
      <c r="U244" s="25">
        <v>0.2581</v>
      </c>
    </row>
    <row r="245" spans="1:21" x14ac:dyDescent="0.25">
      <c r="A245" t="s">
        <v>163</v>
      </c>
      <c r="B245">
        <v>1.46</v>
      </c>
      <c r="C245">
        <v>10.41</v>
      </c>
      <c r="D245">
        <v>0.93</v>
      </c>
      <c r="E245">
        <v>1.0629999999999999</v>
      </c>
      <c r="F245" s="25">
        <v>4.99E-2</v>
      </c>
      <c r="G245">
        <v>0.52200000000000002</v>
      </c>
      <c r="H245">
        <v>4.7699999999999996</v>
      </c>
      <c r="I245">
        <v>5.59</v>
      </c>
      <c r="J245">
        <v>-3.68</v>
      </c>
      <c r="K245">
        <v>3.6</v>
      </c>
      <c r="L245">
        <v>2.38</v>
      </c>
      <c r="M245" s="25">
        <v>0.19009999999999999</v>
      </c>
      <c r="N245" s="25">
        <v>0.16400000000000001</v>
      </c>
      <c r="O245">
        <v>1.56</v>
      </c>
      <c r="P245" s="25">
        <v>0.1168</v>
      </c>
      <c r="Q245" s="25">
        <v>8.8999999999999996E-2</v>
      </c>
      <c r="R245" s="26">
        <v>150529</v>
      </c>
      <c r="S245" s="26">
        <v>232403000</v>
      </c>
      <c r="T245">
        <v>0</v>
      </c>
      <c r="U245" s="25">
        <v>-3.5000000000000001E-3</v>
      </c>
    </row>
    <row r="246" spans="1:21" x14ac:dyDescent="0.25">
      <c r="A246" t="s">
        <v>205</v>
      </c>
      <c r="B246">
        <v>17.63</v>
      </c>
      <c r="C246">
        <v>14.61</v>
      </c>
      <c r="D246">
        <v>1.82</v>
      </c>
      <c r="E246">
        <v>1.264</v>
      </c>
      <c r="F246" s="25">
        <v>4.0500000000000001E-2</v>
      </c>
      <c r="G246">
        <v>1.012</v>
      </c>
      <c r="H246">
        <v>4.41</v>
      </c>
      <c r="I246">
        <v>5.9</v>
      </c>
      <c r="J246">
        <v>7.9</v>
      </c>
      <c r="K246">
        <v>5.52</v>
      </c>
      <c r="L246">
        <v>3.95</v>
      </c>
      <c r="M246" s="25">
        <v>0.21429999999999999</v>
      </c>
      <c r="N246" s="25">
        <v>8.6499999999999994E-2</v>
      </c>
      <c r="O246">
        <v>1.67</v>
      </c>
      <c r="P246" s="25">
        <v>0.2056</v>
      </c>
      <c r="Q246" s="25">
        <v>0.1245</v>
      </c>
      <c r="R246" s="26">
        <v>230570000</v>
      </c>
      <c r="S246" s="26">
        <v>10265800000</v>
      </c>
      <c r="T246">
        <v>0.04</v>
      </c>
      <c r="U246" s="25">
        <v>0.1731</v>
      </c>
    </row>
    <row r="247" spans="1:21" x14ac:dyDescent="0.25">
      <c r="A247" t="s">
        <v>191</v>
      </c>
      <c r="B247">
        <v>1.17</v>
      </c>
      <c r="C247">
        <v>-1.43</v>
      </c>
      <c r="D247">
        <v>0.42</v>
      </c>
      <c r="E247">
        <v>0.48</v>
      </c>
      <c r="F247" s="25">
        <v>0</v>
      </c>
      <c r="G247">
        <v>0.10100000000000001</v>
      </c>
      <c r="H247">
        <v>3.17</v>
      </c>
      <c r="I247">
        <v>-2.95</v>
      </c>
      <c r="J247">
        <v>-0.21</v>
      </c>
      <c r="K247">
        <v>-13.25</v>
      </c>
      <c r="L247">
        <v>-13.25</v>
      </c>
      <c r="M247" s="25">
        <v>-0.16259999999999999</v>
      </c>
      <c r="N247" s="25">
        <v>-0.33560000000000001</v>
      </c>
      <c r="O247">
        <v>1.1299999999999999</v>
      </c>
      <c r="P247" s="25">
        <v>-3.5999999999999997E-2</v>
      </c>
      <c r="Q247" s="25">
        <v>-0.2949</v>
      </c>
      <c r="R247" s="26">
        <v>57600.3</v>
      </c>
      <c r="S247" s="26">
        <v>121242000</v>
      </c>
      <c r="T247">
        <v>1.49</v>
      </c>
      <c r="U247" s="25">
        <v>0.11890000000000001</v>
      </c>
    </row>
    <row r="248" spans="1:21" x14ac:dyDescent="0.25">
      <c r="A248" t="s">
        <v>413</v>
      </c>
      <c r="B248">
        <v>4.0999999999999996</v>
      </c>
      <c r="C248">
        <v>4.67</v>
      </c>
      <c r="D248">
        <v>1.08</v>
      </c>
      <c r="E248">
        <v>1.26</v>
      </c>
      <c r="F248" s="25">
        <v>2.8299999999999999E-2</v>
      </c>
      <c r="G248">
        <v>0.76900000000000002</v>
      </c>
      <c r="H248">
        <v>17.96</v>
      </c>
      <c r="I248">
        <v>9.0500000000000007</v>
      </c>
      <c r="J248">
        <v>-5.3</v>
      </c>
      <c r="K248">
        <v>9.08</v>
      </c>
      <c r="L248">
        <v>4.83</v>
      </c>
      <c r="M248" s="25">
        <v>0.13930000000000001</v>
      </c>
      <c r="N248" s="25">
        <v>0.26989999999999997</v>
      </c>
      <c r="O248">
        <v>1.41</v>
      </c>
      <c r="P248" s="25">
        <v>9.5500000000000002E-2</v>
      </c>
      <c r="Q248" s="25">
        <v>0.2324</v>
      </c>
      <c r="R248" s="26">
        <v>8469.43</v>
      </c>
      <c r="S248" s="26">
        <v>157085000</v>
      </c>
      <c r="T248">
        <v>0.12</v>
      </c>
      <c r="U248" s="25">
        <v>5.0099999999999999E-2</v>
      </c>
    </row>
    <row r="249" spans="1:21" x14ac:dyDescent="0.25">
      <c r="A249" t="s">
        <v>178</v>
      </c>
      <c r="B249">
        <v>3.65</v>
      </c>
      <c r="C249">
        <v>7.22</v>
      </c>
      <c r="D249">
        <v>0.35</v>
      </c>
      <c r="E249">
        <v>0.27500000000000002</v>
      </c>
      <c r="F249" s="25">
        <v>5.21E-2</v>
      </c>
      <c r="G249">
        <v>0.154</v>
      </c>
      <c r="H249">
        <v>0.73</v>
      </c>
      <c r="I249">
        <v>1.19</v>
      </c>
      <c r="J249">
        <v>-2.09</v>
      </c>
      <c r="K249">
        <v>0.45</v>
      </c>
      <c r="L249">
        <v>0.22</v>
      </c>
      <c r="M249" s="25">
        <v>0.23200000000000001</v>
      </c>
      <c r="N249" s="25">
        <v>3.8100000000000002E-2</v>
      </c>
      <c r="O249">
        <v>1.76</v>
      </c>
      <c r="P249" s="25">
        <v>0.15579999999999999</v>
      </c>
      <c r="Q249" s="25">
        <v>4.8399999999999999E-2</v>
      </c>
      <c r="R249" s="26">
        <v>318194</v>
      </c>
      <c r="S249" s="26">
        <v>662855000</v>
      </c>
      <c r="T249">
        <v>0</v>
      </c>
      <c r="U249" s="25">
        <v>-9.2299999999999993E-2</v>
      </c>
    </row>
    <row r="250" spans="1:21" x14ac:dyDescent="0.25">
      <c r="A250" t="s">
        <v>162</v>
      </c>
      <c r="B250">
        <v>3.9</v>
      </c>
      <c r="C250">
        <v>67.849999999999994</v>
      </c>
      <c r="D250">
        <v>0.81</v>
      </c>
      <c r="E250">
        <v>1.579</v>
      </c>
      <c r="F250" s="25">
        <v>1.83E-2</v>
      </c>
      <c r="G250">
        <v>0.55200000000000005</v>
      </c>
      <c r="H250">
        <v>11.37</v>
      </c>
      <c r="I250">
        <v>17.96</v>
      </c>
      <c r="J250">
        <v>31.39</v>
      </c>
      <c r="K250">
        <v>14.74</v>
      </c>
      <c r="L250">
        <v>7.07</v>
      </c>
      <c r="M250" s="25">
        <v>8.7900000000000006E-2</v>
      </c>
      <c r="N250" s="25">
        <v>2.3300000000000001E-2</v>
      </c>
      <c r="O250">
        <v>1.17</v>
      </c>
      <c r="P250" s="25">
        <v>3.5299999999999998E-2</v>
      </c>
      <c r="Q250" s="25">
        <v>1.1900000000000001E-2</v>
      </c>
      <c r="R250" s="26">
        <v>25443600</v>
      </c>
      <c r="S250" s="26">
        <v>2736470000</v>
      </c>
      <c r="T250">
        <v>0.03</v>
      </c>
      <c r="U250" s="25">
        <v>0.2555</v>
      </c>
    </row>
    <row r="251" spans="1:21" x14ac:dyDescent="0.25">
      <c r="A251" t="s">
        <v>414</v>
      </c>
      <c r="B251">
        <v>3.05</v>
      </c>
      <c r="C251">
        <v>-17.41</v>
      </c>
      <c r="D251">
        <v>-0.43</v>
      </c>
      <c r="E251">
        <v>0</v>
      </c>
      <c r="F251" s="25">
        <v>0</v>
      </c>
      <c r="G251">
        <v>3.621</v>
      </c>
      <c r="H251">
        <v>-49.17</v>
      </c>
      <c r="I251">
        <v>-22.79</v>
      </c>
      <c r="J251">
        <v>-0.39</v>
      </c>
      <c r="K251">
        <v>-22.78</v>
      </c>
      <c r="L251">
        <v>-22.78</v>
      </c>
      <c r="M251" s="25">
        <v>0</v>
      </c>
      <c r="N251" s="25">
        <v>0</v>
      </c>
      <c r="O251">
        <v>0.02</v>
      </c>
      <c r="P251" s="25">
        <v>-0.1595</v>
      </c>
      <c r="Q251" s="25">
        <v>2.4899999999999999E-2</v>
      </c>
      <c r="R251" s="26">
        <v>7.26</v>
      </c>
      <c r="S251" s="26">
        <v>-6474000</v>
      </c>
      <c r="T251">
        <v>0</v>
      </c>
      <c r="U251" s="25">
        <v>0</v>
      </c>
    </row>
    <row r="252" spans="1:21" x14ac:dyDescent="0.25">
      <c r="A252" t="s">
        <v>415</v>
      </c>
      <c r="B252">
        <v>3.8</v>
      </c>
      <c r="C252">
        <v>-21.69</v>
      </c>
      <c r="D252">
        <v>-0.54</v>
      </c>
      <c r="E252">
        <v>0</v>
      </c>
      <c r="F252" s="25">
        <v>0</v>
      </c>
      <c r="G252">
        <v>4.5119999999999996</v>
      </c>
      <c r="H252">
        <v>-61.27</v>
      </c>
      <c r="I252">
        <v>-28.39</v>
      </c>
      <c r="J252">
        <v>-0.48</v>
      </c>
      <c r="K252">
        <v>-28.38</v>
      </c>
      <c r="L252">
        <v>-28.38</v>
      </c>
      <c r="M252" s="25">
        <v>0</v>
      </c>
      <c r="N252" s="25">
        <v>0</v>
      </c>
      <c r="O252">
        <v>0.02</v>
      </c>
      <c r="P252" s="25">
        <v>-0.1595</v>
      </c>
      <c r="Q252" s="25">
        <v>2.4899999999999999E-2</v>
      </c>
      <c r="R252" s="26">
        <v>5760.69</v>
      </c>
      <c r="S252" s="26">
        <v>-6474000</v>
      </c>
      <c r="T252">
        <v>0</v>
      </c>
      <c r="U252" s="25">
        <v>0</v>
      </c>
    </row>
    <row r="253" spans="1:21" x14ac:dyDescent="0.25">
      <c r="A253" t="s">
        <v>188</v>
      </c>
      <c r="B253">
        <v>4.3499999999999996</v>
      </c>
      <c r="C253">
        <v>-4.09</v>
      </c>
      <c r="D253">
        <v>1.02</v>
      </c>
      <c r="E253">
        <v>0.68899999999999995</v>
      </c>
      <c r="F253" s="25">
        <v>1.72E-2</v>
      </c>
      <c r="G253">
        <v>0.33700000000000002</v>
      </c>
      <c r="H253">
        <v>1.47</v>
      </c>
      <c r="I253">
        <v>4.5</v>
      </c>
      <c r="J253">
        <v>-1.08</v>
      </c>
      <c r="K253">
        <v>6.82</v>
      </c>
      <c r="L253">
        <v>5.12</v>
      </c>
      <c r="M253" s="25">
        <v>0.153</v>
      </c>
      <c r="N253" s="25">
        <v>-0.16320000000000001</v>
      </c>
      <c r="O253">
        <v>2.95</v>
      </c>
      <c r="P253" s="25">
        <v>9.1899999999999996E-2</v>
      </c>
      <c r="Q253" s="25">
        <v>-0.248</v>
      </c>
      <c r="R253" s="26">
        <v>1372410</v>
      </c>
      <c r="S253" s="26">
        <v>1454640000</v>
      </c>
      <c r="T253">
        <v>0.98</v>
      </c>
      <c r="U253" s="25">
        <v>0.33379999999999999</v>
      </c>
    </row>
    <row r="254" spans="1:21" x14ac:dyDescent="0.25">
      <c r="A254" t="s">
        <v>85</v>
      </c>
      <c r="B254">
        <v>25.19</v>
      </c>
      <c r="C254">
        <v>15.24</v>
      </c>
      <c r="D254">
        <v>1.07</v>
      </c>
      <c r="E254">
        <v>0.878</v>
      </c>
      <c r="F254" s="25">
        <v>2.3E-2</v>
      </c>
      <c r="G254">
        <v>0.66700000000000004</v>
      </c>
      <c r="H254" s="26">
        <v>2.69</v>
      </c>
      <c r="I254">
        <v>9.9700000000000006</v>
      </c>
      <c r="J254">
        <v>8.01</v>
      </c>
      <c r="K254">
        <v>10</v>
      </c>
      <c r="L254">
        <v>6.93</v>
      </c>
      <c r="M254" s="25">
        <v>8.7999999999999995E-2</v>
      </c>
      <c r="N254" s="25">
        <v>5.7599999999999998E-2</v>
      </c>
      <c r="O254">
        <v>2.15</v>
      </c>
      <c r="P254" s="25">
        <v>9.0499999999999997E-2</v>
      </c>
      <c r="Q254" s="25">
        <v>7.0400000000000004E-2</v>
      </c>
      <c r="R254" s="26">
        <v>13998900</v>
      </c>
      <c r="S254" s="26">
        <v>7956180000</v>
      </c>
      <c r="T254">
        <v>0.28999999999999998</v>
      </c>
      <c r="U254" s="25">
        <v>9.1300000000000006E-2</v>
      </c>
    </row>
    <row r="255" spans="1:21" x14ac:dyDescent="0.25">
      <c r="A255" t="s">
        <v>171</v>
      </c>
      <c r="B255">
        <v>21.35</v>
      </c>
      <c r="C255">
        <v>6.49</v>
      </c>
      <c r="D255">
        <v>1.1200000000000001</v>
      </c>
      <c r="E255">
        <v>1.0660000000000001</v>
      </c>
      <c r="F255" s="25">
        <v>5.8099999999999999E-2</v>
      </c>
      <c r="G255">
        <v>0.43099999999999999</v>
      </c>
      <c r="H255" s="26">
        <v>1.43</v>
      </c>
      <c r="I255">
        <v>5.73</v>
      </c>
      <c r="J255">
        <v>-3.25</v>
      </c>
      <c r="K255">
        <v>6.13</v>
      </c>
      <c r="L255">
        <v>5.91</v>
      </c>
      <c r="M255" s="25">
        <v>0.18609999999999999</v>
      </c>
      <c r="N255" s="25">
        <v>0.16420000000000001</v>
      </c>
      <c r="O255">
        <v>2.62</v>
      </c>
      <c r="P255" s="25">
        <v>8.6800000000000002E-2</v>
      </c>
      <c r="Q255" s="25">
        <v>0.17330000000000001</v>
      </c>
      <c r="R255" s="26">
        <v>18106800</v>
      </c>
      <c r="S255" s="26">
        <v>1611720000</v>
      </c>
      <c r="T255">
        <v>0.33</v>
      </c>
      <c r="U255" s="25">
        <v>0.31069999999999998</v>
      </c>
    </row>
    <row r="256" spans="1:21" x14ac:dyDescent="0.25">
      <c r="A256" t="s">
        <v>41</v>
      </c>
      <c r="B256">
        <v>1.36</v>
      </c>
      <c r="C256">
        <v>-4.4800000000000004</v>
      </c>
      <c r="D256">
        <v>0.39</v>
      </c>
      <c r="E256">
        <v>0.17499999999999999</v>
      </c>
      <c r="F256" s="25">
        <v>0</v>
      </c>
      <c r="G256">
        <v>0.14699999999999999</v>
      </c>
      <c r="H256">
        <v>-1.83</v>
      </c>
      <c r="I256">
        <v>-3.64</v>
      </c>
      <c r="J256">
        <v>-0.31</v>
      </c>
      <c r="K256">
        <v>-7.31</v>
      </c>
      <c r="L256">
        <v>5.53</v>
      </c>
      <c r="M256" s="25">
        <v>-4.82E-2</v>
      </c>
      <c r="N256" s="25">
        <v>-3.9199999999999999E-2</v>
      </c>
      <c r="O256">
        <v>0.66</v>
      </c>
      <c r="P256" s="25">
        <v>-4.7500000000000001E-2</v>
      </c>
      <c r="Q256" s="25">
        <v>-8.8099999999999998E-2</v>
      </c>
      <c r="R256" s="26">
        <v>464184</v>
      </c>
      <c r="S256" s="26">
        <v>987889000</v>
      </c>
      <c r="T256">
        <v>0.59</v>
      </c>
      <c r="U256" s="25">
        <v>0.1593</v>
      </c>
    </row>
    <row r="257" spans="1:21" x14ac:dyDescent="0.25">
      <c r="A257" t="s">
        <v>102</v>
      </c>
      <c r="B257">
        <v>3.4</v>
      </c>
      <c r="C257">
        <v>12.88</v>
      </c>
      <c r="D257">
        <v>0.65</v>
      </c>
      <c r="E257">
        <v>0.69499999999999995</v>
      </c>
      <c r="F257" s="25">
        <v>0.34539999999999998</v>
      </c>
      <c r="G257">
        <v>0.28199999999999997</v>
      </c>
      <c r="H257">
        <v>0.56999999999999995</v>
      </c>
      <c r="I257">
        <v>11.02</v>
      </c>
      <c r="J257">
        <v>1.06</v>
      </c>
      <c r="K257">
        <v>11.01</v>
      </c>
      <c r="L257">
        <v>10.37</v>
      </c>
      <c r="M257" s="25">
        <v>6.3100000000000003E-2</v>
      </c>
      <c r="N257" s="25">
        <v>0.11459999999999999</v>
      </c>
      <c r="O257">
        <v>2.78</v>
      </c>
      <c r="P257" s="25">
        <v>3.0599999999999999E-2</v>
      </c>
      <c r="Q257" s="25">
        <v>5.0299999999999997E-2</v>
      </c>
      <c r="R257" s="26">
        <v>1382540</v>
      </c>
      <c r="S257" s="26">
        <v>1083040000</v>
      </c>
      <c r="T257">
        <v>0.32</v>
      </c>
      <c r="U257" s="25">
        <v>0.1419</v>
      </c>
    </row>
    <row r="258" spans="1:21" x14ac:dyDescent="0.25">
      <c r="A258" t="s">
        <v>262</v>
      </c>
      <c r="B258">
        <v>3.96</v>
      </c>
      <c r="C258">
        <v>-0.91</v>
      </c>
      <c r="D258">
        <v>2.46</v>
      </c>
      <c r="E258">
        <v>2.4E-2</v>
      </c>
      <c r="F258" s="25">
        <v>0</v>
      </c>
      <c r="G258">
        <v>2.9000000000000001E-2</v>
      </c>
      <c r="H258">
        <v>0.17</v>
      </c>
      <c r="I258">
        <v>0.31</v>
      </c>
      <c r="J258">
        <v>-0.06</v>
      </c>
      <c r="K258">
        <v>7.88</v>
      </c>
      <c r="L258">
        <v>6.11</v>
      </c>
      <c r="M258" s="25">
        <v>7.6999999999999999E-2</v>
      </c>
      <c r="N258" s="25">
        <v>-2.5899999999999999E-2</v>
      </c>
      <c r="O258">
        <v>1.56</v>
      </c>
      <c r="P258" s="25">
        <v>0.1167</v>
      </c>
      <c r="Q258" s="25">
        <v>-2.6882999999999999</v>
      </c>
      <c r="R258" s="26">
        <v>12190.7</v>
      </c>
      <c r="S258" s="26">
        <v>9319000</v>
      </c>
      <c r="T258">
        <v>66.91</v>
      </c>
      <c r="U258" s="25">
        <v>9.9000000000000005E-2</v>
      </c>
    </row>
    <row r="259" spans="1:21" x14ac:dyDescent="0.25">
      <c r="A259" t="s">
        <v>416</v>
      </c>
      <c r="B259">
        <v>7.8</v>
      </c>
      <c r="C259">
        <v>13.3</v>
      </c>
      <c r="D259">
        <v>0.51</v>
      </c>
      <c r="E259">
        <v>0.151</v>
      </c>
      <c r="F259" s="25">
        <v>3.9199999999999999E-2</v>
      </c>
      <c r="G259">
        <v>0.16200000000000001</v>
      </c>
      <c r="H259">
        <v>1.9</v>
      </c>
      <c r="I259">
        <v>3.19</v>
      </c>
      <c r="J259">
        <v>-0.94</v>
      </c>
      <c r="K259">
        <v>4.7699999999999996</v>
      </c>
      <c r="L259">
        <v>2.75</v>
      </c>
      <c r="M259" s="25">
        <v>4.7300000000000002E-2</v>
      </c>
      <c r="N259" s="25">
        <v>1.14E-2</v>
      </c>
      <c r="O259">
        <v>1.2</v>
      </c>
      <c r="P259" s="25">
        <v>7.2499999999999995E-2</v>
      </c>
      <c r="Q259" s="25">
        <v>3.8199999999999998E-2</v>
      </c>
      <c r="R259" s="26">
        <v>252933000</v>
      </c>
      <c r="S259" s="26">
        <v>11357900000</v>
      </c>
      <c r="T259">
        <v>0.4</v>
      </c>
      <c r="U259" s="25">
        <v>3.7999999999999999E-2</v>
      </c>
    </row>
    <row r="260" spans="1:21" x14ac:dyDescent="0.25">
      <c r="A260" t="s">
        <v>159</v>
      </c>
      <c r="B260">
        <v>10.93</v>
      </c>
      <c r="C260">
        <v>8.98</v>
      </c>
      <c r="D260">
        <v>1.72</v>
      </c>
      <c r="E260">
        <v>1.5660000000000001</v>
      </c>
      <c r="F260" s="25">
        <v>4.7300000000000002E-2</v>
      </c>
      <c r="G260">
        <v>0.65700000000000003</v>
      </c>
      <c r="H260">
        <v>3.43</v>
      </c>
      <c r="I260">
        <v>4.58</v>
      </c>
      <c r="J260">
        <v>-2.52</v>
      </c>
      <c r="K260">
        <v>6.7</v>
      </c>
      <c r="L260">
        <v>4.6900000000000004</v>
      </c>
      <c r="M260" s="25">
        <v>0.34150000000000003</v>
      </c>
      <c r="N260" s="25">
        <v>0.17460000000000001</v>
      </c>
      <c r="O260">
        <v>2.17</v>
      </c>
      <c r="P260" s="25">
        <v>0.18529999999999999</v>
      </c>
      <c r="Q260" s="25">
        <v>0.19170000000000001</v>
      </c>
      <c r="R260" s="26">
        <v>7773120</v>
      </c>
      <c r="S260" s="26">
        <v>1487240000</v>
      </c>
      <c r="T260">
        <v>1.28</v>
      </c>
      <c r="U260" s="25">
        <v>0.32</v>
      </c>
    </row>
    <row r="261" spans="1:21" x14ac:dyDescent="0.25">
      <c r="A261" t="s">
        <v>181</v>
      </c>
      <c r="B261">
        <v>1.05</v>
      </c>
      <c r="C261">
        <v>-4.59</v>
      </c>
      <c r="D261">
        <v>0.28999999999999998</v>
      </c>
      <c r="E261">
        <v>0.252</v>
      </c>
      <c r="F261" s="25">
        <v>0</v>
      </c>
      <c r="G261">
        <v>0.16300000000000001</v>
      </c>
      <c r="H261">
        <v>0.46</v>
      </c>
      <c r="I261">
        <v>-5.97</v>
      </c>
      <c r="J261">
        <v>0.71</v>
      </c>
      <c r="K261">
        <v>-7.47</v>
      </c>
      <c r="L261">
        <v>-12.78</v>
      </c>
      <c r="M261" s="25">
        <v>-4.2200000000000001E-2</v>
      </c>
      <c r="N261" s="25">
        <v>-5.4800000000000001E-2</v>
      </c>
      <c r="O261">
        <v>2.11</v>
      </c>
      <c r="P261" s="25">
        <v>-3.78E-2</v>
      </c>
      <c r="Q261" s="25">
        <v>-6.3500000000000001E-2</v>
      </c>
      <c r="R261" s="26">
        <v>1495160</v>
      </c>
      <c r="S261" s="26">
        <v>2953430000</v>
      </c>
      <c r="T261">
        <v>0.23</v>
      </c>
      <c r="U261" s="25">
        <v>-9.1899999999999996E-2</v>
      </c>
    </row>
    <row r="262" spans="1:21" x14ac:dyDescent="0.25">
      <c r="A262" t="s">
        <v>417</v>
      </c>
      <c r="B262">
        <v>17.399999999999999</v>
      </c>
      <c r="C262">
        <v>66.39</v>
      </c>
      <c r="D262">
        <v>1.08</v>
      </c>
      <c r="E262">
        <v>0.17399999999999999</v>
      </c>
      <c r="F262" s="25">
        <v>0</v>
      </c>
      <c r="G262">
        <v>0.122</v>
      </c>
      <c r="H262">
        <v>-1.25</v>
      </c>
      <c r="I262">
        <v>1.72</v>
      </c>
      <c r="J262">
        <v>-0.26</v>
      </c>
      <c r="K262">
        <v>6.46</v>
      </c>
      <c r="L262">
        <v>5.59</v>
      </c>
      <c r="M262" s="25">
        <v>0.10150000000000001</v>
      </c>
      <c r="N262" s="25">
        <v>2.5999999999999999E-3</v>
      </c>
      <c r="O262">
        <v>0.81</v>
      </c>
      <c r="P262" s="25">
        <v>7.6300000000000007E-2</v>
      </c>
      <c r="Q262" s="25">
        <v>1.6199999999999999E-2</v>
      </c>
      <c r="R262" s="26">
        <v>22725</v>
      </c>
      <c r="S262" s="26">
        <v>160158000</v>
      </c>
      <c r="T262">
        <v>3</v>
      </c>
      <c r="U262" s="25">
        <v>0.1429</v>
      </c>
    </row>
    <row r="263" spans="1:21" x14ac:dyDescent="0.25">
      <c r="A263" t="s">
        <v>418</v>
      </c>
      <c r="B263">
        <v>26.09</v>
      </c>
      <c r="C263">
        <v>12.76</v>
      </c>
      <c r="D263">
        <v>-0.62</v>
      </c>
      <c r="E263">
        <v>0.51</v>
      </c>
      <c r="F263" s="25">
        <v>0</v>
      </c>
      <c r="G263">
        <v>0.48699999999999999</v>
      </c>
      <c r="H263">
        <v>-0.5</v>
      </c>
      <c r="I263">
        <v>2.83</v>
      </c>
      <c r="J263">
        <v>-0.4</v>
      </c>
      <c r="K263">
        <v>2.83</v>
      </c>
      <c r="L263">
        <v>2.4900000000000002</v>
      </c>
      <c r="M263" s="25">
        <v>0.1804</v>
      </c>
      <c r="N263" s="25">
        <v>4.0099999999999997E-2</v>
      </c>
      <c r="O263">
        <v>0.37</v>
      </c>
      <c r="P263" s="25">
        <v>0.1817</v>
      </c>
      <c r="Q263" s="25">
        <v>-4.8300000000000003E-2</v>
      </c>
      <c r="R263" s="26">
        <v>31172.7</v>
      </c>
      <c r="S263" s="26">
        <v>-300501000</v>
      </c>
      <c r="T263">
        <v>0</v>
      </c>
      <c r="U263" s="25">
        <v>7.1999999999999995E-2</v>
      </c>
    </row>
    <row r="264" spans="1:21" x14ac:dyDescent="0.25">
      <c r="A264" t="s">
        <v>419</v>
      </c>
      <c r="B264">
        <v>131</v>
      </c>
      <c r="C264">
        <v>-19.78</v>
      </c>
      <c r="D264">
        <v>1.62</v>
      </c>
      <c r="E264">
        <v>0</v>
      </c>
      <c r="F264" s="25">
        <v>0.38319999999999999</v>
      </c>
      <c r="G264">
        <v>0.75700000000000001</v>
      </c>
      <c r="H264">
        <v>1.5</v>
      </c>
      <c r="I264">
        <v>-62.85</v>
      </c>
      <c r="J264">
        <v>10.58</v>
      </c>
      <c r="K264">
        <v>-41.56</v>
      </c>
      <c r="L264">
        <v>-42.68</v>
      </c>
      <c r="M264" s="25">
        <v>0</v>
      </c>
      <c r="N264" s="25">
        <v>0</v>
      </c>
      <c r="O264">
        <v>6.12</v>
      </c>
      <c r="P264" s="25">
        <v>-2.8299999999999999E-2</v>
      </c>
      <c r="Q264" s="25">
        <v>-8.1900000000000001E-2</v>
      </c>
      <c r="R264" s="26">
        <v>42073.8</v>
      </c>
      <c r="S264" s="26">
        <v>990925000</v>
      </c>
      <c r="T264">
        <v>0.68</v>
      </c>
      <c r="U264" s="25">
        <v>-0.99450000000000005</v>
      </c>
    </row>
    <row r="265" spans="1:21" x14ac:dyDescent="0.25">
      <c r="A265" t="s">
        <v>420</v>
      </c>
      <c r="B265">
        <v>12.53</v>
      </c>
      <c r="C265">
        <v>17.420000000000002</v>
      </c>
      <c r="D265">
        <v>1.78</v>
      </c>
      <c r="E265">
        <v>1.167</v>
      </c>
      <c r="F265" s="25">
        <v>2.4799999999999999E-2</v>
      </c>
      <c r="G265">
        <v>0.40400000000000003</v>
      </c>
      <c r="H265">
        <v>5.48</v>
      </c>
      <c r="I265">
        <v>4.5</v>
      </c>
      <c r="J265">
        <v>-0.67</v>
      </c>
      <c r="K265">
        <v>10.02</v>
      </c>
      <c r="L265">
        <v>7.76</v>
      </c>
      <c r="M265" s="25">
        <v>0.25929999999999997</v>
      </c>
      <c r="N265" s="25">
        <v>7.0199999999999999E-2</v>
      </c>
      <c r="O265">
        <v>1.81</v>
      </c>
      <c r="P265" s="25">
        <v>0.1021</v>
      </c>
      <c r="Q265" s="25">
        <v>0.1023</v>
      </c>
      <c r="R265" s="26">
        <v>88725400</v>
      </c>
      <c r="S265" s="26">
        <v>14199100000</v>
      </c>
      <c r="T265">
        <v>2.65</v>
      </c>
      <c r="U265" s="25">
        <v>0.16200000000000001</v>
      </c>
    </row>
    <row r="266" spans="1:21" x14ac:dyDescent="0.25">
      <c r="A266" t="s">
        <v>236</v>
      </c>
      <c r="B266">
        <v>6.26</v>
      </c>
      <c r="C266">
        <v>8.33</v>
      </c>
      <c r="D266">
        <v>0.84</v>
      </c>
      <c r="E266">
        <v>0.155</v>
      </c>
      <c r="F266" s="25">
        <v>2.9499999999999998E-2</v>
      </c>
      <c r="G266">
        <v>7.4999999999999997E-2</v>
      </c>
      <c r="H266">
        <v>-1.94</v>
      </c>
      <c r="I266">
        <v>0.72</v>
      </c>
      <c r="J266">
        <v>-0.11</v>
      </c>
      <c r="K266">
        <v>6.34</v>
      </c>
      <c r="L266">
        <v>3.66</v>
      </c>
      <c r="M266" s="25">
        <v>0.21510000000000001</v>
      </c>
      <c r="N266" s="25">
        <v>1.8599999999999998E-2</v>
      </c>
      <c r="O266">
        <v>0.87</v>
      </c>
      <c r="P266" s="25">
        <v>0.1331</v>
      </c>
      <c r="Q266" s="25">
        <v>0.1002</v>
      </c>
      <c r="R266" s="26">
        <v>47628900</v>
      </c>
      <c r="S266" s="26">
        <v>2607680000</v>
      </c>
      <c r="T266">
        <v>7.66</v>
      </c>
      <c r="U266" s="25">
        <v>0.3589</v>
      </c>
    </row>
    <row r="267" spans="1:21" x14ac:dyDescent="0.25">
      <c r="A267" t="s">
        <v>111</v>
      </c>
      <c r="B267">
        <v>23.22</v>
      </c>
      <c r="C267">
        <v>7.06</v>
      </c>
      <c r="D267">
        <v>7.07</v>
      </c>
      <c r="E267">
        <v>0.127</v>
      </c>
      <c r="F267" s="25">
        <v>0.12889999999999999</v>
      </c>
      <c r="G267">
        <v>0.14699999999999999</v>
      </c>
      <c r="H267">
        <v>2.21</v>
      </c>
      <c r="I267">
        <v>3.02</v>
      </c>
      <c r="J267">
        <v>-0.31</v>
      </c>
      <c r="K267">
        <v>9.6</v>
      </c>
      <c r="L267">
        <v>4.5599999999999996</v>
      </c>
      <c r="M267" s="25">
        <v>4.2099999999999999E-2</v>
      </c>
      <c r="N267" s="25">
        <v>2.64E-2</v>
      </c>
      <c r="O267">
        <v>1.22</v>
      </c>
      <c r="P267" s="25">
        <v>6.9900000000000004E-2</v>
      </c>
      <c r="Q267" s="25">
        <v>1.0015000000000001</v>
      </c>
      <c r="R267" s="26">
        <v>157257000</v>
      </c>
      <c r="S267" s="26">
        <v>2816470000</v>
      </c>
      <c r="T267">
        <v>22.57</v>
      </c>
      <c r="U267" s="25">
        <v>0.21590000000000001</v>
      </c>
    </row>
    <row r="268" spans="1:21" x14ac:dyDescent="0.25">
      <c r="A268" t="s">
        <v>421</v>
      </c>
      <c r="B268">
        <v>26.5</v>
      </c>
      <c r="C268">
        <v>6.48</v>
      </c>
      <c r="D268">
        <v>1.1599999999999999</v>
      </c>
      <c r="E268">
        <v>1.2689999999999999</v>
      </c>
      <c r="F268" s="25">
        <v>0</v>
      </c>
      <c r="G268">
        <v>0.438</v>
      </c>
      <c r="H268">
        <v>4.62</v>
      </c>
      <c r="I268">
        <v>3.75</v>
      </c>
      <c r="J268">
        <v>-1.1399999999999999</v>
      </c>
      <c r="K268">
        <v>5.68</v>
      </c>
      <c r="L268">
        <v>3.95</v>
      </c>
      <c r="M268" s="25">
        <v>0.33810000000000001</v>
      </c>
      <c r="N268" s="25">
        <v>0.19589999999999999</v>
      </c>
      <c r="O268">
        <v>1.67</v>
      </c>
      <c r="P268" s="25">
        <v>0.1474</v>
      </c>
      <c r="Q268" s="25">
        <v>0.1784</v>
      </c>
      <c r="R268" s="26">
        <v>1525.86</v>
      </c>
      <c r="S268" s="26">
        <v>7748660000</v>
      </c>
      <c r="T268">
        <v>1.07</v>
      </c>
      <c r="U268" s="25">
        <v>0.1729</v>
      </c>
    </row>
    <row r="269" spans="1:21" x14ac:dyDescent="0.25">
      <c r="A269" t="s">
        <v>421</v>
      </c>
      <c r="B269">
        <v>26.5</v>
      </c>
      <c r="C269">
        <v>6.48</v>
      </c>
      <c r="D269">
        <v>1.1599999999999999</v>
      </c>
      <c r="E269">
        <v>1.2689999999999999</v>
      </c>
      <c r="F269" s="25">
        <v>0</v>
      </c>
      <c r="G269">
        <v>0.438</v>
      </c>
      <c r="H269">
        <v>4.62</v>
      </c>
      <c r="I269">
        <v>3.75</v>
      </c>
      <c r="J269">
        <v>-1.1399999999999999</v>
      </c>
      <c r="K269">
        <v>5.68</v>
      </c>
      <c r="L269">
        <v>3.95</v>
      </c>
      <c r="M269" s="25">
        <v>0.33810000000000001</v>
      </c>
      <c r="N269" s="25">
        <v>0.19589999999999999</v>
      </c>
      <c r="O269">
        <v>1.67</v>
      </c>
      <c r="P269" s="25">
        <v>0.1474</v>
      </c>
      <c r="Q269" s="25">
        <v>0.1784</v>
      </c>
      <c r="R269" s="26">
        <v>1525.86</v>
      </c>
      <c r="S269" s="26">
        <v>7748660000</v>
      </c>
      <c r="T269">
        <v>1.07</v>
      </c>
      <c r="U269" s="25">
        <v>0.1729</v>
      </c>
    </row>
    <row r="270" spans="1:21" x14ac:dyDescent="0.25">
      <c r="A270" t="s">
        <v>422</v>
      </c>
      <c r="B270">
        <v>25</v>
      </c>
      <c r="C270">
        <v>6.11</v>
      </c>
      <c r="D270">
        <v>1.0900000000000001</v>
      </c>
      <c r="E270">
        <v>1.1970000000000001</v>
      </c>
      <c r="F270" s="25">
        <v>4.19E-2</v>
      </c>
      <c r="G270">
        <v>0.41299999999999998</v>
      </c>
      <c r="H270">
        <v>4.3499999999999996</v>
      </c>
      <c r="I270">
        <v>3.54</v>
      </c>
      <c r="J270">
        <v>-1.07</v>
      </c>
      <c r="K270">
        <v>5.47</v>
      </c>
      <c r="L270">
        <v>3.8</v>
      </c>
      <c r="M270" s="25">
        <v>0.33810000000000001</v>
      </c>
      <c r="N270" s="25">
        <v>0.19589999999999999</v>
      </c>
      <c r="O270">
        <v>1.67</v>
      </c>
      <c r="P270" s="25">
        <v>0.1474</v>
      </c>
      <c r="Q270" s="25">
        <v>0.1784</v>
      </c>
      <c r="R270" s="26">
        <v>233.21</v>
      </c>
      <c r="S270" s="26">
        <v>7748660000</v>
      </c>
      <c r="T270">
        <v>1.07</v>
      </c>
      <c r="U270" s="25">
        <v>0.1729</v>
      </c>
    </row>
    <row r="271" spans="1:21" x14ac:dyDescent="0.25">
      <c r="A271" t="s">
        <v>422</v>
      </c>
      <c r="B271">
        <v>25</v>
      </c>
      <c r="C271">
        <v>6.11</v>
      </c>
      <c r="D271">
        <v>1.0900000000000001</v>
      </c>
      <c r="E271">
        <v>1.1970000000000001</v>
      </c>
      <c r="F271" s="25">
        <v>4.19E-2</v>
      </c>
      <c r="G271">
        <v>0.41299999999999998</v>
      </c>
      <c r="H271">
        <v>4.3499999999999996</v>
      </c>
      <c r="I271">
        <v>3.54</v>
      </c>
      <c r="J271">
        <v>-1.07</v>
      </c>
      <c r="K271">
        <v>5.47</v>
      </c>
      <c r="L271">
        <v>3.8</v>
      </c>
      <c r="M271" s="25">
        <v>0.33810000000000001</v>
      </c>
      <c r="N271" s="25">
        <v>0.19589999999999999</v>
      </c>
      <c r="O271">
        <v>1.67</v>
      </c>
      <c r="P271" s="25">
        <v>0.1474</v>
      </c>
      <c r="Q271" s="25">
        <v>0.1784</v>
      </c>
      <c r="R271" s="26">
        <v>233.21</v>
      </c>
      <c r="S271" s="26">
        <v>7748660000</v>
      </c>
      <c r="T271">
        <v>1.07</v>
      </c>
      <c r="U271" s="25">
        <v>0.1729</v>
      </c>
    </row>
    <row r="272" spans="1:21" x14ac:dyDescent="0.25">
      <c r="A272" t="s">
        <v>423</v>
      </c>
      <c r="B272">
        <v>25</v>
      </c>
      <c r="C272">
        <v>6.11</v>
      </c>
      <c r="D272">
        <v>1.0900000000000001</v>
      </c>
      <c r="E272">
        <v>1.1970000000000001</v>
      </c>
      <c r="F272" s="25">
        <v>4.19E-2</v>
      </c>
      <c r="G272">
        <v>0.41299999999999998</v>
      </c>
      <c r="H272">
        <v>4.3499999999999996</v>
      </c>
      <c r="I272">
        <v>3.54</v>
      </c>
      <c r="J272">
        <v>-1.07</v>
      </c>
      <c r="K272">
        <v>5.47</v>
      </c>
      <c r="L272">
        <v>3.8</v>
      </c>
      <c r="M272" s="25">
        <v>0.33810000000000001</v>
      </c>
      <c r="N272" s="25">
        <v>0.19589999999999999</v>
      </c>
      <c r="O272">
        <v>1.67</v>
      </c>
      <c r="P272" s="25">
        <v>0.1474</v>
      </c>
      <c r="Q272" s="25">
        <v>0.1784</v>
      </c>
      <c r="R272" s="26">
        <v>298.81</v>
      </c>
      <c r="S272" s="26">
        <v>7748660000</v>
      </c>
      <c r="T272">
        <v>1.07</v>
      </c>
      <c r="U272" s="25">
        <v>0.1729</v>
      </c>
    </row>
    <row r="273" spans="1:21" x14ac:dyDescent="0.25">
      <c r="A273" t="s">
        <v>423</v>
      </c>
      <c r="B273">
        <v>25</v>
      </c>
      <c r="C273">
        <v>6.11</v>
      </c>
      <c r="D273">
        <v>1.0900000000000001</v>
      </c>
      <c r="E273">
        <v>1.1970000000000001</v>
      </c>
      <c r="F273" s="25">
        <v>4.19E-2</v>
      </c>
      <c r="G273">
        <v>0.41299999999999998</v>
      </c>
      <c r="H273">
        <v>4.3499999999999996</v>
      </c>
      <c r="I273">
        <v>3.54</v>
      </c>
      <c r="J273">
        <v>-1.07</v>
      </c>
      <c r="K273">
        <v>5.47</v>
      </c>
      <c r="L273">
        <v>3.8</v>
      </c>
      <c r="M273" s="25">
        <v>0.33810000000000001</v>
      </c>
      <c r="N273" s="25">
        <v>0.19589999999999999</v>
      </c>
      <c r="O273">
        <v>1.67</v>
      </c>
      <c r="P273" s="25">
        <v>0.1474</v>
      </c>
      <c r="Q273" s="25">
        <v>0.1784</v>
      </c>
      <c r="R273" s="26">
        <v>298.81</v>
      </c>
      <c r="S273" s="26">
        <v>7748660000</v>
      </c>
      <c r="T273">
        <v>1.07</v>
      </c>
      <c r="U273" s="25">
        <v>0.1729</v>
      </c>
    </row>
    <row r="274" spans="1:21" x14ac:dyDescent="0.25">
      <c r="A274" t="s">
        <v>235</v>
      </c>
      <c r="B274">
        <v>6.21</v>
      </c>
      <c r="C274">
        <v>-5.05</v>
      </c>
      <c r="D274">
        <v>0.57999999999999996</v>
      </c>
      <c r="E274">
        <v>0.372</v>
      </c>
      <c r="F274" s="25">
        <v>0</v>
      </c>
      <c r="G274">
        <v>0.122</v>
      </c>
      <c r="H274">
        <v>0.85</v>
      </c>
      <c r="I274">
        <v>3.46</v>
      </c>
      <c r="J274">
        <v>-0.39</v>
      </c>
      <c r="K274">
        <v>12.21</v>
      </c>
      <c r="L274">
        <v>10.210000000000001</v>
      </c>
      <c r="M274" s="25">
        <v>0.1075</v>
      </c>
      <c r="N274" s="25">
        <v>-7.2099999999999997E-2</v>
      </c>
      <c r="O274">
        <v>1.47</v>
      </c>
      <c r="P274" s="25">
        <v>3.6799999999999999E-2</v>
      </c>
      <c r="Q274" s="25">
        <v>-0.11550000000000001</v>
      </c>
      <c r="R274" s="26">
        <v>66451900</v>
      </c>
      <c r="S274" s="26">
        <v>5996120000</v>
      </c>
      <c r="T274">
        <v>1.56</v>
      </c>
      <c r="U274" s="25">
        <v>7.5300000000000006E-2</v>
      </c>
    </row>
    <row r="275" spans="1:21" x14ac:dyDescent="0.25">
      <c r="A275" t="s">
        <v>164</v>
      </c>
      <c r="B275">
        <v>3.73</v>
      </c>
      <c r="C275">
        <v>6.65</v>
      </c>
      <c r="D275">
        <v>0.4</v>
      </c>
      <c r="E275">
        <v>0.33600000000000002</v>
      </c>
      <c r="F275" s="25">
        <v>0.13159999999999999</v>
      </c>
      <c r="G275">
        <v>0.17699999999999999</v>
      </c>
      <c r="H275">
        <v>0.37</v>
      </c>
      <c r="I275">
        <v>4.12</v>
      </c>
      <c r="J275">
        <v>0.62</v>
      </c>
      <c r="K275">
        <v>9.1</v>
      </c>
      <c r="L275">
        <v>7.09</v>
      </c>
      <c r="M275" s="25">
        <v>8.1600000000000006E-2</v>
      </c>
      <c r="N275" s="25">
        <v>7.0999999999999994E-2</v>
      </c>
      <c r="O275">
        <v>2.4500000000000002</v>
      </c>
      <c r="P275" s="25">
        <v>4.7300000000000002E-2</v>
      </c>
      <c r="Q275" s="25">
        <v>5.9499999999999997E-2</v>
      </c>
      <c r="R275" s="26">
        <v>2051230</v>
      </c>
      <c r="S275" s="26">
        <v>997155000</v>
      </c>
      <c r="T275">
        <v>0.63</v>
      </c>
      <c r="U275" s="25">
        <v>0.2676</v>
      </c>
    </row>
    <row r="276" spans="1:21" x14ac:dyDescent="0.25">
      <c r="A276" t="s">
        <v>26</v>
      </c>
      <c r="B276">
        <v>42.99</v>
      </c>
      <c r="C276">
        <v>10.28</v>
      </c>
      <c r="D276">
        <v>0.81</v>
      </c>
      <c r="E276">
        <v>0.72599999999999998</v>
      </c>
      <c r="F276" s="25">
        <v>6.4000000000000001E-2</v>
      </c>
      <c r="G276">
        <v>0.68200000000000005</v>
      </c>
      <c r="H276">
        <v>1.1000000000000001</v>
      </c>
      <c r="I276">
        <v>9.89</v>
      </c>
      <c r="J276">
        <v>1.1299999999999999</v>
      </c>
      <c r="K276">
        <v>5.92</v>
      </c>
      <c r="L276">
        <v>4.38</v>
      </c>
      <c r="M276" s="25">
        <v>7.3400000000000007E-2</v>
      </c>
      <c r="N276" s="25">
        <v>7.0599999999999996E-2</v>
      </c>
      <c r="O276">
        <v>5.36</v>
      </c>
      <c r="P276" s="25">
        <v>0.1055</v>
      </c>
      <c r="Q276" s="25">
        <v>7.9100000000000004E-2</v>
      </c>
      <c r="R276" s="26">
        <v>140878</v>
      </c>
      <c r="S276" s="26">
        <v>464622000</v>
      </c>
      <c r="T276">
        <v>0.03</v>
      </c>
      <c r="U276" s="25">
        <v>2.6100000000000002E-2</v>
      </c>
    </row>
    <row r="277" spans="1:21" x14ac:dyDescent="0.25">
      <c r="A277" t="s">
        <v>158</v>
      </c>
      <c r="B277">
        <v>25.75</v>
      </c>
      <c r="C277">
        <v>10.1</v>
      </c>
      <c r="D277">
        <v>2.2999999999999998</v>
      </c>
      <c r="E277">
        <v>5.1879999999999997</v>
      </c>
      <c r="F277" s="25">
        <v>4.36E-2</v>
      </c>
      <c r="G277">
        <v>1.0469999999999999</v>
      </c>
      <c r="H277">
        <v>20.67</v>
      </c>
      <c r="I277">
        <v>7.21</v>
      </c>
      <c r="J277">
        <v>-2.82</v>
      </c>
      <c r="K277">
        <v>9.52</v>
      </c>
      <c r="L277">
        <v>8.83</v>
      </c>
      <c r="M277" s="25">
        <v>0.7198</v>
      </c>
      <c r="N277" s="25">
        <v>0.51359999999999995</v>
      </c>
      <c r="O277">
        <v>1.41</v>
      </c>
      <c r="P277" s="25">
        <v>0.1653</v>
      </c>
      <c r="Q277" s="25">
        <v>0.2276</v>
      </c>
      <c r="R277" s="26">
        <v>92705800</v>
      </c>
      <c r="S277" s="26">
        <v>5746470000</v>
      </c>
      <c r="T277">
        <v>0.95</v>
      </c>
      <c r="U277" s="25">
        <v>0.2457</v>
      </c>
    </row>
    <row r="278" spans="1:21" x14ac:dyDescent="0.25">
      <c r="A278" t="s">
        <v>499</v>
      </c>
      <c r="B278">
        <v>13</v>
      </c>
      <c r="C278">
        <v>1.03</v>
      </c>
      <c r="D278">
        <v>1.35</v>
      </c>
      <c r="E278">
        <v>9.9000000000000005E-2</v>
      </c>
      <c r="F278" s="25">
        <v>0</v>
      </c>
      <c r="G278">
        <v>8.7999999999999995E-2</v>
      </c>
      <c r="H278">
        <v>-0.89</v>
      </c>
      <c r="I278">
        <v>-0.78</v>
      </c>
      <c r="J278">
        <v>-0.16</v>
      </c>
      <c r="K278">
        <v>-3.1</v>
      </c>
      <c r="L278">
        <v>-3.72</v>
      </c>
      <c r="M278" s="25">
        <v>-0.12770000000000001</v>
      </c>
      <c r="N278" s="25">
        <v>9.69E-2</v>
      </c>
      <c r="O278">
        <v>0.79</v>
      </c>
      <c r="P278" s="25">
        <v>-0.128</v>
      </c>
      <c r="Q278" s="25">
        <v>1.3137000000000001</v>
      </c>
      <c r="R278" s="26">
        <v>60.88</v>
      </c>
      <c r="S278" s="26">
        <v>19835000</v>
      </c>
      <c r="T278">
        <v>4.4400000000000004</v>
      </c>
      <c r="U278" s="25">
        <v>0.113</v>
      </c>
    </row>
    <row r="279" spans="1:21" x14ac:dyDescent="0.25">
      <c r="A279" t="s">
        <v>424</v>
      </c>
      <c r="B279">
        <v>11.8</v>
      </c>
      <c r="C279">
        <v>0.93</v>
      </c>
      <c r="D279">
        <v>1.22</v>
      </c>
      <c r="E279">
        <v>0.09</v>
      </c>
      <c r="F279" s="25">
        <v>0</v>
      </c>
      <c r="G279">
        <v>7.9000000000000001E-2</v>
      </c>
      <c r="H279">
        <v>-0.81</v>
      </c>
      <c r="I279">
        <v>-0.71</v>
      </c>
      <c r="J279">
        <v>-0.14000000000000001</v>
      </c>
      <c r="K279">
        <v>-3.03</v>
      </c>
      <c r="L279">
        <v>-3.64</v>
      </c>
      <c r="M279" s="25">
        <v>-0.12770000000000001</v>
      </c>
      <c r="N279" s="25">
        <v>9.69E-2</v>
      </c>
      <c r="O279">
        <v>0.79</v>
      </c>
      <c r="P279" s="25">
        <v>-0.128</v>
      </c>
      <c r="Q279" s="25">
        <v>1.3137000000000001</v>
      </c>
      <c r="R279" s="26">
        <v>7148.79</v>
      </c>
      <c r="S279" s="26">
        <v>19835000</v>
      </c>
      <c r="T279">
        <v>4.4400000000000004</v>
      </c>
      <c r="U279" s="25">
        <v>0.113</v>
      </c>
    </row>
    <row r="280" spans="1:21" x14ac:dyDescent="0.25">
      <c r="A280" t="s">
        <v>150</v>
      </c>
      <c r="B280">
        <v>13.92</v>
      </c>
      <c r="C280">
        <v>9.5</v>
      </c>
      <c r="D280">
        <v>0.5</v>
      </c>
      <c r="E280">
        <v>0.13700000000000001</v>
      </c>
      <c r="F280" s="25">
        <v>4.19E-2</v>
      </c>
      <c r="G280">
        <v>0.14000000000000001</v>
      </c>
      <c r="H280">
        <v>0.79</v>
      </c>
      <c r="I280">
        <v>2.0699999999999998</v>
      </c>
      <c r="J280">
        <v>-0.63</v>
      </c>
      <c r="K280">
        <v>5.83</v>
      </c>
      <c r="L280">
        <v>3.87</v>
      </c>
      <c r="M280" s="25">
        <v>6.6000000000000003E-2</v>
      </c>
      <c r="N280" s="25">
        <v>2.1299999999999999E-2</v>
      </c>
      <c r="O280">
        <v>1.61</v>
      </c>
      <c r="P280" s="25">
        <v>9.4700000000000006E-2</v>
      </c>
      <c r="Q280" s="25">
        <v>5.2299999999999999E-2</v>
      </c>
      <c r="R280" s="26">
        <v>9725900</v>
      </c>
      <c r="S280" s="26">
        <v>4306800000</v>
      </c>
      <c r="T280">
        <v>1.35</v>
      </c>
      <c r="U280" s="25">
        <v>9.9299999999999999E-2</v>
      </c>
    </row>
    <row r="281" spans="1:21" x14ac:dyDescent="0.25">
      <c r="A281" t="s">
        <v>912</v>
      </c>
      <c r="B281">
        <v>9.5299999999999994</v>
      </c>
      <c r="C281">
        <v>14.25</v>
      </c>
      <c r="D281">
        <v>1.43</v>
      </c>
      <c r="E281">
        <v>0.59299999999999997</v>
      </c>
      <c r="F281" s="25">
        <v>0</v>
      </c>
      <c r="G281">
        <v>0.66200000000000003</v>
      </c>
      <c r="H281">
        <v>2.0299999999999998</v>
      </c>
      <c r="I281">
        <v>4.24</v>
      </c>
      <c r="J281">
        <v>5.25</v>
      </c>
      <c r="K281">
        <v>4.07</v>
      </c>
      <c r="L281">
        <v>3.31</v>
      </c>
      <c r="M281" s="25">
        <v>0.1399</v>
      </c>
      <c r="N281" s="25">
        <v>4.1599999999999998E-2</v>
      </c>
      <c r="O281">
        <v>1.97</v>
      </c>
      <c r="P281" s="25">
        <v>0.2475</v>
      </c>
      <c r="Q281" s="25">
        <v>0.1004</v>
      </c>
      <c r="R281" s="26">
        <v>19229100</v>
      </c>
      <c r="S281" s="26">
        <v>9154310000</v>
      </c>
      <c r="T281">
        <v>0.27</v>
      </c>
      <c r="U281" s="25">
        <v>4.07E-2</v>
      </c>
    </row>
    <row r="282" spans="1:21" x14ac:dyDescent="0.25">
      <c r="A282" t="s">
        <v>82</v>
      </c>
      <c r="B282">
        <v>24.49</v>
      </c>
      <c r="C282">
        <v>6.87</v>
      </c>
      <c r="D282">
        <v>0.84</v>
      </c>
      <c r="E282">
        <v>0.58299999999999996</v>
      </c>
      <c r="F282" s="25">
        <v>3.3799999999999997E-2</v>
      </c>
      <c r="G282">
        <v>0.26800000000000002</v>
      </c>
      <c r="H282">
        <v>9.74</v>
      </c>
      <c r="I282">
        <v>2.71</v>
      </c>
      <c r="J282">
        <v>-0.55000000000000004</v>
      </c>
      <c r="K282">
        <v>6.81</v>
      </c>
      <c r="L282">
        <v>5.36</v>
      </c>
      <c r="M282" s="25">
        <v>0.215</v>
      </c>
      <c r="N282" s="25">
        <v>8.5300000000000001E-2</v>
      </c>
      <c r="O282">
        <v>1.17</v>
      </c>
      <c r="P282" s="25">
        <v>0.10879999999999999</v>
      </c>
      <c r="Q282" s="25">
        <v>0.12280000000000001</v>
      </c>
      <c r="R282" s="26">
        <v>25271300</v>
      </c>
      <c r="S282" s="26">
        <v>35221000000</v>
      </c>
      <c r="T282">
        <v>1.44</v>
      </c>
      <c r="U282" s="25">
        <v>6.25E-2</v>
      </c>
    </row>
    <row r="283" spans="1:21" x14ac:dyDescent="0.25">
      <c r="A283" t="s">
        <v>425</v>
      </c>
      <c r="B283">
        <v>3.77</v>
      </c>
      <c r="C283">
        <v>0.1</v>
      </c>
      <c r="D283">
        <v>-0.2</v>
      </c>
      <c r="E283">
        <v>0.113</v>
      </c>
      <c r="F283" s="25">
        <v>0</v>
      </c>
      <c r="G283">
        <v>0.27700000000000002</v>
      </c>
      <c r="H283">
        <v>-0.54</v>
      </c>
      <c r="I283">
        <v>-0.75</v>
      </c>
      <c r="J283">
        <v>-0.15</v>
      </c>
      <c r="K283">
        <v>-0.12</v>
      </c>
      <c r="L283">
        <v>-13.26</v>
      </c>
      <c r="M283" s="25">
        <v>-0.15079999999999999</v>
      </c>
      <c r="N283" s="25">
        <v>1.1241000000000001</v>
      </c>
      <c r="O283">
        <v>0.53</v>
      </c>
      <c r="P283" s="25">
        <v>-0.52859999999999996</v>
      </c>
      <c r="Q283" s="25">
        <v>-1.9732000000000001</v>
      </c>
      <c r="R283" s="26">
        <v>1999.52</v>
      </c>
      <c r="S283" s="26">
        <v>-50521000</v>
      </c>
      <c r="T283">
        <v>-0.03</v>
      </c>
      <c r="U283" s="25">
        <v>-4.6100000000000002E-2</v>
      </c>
    </row>
    <row r="284" spans="1:21" x14ac:dyDescent="0.25">
      <c r="A284" t="s">
        <v>197</v>
      </c>
      <c r="B284">
        <v>25.7</v>
      </c>
      <c r="C284">
        <v>-7.54</v>
      </c>
      <c r="D284">
        <v>0.52</v>
      </c>
      <c r="E284">
        <v>0.85299999999999998</v>
      </c>
      <c r="F284" s="25">
        <v>0</v>
      </c>
      <c r="G284">
        <v>0.39300000000000002</v>
      </c>
      <c r="H284">
        <v>1.78</v>
      </c>
      <c r="I284">
        <v>-8.34</v>
      </c>
      <c r="J284">
        <v>3.48</v>
      </c>
      <c r="K284">
        <v>-4.07</v>
      </c>
      <c r="L284">
        <v>4</v>
      </c>
      <c r="M284" s="25">
        <v>-0.1023</v>
      </c>
      <c r="N284" s="25">
        <v>-0.11310000000000001</v>
      </c>
      <c r="O284">
        <v>2.54</v>
      </c>
      <c r="P284" s="25">
        <v>-6.5699999999999995E-2</v>
      </c>
      <c r="Q284" s="25">
        <v>-6.9599999999999995E-2</v>
      </c>
      <c r="R284" s="26">
        <v>209846</v>
      </c>
      <c r="S284" s="26">
        <v>447975000</v>
      </c>
      <c r="T284">
        <v>0.04</v>
      </c>
      <c r="U284" s="25">
        <v>5.1499999999999997E-2</v>
      </c>
    </row>
    <row r="285" spans="1:21" x14ac:dyDescent="0.25">
      <c r="A285" t="s">
        <v>426</v>
      </c>
      <c r="B285">
        <v>5.95</v>
      </c>
      <c r="C285">
        <v>0.95</v>
      </c>
      <c r="D285">
        <v>-0.32</v>
      </c>
      <c r="E285">
        <v>15.359</v>
      </c>
      <c r="F285" s="25">
        <v>0</v>
      </c>
      <c r="G285">
        <v>2.0350000000000001</v>
      </c>
      <c r="H285">
        <v>-0.32</v>
      </c>
      <c r="I285">
        <v>-47.12</v>
      </c>
      <c r="J285">
        <v>-0.28000000000000003</v>
      </c>
      <c r="K285">
        <v>-92.5</v>
      </c>
      <c r="L285">
        <v>-92.5</v>
      </c>
      <c r="M285" s="25">
        <v>-0.32590000000000002</v>
      </c>
      <c r="N285" s="25">
        <v>16.138000000000002</v>
      </c>
      <c r="O285">
        <v>0.01</v>
      </c>
      <c r="P285" s="25">
        <v>-4.3499999999999997E-2</v>
      </c>
      <c r="Q285" s="25">
        <v>-0.33439999999999998</v>
      </c>
      <c r="R285" s="26">
        <v>2312.69</v>
      </c>
      <c r="S285" s="26">
        <v>-123781000</v>
      </c>
      <c r="T285">
        <v>-0.31</v>
      </c>
      <c r="U285" s="25">
        <v>0.12959999999999999</v>
      </c>
    </row>
    <row r="286" spans="1:21" x14ac:dyDescent="0.25">
      <c r="A286" t="s">
        <v>121</v>
      </c>
      <c r="B286">
        <v>10.8</v>
      </c>
      <c r="C286">
        <v>-1.82</v>
      </c>
      <c r="D286">
        <v>0.98</v>
      </c>
      <c r="E286">
        <v>0.60199999999999998</v>
      </c>
      <c r="F286" s="25">
        <v>0</v>
      </c>
      <c r="G286">
        <v>0.42199999999999999</v>
      </c>
      <c r="H286">
        <v>2.98</v>
      </c>
      <c r="I286">
        <v>5.85</v>
      </c>
      <c r="J286">
        <v>-2.59</v>
      </c>
      <c r="K286">
        <v>7</v>
      </c>
      <c r="L286">
        <v>5.08</v>
      </c>
      <c r="M286" s="25">
        <v>0.10290000000000001</v>
      </c>
      <c r="N286" s="25">
        <v>-0.33029999999999998</v>
      </c>
      <c r="O286">
        <v>1.53</v>
      </c>
      <c r="P286" s="25">
        <v>9.9699999999999997E-2</v>
      </c>
      <c r="Q286" s="25">
        <v>-0.53959999999999997</v>
      </c>
      <c r="R286" s="26">
        <v>50283900</v>
      </c>
      <c r="S286" s="26">
        <v>15095900000</v>
      </c>
      <c r="T286">
        <v>0.44</v>
      </c>
      <c r="U286" s="25">
        <v>-0.12470000000000001</v>
      </c>
    </row>
    <row r="287" spans="1:21" x14ac:dyDescent="0.25">
      <c r="A287" t="s">
        <v>427</v>
      </c>
      <c r="B287">
        <v>2.81</v>
      </c>
      <c r="C287">
        <v>6.62</v>
      </c>
      <c r="D287">
        <v>0.87</v>
      </c>
      <c r="E287">
        <v>0.191</v>
      </c>
      <c r="F287" s="25">
        <v>0</v>
      </c>
      <c r="G287">
        <v>0.33500000000000002</v>
      </c>
      <c r="H287" s="26">
        <v>1.05</v>
      </c>
      <c r="I287">
        <v>4.6500000000000004</v>
      </c>
      <c r="J287">
        <v>3.55</v>
      </c>
      <c r="K287">
        <v>5.98</v>
      </c>
      <c r="L287">
        <v>5.42</v>
      </c>
      <c r="M287" s="25">
        <v>4.1000000000000002E-2</v>
      </c>
      <c r="N287" s="25">
        <v>2.8799999999999999E-2</v>
      </c>
      <c r="O287">
        <v>1.81</v>
      </c>
      <c r="P287" s="25">
        <v>9.1600000000000001E-2</v>
      </c>
      <c r="Q287" s="25">
        <v>0.13170000000000001</v>
      </c>
      <c r="R287" s="26">
        <v>17117.2</v>
      </c>
      <c r="S287" s="26">
        <v>42690000</v>
      </c>
      <c r="T287">
        <v>0.31</v>
      </c>
      <c r="U287" s="25">
        <v>0.22720000000000001</v>
      </c>
    </row>
    <row r="288" spans="1:21" x14ac:dyDescent="0.25">
      <c r="A288" t="s">
        <v>169</v>
      </c>
      <c r="B288">
        <v>11.54</v>
      </c>
      <c r="C288">
        <v>11.2</v>
      </c>
      <c r="D288">
        <v>4.62</v>
      </c>
      <c r="E288">
        <v>2.7210000000000001</v>
      </c>
      <c r="F288" s="25">
        <v>8.0100000000000005E-2</v>
      </c>
      <c r="G288">
        <v>2.8170000000000002</v>
      </c>
      <c r="H288">
        <v>-56.34</v>
      </c>
      <c r="I288">
        <v>8.7200000000000006</v>
      </c>
      <c r="J288">
        <v>-24.98</v>
      </c>
      <c r="K288">
        <v>8.0299999999999994</v>
      </c>
      <c r="L288">
        <v>7.49</v>
      </c>
      <c r="M288" s="25">
        <v>0.31230000000000002</v>
      </c>
      <c r="N288" s="25">
        <v>0.24279999999999999</v>
      </c>
      <c r="O288">
        <v>0.85</v>
      </c>
      <c r="P288" s="25">
        <v>0.42630000000000001</v>
      </c>
      <c r="Q288" s="25">
        <v>0.41210000000000002</v>
      </c>
      <c r="R288" s="26">
        <v>23895100</v>
      </c>
      <c r="S288" s="26">
        <v>1364460000</v>
      </c>
      <c r="T288">
        <v>0</v>
      </c>
      <c r="U288" s="25">
        <v>7.2499999999999995E-2</v>
      </c>
    </row>
    <row r="289" spans="1:21" x14ac:dyDescent="0.25">
      <c r="A289" t="s">
        <v>428</v>
      </c>
      <c r="B289">
        <v>22.29</v>
      </c>
      <c r="C289">
        <v>9.73</v>
      </c>
      <c r="D289">
        <v>1.89</v>
      </c>
      <c r="E289">
        <v>1.161</v>
      </c>
      <c r="F289" s="25">
        <v>0.13270000000000001</v>
      </c>
      <c r="G289">
        <v>0.94899999999999995</v>
      </c>
      <c r="H289">
        <v>2.5499999999999998</v>
      </c>
      <c r="I289">
        <v>6.99</v>
      </c>
      <c r="J289">
        <v>8.44</v>
      </c>
      <c r="K289">
        <v>8.15</v>
      </c>
      <c r="L289">
        <v>6.69</v>
      </c>
      <c r="M289" s="25">
        <v>0.1661</v>
      </c>
      <c r="N289" s="25">
        <v>0.1192</v>
      </c>
      <c r="O289">
        <v>2.56</v>
      </c>
      <c r="P289" s="25">
        <v>0.17610000000000001</v>
      </c>
      <c r="Q289" s="25">
        <v>0.19439999999999999</v>
      </c>
      <c r="R289" s="26">
        <v>113639</v>
      </c>
      <c r="S289" s="26">
        <v>635559000</v>
      </c>
      <c r="T289">
        <v>0.55000000000000004</v>
      </c>
      <c r="U289" s="25">
        <v>5.8299999999999998E-2</v>
      </c>
    </row>
    <row r="290" spans="1:21" x14ac:dyDescent="0.25">
      <c r="A290" t="s">
        <v>245</v>
      </c>
      <c r="B290">
        <v>0.49</v>
      </c>
      <c r="C290">
        <v>0.01</v>
      </c>
      <c r="D290">
        <v>-0.01</v>
      </c>
      <c r="E290">
        <v>9.8000000000000004E-2</v>
      </c>
      <c r="F290" s="25">
        <v>0</v>
      </c>
      <c r="G290">
        <v>8.0000000000000002E-3</v>
      </c>
      <c r="H290">
        <v>-7.0000000000000007E-2</v>
      </c>
      <c r="I290">
        <v>-0.06</v>
      </c>
      <c r="J290">
        <v>-0.01</v>
      </c>
      <c r="K290">
        <v>-3.57</v>
      </c>
      <c r="L290">
        <v>-4.84</v>
      </c>
      <c r="M290" s="25">
        <v>-1.6903999999999999</v>
      </c>
      <c r="N290" s="25">
        <v>8.4742999999999995</v>
      </c>
      <c r="O290">
        <v>0.7</v>
      </c>
      <c r="P290" s="25">
        <v>-0.18210000000000001</v>
      </c>
      <c r="Q290" s="25">
        <v>-0.9587</v>
      </c>
      <c r="R290" s="26">
        <v>2392390</v>
      </c>
      <c r="S290" s="26">
        <v>-14660000000</v>
      </c>
      <c r="T290">
        <v>-0.77</v>
      </c>
      <c r="U290" s="25">
        <v>-0.25540000000000002</v>
      </c>
    </row>
    <row r="291" spans="1:21" x14ac:dyDescent="0.25">
      <c r="A291" t="s">
        <v>219</v>
      </c>
      <c r="B291">
        <v>8.02</v>
      </c>
      <c r="C291">
        <v>0.19</v>
      </c>
      <c r="D291">
        <v>-0.18</v>
      </c>
      <c r="E291">
        <v>1.5960000000000001</v>
      </c>
      <c r="F291" s="25">
        <v>0</v>
      </c>
      <c r="G291">
        <v>0.13500000000000001</v>
      </c>
      <c r="H291">
        <v>-1.1499999999999999</v>
      </c>
      <c r="I291">
        <v>-0.94</v>
      </c>
      <c r="J291">
        <v>-0.09</v>
      </c>
      <c r="K291">
        <v>-4.46</v>
      </c>
      <c r="L291">
        <v>-6.04</v>
      </c>
      <c r="M291" s="25">
        <v>-1.6903999999999999</v>
      </c>
      <c r="N291" s="25">
        <v>8.4742999999999995</v>
      </c>
      <c r="O291">
        <v>0.7</v>
      </c>
      <c r="P291" s="25">
        <v>-0.18210000000000001</v>
      </c>
      <c r="Q291" s="25">
        <v>-0.9587</v>
      </c>
      <c r="R291" s="26">
        <v>282899</v>
      </c>
      <c r="S291" s="26">
        <v>-14660000000</v>
      </c>
      <c r="T291">
        <v>-0.77</v>
      </c>
      <c r="U291" s="25">
        <v>-0.25540000000000002</v>
      </c>
    </row>
    <row r="292" spans="1:21" x14ac:dyDescent="0.25">
      <c r="A292" t="s">
        <v>208</v>
      </c>
      <c r="B292">
        <v>5.45</v>
      </c>
      <c r="C292">
        <v>-4.43</v>
      </c>
      <c r="D292">
        <v>1.19</v>
      </c>
      <c r="E292">
        <v>0.56699999999999995</v>
      </c>
      <c r="F292" s="25">
        <v>0</v>
      </c>
      <c r="G292">
        <v>0.32800000000000001</v>
      </c>
      <c r="H292">
        <v>1.89</v>
      </c>
      <c r="I292">
        <v>6.44</v>
      </c>
      <c r="J292">
        <v>-1.05</v>
      </c>
      <c r="K292">
        <v>13.36</v>
      </c>
      <c r="L292">
        <v>8.33</v>
      </c>
      <c r="M292" s="25">
        <v>8.8099999999999998E-2</v>
      </c>
      <c r="N292" s="25">
        <v>-0.13880000000000001</v>
      </c>
      <c r="O292">
        <v>1.81</v>
      </c>
      <c r="P292" s="25">
        <v>6.7299999999999999E-2</v>
      </c>
      <c r="Q292" s="25">
        <v>-0.26779999999999998</v>
      </c>
      <c r="R292" s="26">
        <v>9014340</v>
      </c>
      <c r="S292" s="26">
        <v>2995770000</v>
      </c>
      <c r="T292">
        <v>1.82</v>
      </c>
      <c r="U292" s="25">
        <v>0.28739999999999999</v>
      </c>
    </row>
    <row r="293" spans="1:21" x14ac:dyDescent="0.25">
      <c r="A293" t="s">
        <v>123</v>
      </c>
      <c r="B293">
        <v>6.37</v>
      </c>
      <c r="C293">
        <v>-55.19</v>
      </c>
      <c r="D293">
        <v>1.35</v>
      </c>
      <c r="E293">
        <v>0.754</v>
      </c>
      <c r="F293" s="25">
        <v>0</v>
      </c>
      <c r="G293">
        <v>0.437</v>
      </c>
      <c r="H293">
        <v>3.32</v>
      </c>
      <c r="I293">
        <v>5.54</v>
      </c>
      <c r="J293">
        <v>-1.25</v>
      </c>
      <c r="K293">
        <v>10.79</v>
      </c>
      <c r="L293">
        <v>4.9400000000000004</v>
      </c>
      <c r="M293" s="25">
        <v>0.13600000000000001</v>
      </c>
      <c r="N293" s="25">
        <v>-1.37E-2</v>
      </c>
      <c r="O293">
        <v>1.67</v>
      </c>
      <c r="P293" s="25">
        <v>9.5699999999999993E-2</v>
      </c>
      <c r="Q293" s="25">
        <v>-2.4400000000000002E-2</v>
      </c>
      <c r="R293" s="26">
        <v>2467750</v>
      </c>
      <c r="S293" s="26">
        <v>944915000</v>
      </c>
      <c r="T293">
        <v>1.72</v>
      </c>
      <c r="U293" s="25">
        <v>0.28570000000000001</v>
      </c>
    </row>
    <row r="294" spans="1:21" x14ac:dyDescent="0.25">
      <c r="A294" t="s">
        <v>72</v>
      </c>
      <c r="B294">
        <v>48.24</v>
      </c>
      <c r="C294">
        <v>159.72999999999999</v>
      </c>
      <c r="D294">
        <v>6.01</v>
      </c>
      <c r="E294">
        <v>4.9589999999999996</v>
      </c>
      <c r="F294" s="25">
        <v>0</v>
      </c>
      <c r="G294">
        <v>1.369</v>
      </c>
      <c r="H294">
        <v>10.92</v>
      </c>
      <c r="I294">
        <v>18.68</v>
      </c>
      <c r="J294">
        <v>-2.84</v>
      </c>
      <c r="K294">
        <v>24.81</v>
      </c>
      <c r="L294">
        <v>14.7</v>
      </c>
      <c r="M294" s="25">
        <v>0.26540000000000002</v>
      </c>
      <c r="N294" s="25">
        <v>4.36E-2</v>
      </c>
      <c r="O294">
        <v>1.93</v>
      </c>
      <c r="P294" s="25">
        <v>8.6599999999999996E-2</v>
      </c>
      <c r="Q294" s="25">
        <v>3.7600000000000001E-2</v>
      </c>
      <c r="R294" s="26">
        <v>21450400</v>
      </c>
      <c r="S294" s="26">
        <v>771834000</v>
      </c>
      <c r="T294">
        <v>2.5</v>
      </c>
      <c r="U294" s="25">
        <v>0.26319999999999999</v>
      </c>
    </row>
    <row r="295" spans="1:21" x14ac:dyDescent="0.25">
      <c r="A295" t="s">
        <v>429</v>
      </c>
      <c r="B295">
        <v>2.66</v>
      </c>
      <c r="C295">
        <v>-0.01</v>
      </c>
      <c r="D295">
        <v>0</v>
      </c>
      <c r="E295">
        <v>0.121</v>
      </c>
      <c r="F295" s="25">
        <v>0</v>
      </c>
      <c r="G295">
        <v>6.0000000000000001E-3</v>
      </c>
      <c r="H295">
        <v>-0.01</v>
      </c>
      <c r="I295">
        <v>-0.11</v>
      </c>
      <c r="J295">
        <v>0</v>
      </c>
      <c r="K295">
        <v>-89.73</v>
      </c>
      <c r="L295">
        <v>-108.44</v>
      </c>
      <c r="M295" s="25">
        <v>-1.1141000000000001</v>
      </c>
      <c r="N295" s="25">
        <v>-23.5822</v>
      </c>
      <c r="O295">
        <v>0.01</v>
      </c>
      <c r="P295" s="25">
        <v>-5.57E-2</v>
      </c>
      <c r="Q295" s="25">
        <v>0.18410000000000001</v>
      </c>
      <c r="R295" s="26">
        <v>5832.45</v>
      </c>
      <c r="S295" s="26">
        <v>-8625440000</v>
      </c>
      <c r="T295">
        <v>-0.8</v>
      </c>
      <c r="U295" s="25">
        <v>0.48499999999999999</v>
      </c>
    </row>
    <row r="296" spans="1:21" x14ac:dyDescent="0.25">
      <c r="A296" t="s">
        <v>430</v>
      </c>
      <c r="B296">
        <v>39.979999999999997</v>
      </c>
      <c r="C296">
        <v>11.01</v>
      </c>
      <c r="D296">
        <v>1.22</v>
      </c>
      <c r="E296">
        <v>0.439</v>
      </c>
      <c r="F296" s="25">
        <v>0.17960000000000001</v>
      </c>
      <c r="G296">
        <v>0.59299999999999997</v>
      </c>
      <c r="H296">
        <v>1.48</v>
      </c>
      <c r="I296">
        <v>7.81</v>
      </c>
      <c r="J296">
        <v>2.64</v>
      </c>
      <c r="K296">
        <v>8.1999999999999993</v>
      </c>
      <c r="L296">
        <v>7.3</v>
      </c>
      <c r="M296" s="25">
        <v>5.62E-2</v>
      </c>
      <c r="N296" s="25">
        <v>3.9899999999999998E-2</v>
      </c>
      <c r="O296">
        <v>2.2000000000000002</v>
      </c>
      <c r="P296" s="25">
        <v>0.13750000000000001</v>
      </c>
      <c r="Q296" s="25">
        <v>0.1105</v>
      </c>
      <c r="R296" s="26">
        <v>5193.4799999999996</v>
      </c>
      <c r="S296" s="26">
        <v>786260000</v>
      </c>
      <c r="T296">
        <v>0.59</v>
      </c>
      <c r="U296" s="25">
        <v>4.5999999999999999E-3</v>
      </c>
    </row>
    <row r="297" spans="1:21" x14ac:dyDescent="0.25">
      <c r="A297" t="s">
        <v>431</v>
      </c>
      <c r="B297">
        <v>31.51</v>
      </c>
      <c r="C297">
        <v>8.68</v>
      </c>
      <c r="D297">
        <v>0.96</v>
      </c>
      <c r="E297">
        <v>0.34599999999999997</v>
      </c>
      <c r="F297" s="25">
        <v>0.26240000000000002</v>
      </c>
      <c r="G297">
        <v>0.46800000000000003</v>
      </c>
      <c r="H297">
        <v>1.1599999999999999</v>
      </c>
      <c r="I297">
        <v>6.16</v>
      </c>
      <c r="J297">
        <v>2.08</v>
      </c>
      <c r="K297">
        <v>6.55</v>
      </c>
      <c r="L297">
        <v>5.82</v>
      </c>
      <c r="M297" s="25">
        <v>5.62E-2</v>
      </c>
      <c r="N297" s="25">
        <v>3.9899999999999998E-2</v>
      </c>
      <c r="O297">
        <v>2.2000000000000002</v>
      </c>
      <c r="P297" s="25">
        <v>0.13750000000000001</v>
      </c>
      <c r="Q297" s="25">
        <v>0.1105</v>
      </c>
      <c r="R297" s="26">
        <v>3001.24</v>
      </c>
      <c r="S297" s="26">
        <v>786260000</v>
      </c>
      <c r="T297">
        <v>0.59</v>
      </c>
      <c r="U297" s="25">
        <v>4.5999999999999999E-3</v>
      </c>
    </row>
    <row r="298" spans="1:21" x14ac:dyDescent="0.25">
      <c r="A298" t="s">
        <v>225</v>
      </c>
      <c r="B298">
        <v>3.44</v>
      </c>
      <c r="C298">
        <v>-0.88</v>
      </c>
      <c r="D298">
        <v>0.61</v>
      </c>
      <c r="E298">
        <v>8.8999999999999996E-2</v>
      </c>
      <c r="F298" s="25">
        <v>0</v>
      </c>
      <c r="G298">
        <v>8.6999999999999994E-2</v>
      </c>
      <c r="H298">
        <v>-12.68</v>
      </c>
      <c r="I298">
        <v>1.1100000000000001</v>
      </c>
      <c r="J298">
        <v>-0.15</v>
      </c>
      <c r="K298">
        <v>2.67</v>
      </c>
      <c r="L298">
        <v>1.52</v>
      </c>
      <c r="M298" s="25">
        <v>8.0299999999999996E-2</v>
      </c>
      <c r="N298" s="25">
        <v>-0.1008</v>
      </c>
      <c r="O298">
        <v>0.98</v>
      </c>
      <c r="P298" s="25">
        <v>0.10539999999999999</v>
      </c>
      <c r="Q298" s="25">
        <v>-0.69320000000000004</v>
      </c>
      <c r="R298" s="26">
        <v>29217200</v>
      </c>
      <c r="S298" s="26">
        <v>2764000000</v>
      </c>
      <c r="T298">
        <v>1.65</v>
      </c>
      <c r="U298" s="25">
        <v>-0.2298</v>
      </c>
    </row>
    <row r="299" spans="1:21" x14ac:dyDescent="0.25">
      <c r="A299" t="s">
        <v>193</v>
      </c>
      <c r="B299">
        <v>0.22</v>
      </c>
      <c r="C299">
        <v>-0.01</v>
      </c>
      <c r="D299">
        <v>0</v>
      </c>
      <c r="E299">
        <v>4.7E-2</v>
      </c>
      <c r="F299" s="25">
        <v>0</v>
      </c>
      <c r="G299">
        <v>1.2E-2</v>
      </c>
      <c r="H299">
        <v>-0.01</v>
      </c>
      <c r="I299">
        <v>-0.09</v>
      </c>
      <c r="J299">
        <v>0</v>
      </c>
      <c r="K299">
        <v>-2.58</v>
      </c>
      <c r="L299">
        <v>-2.59</v>
      </c>
      <c r="M299" s="25">
        <v>-0.53349999999999997</v>
      </c>
      <c r="N299" s="25">
        <v>-3.3603000000000001</v>
      </c>
      <c r="O299">
        <v>0.32</v>
      </c>
      <c r="P299" s="25">
        <v>-0.32540000000000002</v>
      </c>
      <c r="Q299" s="25">
        <v>0.13800000000000001</v>
      </c>
      <c r="R299" s="26">
        <v>680444</v>
      </c>
      <c r="S299" s="26">
        <v>-3363560000</v>
      </c>
      <c r="T299">
        <v>-0.06</v>
      </c>
      <c r="U299" s="25">
        <v>-0.22470000000000001</v>
      </c>
    </row>
    <row r="300" spans="1:21" x14ac:dyDescent="0.25">
      <c r="A300" t="s">
        <v>432</v>
      </c>
      <c r="B300">
        <v>1.02</v>
      </c>
      <c r="C300">
        <v>-6.07</v>
      </c>
      <c r="D300">
        <v>0.66</v>
      </c>
      <c r="E300">
        <v>0.25900000000000001</v>
      </c>
      <c r="F300" s="25">
        <v>0</v>
      </c>
      <c r="G300">
        <v>0.11799999999999999</v>
      </c>
      <c r="H300">
        <v>0.3</v>
      </c>
      <c r="I300">
        <v>8.77</v>
      </c>
      <c r="J300">
        <v>-0.8</v>
      </c>
      <c r="K300">
        <v>30.2</v>
      </c>
      <c r="L300">
        <v>8.43</v>
      </c>
      <c r="M300" s="25">
        <v>2.9499999999999998E-2</v>
      </c>
      <c r="N300" s="25">
        <v>-4.2700000000000002E-2</v>
      </c>
      <c r="O300">
        <v>2.4</v>
      </c>
      <c r="P300" s="25">
        <v>1.83E-2</v>
      </c>
      <c r="Q300" s="25">
        <v>-0.10829999999999999</v>
      </c>
      <c r="R300" s="26">
        <v>38597</v>
      </c>
      <c r="S300" s="26">
        <v>123253000</v>
      </c>
      <c r="T300">
        <v>2.72</v>
      </c>
      <c r="U300" s="25">
        <v>-8.3299999999999999E-2</v>
      </c>
    </row>
    <row r="301" spans="1:21" x14ac:dyDescent="0.25">
      <c r="A301" t="s">
        <v>433</v>
      </c>
      <c r="B301">
        <v>40.299999999999997</v>
      </c>
      <c r="C301">
        <v>21.24</v>
      </c>
      <c r="D301">
        <v>0.85</v>
      </c>
      <c r="E301">
        <v>7.8289999999999997</v>
      </c>
      <c r="F301" s="25">
        <v>2.06E-2</v>
      </c>
      <c r="G301">
        <v>0.58899999999999997</v>
      </c>
      <c r="H301">
        <v>3.43</v>
      </c>
      <c r="I301">
        <v>-42.52</v>
      </c>
      <c r="J301">
        <v>-6.13</v>
      </c>
      <c r="K301">
        <v>-39.630000000000003</v>
      </c>
      <c r="L301">
        <v>-224.09</v>
      </c>
      <c r="M301" s="25">
        <v>-0.18410000000000001</v>
      </c>
      <c r="N301" s="25">
        <v>0.36859999999999998</v>
      </c>
      <c r="O301">
        <v>5.51</v>
      </c>
      <c r="P301" s="25">
        <v>-1.67E-2</v>
      </c>
      <c r="Q301" s="25">
        <v>3.9899999999999998E-2</v>
      </c>
      <c r="R301" s="26">
        <v>13713.7</v>
      </c>
      <c r="S301" s="26">
        <v>898730000</v>
      </c>
      <c r="T301">
        <v>0.18</v>
      </c>
      <c r="U301" s="25">
        <v>5.8700000000000002E-2</v>
      </c>
    </row>
    <row r="302" spans="1:21" x14ac:dyDescent="0.25">
      <c r="A302" t="s">
        <v>434</v>
      </c>
      <c r="B302">
        <v>38</v>
      </c>
      <c r="C302">
        <v>20.03</v>
      </c>
      <c r="D302">
        <v>0.8</v>
      </c>
      <c r="E302">
        <v>7.3819999999999997</v>
      </c>
      <c r="F302" s="25">
        <v>2.2800000000000001E-2</v>
      </c>
      <c r="G302">
        <v>0.55500000000000005</v>
      </c>
      <c r="H302">
        <v>3.24</v>
      </c>
      <c r="I302">
        <v>-40.1</v>
      </c>
      <c r="J302">
        <v>-5.78</v>
      </c>
      <c r="K302">
        <v>-37.200000000000003</v>
      </c>
      <c r="L302">
        <v>-210.37</v>
      </c>
      <c r="M302" s="25">
        <v>-0.18410000000000001</v>
      </c>
      <c r="N302" s="25">
        <v>0.36859999999999998</v>
      </c>
      <c r="O302">
        <v>5.51</v>
      </c>
      <c r="P302" s="25">
        <v>-1.67E-2</v>
      </c>
      <c r="Q302" s="25">
        <v>3.9899999999999998E-2</v>
      </c>
      <c r="R302" s="26">
        <v>4129</v>
      </c>
      <c r="S302" s="26">
        <v>898730000</v>
      </c>
      <c r="T302">
        <v>0.18</v>
      </c>
      <c r="U302" s="25">
        <v>5.8700000000000002E-2</v>
      </c>
    </row>
    <row r="303" spans="1:21" x14ac:dyDescent="0.25">
      <c r="A303" t="s">
        <v>94</v>
      </c>
      <c r="B303">
        <v>34.840000000000003</v>
      </c>
      <c r="C303">
        <v>9.33</v>
      </c>
      <c r="D303">
        <v>1.1299999999999999</v>
      </c>
      <c r="E303">
        <v>0.90500000000000003</v>
      </c>
      <c r="F303" s="25">
        <v>0.16070000000000001</v>
      </c>
      <c r="G303">
        <v>0.39100000000000001</v>
      </c>
      <c r="H303">
        <v>-9.17</v>
      </c>
      <c r="I303">
        <v>2.14</v>
      </c>
      <c r="J303">
        <v>-0.72</v>
      </c>
      <c r="K303">
        <v>3.69</v>
      </c>
      <c r="L303">
        <v>2.77</v>
      </c>
      <c r="M303" s="25">
        <v>0.42370000000000002</v>
      </c>
      <c r="N303" s="25">
        <v>9.7799999999999998E-2</v>
      </c>
      <c r="O303">
        <v>0.72</v>
      </c>
      <c r="P303" s="25">
        <v>0.1961</v>
      </c>
      <c r="Q303" s="25">
        <v>0.1216</v>
      </c>
      <c r="R303" s="26">
        <v>350100000</v>
      </c>
      <c r="S303" s="26">
        <v>395841000000</v>
      </c>
      <c r="T303">
        <v>0.94</v>
      </c>
      <c r="U303" s="25">
        <v>0.11509999999999999</v>
      </c>
    </row>
    <row r="304" spans="1:21" x14ac:dyDescent="0.25">
      <c r="A304" t="s">
        <v>15</v>
      </c>
      <c r="B304">
        <v>31.99</v>
      </c>
      <c r="C304">
        <v>8.57</v>
      </c>
      <c r="D304">
        <v>1.04</v>
      </c>
      <c r="E304">
        <v>0.83099999999999996</v>
      </c>
      <c r="F304" s="25">
        <v>0.17499999999999999</v>
      </c>
      <c r="G304">
        <v>0.35899999999999999</v>
      </c>
      <c r="H304">
        <v>-8.42</v>
      </c>
      <c r="I304">
        <v>1.96</v>
      </c>
      <c r="J304">
        <v>-0.66</v>
      </c>
      <c r="K304">
        <v>3.51</v>
      </c>
      <c r="L304">
        <v>2.64</v>
      </c>
      <c r="M304" s="25">
        <v>0.42370000000000002</v>
      </c>
      <c r="N304" s="25">
        <v>9.7799999999999998E-2</v>
      </c>
      <c r="O304">
        <v>0.72</v>
      </c>
      <c r="P304" s="25">
        <v>0.1961</v>
      </c>
      <c r="Q304" s="25">
        <v>0.1216</v>
      </c>
      <c r="R304" s="26">
        <v>1080610000</v>
      </c>
      <c r="S304" s="26">
        <v>395841000000</v>
      </c>
      <c r="T304">
        <v>0.94</v>
      </c>
      <c r="U304" s="25">
        <v>0.11509999999999999</v>
      </c>
    </row>
    <row r="305" spans="1:21" x14ac:dyDescent="0.25">
      <c r="A305" t="s">
        <v>204</v>
      </c>
      <c r="B305">
        <v>3.99</v>
      </c>
      <c r="C305">
        <v>-45.34</v>
      </c>
      <c r="D305">
        <v>1.1100000000000001</v>
      </c>
      <c r="E305">
        <v>0.54600000000000004</v>
      </c>
      <c r="F305" s="25">
        <v>7.22E-2</v>
      </c>
      <c r="G305">
        <v>0.47799999999999998</v>
      </c>
      <c r="H305">
        <v>3.32</v>
      </c>
      <c r="I305">
        <v>10.59</v>
      </c>
      <c r="J305">
        <v>-2.21</v>
      </c>
      <c r="K305">
        <v>11.13</v>
      </c>
      <c r="L305">
        <v>3.71</v>
      </c>
      <c r="M305" s="25">
        <v>5.1499999999999997E-2</v>
      </c>
      <c r="N305" s="25">
        <v>-1.2E-2</v>
      </c>
      <c r="O305">
        <v>1.68</v>
      </c>
      <c r="P305" s="25">
        <v>5.5800000000000002E-2</v>
      </c>
      <c r="Q305" s="25">
        <v>-2.4500000000000001E-2</v>
      </c>
      <c r="R305" s="26">
        <v>29938800</v>
      </c>
      <c r="S305" s="26">
        <v>1658800000</v>
      </c>
      <c r="T305">
        <v>0.27</v>
      </c>
      <c r="U305" s="25">
        <v>0.20250000000000001</v>
      </c>
    </row>
    <row r="306" spans="1:21" x14ac:dyDescent="0.25">
      <c r="A306" t="s">
        <v>80</v>
      </c>
      <c r="B306">
        <v>8.08</v>
      </c>
      <c r="C306">
        <v>8.0299999999999994</v>
      </c>
      <c r="D306">
        <v>0.76</v>
      </c>
      <c r="E306">
        <v>9.4E-2</v>
      </c>
      <c r="F306" s="25">
        <v>7.1199999999999999E-2</v>
      </c>
      <c r="G306">
        <v>0.17299999999999999</v>
      </c>
      <c r="H306">
        <v>1.0900000000000001</v>
      </c>
      <c r="I306">
        <v>3.25</v>
      </c>
      <c r="J306">
        <v>-62.46</v>
      </c>
      <c r="K306">
        <v>5.46</v>
      </c>
      <c r="L306">
        <v>3.47</v>
      </c>
      <c r="M306" s="25">
        <v>2.9000000000000001E-2</v>
      </c>
      <c r="N306" s="25">
        <v>1.2500000000000001E-2</v>
      </c>
      <c r="O306">
        <v>1.28</v>
      </c>
      <c r="P306" s="25">
        <v>9.6100000000000005E-2</v>
      </c>
      <c r="Q306" s="25">
        <v>9.4700000000000006E-2</v>
      </c>
      <c r="R306" s="26">
        <v>1472670</v>
      </c>
      <c r="S306" s="26">
        <v>1315040000</v>
      </c>
      <c r="T306">
        <v>0.72</v>
      </c>
      <c r="U306" s="25">
        <v>0.17050000000000001</v>
      </c>
    </row>
    <row r="307" spans="1:21" x14ac:dyDescent="0.25">
      <c r="A307" t="s">
        <v>153</v>
      </c>
      <c r="B307">
        <v>3.55</v>
      </c>
      <c r="C307">
        <v>15.25</v>
      </c>
      <c r="D307">
        <v>0.81</v>
      </c>
      <c r="E307">
        <v>0.16800000000000001</v>
      </c>
      <c r="F307" s="25">
        <v>6.5100000000000005E-2</v>
      </c>
      <c r="G307">
        <v>0.255</v>
      </c>
      <c r="H307">
        <v>1.73</v>
      </c>
      <c r="I307">
        <v>3.57</v>
      </c>
      <c r="J307">
        <v>-1.44</v>
      </c>
      <c r="K307">
        <v>5.66</v>
      </c>
      <c r="L307">
        <v>3.08</v>
      </c>
      <c r="M307" s="25">
        <v>4.7199999999999999E-2</v>
      </c>
      <c r="N307" s="25">
        <v>1.11E-2</v>
      </c>
      <c r="O307">
        <v>1.41</v>
      </c>
      <c r="P307" s="25">
        <v>9.5000000000000001E-2</v>
      </c>
      <c r="Q307" s="25">
        <v>5.3199999999999997E-2</v>
      </c>
      <c r="R307" s="26">
        <v>2989680</v>
      </c>
      <c r="S307" s="26">
        <v>2722920000</v>
      </c>
      <c r="T307">
        <v>0.52</v>
      </c>
      <c r="U307" s="25">
        <v>0.1807</v>
      </c>
    </row>
    <row r="308" spans="1:21" x14ac:dyDescent="0.25">
      <c r="A308" t="s">
        <v>435</v>
      </c>
      <c r="B308">
        <v>5.87</v>
      </c>
      <c r="C308">
        <v>4.95</v>
      </c>
      <c r="D308">
        <v>1.18</v>
      </c>
      <c r="E308">
        <v>0</v>
      </c>
      <c r="F308" s="25">
        <v>0</v>
      </c>
      <c r="G308">
        <v>0</v>
      </c>
      <c r="H308">
        <v>0</v>
      </c>
      <c r="I308">
        <v>0</v>
      </c>
      <c r="J308">
        <v>0</v>
      </c>
      <c r="K308">
        <v>0</v>
      </c>
      <c r="L308">
        <v>0</v>
      </c>
      <c r="M308" s="25">
        <v>0</v>
      </c>
      <c r="N308" s="25">
        <v>0</v>
      </c>
      <c r="O308">
        <v>0</v>
      </c>
      <c r="P308" s="25">
        <v>0</v>
      </c>
      <c r="Q308" s="25">
        <v>0.2392</v>
      </c>
      <c r="R308" s="26">
        <v>24092.3</v>
      </c>
      <c r="S308" s="26">
        <v>1123630000</v>
      </c>
      <c r="T308">
        <v>0</v>
      </c>
      <c r="U308" s="25">
        <v>0.49669999999999997</v>
      </c>
    </row>
    <row r="309" spans="1:21" x14ac:dyDescent="0.25">
      <c r="A309" t="s">
        <v>39</v>
      </c>
      <c r="B309">
        <v>5.87</v>
      </c>
      <c r="C309">
        <v>4.95</v>
      </c>
      <c r="D309">
        <v>1.18</v>
      </c>
      <c r="E309">
        <v>0</v>
      </c>
      <c r="F309" s="25">
        <v>9.0200000000000002E-2</v>
      </c>
      <c r="G309">
        <v>0</v>
      </c>
      <c r="H309" s="26">
        <v>0</v>
      </c>
      <c r="I309">
        <v>0</v>
      </c>
      <c r="J309">
        <v>0</v>
      </c>
      <c r="K309">
        <v>0</v>
      </c>
      <c r="L309">
        <v>0</v>
      </c>
      <c r="M309" s="25">
        <v>0</v>
      </c>
      <c r="N309" s="25">
        <v>0</v>
      </c>
      <c r="O309">
        <v>0</v>
      </c>
      <c r="P309" s="25">
        <v>0</v>
      </c>
      <c r="Q309" s="25">
        <v>0.2392</v>
      </c>
      <c r="R309" s="26">
        <v>1421880</v>
      </c>
      <c r="S309" s="26">
        <v>1123630000</v>
      </c>
      <c r="T309">
        <v>0</v>
      </c>
      <c r="U309" s="25">
        <v>0.49669999999999997</v>
      </c>
    </row>
    <row r="310" spans="1:21" x14ac:dyDescent="0.25">
      <c r="A310" t="s">
        <v>436</v>
      </c>
      <c r="B310">
        <v>5.15</v>
      </c>
      <c r="C310">
        <v>-0.46</v>
      </c>
      <c r="D310">
        <v>-0.11</v>
      </c>
      <c r="E310">
        <v>5.6000000000000001E-2</v>
      </c>
      <c r="F310" s="25">
        <v>0</v>
      </c>
      <c r="G310">
        <v>0.10100000000000001</v>
      </c>
      <c r="H310">
        <v>-0.2</v>
      </c>
      <c r="I310">
        <v>-6.02</v>
      </c>
      <c r="J310">
        <v>-0.06</v>
      </c>
      <c r="K310">
        <v>-33.369999999999997</v>
      </c>
      <c r="L310">
        <v>7.4</v>
      </c>
      <c r="M310" s="25">
        <v>-9.2999999999999992E-3</v>
      </c>
      <c r="N310" s="25">
        <v>-0.1202</v>
      </c>
      <c r="O310">
        <v>0.39</v>
      </c>
      <c r="P310" s="25">
        <v>-2.01E-2</v>
      </c>
      <c r="Q310" s="25">
        <v>0.2389</v>
      </c>
      <c r="R310" s="26">
        <v>800.69</v>
      </c>
      <c r="S310" s="26">
        <v>-577159000</v>
      </c>
      <c r="T310">
        <v>-0.54</v>
      </c>
      <c r="U310" s="25">
        <v>0.27039999999999997</v>
      </c>
    </row>
    <row r="311" spans="1:21" x14ac:dyDescent="0.25">
      <c r="A311" t="s">
        <v>437</v>
      </c>
      <c r="B311">
        <v>13.49</v>
      </c>
      <c r="C311">
        <v>7.45</v>
      </c>
      <c r="D311">
        <v>3.43</v>
      </c>
      <c r="E311">
        <v>1.02</v>
      </c>
      <c r="F311" s="25">
        <v>7.46E-2</v>
      </c>
      <c r="G311">
        <v>1.1000000000000001</v>
      </c>
      <c r="H311">
        <v>1.91</v>
      </c>
      <c r="I311">
        <v>3.77</v>
      </c>
      <c r="J311">
        <v>5.67</v>
      </c>
      <c r="K311">
        <v>3.95</v>
      </c>
      <c r="L311">
        <v>3.84</v>
      </c>
      <c r="M311" s="25">
        <v>0.27060000000000001</v>
      </c>
      <c r="N311" s="25">
        <v>0.15640000000000001</v>
      </c>
      <c r="O311">
        <v>3.12</v>
      </c>
      <c r="P311" s="25">
        <v>0.45750000000000002</v>
      </c>
      <c r="Q311" s="25">
        <v>0.4607</v>
      </c>
      <c r="R311" s="26">
        <v>13864400</v>
      </c>
      <c r="S311" s="26">
        <v>801581000</v>
      </c>
      <c r="T311">
        <v>0.75</v>
      </c>
      <c r="U311" s="25">
        <v>0.2828</v>
      </c>
    </row>
    <row r="312" spans="1:21" x14ac:dyDescent="0.25">
      <c r="A312" t="s">
        <v>260</v>
      </c>
      <c r="B312">
        <v>1.65</v>
      </c>
      <c r="C312">
        <v>-7.0000000000000007E-2</v>
      </c>
      <c r="D312">
        <v>-0.02</v>
      </c>
      <c r="E312">
        <v>0.25600000000000001</v>
      </c>
      <c r="F312" s="25">
        <v>0</v>
      </c>
      <c r="G312">
        <v>8.4000000000000005E-2</v>
      </c>
      <c r="H312">
        <v>-0.02</v>
      </c>
      <c r="I312">
        <v>-0.54</v>
      </c>
      <c r="J312">
        <v>-0.02</v>
      </c>
      <c r="K312">
        <v>-21.61</v>
      </c>
      <c r="L312">
        <v>-32.9</v>
      </c>
      <c r="M312" s="25">
        <v>-0.4743</v>
      </c>
      <c r="N312" s="25">
        <v>-3.7662</v>
      </c>
      <c r="O312">
        <v>0.06</v>
      </c>
      <c r="P312" s="25">
        <v>-0.28239999999999998</v>
      </c>
      <c r="Q312" s="25">
        <v>0.30370000000000003</v>
      </c>
      <c r="R312" s="26">
        <v>739903</v>
      </c>
      <c r="S312" s="26">
        <v>-6411200000</v>
      </c>
      <c r="T312">
        <v>-0.81</v>
      </c>
      <c r="U312" s="25">
        <v>-0.47</v>
      </c>
    </row>
    <row r="313" spans="1:21" x14ac:dyDescent="0.25">
      <c r="A313" t="s">
        <v>145</v>
      </c>
      <c r="B313">
        <v>9.2799999999999994</v>
      </c>
      <c r="C313">
        <v>14.32</v>
      </c>
      <c r="D313">
        <v>1.1200000000000001</v>
      </c>
      <c r="E313">
        <v>0.28100000000000003</v>
      </c>
      <c r="F313" s="25">
        <v>3.9100000000000003E-2</v>
      </c>
      <c r="G313">
        <v>0.44</v>
      </c>
      <c r="H313">
        <v>1.65</v>
      </c>
      <c r="I313">
        <v>8.48</v>
      </c>
      <c r="J313">
        <v>-9.9</v>
      </c>
      <c r="K313">
        <v>14.67</v>
      </c>
      <c r="L313">
        <v>6.35</v>
      </c>
      <c r="M313" s="25">
        <v>3.3099999999999997E-2</v>
      </c>
      <c r="N313" s="25">
        <v>1.9599999999999999E-2</v>
      </c>
      <c r="O313">
        <v>1.9</v>
      </c>
      <c r="P313" s="25">
        <v>6.5500000000000003E-2</v>
      </c>
      <c r="Q313" s="25">
        <v>7.8200000000000006E-2</v>
      </c>
      <c r="R313" s="26">
        <v>4079320</v>
      </c>
      <c r="S313" s="26">
        <v>1245830000</v>
      </c>
      <c r="T313">
        <v>0.98</v>
      </c>
      <c r="U313" s="25">
        <v>0.1522</v>
      </c>
    </row>
    <row r="314" spans="1:21" x14ac:dyDescent="0.25">
      <c r="A314" t="s">
        <v>24</v>
      </c>
      <c r="B314">
        <v>6.65</v>
      </c>
      <c r="C314">
        <v>6.67</v>
      </c>
      <c r="D314">
        <v>1.91</v>
      </c>
      <c r="E314">
        <v>0.877</v>
      </c>
      <c r="F314" s="25">
        <v>8.6499999999999994E-2</v>
      </c>
      <c r="G314">
        <v>0.84099999999999997</v>
      </c>
      <c r="H314">
        <v>3.5</v>
      </c>
      <c r="I314">
        <v>5.6</v>
      </c>
      <c r="J314">
        <v>27.69</v>
      </c>
      <c r="K314">
        <v>6.59</v>
      </c>
      <c r="L314">
        <v>5.87</v>
      </c>
      <c r="M314" s="25">
        <v>0.15670000000000001</v>
      </c>
      <c r="N314" s="25">
        <v>0.1333</v>
      </c>
      <c r="O314">
        <v>1.7</v>
      </c>
      <c r="P314" s="25">
        <v>0.2054</v>
      </c>
      <c r="Q314" s="25">
        <v>0.28589999999999999</v>
      </c>
      <c r="R314" s="26">
        <v>1370680</v>
      </c>
      <c r="S314" s="26">
        <v>3960140000</v>
      </c>
      <c r="T314">
        <v>0.78</v>
      </c>
      <c r="U314" s="25">
        <v>0.2727</v>
      </c>
    </row>
    <row r="315" spans="1:21" x14ac:dyDescent="0.25">
      <c r="A315" t="s">
        <v>96</v>
      </c>
      <c r="B315">
        <v>8.3699999999999992</v>
      </c>
      <c r="C315">
        <v>8.4</v>
      </c>
      <c r="D315">
        <v>2.4</v>
      </c>
      <c r="E315">
        <v>1.1040000000000001</v>
      </c>
      <c r="F315" s="25">
        <v>6.8699999999999997E-2</v>
      </c>
      <c r="G315">
        <v>1.0589999999999999</v>
      </c>
      <c r="H315">
        <v>4.4000000000000004</v>
      </c>
      <c r="I315">
        <v>7.04</v>
      </c>
      <c r="J315">
        <v>34.85</v>
      </c>
      <c r="K315">
        <v>8.0399999999999991</v>
      </c>
      <c r="L315">
        <v>7.16</v>
      </c>
      <c r="M315" s="25">
        <v>0.15670000000000001</v>
      </c>
      <c r="N315" s="25">
        <v>0.1333</v>
      </c>
      <c r="O315">
        <v>1.7</v>
      </c>
      <c r="P315" s="25">
        <v>0.2054</v>
      </c>
      <c r="Q315" s="25">
        <v>0.28589999999999999</v>
      </c>
      <c r="R315" s="26">
        <v>68065600</v>
      </c>
      <c r="S315" s="26">
        <v>3960140000</v>
      </c>
      <c r="T315">
        <v>0.78</v>
      </c>
      <c r="U315" s="25">
        <v>0.2727</v>
      </c>
    </row>
    <row r="316" spans="1:21" x14ac:dyDescent="0.25">
      <c r="A316" t="s">
        <v>38</v>
      </c>
      <c r="B316">
        <v>17.670000000000002</v>
      </c>
      <c r="C316">
        <v>13.63</v>
      </c>
      <c r="D316">
        <v>2.84</v>
      </c>
      <c r="E316">
        <v>2.5529999999999999</v>
      </c>
      <c r="F316" s="25">
        <v>6.2799999999999995E-2</v>
      </c>
      <c r="G316">
        <v>1.1970000000000001</v>
      </c>
      <c r="H316">
        <v>57.87</v>
      </c>
      <c r="I316">
        <v>8.44</v>
      </c>
      <c r="J316">
        <v>-3.08</v>
      </c>
      <c r="K316">
        <v>10.74</v>
      </c>
      <c r="L316">
        <v>7.92</v>
      </c>
      <c r="M316" s="25">
        <v>0.30259999999999998</v>
      </c>
      <c r="N316" s="25">
        <v>0.18940000000000001</v>
      </c>
      <c r="O316">
        <v>1.1200000000000001</v>
      </c>
      <c r="P316" s="25">
        <v>0.16070000000000001</v>
      </c>
      <c r="Q316" s="25">
        <v>0.20810000000000001</v>
      </c>
      <c r="R316" s="26">
        <v>19269300</v>
      </c>
      <c r="S316" s="26">
        <v>2747140000</v>
      </c>
      <c r="T316">
        <v>0.99</v>
      </c>
      <c r="U316" s="25">
        <v>4.9299999999999997E-2</v>
      </c>
    </row>
    <row r="317" spans="1:21" x14ac:dyDescent="0.25">
      <c r="A317" t="s">
        <v>83</v>
      </c>
      <c r="B317">
        <v>4.3</v>
      </c>
      <c r="C317">
        <v>208.53</v>
      </c>
      <c r="D317">
        <v>0.38</v>
      </c>
      <c r="E317">
        <v>0.17899999999999999</v>
      </c>
      <c r="F317" s="25">
        <v>6.3700000000000007E-2</v>
      </c>
      <c r="G317">
        <v>0.14499999999999999</v>
      </c>
      <c r="H317">
        <v>0.44</v>
      </c>
      <c r="I317">
        <v>2.7</v>
      </c>
      <c r="J317">
        <v>3.65</v>
      </c>
      <c r="K317">
        <v>6.12</v>
      </c>
      <c r="L317">
        <v>4.78</v>
      </c>
      <c r="M317" s="25">
        <v>6.6199999999999995E-2</v>
      </c>
      <c r="N317" s="25">
        <v>2.3999999999999998E-3</v>
      </c>
      <c r="O317">
        <v>2.0299999999999998</v>
      </c>
      <c r="P317" s="25">
        <v>6.9900000000000004E-2</v>
      </c>
      <c r="Q317" s="25">
        <v>1.8E-3</v>
      </c>
      <c r="R317" s="26">
        <v>4346680</v>
      </c>
      <c r="S317" s="26">
        <v>1607650000</v>
      </c>
      <c r="T317">
        <v>0.77</v>
      </c>
      <c r="U317" s="25">
        <v>7.8299999999999995E-2</v>
      </c>
    </row>
    <row r="318" spans="1:21" x14ac:dyDescent="0.25">
      <c r="A318" t="s">
        <v>168</v>
      </c>
      <c r="B318">
        <v>42.47</v>
      </c>
      <c r="C318">
        <v>3.36</v>
      </c>
      <c r="D318">
        <v>1.43</v>
      </c>
      <c r="E318">
        <v>2.44</v>
      </c>
      <c r="F318" s="25">
        <v>0</v>
      </c>
      <c r="G318">
        <v>0.69499999999999995</v>
      </c>
      <c r="H318">
        <v>6.68</v>
      </c>
      <c r="I318">
        <v>6.21</v>
      </c>
      <c r="J318">
        <v>-1.91</v>
      </c>
      <c r="K318">
        <v>9.1300000000000008</v>
      </c>
      <c r="L318">
        <v>5.86</v>
      </c>
      <c r="M318" s="25">
        <v>0.39279999999999998</v>
      </c>
      <c r="N318" s="25">
        <v>0.72609999999999997</v>
      </c>
      <c r="O318">
        <v>3.19</v>
      </c>
      <c r="P318" s="25">
        <v>0.1234</v>
      </c>
      <c r="Q318" s="25">
        <v>0.42580000000000001</v>
      </c>
      <c r="R318" s="26">
        <v>387303000</v>
      </c>
      <c r="S318" s="26">
        <v>26603200000</v>
      </c>
      <c r="T318">
        <v>0.83</v>
      </c>
      <c r="U318" s="25">
        <v>0.59109999999999996</v>
      </c>
    </row>
    <row r="319" spans="1:21" x14ac:dyDescent="0.25">
      <c r="A319" t="s">
        <v>21</v>
      </c>
      <c r="B319">
        <v>15</v>
      </c>
      <c r="C319">
        <v>67.5</v>
      </c>
      <c r="D319">
        <v>2.04</v>
      </c>
      <c r="E319">
        <v>0.55900000000000005</v>
      </c>
      <c r="F319" s="25">
        <v>3.3999999999999998E-3</v>
      </c>
      <c r="G319">
        <v>0.496</v>
      </c>
      <c r="H319">
        <v>1.8</v>
      </c>
      <c r="I319">
        <v>7.19</v>
      </c>
      <c r="J319">
        <v>-2.72</v>
      </c>
      <c r="K319">
        <v>10.38</v>
      </c>
      <c r="L319">
        <v>6.58</v>
      </c>
      <c r="M319" s="25">
        <v>7.7799999999999994E-2</v>
      </c>
      <c r="N319" s="25">
        <v>2.3099999999999999E-2</v>
      </c>
      <c r="O319">
        <v>1.96</v>
      </c>
      <c r="P319" s="25">
        <v>9.6100000000000005E-2</v>
      </c>
      <c r="Q319" s="25">
        <v>3.0200000000000001E-2</v>
      </c>
      <c r="R319" s="26">
        <v>4697250</v>
      </c>
      <c r="S319" s="26">
        <v>343979000</v>
      </c>
      <c r="T319">
        <v>1.95</v>
      </c>
      <c r="U319" s="25">
        <v>0.48799999999999999</v>
      </c>
    </row>
    <row r="320" spans="1:21" x14ac:dyDescent="0.25">
      <c r="A320" t="s">
        <v>16</v>
      </c>
      <c r="B320">
        <v>52.1</v>
      </c>
      <c r="C320">
        <v>11.92</v>
      </c>
      <c r="D320">
        <v>2.4300000000000002</v>
      </c>
      <c r="E320">
        <v>0.92900000000000005</v>
      </c>
      <c r="F320" s="25">
        <v>3.3500000000000002E-2</v>
      </c>
      <c r="G320">
        <v>0.68100000000000005</v>
      </c>
      <c r="H320">
        <v>10.78</v>
      </c>
      <c r="I320">
        <v>1.1299999999999999</v>
      </c>
      <c r="J320">
        <v>-4.13</v>
      </c>
      <c r="K320">
        <v>0.8</v>
      </c>
      <c r="L320">
        <v>0.79</v>
      </c>
      <c r="M320" s="25">
        <v>0.81850000000000001</v>
      </c>
      <c r="N320" s="25">
        <v>7.9200000000000007E-2</v>
      </c>
      <c r="O320">
        <v>1.1299999999999999</v>
      </c>
      <c r="P320" s="25">
        <v>0.75109999999999999</v>
      </c>
      <c r="Q320" s="25">
        <v>0.2039</v>
      </c>
      <c r="R320" s="26">
        <v>107605000</v>
      </c>
      <c r="S320" s="26">
        <v>13856800000</v>
      </c>
      <c r="T320">
        <v>0</v>
      </c>
      <c r="U320" s="25">
        <v>0.18590000000000001</v>
      </c>
    </row>
    <row r="321" spans="1:21" x14ac:dyDescent="0.25">
      <c r="A321" t="s">
        <v>221</v>
      </c>
      <c r="B321">
        <v>3.94</v>
      </c>
      <c r="C321">
        <v>-4.87</v>
      </c>
      <c r="D321">
        <v>1.76</v>
      </c>
      <c r="E321">
        <v>0.22500000000000001</v>
      </c>
      <c r="F321" s="25">
        <v>0</v>
      </c>
      <c r="G321">
        <v>0.154</v>
      </c>
      <c r="H321">
        <v>-2.79</v>
      </c>
      <c r="I321">
        <v>7.06</v>
      </c>
      <c r="J321">
        <v>-0.28999999999999998</v>
      </c>
      <c r="K321">
        <v>19.88</v>
      </c>
      <c r="L321">
        <v>5.82</v>
      </c>
      <c r="M321" s="25">
        <v>3.1800000000000002E-2</v>
      </c>
      <c r="N321" s="25">
        <v>-4.6100000000000002E-2</v>
      </c>
      <c r="O321">
        <v>0.87</v>
      </c>
      <c r="P321" s="25">
        <v>3.15E-2</v>
      </c>
      <c r="Q321" s="25">
        <v>-0.36120000000000002</v>
      </c>
      <c r="R321" s="26">
        <v>1626920</v>
      </c>
      <c r="S321" s="26">
        <v>315773000</v>
      </c>
      <c r="T321">
        <v>4.5</v>
      </c>
      <c r="U321" s="25">
        <v>0.1201</v>
      </c>
    </row>
    <row r="322" spans="1:21" x14ac:dyDescent="0.25">
      <c r="A322" t="s">
        <v>438</v>
      </c>
      <c r="B322">
        <v>8.94</v>
      </c>
      <c r="C322">
        <v>11.14</v>
      </c>
      <c r="D322">
        <v>0.98</v>
      </c>
      <c r="E322">
        <v>0.52200000000000002</v>
      </c>
      <c r="F322" s="25">
        <v>3.0300000000000001E-2</v>
      </c>
      <c r="G322">
        <v>0.40400000000000003</v>
      </c>
      <c r="H322">
        <v>1.19</v>
      </c>
      <c r="I322">
        <v>12.07</v>
      </c>
      <c r="J322">
        <v>6.97</v>
      </c>
      <c r="K322">
        <v>16.05</v>
      </c>
      <c r="L322">
        <v>7.92</v>
      </c>
      <c r="M322" s="25">
        <v>4.3200000000000002E-2</v>
      </c>
      <c r="N322" s="25">
        <v>7.2099999999999997E-2</v>
      </c>
      <c r="O322">
        <v>2.56</v>
      </c>
      <c r="P322" s="25">
        <v>4.9299999999999997E-2</v>
      </c>
      <c r="Q322" s="25">
        <v>8.77E-2</v>
      </c>
      <c r="R322" s="26">
        <v>2411.1</v>
      </c>
      <c r="S322" s="26">
        <v>439823000</v>
      </c>
      <c r="T322">
        <v>0.88</v>
      </c>
      <c r="U322" s="25">
        <v>5.5800000000000002E-2</v>
      </c>
    </row>
    <row r="323" spans="1:21" x14ac:dyDescent="0.25">
      <c r="A323" t="s">
        <v>106</v>
      </c>
      <c r="B323">
        <v>4.75</v>
      </c>
      <c r="C323">
        <v>5.92</v>
      </c>
      <c r="D323">
        <v>0.52</v>
      </c>
      <c r="E323">
        <v>0.27700000000000002</v>
      </c>
      <c r="F323" s="25">
        <v>5.7000000000000002E-2</v>
      </c>
      <c r="G323">
        <v>0.215</v>
      </c>
      <c r="H323">
        <v>0.63</v>
      </c>
      <c r="I323">
        <v>6.41</v>
      </c>
      <c r="J323">
        <v>3.7</v>
      </c>
      <c r="K323">
        <v>10.39</v>
      </c>
      <c r="L323">
        <v>5.13</v>
      </c>
      <c r="M323" s="25">
        <v>4.3200000000000002E-2</v>
      </c>
      <c r="N323" s="25">
        <v>7.2099999999999997E-2</v>
      </c>
      <c r="O323">
        <v>2.56</v>
      </c>
      <c r="P323" s="25">
        <v>4.9299999999999997E-2</v>
      </c>
      <c r="Q323" s="25">
        <v>8.77E-2</v>
      </c>
      <c r="R323" s="26">
        <v>68324.7</v>
      </c>
      <c r="S323" s="26">
        <v>439823000</v>
      </c>
      <c r="T323">
        <v>0.88</v>
      </c>
      <c r="U323" s="25">
        <v>5.5800000000000002E-2</v>
      </c>
    </row>
    <row r="324" spans="1:21" x14ac:dyDescent="0.25">
      <c r="A324" t="s">
        <v>144</v>
      </c>
      <c r="B324">
        <v>1.67</v>
      </c>
      <c r="C324">
        <v>125.91</v>
      </c>
      <c r="D324">
        <v>0.37</v>
      </c>
      <c r="E324">
        <v>0.30599999999999999</v>
      </c>
      <c r="F324" s="25">
        <v>3.3E-3</v>
      </c>
      <c r="G324">
        <v>0.107</v>
      </c>
      <c r="H324">
        <v>3.44</v>
      </c>
      <c r="I324">
        <v>0.9</v>
      </c>
      <c r="J324">
        <v>-0.36</v>
      </c>
      <c r="K324">
        <v>2.56</v>
      </c>
      <c r="L324">
        <v>1.5</v>
      </c>
      <c r="M324" s="25">
        <v>0.33879999999999999</v>
      </c>
      <c r="N324" s="25">
        <v>8.0000000000000002E-3</v>
      </c>
      <c r="O324">
        <v>1.08</v>
      </c>
      <c r="P324" s="25">
        <v>0.1847</v>
      </c>
      <c r="Q324" s="25">
        <v>2.8999999999999998E-3</v>
      </c>
      <c r="R324" s="26">
        <v>3381620</v>
      </c>
      <c r="S324" s="26">
        <v>1297730000</v>
      </c>
      <c r="T324">
        <v>1.49</v>
      </c>
      <c r="U324" s="25">
        <v>-7.3200000000000001E-2</v>
      </c>
    </row>
    <row r="325" spans="1:21" x14ac:dyDescent="0.25">
      <c r="A325" t="s">
        <v>98</v>
      </c>
      <c r="B325">
        <v>14.17</v>
      </c>
      <c r="C325">
        <v>20.7</v>
      </c>
      <c r="D325">
        <v>3.75</v>
      </c>
      <c r="E325">
        <v>0.61099999999999999</v>
      </c>
      <c r="F325" s="25">
        <v>2.87E-2</v>
      </c>
      <c r="G325">
        <v>1.0760000000000001</v>
      </c>
      <c r="H325">
        <v>7.24</v>
      </c>
      <c r="I325">
        <v>10.56</v>
      </c>
      <c r="J325">
        <v>-8.0500000000000007</v>
      </c>
      <c r="K325">
        <v>11.73</v>
      </c>
      <c r="L325">
        <v>6.51</v>
      </c>
      <c r="M325" s="25">
        <v>5.79E-2</v>
      </c>
      <c r="N325" s="25">
        <v>2.9700000000000001E-2</v>
      </c>
      <c r="O325">
        <v>1.34</v>
      </c>
      <c r="P325" s="25">
        <v>0.1431</v>
      </c>
      <c r="Q325" s="25">
        <v>0.18129999999999999</v>
      </c>
      <c r="R325" s="26">
        <v>188858000</v>
      </c>
      <c r="S325" s="26">
        <v>6485910000</v>
      </c>
      <c r="T325">
        <v>0.49</v>
      </c>
      <c r="U325" s="25">
        <v>0.17849999999999999</v>
      </c>
    </row>
    <row r="326" spans="1:21" x14ac:dyDescent="0.25">
      <c r="A326" t="s">
        <v>54</v>
      </c>
      <c r="B326">
        <v>17.09</v>
      </c>
      <c r="C326">
        <v>-22.2</v>
      </c>
      <c r="D326">
        <v>2.17</v>
      </c>
      <c r="E326">
        <v>2.3039999999999998</v>
      </c>
      <c r="F326" s="25">
        <v>4.7399999999999998E-2</v>
      </c>
      <c r="G326">
        <v>0.61599999999999999</v>
      </c>
      <c r="H326">
        <v>6.22</v>
      </c>
      <c r="I326">
        <v>5.61</v>
      </c>
      <c r="J326">
        <v>-1.22</v>
      </c>
      <c r="K326">
        <v>7.92</v>
      </c>
      <c r="L326">
        <v>3.94</v>
      </c>
      <c r="M326" s="25">
        <v>0.41110000000000002</v>
      </c>
      <c r="N326" s="25">
        <v>-0.1028</v>
      </c>
      <c r="O326">
        <v>1.9</v>
      </c>
      <c r="P326" s="25">
        <v>0.13270000000000001</v>
      </c>
      <c r="Q326" s="25">
        <v>-9.7799999999999998E-2</v>
      </c>
      <c r="R326" s="26">
        <v>195166000</v>
      </c>
      <c r="S326" s="26">
        <v>14598900000</v>
      </c>
      <c r="T326">
        <v>1.44</v>
      </c>
      <c r="U326" s="25">
        <v>0.18099999999999999</v>
      </c>
    </row>
    <row r="327" spans="1:21" x14ac:dyDescent="0.25">
      <c r="A327" t="s">
        <v>231</v>
      </c>
      <c r="B327">
        <v>1.54</v>
      </c>
      <c r="C327">
        <v>-3.75</v>
      </c>
      <c r="D327">
        <v>0.91</v>
      </c>
      <c r="E327">
        <v>6.2E-2</v>
      </c>
      <c r="F327" s="25">
        <v>6.4999999999999997E-3</v>
      </c>
      <c r="G327">
        <v>0.113</v>
      </c>
      <c r="H327">
        <v>1.05</v>
      </c>
      <c r="I327">
        <v>6.52</v>
      </c>
      <c r="J327">
        <v>-0.26</v>
      </c>
      <c r="K327">
        <v>25.63</v>
      </c>
      <c r="L327">
        <v>5.31</v>
      </c>
      <c r="M327" s="25">
        <v>9.5999999999999992E-3</v>
      </c>
      <c r="N327" s="25">
        <v>-1.6400000000000001E-2</v>
      </c>
      <c r="O327">
        <v>1.33</v>
      </c>
      <c r="P327" s="25">
        <v>2.5100000000000001E-2</v>
      </c>
      <c r="Q327" s="25">
        <v>-0.24199999999999999</v>
      </c>
      <c r="R327" s="26">
        <v>25375700</v>
      </c>
      <c r="S327" s="26">
        <v>17588500000</v>
      </c>
      <c r="T327">
        <v>3.89</v>
      </c>
      <c r="U327" s="25">
        <v>0.25109999999999999</v>
      </c>
    </row>
    <row r="328" spans="1:21" x14ac:dyDescent="0.25">
      <c r="A328" t="s">
        <v>203</v>
      </c>
      <c r="B328">
        <v>7.25</v>
      </c>
      <c r="C328">
        <v>5.39</v>
      </c>
      <c r="D328">
        <v>1.23</v>
      </c>
      <c r="E328">
        <v>1.0429999999999999</v>
      </c>
      <c r="F328" s="25">
        <v>9.1399999999999995E-2</v>
      </c>
      <c r="G328">
        <v>0.47199999999999998</v>
      </c>
      <c r="H328">
        <v>1.86</v>
      </c>
      <c r="I328">
        <v>4.57</v>
      </c>
      <c r="J328">
        <v>-1.81</v>
      </c>
      <c r="K328">
        <v>7.47</v>
      </c>
      <c r="L328">
        <v>4.8600000000000003</v>
      </c>
      <c r="M328" s="25">
        <v>0.22800000000000001</v>
      </c>
      <c r="N328" s="25">
        <v>0.19350000000000001</v>
      </c>
      <c r="O328">
        <v>3.51</v>
      </c>
      <c r="P328" s="25">
        <v>0.13189999999999999</v>
      </c>
      <c r="Q328" s="25">
        <v>0.22839999999999999</v>
      </c>
      <c r="R328" s="26">
        <v>4789930</v>
      </c>
      <c r="S328" s="26">
        <v>1412250000</v>
      </c>
      <c r="T328">
        <v>1.25</v>
      </c>
      <c r="U328" s="25">
        <v>7.1400000000000005E-2</v>
      </c>
    </row>
    <row r="329" spans="1:21" x14ac:dyDescent="0.25">
      <c r="A329" t="s">
        <v>131</v>
      </c>
      <c r="B329">
        <v>7.15</v>
      </c>
      <c r="C329">
        <v>7.38</v>
      </c>
      <c r="D329">
        <v>0.76</v>
      </c>
      <c r="E329">
        <v>0.187</v>
      </c>
      <c r="F329" s="25">
        <v>3.5799999999999998E-2</v>
      </c>
      <c r="G329">
        <v>0.13</v>
      </c>
      <c r="H329">
        <v>0.46</v>
      </c>
      <c r="I329">
        <v>1.65</v>
      </c>
      <c r="J329">
        <v>-0.6</v>
      </c>
      <c r="K329">
        <v>6.41</v>
      </c>
      <c r="L329">
        <v>5.08</v>
      </c>
      <c r="M329" s="25">
        <v>0.1138</v>
      </c>
      <c r="N329" s="25">
        <v>4.6100000000000002E-2</v>
      </c>
      <c r="O329">
        <v>2.06</v>
      </c>
      <c r="P329" s="25">
        <v>9.9099999999999994E-2</v>
      </c>
      <c r="Q329" s="25">
        <v>0.1027</v>
      </c>
      <c r="R329" s="26">
        <v>269444</v>
      </c>
      <c r="S329" s="26">
        <v>3105150000</v>
      </c>
      <c r="T329">
        <v>2.93</v>
      </c>
      <c r="U329" s="25">
        <v>0.16830000000000001</v>
      </c>
    </row>
    <row r="330" spans="1:21" x14ac:dyDescent="0.25">
      <c r="A330" t="s">
        <v>130</v>
      </c>
      <c r="B330">
        <v>7.29</v>
      </c>
      <c r="C330">
        <v>7.53</v>
      </c>
      <c r="D330">
        <v>0.77</v>
      </c>
      <c r="E330">
        <v>0.191</v>
      </c>
      <c r="F330" s="25">
        <v>3.5099999999999999E-2</v>
      </c>
      <c r="G330">
        <v>0.13200000000000001</v>
      </c>
      <c r="H330">
        <v>0.47</v>
      </c>
      <c r="I330">
        <v>1.68</v>
      </c>
      <c r="J330">
        <v>-0.61</v>
      </c>
      <c r="K330">
        <v>6.45</v>
      </c>
      <c r="L330">
        <v>5.1100000000000003</v>
      </c>
      <c r="M330" s="25">
        <v>0.1138</v>
      </c>
      <c r="N330" s="25">
        <v>4.6100000000000002E-2</v>
      </c>
      <c r="O330">
        <v>2.06</v>
      </c>
      <c r="P330" s="25">
        <v>9.9099999999999994E-2</v>
      </c>
      <c r="Q330" s="25">
        <v>0.1027</v>
      </c>
      <c r="R330" s="26">
        <v>27828400</v>
      </c>
      <c r="S330" s="26">
        <v>3105150000</v>
      </c>
      <c r="T330">
        <v>2.93</v>
      </c>
      <c r="U330" s="25">
        <v>0.16830000000000001</v>
      </c>
    </row>
    <row r="331" spans="1:21" x14ac:dyDescent="0.25">
      <c r="A331" t="s">
        <v>263</v>
      </c>
      <c r="B331">
        <v>1.99</v>
      </c>
      <c r="C331">
        <v>-3.33</v>
      </c>
      <c r="D331">
        <v>-3.27</v>
      </c>
      <c r="E331">
        <v>5.8079999999999998</v>
      </c>
      <c r="F331" s="25">
        <v>0</v>
      </c>
      <c r="G331">
        <v>1.357</v>
      </c>
      <c r="H331">
        <v>-8.76</v>
      </c>
      <c r="I331">
        <v>-13.66</v>
      </c>
      <c r="J331">
        <v>-1.25</v>
      </c>
      <c r="K331">
        <v>-13.66</v>
      </c>
      <c r="L331">
        <v>-26.54</v>
      </c>
      <c r="M331" s="25">
        <v>-0.42530000000000001</v>
      </c>
      <c r="N331" s="25">
        <v>-1.8663000000000001</v>
      </c>
      <c r="O331">
        <v>0.68</v>
      </c>
      <c r="P331" s="25">
        <v>-0.1026</v>
      </c>
      <c r="Q331" s="25">
        <v>0.98080000000000001</v>
      </c>
      <c r="R331" s="26">
        <v>502996</v>
      </c>
      <c r="S331" s="26">
        <v>-19381000</v>
      </c>
      <c r="T331">
        <v>0</v>
      </c>
      <c r="U331" s="25">
        <v>-0.2402</v>
      </c>
    </row>
    <row r="332" spans="1:21" x14ac:dyDescent="0.25">
      <c r="A332" t="s">
        <v>172</v>
      </c>
      <c r="B332">
        <v>1.0900000000000001</v>
      </c>
      <c r="C332">
        <v>-1.82</v>
      </c>
      <c r="D332">
        <v>-1.79</v>
      </c>
      <c r="E332">
        <v>3.181</v>
      </c>
      <c r="F332" s="25">
        <v>0</v>
      </c>
      <c r="G332">
        <v>0.74399999999999999</v>
      </c>
      <c r="H332">
        <v>-4.8</v>
      </c>
      <c r="I332">
        <v>-7.48</v>
      </c>
      <c r="J332">
        <v>-0.69</v>
      </c>
      <c r="K332">
        <v>-7.48</v>
      </c>
      <c r="L332">
        <v>-14.54</v>
      </c>
      <c r="M332" s="25">
        <v>-0.42530000000000001</v>
      </c>
      <c r="N332" s="25">
        <v>-1.8663000000000001</v>
      </c>
      <c r="O332">
        <v>0.68</v>
      </c>
      <c r="P332" s="25">
        <v>-0.1026</v>
      </c>
      <c r="Q332" s="25">
        <v>0.98080000000000001</v>
      </c>
      <c r="R332" s="26">
        <v>3442960</v>
      </c>
      <c r="S332" s="26">
        <v>-19381000</v>
      </c>
      <c r="T332">
        <v>0</v>
      </c>
      <c r="U332" s="25">
        <v>-0.2402</v>
      </c>
    </row>
    <row r="333" spans="1:21" x14ac:dyDescent="0.25">
      <c r="A333" t="s">
        <v>224</v>
      </c>
      <c r="B333">
        <v>2.2999999999999998</v>
      </c>
      <c r="C333">
        <v>-0.73</v>
      </c>
      <c r="D333">
        <v>0.46</v>
      </c>
      <c r="E333">
        <v>0.20799999999999999</v>
      </c>
      <c r="F333" s="25">
        <v>0</v>
      </c>
      <c r="G333">
        <v>7.5999999999999998E-2</v>
      </c>
      <c r="H333">
        <v>0.35</v>
      </c>
      <c r="I333">
        <v>-1.86</v>
      </c>
      <c r="J333">
        <v>-0.23</v>
      </c>
      <c r="K333">
        <v>-11.72</v>
      </c>
      <c r="L333">
        <v>-13.33</v>
      </c>
      <c r="M333" s="25">
        <v>-0.1118</v>
      </c>
      <c r="N333" s="25">
        <v>-0.2767</v>
      </c>
      <c r="O333">
        <v>1.79</v>
      </c>
      <c r="P333" s="25">
        <v>-4.2700000000000002E-2</v>
      </c>
      <c r="Q333" s="25">
        <v>-0.62760000000000005</v>
      </c>
      <c r="R333" s="26">
        <v>16910.5</v>
      </c>
      <c r="S333" s="26">
        <v>220547000</v>
      </c>
      <c r="T333">
        <v>2.5499999999999998</v>
      </c>
      <c r="U333" s="25">
        <v>4.4600000000000001E-2</v>
      </c>
    </row>
    <row r="334" spans="1:21" x14ac:dyDescent="0.25">
      <c r="A334" t="s">
        <v>176</v>
      </c>
      <c r="B334">
        <v>33.1</v>
      </c>
      <c r="C334">
        <v>18.559999999999999</v>
      </c>
      <c r="D334">
        <v>3.03</v>
      </c>
      <c r="E334">
        <v>1.476</v>
      </c>
      <c r="F334" s="25">
        <v>2.2499999999999999E-2</v>
      </c>
      <c r="G334">
        <v>0.72599999999999998</v>
      </c>
      <c r="H334">
        <v>2.21</v>
      </c>
      <c r="I334">
        <v>9.6199999999999992</v>
      </c>
      <c r="J334">
        <v>-3.16</v>
      </c>
      <c r="K334">
        <v>9.35</v>
      </c>
      <c r="L334">
        <v>7.7</v>
      </c>
      <c r="M334" s="25">
        <v>0.15340000000000001</v>
      </c>
      <c r="N334" s="25">
        <v>8.1100000000000005E-2</v>
      </c>
      <c r="O334">
        <v>2.87</v>
      </c>
      <c r="P334" s="25">
        <v>0.12540000000000001</v>
      </c>
      <c r="Q334" s="25">
        <v>0.1633</v>
      </c>
      <c r="R334" s="26">
        <v>182197000</v>
      </c>
      <c r="S334" s="26">
        <v>25003000000</v>
      </c>
      <c r="T334">
        <v>1.51</v>
      </c>
      <c r="U334" s="25">
        <v>0.37930000000000003</v>
      </c>
    </row>
    <row r="335" spans="1:21" x14ac:dyDescent="0.25">
      <c r="A335" t="s">
        <v>439</v>
      </c>
      <c r="B335">
        <v>4.05</v>
      </c>
      <c r="C335">
        <v>42.91</v>
      </c>
      <c r="D335">
        <v>1.94</v>
      </c>
      <c r="E335">
        <v>9.3800000000000008</v>
      </c>
      <c r="F335" s="25">
        <v>0</v>
      </c>
      <c r="G335">
        <v>1.8240000000000001</v>
      </c>
      <c r="H335">
        <v>1.99</v>
      </c>
      <c r="I335">
        <v>-30.03</v>
      </c>
      <c r="J335">
        <v>2</v>
      </c>
      <c r="K335">
        <v>-14.61</v>
      </c>
      <c r="L335">
        <v>-20</v>
      </c>
      <c r="M335" s="25">
        <v>-0.31230000000000002</v>
      </c>
      <c r="N335" s="25">
        <v>0.21859999999999999</v>
      </c>
      <c r="O335">
        <v>16.47</v>
      </c>
      <c r="P335" s="25">
        <v>-1.5592999999999999</v>
      </c>
      <c r="Q335" s="25">
        <v>4.53E-2</v>
      </c>
      <c r="R335" s="26">
        <v>52716.5</v>
      </c>
      <c r="S335" s="26">
        <v>293687000</v>
      </c>
      <c r="T335">
        <v>0</v>
      </c>
      <c r="U335" s="25">
        <v>1.7399999999999999E-2</v>
      </c>
    </row>
    <row r="336" spans="1:21" x14ac:dyDescent="0.25">
      <c r="A336" t="s">
        <v>170</v>
      </c>
      <c r="B336">
        <v>13.55</v>
      </c>
      <c r="C336">
        <v>7.17</v>
      </c>
      <c r="D336">
        <v>0.89</v>
      </c>
      <c r="E336">
        <v>1.1759999999999999</v>
      </c>
      <c r="F336" s="25">
        <v>0.16189999999999999</v>
      </c>
      <c r="G336">
        <v>0.53300000000000003</v>
      </c>
      <c r="H336">
        <v>4.24</v>
      </c>
      <c r="I336">
        <v>3.9</v>
      </c>
      <c r="J336">
        <v>-2.81</v>
      </c>
      <c r="K336">
        <v>4.72</v>
      </c>
      <c r="L336">
        <v>2.79</v>
      </c>
      <c r="M336" s="25">
        <v>0.30180000000000001</v>
      </c>
      <c r="N336" s="25">
        <v>0.16420000000000001</v>
      </c>
      <c r="O336">
        <v>2.4700000000000002</v>
      </c>
      <c r="P336" s="25">
        <v>0.1681</v>
      </c>
      <c r="Q336" s="25">
        <v>0.12429999999999999</v>
      </c>
      <c r="R336" s="26">
        <v>38384100</v>
      </c>
      <c r="S336" s="26">
        <v>4463790000</v>
      </c>
      <c r="T336">
        <v>0.42</v>
      </c>
      <c r="U336" s="25">
        <v>0.26989999999999997</v>
      </c>
    </row>
    <row r="337" spans="1:21" x14ac:dyDescent="0.25">
      <c r="A337" t="s">
        <v>69</v>
      </c>
      <c r="B337">
        <v>6.4</v>
      </c>
      <c r="C337">
        <v>10.17</v>
      </c>
      <c r="D337">
        <v>3.25</v>
      </c>
      <c r="E337">
        <v>0.747</v>
      </c>
      <c r="F337" s="25">
        <v>6.6100000000000006E-2</v>
      </c>
      <c r="G337">
        <v>0.44900000000000001</v>
      </c>
      <c r="H337">
        <v>6.14</v>
      </c>
      <c r="I337">
        <v>3.92</v>
      </c>
      <c r="J337">
        <v>-0.85</v>
      </c>
      <c r="K337">
        <v>7.72</v>
      </c>
      <c r="L337">
        <v>6.11</v>
      </c>
      <c r="M337" s="25">
        <v>0.1908</v>
      </c>
      <c r="N337" s="25">
        <v>0.10059999999999999</v>
      </c>
      <c r="O337">
        <v>1.38</v>
      </c>
      <c r="P337" s="25">
        <v>0.13450000000000001</v>
      </c>
      <c r="Q337" s="25">
        <v>0.31929999999999997</v>
      </c>
      <c r="R337" s="26">
        <v>8768.36</v>
      </c>
      <c r="S337" s="26">
        <v>4157530000</v>
      </c>
      <c r="T337">
        <v>3.88</v>
      </c>
      <c r="U337" s="25">
        <v>9.06E-2</v>
      </c>
    </row>
    <row r="338" spans="1:21" x14ac:dyDescent="0.25">
      <c r="A338" t="s">
        <v>129</v>
      </c>
      <c r="B338">
        <v>36.229999999999997</v>
      </c>
      <c r="C338">
        <v>20.399999999999999</v>
      </c>
      <c r="D338">
        <v>1.48</v>
      </c>
      <c r="E338">
        <v>1.0129999999999999</v>
      </c>
      <c r="F338" s="25">
        <v>4.87E-2</v>
      </c>
      <c r="G338">
        <v>0.48499999999999999</v>
      </c>
      <c r="H338">
        <v>7.44</v>
      </c>
      <c r="I338">
        <v>6.52</v>
      </c>
      <c r="J338">
        <v>-1.06</v>
      </c>
      <c r="K338">
        <v>12.27</v>
      </c>
      <c r="L338">
        <v>5.99</v>
      </c>
      <c r="M338" s="25">
        <v>0.15540000000000001</v>
      </c>
      <c r="N338" s="25">
        <v>4.9599999999999998E-2</v>
      </c>
      <c r="O338">
        <v>1.43</v>
      </c>
      <c r="P338" s="25">
        <v>8.9300000000000004E-2</v>
      </c>
      <c r="Q338" s="25">
        <v>7.2800000000000004E-2</v>
      </c>
      <c r="R338" s="26">
        <v>355454000</v>
      </c>
      <c r="S338" s="26">
        <v>26432600000</v>
      </c>
      <c r="T338">
        <v>1.62</v>
      </c>
      <c r="U338" s="25">
        <v>0.4466</v>
      </c>
    </row>
    <row r="339" spans="1:21" x14ac:dyDescent="0.25">
      <c r="A339" t="s">
        <v>440</v>
      </c>
      <c r="B339">
        <v>3.9</v>
      </c>
      <c r="C339">
        <v>-4.29</v>
      </c>
      <c r="D339">
        <v>0.64</v>
      </c>
      <c r="E339">
        <v>1.609</v>
      </c>
      <c r="F339" s="25">
        <v>0</v>
      </c>
      <c r="G339">
        <v>0.153</v>
      </c>
      <c r="H339">
        <v>-3.24</v>
      </c>
      <c r="I339">
        <v>-6.51</v>
      </c>
      <c r="J339">
        <v>-0.24</v>
      </c>
      <c r="K339">
        <v>-20.52</v>
      </c>
      <c r="L339">
        <v>48.8</v>
      </c>
      <c r="M339" s="25">
        <v>-0.247</v>
      </c>
      <c r="N339" s="25">
        <v>-0.37469999999999998</v>
      </c>
      <c r="O339">
        <v>0.72</v>
      </c>
      <c r="P339" s="25">
        <v>-2.4899999999999999E-2</v>
      </c>
      <c r="Q339" s="25">
        <v>-0.14860000000000001</v>
      </c>
      <c r="R339" s="26">
        <v>24228.1</v>
      </c>
      <c r="S339" s="26">
        <v>758413000</v>
      </c>
      <c r="T339">
        <v>1.51</v>
      </c>
      <c r="U339" s="25">
        <v>0.39360000000000001</v>
      </c>
    </row>
    <row r="340" spans="1:21" x14ac:dyDescent="0.25">
      <c r="A340" t="s">
        <v>70</v>
      </c>
      <c r="B340">
        <v>1.3</v>
      </c>
      <c r="C340">
        <v>-4.29</v>
      </c>
      <c r="D340">
        <v>0.64</v>
      </c>
      <c r="E340">
        <v>1.609</v>
      </c>
      <c r="F340" s="25">
        <v>0</v>
      </c>
      <c r="G340">
        <v>0.153</v>
      </c>
      <c r="H340">
        <v>-3.24</v>
      </c>
      <c r="I340">
        <v>-6.51</v>
      </c>
      <c r="J340">
        <v>-0.24</v>
      </c>
      <c r="K340">
        <v>-20.52</v>
      </c>
      <c r="L340">
        <v>48.8</v>
      </c>
      <c r="M340" s="25">
        <v>-0.247</v>
      </c>
      <c r="N340" s="25">
        <v>-0.37469999999999998</v>
      </c>
      <c r="O340">
        <v>0.72</v>
      </c>
      <c r="P340" s="25">
        <v>-2.4899999999999999E-2</v>
      </c>
      <c r="Q340" s="25">
        <v>-0.14860000000000001</v>
      </c>
      <c r="R340" s="26">
        <v>100664</v>
      </c>
      <c r="S340" s="26">
        <v>758413000</v>
      </c>
      <c r="T340">
        <v>1.51</v>
      </c>
      <c r="U340" s="25">
        <v>0.39360000000000001</v>
      </c>
    </row>
    <row r="341" spans="1:21" x14ac:dyDescent="0.25">
      <c r="A341" t="s">
        <v>88</v>
      </c>
      <c r="B341">
        <v>1.3</v>
      </c>
      <c r="C341">
        <v>-4.29</v>
      </c>
      <c r="D341">
        <v>0.64</v>
      </c>
      <c r="E341">
        <v>1.609</v>
      </c>
      <c r="F341" s="25">
        <v>0</v>
      </c>
      <c r="G341">
        <v>0.153</v>
      </c>
      <c r="H341">
        <v>-3.24</v>
      </c>
      <c r="I341">
        <v>-6.51</v>
      </c>
      <c r="J341">
        <v>-0.24</v>
      </c>
      <c r="K341">
        <v>-20.52</v>
      </c>
      <c r="L341">
        <v>48.8</v>
      </c>
      <c r="M341" s="25">
        <v>-0.247</v>
      </c>
      <c r="N341" s="25">
        <v>-0.37469999999999998</v>
      </c>
      <c r="O341">
        <v>0.72</v>
      </c>
      <c r="P341" s="25">
        <v>-2.4899999999999999E-2</v>
      </c>
      <c r="Q341" s="25">
        <v>-0.14860000000000001</v>
      </c>
      <c r="R341" s="26">
        <v>211746</v>
      </c>
      <c r="S341" s="26">
        <v>758413000</v>
      </c>
      <c r="T341">
        <v>1.51</v>
      </c>
      <c r="U341" s="25">
        <v>0.39360000000000001</v>
      </c>
    </row>
    <row r="342" spans="1:21" x14ac:dyDescent="0.25">
      <c r="A342" t="s">
        <v>52</v>
      </c>
      <c r="B342">
        <v>8.43</v>
      </c>
      <c r="C342">
        <v>8.59</v>
      </c>
      <c r="D342">
        <v>0.64</v>
      </c>
      <c r="E342">
        <v>0.60199999999999998</v>
      </c>
      <c r="F342" s="25">
        <v>9.7299999999999998E-2</v>
      </c>
      <c r="G342">
        <v>0.313</v>
      </c>
      <c r="H342">
        <v>0.97</v>
      </c>
      <c r="I342">
        <v>10.72</v>
      </c>
      <c r="J342">
        <v>3.7</v>
      </c>
      <c r="K342">
        <v>17.93</v>
      </c>
      <c r="L342">
        <v>9.49</v>
      </c>
      <c r="M342" s="25">
        <v>5.6099999999999997E-2</v>
      </c>
      <c r="N342" s="25">
        <v>7.0800000000000002E-2</v>
      </c>
      <c r="O342">
        <v>2.17</v>
      </c>
      <c r="P342" s="25">
        <v>3.39E-2</v>
      </c>
      <c r="Q342" s="25">
        <v>7.4800000000000005E-2</v>
      </c>
      <c r="R342" s="26">
        <v>980563</v>
      </c>
      <c r="S342" s="26">
        <v>1221270000</v>
      </c>
      <c r="T342">
        <v>0.63</v>
      </c>
      <c r="U342" s="25">
        <v>-3.8999999999999998E-3</v>
      </c>
    </row>
    <row r="343" spans="1:21" x14ac:dyDescent="0.25">
      <c r="A343" t="s">
        <v>441</v>
      </c>
      <c r="B343">
        <v>4.5999999999999996</v>
      </c>
      <c r="C343">
        <v>-3.26</v>
      </c>
      <c r="D343">
        <v>0.41</v>
      </c>
      <c r="E343">
        <v>0</v>
      </c>
      <c r="F343" s="25">
        <v>0</v>
      </c>
      <c r="G343">
        <v>0.40600000000000003</v>
      </c>
      <c r="H343">
        <v>3.18</v>
      </c>
      <c r="I343">
        <v>-202.46</v>
      </c>
      <c r="J343">
        <v>3.37</v>
      </c>
      <c r="K343">
        <v>-138.32</v>
      </c>
      <c r="L343">
        <v>-138.32</v>
      </c>
      <c r="M343" s="25">
        <v>0</v>
      </c>
      <c r="N343" s="25">
        <v>0</v>
      </c>
      <c r="O343">
        <v>31.58</v>
      </c>
      <c r="P343" s="25">
        <v>-2.3E-3</v>
      </c>
      <c r="Q343" s="25">
        <v>-0.12570000000000001</v>
      </c>
      <c r="R343" s="26">
        <v>539.19000000000005</v>
      </c>
      <c r="S343" s="26">
        <v>949721000</v>
      </c>
      <c r="T343">
        <v>0</v>
      </c>
      <c r="U343" s="25">
        <v>0</v>
      </c>
    </row>
    <row r="344" spans="1:21" x14ac:dyDescent="0.25">
      <c r="A344" t="s">
        <v>442</v>
      </c>
      <c r="B344">
        <v>7.15</v>
      </c>
      <c r="C344">
        <v>-5.07</v>
      </c>
      <c r="D344">
        <v>0.64</v>
      </c>
      <c r="E344">
        <v>0</v>
      </c>
      <c r="F344" s="25">
        <v>8.6499999999999994E-2</v>
      </c>
      <c r="G344">
        <v>0.63</v>
      </c>
      <c r="H344">
        <v>4.95</v>
      </c>
      <c r="I344">
        <v>-314.7</v>
      </c>
      <c r="J344">
        <v>5.23</v>
      </c>
      <c r="K344">
        <v>-250.55</v>
      </c>
      <c r="L344">
        <v>-250.55</v>
      </c>
      <c r="M344" s="25">
        <v>0</v>
      </c>
      <c r="N344" s="25">
        <v>0</v>
      </c>
      <c r="O344">
        <v>31.58</v>
      </c>
      <c r="P344" s="25">
        <v>-2.3E-3</v>
      </c>
      <c r="Q344" s="25">
        <v>-0.12570000000000001</v>
      </c>
      <c r="R344" s="26">
        <v>208.21</v>
      </c>
      <c r="S344" s="26">
        <v>949721000</v>
      </c>
      <c r="T344">
        <v>0</v>
      </c>
      <c r="U344" s="25">
        <v>0</v>
      </c>
    </row>
    <row r="345" spans="1:21" x14ac:dyDescent="0.25">
      <c r="A345" t="s">
        <v>443</v>
      </c>
      <c r="B345">
        <v>4.04</v>
      </c>
      <c r="C345">
        <v>-2.87</v>
      </c>
      <c r="D345">
        <v>0.36</v>
      </c>
      <c r="E345">
        <v>0</v>
      </c>
      <c r="F345" s="25">
        <v>0</v>
      </c>
      <c r="G345">
        <v>0.35599999999999998</v>
      </c>
      <c r="H345">
        <v>2.79</v>
      </c>
      <c r="I345">
        <v>-177.82</v>
      </c>
      <c r="J345">
        <v>2.96</v>
      </c>
      <c r="K345">
        <v>-113.67</v>
      </c>
      <c r="L345">
        <v>-113.67</v>
      </c>
      <c r="M345" s="25">
        <v>0</v>
      </c>
      <c r="N345" s="25">
        <v>0</v>
      </c>
      <c r="O345">
        <v>31.58</v>
      </c>
      <c r="P345" s="25">
        <v>-2.3E-3</v>
      </c>
      <c r="Q345" s="25">
        <v>-0.12570000000000001</v>
      </c>
      <c r="R345" s="26">
        <v>240.17</v>
      </c>
      <c r="S345" s="26">
        <v>949721000</v>
      </c>
      <c r="T345">
        <v>0</v>
      </c>
      <c r="U345" s="25">
        <v>0</v>
      </c>
    </row>
    <row r="346" spans="1:21" x14ac:dyDescent="0.25">
      <c r="A346" t="s">
        <v>8</v>
      </c>
      <c r="B346">
        <v>2.98</v>
      </c>
      <c r="C346">
        <v>-0.15</v>
      </c>
      <c r="D346">
        <v>-0.03</v>
      </c>
      <c r="E346">
        <v>2.7E-2</v>
      </c>
      <c r="F346" s="25">
        <v>0</v>
      </c>
      <c r="G346">
        <v>2.1999999999999999E-2</v>
      </c>
      <c r="H346">
        <v>-0.08</v>
      </c>
      <c r="I346">
        <v>-0.13</v>
      </c>
      <c r="J346">
        <v>-0.03</v>
      </c>
      <c r="K346">
        <v>-0.1</v>
      </c>
      <c r="L346">
        <v>-0.1</v>
      </c>
      <c r="M346" s="25">
        <v>-0.21099999999999999</v>
      </c>
      <c r="N346" s="25">
        <v>-0.17660000000000001</v>
      </c>
      <c r="O346">
        <v>0.78</v>
      </c>
      <c r="P346" s="25">
        <v>-0.17799999999999999</v>
      </c>
      <c r="Q346" s="25">
        <v>0.19389999999999999</v>
      </c>
      <c r="R346" s="26">
        <v>12343.3</v>
      </c>
      <c r="S346" s="26">
        <v>-6919010000</v>
      </c>
      <c r="T346">
        <v>0</v>
      </c>
      <c r="U346" s="25">
        <v>0.46329999999999999</v>
      </c>
    </row>
    <row r="347" spans="1:21" x14ac:dyDescent="0.25">
      <c r="A347" t="s">
        <v>256</v>
      </c>
      <c r="B347">
        <v>1.96</v>
      </c>
      <c r="C347">
        <v>0.14000000000000001</v>
      </c>
      <c r="D347">
        <v>-0.04</v>
      </c>
      <c r="E347">
        <v>0.47099999999999997</v>
      </c>
      <c r="F347" s="25">
        <v>0</v>
      </c>
      <c r="G347">
        <v>7.9000000000000001E-2</v>
      </c>
      <c r="H347">
        <v>-0.13</v>
      </c>
      <c r="I347">
        <v>-3.38</v>
      </c>
      <c r="J347">
        <v>-0.03</v>
      </c>
      <c r="K347">
        <v>-33.26</v>
      </c>
      <c r="L347">
        <v>-33.700000000000003</v>
      </c>
      <c r="M347" s="25">
        <v>-0.13950000000000001</v>
      </c>
      <c r="N347" s="25">
        <v>3.2847</v>
      </c>
      <c r="O347">
        <v>0.45</v>
      </c>
      <c r="P347" s="25">
        <v>-2.5100000000000001E-2</v>
      </c>
      <c r="Q347" s="25">
        <v>-0.28420000000000001</v>
      </c>
      <c r="R347" s="26">
        <v>46558</v>
      </c>
      <c r="S347" s="26">
        <v>-972057000</v>
      </c>
      <c r="T347">
        <v>-0.39</v>
      </c>
      <c r="U347" s="25">
        <v>2.1999999999999999E-2</v>
      </c>
    </row>
    <row r="348" spans="1:21" x14ac:dyDescent="0.25">
      <c r="A348" t="s">
        <v>444</v>
      </c>
      <c r="B348">
        <v>68.959999999999994</v>
      </c>
      <c r="C348">
        <v>7.14</v>
      </c>
      <c r="D348">
        <v>1.67</v>
      </c>
      <c r="E348">
        <v>1.08</v>
      </c>
      <c r="F348" s="25">
        <v>3.2599999999999997E-2</v>
      </c>
      <c r="G348">
        <v>1.0049999999999999</v>
      </c>
      <c r="H348">
        <v>2.86</v>
      </c>
      <c r="I348">
        <v>4.76</v>
      </c>
      <c r="J348">
        <v>5.99</v>
      </c>
      <c r="K348">
        <v>4.3099999999999996</v>
      </c>
      <c r="L348">
        <v>4.01</v>
      </c>
      <c r="M348" s="25">
        <v>0.2268</v>
      </c>
      <c r="N348" s="25">
        <v>0.15110000000000001</v>
      </c>
      <c r="O348">
        <v>2.65</v>
      </c>
      <c r="P348" s="25">
        <v>0.2596</v>
      </c>
      <c r="Q348" s="25">
        <v>0.2336</v>
      </c>
      <c r="R348" s="26">
        <v>80622.8</v>
      </c>
      <c r="S348" s="26">
        <v>250923000</v>
      </c>
      <c r="T348">
        <v>0.06</v>
      </c>
      <c r="U348" s="25">
        <v>0.1169</v>
      </c>
    </row>
    <row r="349" spans="1:21" x14ac:dyDescent="0.25">
      <c r="A349" t="s">
        <v>445</v>
      </c>
      <c r="B349">
        <v>26.52</v>
      </c>
      <c r="C349">
        <v>7.18</v>
      </c>
      <c r="D349">
        <v>1.1000000000000001</v>
      </c>
      <c r="E349">
        <v>0</v>
      </c>
      <c r="F349" s="25">
        <v>6.5699999999999995E-2</v>
      </c>
      <c r="G349">
        <v>0</v>
      </c>
      <c r="H349">
        <v>0</v>
      </c>
      <c r="I349">
        <v>0</v>
      </c>
      <c r="J349">
        <v>0</v>
      </c>
      <c r="K349">
        <v>0</v>
      </c>
      <c r="L349">
        <v>0</v>
      </c>
      <c r="M349" s="25">
        <v>0</v>
      </c>
      <c r="N349" s="25">
        <v>0</v>
      </c>
      <c r="O349">
        <v>0</v>
      </c>
      <c r="P349" s="25">
        <v>0</v>
      </c>
      <c r="Q349" s="25">
        <v>0.15379999999999999</v>
      </c>
      <c r="R349" s="26">
        <v>87122000</v>
      </c>
      <c r="S349" s="26">
        <v>90014800000</v>
      </c>
      <c r="T349">
        <v>0</v>
      </c>
      <c r="U349" s="25">
        <v>-8.0100000000000005E-2</v>
      </c>
    </row>
    <row r="350" spans="1:21" x14ac:dyDescent="0.25">
      <c r="A350" t="s">
        <v>30</v>
      </c>
      <c r="B350">
        <v>12.63</v>
      </c>
      <c r="C350">
        <v>6.84</v>
      </c>
      <c r="D350">
        <v>1.05</v>
      </c>
      <c r="E350">
        <v>0</v>
      </c>
      <c r="F350" s="25">
        <v>6.5699999999999995E-2</v>
      </c>
      <c r="G350">
        <v>0</v>
      </c>
      <c r="H350">
        <v>0</v>
      </c>
      <c r="I350">
        <v>0</v>
      </c>
      <c r="J350">
        <v>0</v>
      </c>
      <c r="K350">
        <v>0</v>
      </c>
      <c r="L350">
        <v>0</v>
      </c>
      <c r="M350" s="25">
        <v>0</v>
      </c>
      <c r="N350" s="25">
        <v>0</v>
      </c>
      <c r="O350">
        <v>0</v>
      </c>
      <c r="P350" s="25">
        <v>0</v>
      </c>
      <c r="Q350" s="25">
        <v>0.15379999999999999</v>
      </c>
      <c r="R350" s="26">
        <v>1073000</v>
      </c>
      <c r="S350" s="26">
        <v>90014800000</v>
      </c>
      <c r="T350">
        <v>0</v>
      </c>
      <c r="U350" s="25">
        <v>-8.0100000000000005E-2</v>
      </c>
    </row>
    <row r="351" spans="1:21" x14ac:dyDescent="0.25">
      <c r="A351" t="s">
        <v>12</v>
      </c>
      <c r="B351">
        <v>13.87</v>
      </c>
      <c r="C351">
        <v>7.51</v>
      </c>
      <c r="D351">
        <v>1.1599999999999999</v>
      </c>
      <c r="E351">
        <v>0</v>
      </c>
      <c r="F351" s="25">
        <v>6.5799999999999997E-2</v>
      </c>
      <c r="G351">
        <v>0</v>
      </c>
      <c r="H351">
        <v>0</v>
      </c>
      <c r="I351">
        <v>0</v>
      </c>
      <c r="J351">
        <v>0</v>
      </c>
      <c r="K351">
        <v>0</v>
      </c>
      <c r="L351">
        <v>0</v>
      </c>
      <c r="M351" s="25">
        <v>0</v>
      </c>
      <c r="N351" s="25">
        <v>0</v>
      </c>
      <c r="O351">
        <v>0</v>
      </c>
      <c r="P351" s="25">
        <v>0</v>
      </c>
      <c r="Q351" s="25">
        <v>0.15379999999999999</v>
      </c>
      <c r="R351" s="26">
        <v>1168520</v>
      </c>
      <c r="S351" s="26">
        <v>90014800000</v>
      </c>
      <c r="T351">
        <v>0</v>
      </c>
      <c r="U351" s="25">
        <v>-8.0100000000000005E-2</v>
      </c>
    </row>
    <row r="352" spans="1:21" x14ac:dyDescent="0.25">
      <c r="A352" t="s">
        <v>446</v>
      </c>
      <c r="B352">
        <v>35.1</v>
      </c>
      <c r="C352">
        <v>4.47</v>
      </c>
      <c r="D352">
        <v>0.88</v>
      </c>
      <c r="E352">
        <v>1.5249999999999999</v>
      </c>
      <c r="F352" s="25">
        <v>6.2899999999999998E-2</v>
      </c>
      <c r="G352">
        <v>0.42599999999999999</v>
      </c>
      <c r="H352">
        <v>9.81</v>
      </c>
      <c r="I352">
        <v>5.67</v>
      </c>
      <c r="J352">
        <v>-1.1200000000000001</v>
      </c>
      <c r="K352">
        <v>8.2200000000000006</v>
      </c>
      <c r="L352">
        <v>6.28</v>
      </c>
      <c r="M352" s="25">
        <v>0.26879999999999998</v>
      </c>
      <c r="N352" s="25">
        <v>0.34129999999999999</v>
      </c>
      <c r="O352">
        <v>1.47</v>
      </c>
      <c r="P352" s="25">
        <v>8.2299999999999998E-2</v>
      </c>
      <c r="Q352" s="25">
        <v>0.19719999999999999</v>
      </c>
      <c r="R352" s="26">
        <v>49478600</v>
      </c>
      <c r="S352" s="26">
        <v>12036700000</v>
      </c>
      <c r="T352">
        <v>0.55000000000000004</v>
      </c>
      <c r="U352" s="25">
        <v>9.9000000000000005E-2</v>
      </c>
    </row>
    <row r="353" spans="1:21" x14ac:dyDescent="0.25">
      <c r="A353" t="s">
        <v>35</v>
      </c>
      <c r="B353">
        <v>7.69</v>
      </c>
      <c r="C353">
        <v>4.9000000000000004</v>
      </c>
      <c r="D353">
        <v>0.97</v>
      </c>
      <c r="E353">
        <v>1.671</v>
      </c>
      <c r="F353" s="25">
        <v>5.3199999999999997E-2</v>
      </c>
      <c r="G353">
        <v>0.46700000000000003</v>
      </c>
      <c r="H353">
        <v>10.74</v>
      </c>
      <c r="I353">
        <v>6.21</v>
      </c>
      <c r="J353">
        <v>-1.23</v>
      </c>
      <c r="K353">
        <v>8.76</v>
      </c>
      <c r="L353">
        <v>6.69</v>
      </c>
      <c r="M353" s="25">
        <v>0.26879999999999998</v>
      </c>
      <c r="N353" s="25">
        <v>0.34129999999999999</v>
      </c>
      <c r="O353">
        <v>1.47</v>
      </c>
      <c r="P353" s="25">
        <v>8.2299999999999998E-2</v>
      </c>
      <c r="Q353" s="25">
        <v>0.19719999999999999</v>
      </c>
      <c r="R353" s="26">
        <v>1703430</v>
      </c>
      <c r="S353" s="26">
        <v>12036700000</v>
      </c>
      <c r="T353">
        <v>0.55000000000000004</v>
      </c>
      <c r="U353" s="25">
        <v>9.9000000000000005E-2</v>
      </c>
    </row>
    <row r="354" spans="1:21" x14ac:dyDescent="0.25">
      <c r="A354" t="s">
        <v>86</v>
      </c>
      <c r="B354">
        <v>6.81</v>
      </c>
      <c r="C354">
        <v>4.34</v>
      </c>
      <c r="D354">
        <v>0.85</v>
      </c>
      <c r="E354">
        <v>1.48</v>
      </c>
      <c r="F354" s="25">
        <v>6.6100000000000006E-2</v>
      </c>
      <c r="G354">
        <v>0.41399999999999998</v>
      </c>
      <c r="H354">
        <v>9.51</v>
      </c>
      <c r="I354">
        <v>5.5</v>
      </c>
      <c r="J354">
        <v>-1.0900000000000001</v>
      </c>
      <c r="K354">
        <v>8.0500000000000007</v>
      </c>
      <c r="L354">
        <v>6.15</v>
      </c>
      <c r="M354" s="25">
        <v>0.26879999999999998</v>
      </c>
      <c r="N354" s="25">
        <v>0.34129999999999999</v>
      </c>
      <c r="O354">
        <v>1.47</v>
      </c>
      <c r="P354" s="25">
        <v>8.2299999999999998E-2</v>
      </c>
      <c r="Q354" s="25">
        <v>0.19719999999999999</v>
      </c>
      <c r="R354" s="26">
        <v>9221860</v>
      </c>
      <c r="S354" s="26">
        <v>12036700000</v>
      </c>
      <c r="T354">
        <v>0.55000000000000004</v>
      </c>
      <c r="U354" s="25">
        <v>9.9000000000000005E-2</v>
      </c>
    </row>
    <row r="355" spans="1:21" x14ac:dyDescent="0.25">
      <c r="A355" t="s">
        <v>200</v>
      </c>
      <c r="B355">
        <v>12.15</v>
      </c>
      <c r="C355">
        <v>5.24</v>
      </c>
      <c r="D355">
        <v>1.02</v>
      </c>
      <c r="E355">
        <v>0.41099999999999998</v>
      </c>
      <c r="F355" s="25">
        <v>4.5100000000000001E-2</v>
      </c>
      <c r="G355">
        <v>0.35099999999999998</v>
      </c>
      <c r="H355">
        <v>2.09</v>
      </c>
      <c r="I355">
        <v>5.03</v>
      </c>
      <c r="J355">
        <v>-2.42</v>
      </c>
      <c r="K355">
        <v>8.1300000000000008</v>
      </c>
      <c r="L355">
        <v>4.72</v>
      </c>
      <c r="M355" s="25">
        <v>8.1799999999999998E-2</v>
      </c>
      <c r="N355" s="25">
        <v>7.8399999999999997E-2</v>
      </c>
      <c r="O355">
        <v>1.49</v>
      </c>
      <c r="P355" s="25">
        <v>8.8300000000000003E-2</v>
      </c>
      <c r="Q355" s="25">
        <v>0.1946</v>
      </c>
      <c r="R355" s="26">
        <v>19358000</v>
      </c>
      <c r="S355" s="26">
        <v>2907110000</v>
      </c>
      <c r="T355">
        <v>0.91</v>
      </c>
      <c r="U355" s="25">
        <v>0.24249999999999999</v>
      </c>
    </row>
    <row r="356" spans="1:21" x14ac:dyDescent="0.25">
      <c r="A356" t="s">
        <v>104</v>
      </c>
      <c r="B356">
        <v>110.94</v>
      </c>
      <c r="C356">
        <v>7.41</v>
      </c>
      <c r="D356">
        <v>1.97</v>
      </c>
      <c r="E356">
        <v>1.9950000000000001</v>
      </c>
      <c r="F356" s="25">
        <v>3.3599999999999998E-2</v>
      </c>
      <c r="G356">
        <v>0.88500000000000001</v>
      </c>
      <c r="H356">
        <v>69.599999999999994</v>
      </c>
      <c r="I356">
        <v>4.4800000000000004</v>
      </c>
      <c r="J356">
        <v>-2.2400000000000002</v>
      </c>
      <c r="K356">
        <v>5.63</v>
      </c>
      <c r="L356">
        <v>4.91</v>
      </c>
      <c r="M356" s="25">
        <v>0.44519999999999998</v>
      </c>
      <c r="N356" s="25">
        <v>0.26939999999999997</v>
      </c>
      <c r="O356">
        <v>1.0900000000000001</v>
      </c>
      <c r="P356" s="25">
        <v>0.2213</v>
      </c>
      <c r="Q356" s="25">
        <v>0.2666</v>
      </c>
      <c r="R356" s="26">
        <v>291991000</v>
      </c>
      <c r="S356" s="26">
        <v>38397900000</v>
      </c>
      <c r="T356">
        <v>0.72</v>
      </c>
      <c r="U356" s="25">
        <v>0.1903</v>
      </c>
    </row>
    <row r="357" spans="1:21" x14ac:dyDescent="0.25">
      <c r="A357" t="s">
        <v>161</v>
      </c>
      <c r="B357">
        <v>16.87</v>
      </c>
      <c r="C357">
        <v>-33.81</v>
      </c>
      <c r="D357">
        <v>0.63</v>
      </c>
      <c r="E357">
        <v>2.121</v>
      </c>
      <c r="F357" s="25">
        <v>0.10340000000000001</v>
      </c>
      <c r="G357">
        <v>0.35399999999999998</v>
      </c>
      <c r="H357">
        <v>1.88</v>
      </c>
      <c r="I357">
        <v>8.18</v>
      </c>
      <c r="J357">
        <v>-1.88</v>
      </c>
      <c r="K357">
        <v>16.48</v>
      </c>
      <c r="L357">
        <v>11.31</v>
      </c>
      <c r="M357" s="25">
        <v>0.25919999999999999</v>
      </c>
      <c r="N357" s="25">
        <v>-6.1699999999999998E-2</v>
      </c>
      <c r="O357">
        <v>3.95</v>
      </c>
      <c r="P357" s="25">
        <v>4.6100000000000002E-2</v>
      </c>
      <c r="Q357" s="25">
        <v>-1.8800000000000001E-2</v>
      </c>
      <c r="R357" s="26">
        <v>419820</v>
      </c>
      <c r="S357" s="26">
        <v>1533970000</v>
      </c>
      <c r="T357">
        <v>0.76</v>
      </c>
      <c r="U357" s="25">
        <v>0.23250000000000001</v>
      </c>
    </row>
    <row r="358" spans="1:21" x14ac:dyDescent="0.25">
      <c r="A358" t="s">
        <v>198</v>
      </c>
      <c r="B358">
        <v>8.24</v>
      </c>
      <c r="C358">
        <v>17.68</v>
      </c>
      <c r="D358">
        <v>0.85</v>
      </c>
      <c r="E358">
        <v>0.51200000000000001</v>
      </c>
      <c r="F358" s="25">
        <v>1.8700000000000001E-2</v>
      </c>
      <c r="G358">
        <v>0.311</v>
      </c>
      <c r="H358">
        <v>5.39</v>
      </c>
      <c r="I358">
        <v>2.89</v>
      </c>
      <c r="J358">
        <v>-0.88</v>
      </c>
      <c r="K358">
        <v>4.5</v>
      </c>
      <c r="L358">
        <v>2.81</v>
      </c>
      <c r="M358" s="25">
        <v>0.17699999999999999</v>
      </c>
      <c r="N358" s="25">
        <v>2.9000000000000001E-2</v>
      </c>
      <c r="O358">
        <v>1.26</v>
      </c>
      <c r="P358" s="25">
        <v>0.12</v>
      </c>
      <c r="Q358" s="25">
        <v>4.7899999999999998E-2</v>
      </c>
      <c r="R358" s="26">
        <v>6423830</v>
      </c>
      <c r="S358" s="26">
        <v>1251870000</v>
      </c>
      <c r="T358">
        <v>0.72</v>
      </c>
      <c r="U358" s="25">
        <v>0.1318</v>
      </c>
    </row>
    <row r="359" spans="1:21" x14ac:dyDescent="0.25">
      <c r="A359" t="s">
        <v>242</v>
      </c>
      <c r="B359">
        <v>1</v>
      </c>
      <c r="C359">
        <v>-0.05</v>
      </c>
      <c r="D359">
        <v>-7.0000000000000007E-2</v>
      </c>
      <c r="E359">
        <v>6.5000000000000002E-2</v>
      </c>
      <c r="F359" s="25">
        <v>0</v>
      </c>
      <c r="G359">
        <v>4.1000000000000002E-2</v>
      </c>
      <c r="H359">
        <v>-0.08</v>
      </c>
      <c r="I359">
        <v>-0.08</v>
      </c>
      <c r="J359">
        <v>-0.03</v>
      </c>
      <c r="K359">
        <v>-1.59</v>
      </c>
      <c r="L359">
        <v>-2.04</v>
      </c>
      <c r="M359" s="25">
        <v>-0.84799999999999998</v>
      </c>
      <c r="N359" s="25">
        <v>-1.6624000000000001</v>
      </c>
      <c r="O359">
        <v>0.24</v>
      </c>
      <c r="P359" s="25">
        <v>-0.75780000000000003</v>
      </c>
      <c r="Q359" s="25">
        <v>1.4429000000000001</v>
      </c>
      <c r="R359" s="26">
        <v>950943</v>
      </c>
      <c r="S359" s="26">
        <v>-758374000</v>
      </c>
      <c r="T359">
        <v>-1.33</v>
      </c>
      <c r="U359" s="25">
        <v>-0.1162</v>
      </c>
    </row>
    <row r="360" spans="1:21" x14ac:dyDescent="0.25">
      <c r="A360" t="s">
        <v>248</v>
      </c>
      <c r="B360">
        <v>6.67</v>
      </c>
      <c r="C360">
        <v>-0.57999999999999996</v>
      </c>
      <c r="D360">
        <v>0.35</v>
      </c>
      <c r="E360">
        <v>0.29199999999999998</v>
      </c>
      <c r="F360" s="25">
        <v>0</v>
      </c>
      <c r="G360">
        <v>0.113</v>
      </c>
      <c r="H360">
        <v>0.72</v>
      </c>
      <c r="I360">
        <v>-2.0499999999999998</v>
      </c>
      <c r="J360">
        <v>-1.1599999999999999</v>
      </c>
      <c r="K360">
        <v>-0.73</v>
      </c>
      <c r="L360">
        <v>-0.99</v>
      </c>
      <c r="M360" s="25">
        <v>-0.14249999999999999</v>
      </c>
      <c r="N360" s="25">
        <v>-0.49930000000000002</v>
      </c>
      <c r="O360">
        <v>1.37</v>
      </c>
      <c r="P360" s="25">
        <v>-0.1043</v>
      </c>
      <c r="Q360" s="25">
        <v>-0.60680000000000001</v>
      </c>
      <c r="R360" s="26">
        <v>169046</v>
      </c>
      <c r="S360" s="26">
        <v>128542000</v>
      </c>
      <c r="T360">
        <v>0.53</v>
      </c>
      <c r="U360" s="25">
        <v>0.87719999999999998</v>
      </c>
    </row>
    <row r="361" spans="1:21" x14ac:dyDescent="0.25">
      <c r="A361" t="s">
        <v>17</v>
      </c>
      <c r="B361">
        <v>5.07</v>
      </c>
      <c r="C361">
        <v>6.8</v>
      </c>
      <c r="D361">
        <v>1.23</v>
      </c>
      <c r="E361">
        <v>0.91300000000000003</v>
      </c>
      <c r="F361" s="25">
        <v>7.5899999999999995E-2</v>
      </c>
      <c r="G361">
        <v>0.64800000000000002</v>
      </c>
      <c r="H361">
        <v>1.48</v>
      </c>
      <c r="I361">
        <v>9.36</v>
      </c>
      <c r="J361">
        <v>3.84</v>
      </c>
      <c r="K361">
        <v>9.1300000000000008</v>
      </c>
      <c r="L361">
        <v>6.71</v>
      </c>
      <c r="M361" s="25">
        <v>9.7500000000000003E-2</v>
      </c>
      <c r="N361" s="25">
        <v>0.13420000000000001</v>
      </c>
      <c r="O361">
        <v>3.1</v>
      </c>
      <c r="P361" s="25">
        <v>0.111</v>
      </c>
      <c r="Q361" s="25">
        <v>0.18149999999999999</v>
      </c>
      <c r="R361" s="26">
        <v>2076630</v>
      </c>
      <c r="S361" s="26">
        <v>1468260000</v>
      </c>
      <c r="T361">
        <v>0.56999999999999995</v>
      </c>
      <c r="U361" s="25">
        <v>0.1152</v>
      </c>
    </row>
    <row r="362" spans="1:21" x14ac:dyDescent="0.25">
      <c r="A362" t="s">
        <v>215</v>
      </c>
      <c r="B362">
        <v>4.21</v>
      </c>
      <c r="C362">
        <v>-15.57</v>
      </c>
      <c r="D362">
        <v>1.3</v>
      </c>
      <c r="E362">
        <v>8.6999999999999994E-2</v>
      </c>
      <c r="F362" s="25">
        <v>1.67E-2</v>
      </c>
      <c r="G362">
        <v>4.3999999999999997E-2</v>
      </c>
      <c r="H362" s="26">
        <v>0.42</v>
      </c>
      <c r="I362">
        <v>0.51</v>
      </c>
      <c r="J362">
        <v>-7.0000000000000007E-2</v>
      </c>
      <c r="K362">
        <v>6.82</v>
      </c>
      <c r="L362">
        <v>4.3600000000000003</v>
      </c>
      <c r="M362" s="25">
        <v>0.1699</v>
      </c>
      <c r="N362" s="25">
        <v>4.0000000000000002E-4</v>
      </c>
      <c r="O362">
        <v>1.45</v>
      </c>
      <c r="P362" s="25">
        <v>0.1137</v>
      </c>
      <c r="Q362" s="25">
        <v>-8.3599999999999994E-2</v>
      </c>
      <c r="R362" s="26">
        <v>27007200</v>
      </c>
      <c r="S362" s="26">
        <v>2824120000</v>
      </c>
      <c r="T362">
        <v>20.98</v>
      </c>
      <c r="U362" s="25">
        <v>0.43680000000000002</v>
      </c>
    </row>
    <row r="363" spans="1:21" x14ac:dyDescent="0.25">
      <c r="A363" t="s">
        <v>10</v>
      </c>
      <c r="B363">
        <v>18.04</v>
      </c>
      <c r="C363">
        <v>10.71</v>
      </c>
      <c r="D363">
        <v>1.63</v>
      </c>
      <c r="E363">
        <v>0.92500000000000004</v>
      </c>
      <c r="F363" s="25">
        <v>3.0300000000000001E-2</v>
      </c>
      <c r="G363">
        <v>0.45800000000000002</v>
      </c>
      <c r="H363">
        <v>3.41</v>
      </c>
      <c r="I363">
        <v>4.2300000000000004</v>
      </c>
      <c r="J363">
        <v>-1.72</v>
      </c>
      <c r="K363">
        <v>6.91</v>
      </c>
      <c r="L363">
        <v>5.91</v>
      </c>
      <c r="M363" s="25">
        <v>0.21879999999999999</v>
      </c>
      <c r="N363" s="25">
        <v>8.8300000000000003E-2</v>
      </c>
      <c r="O363">
        <v>1.44</v>
      </c>
      <c r="P363" s="25">
        <v>0.1231</v>
      </c>
      <c r="Q363" s="25">
        <v>0.15210000000000001</v>
      </c>
      <c r="R363" s="26">
        <v>37879000</v>
      </c>
      <c r="S363" s="26">
        <v>4911400000</v>
      </c>
      <c r="T363">
        <v>1.29</v>
      </c>
      <c r="U363" s="25">
        <v>0.13589999999999999</v>
      </c>
    </row>
    <row r="364" spans="1:21" x14ac:dyDescent="0.25">
      <c r="A364" t="s">
        <v>50</v>
      </c>
      <c r="B364">
        <v>21.6</v>
      </c>
      <c r="C364">
        <v>27.82</v>
      </c>
      <c r="D364">
        <v>2.33</v>
      </c>
      <c r="E364">
        <v>2.1509999999999998</v>
      </c>
      <c r="F364" s="25">
        <v>2.6200000000000001E-2</v>
      </c>
      <c r="G364">
        <v>0.70699999999999996</v>
      </c>
      <c r="H364">
        <v>8.91</v>
      </c>
      <c r="I364">
        <v>9.32</v>
      </c>
      <c r="J364">
        <v>-1.51</v>
      </c>
      <c r="K364">
        <v>11.48</v>
      </c>
      <c r="L364">
        <v>5.52</v>
      </c>
      <c r="M364" s="25">
        <v>0.23089999999999999</v>
      </c>
      <c r="N364" s="25">
        <v>7.7899999999999997E-2</v>
      </c>
      <c r="O364">
        <v>1.53</v>
      </c>
      <c r="P364" s="25">
        <v>9.3399999999999997E-2</v>
      </c>
      <c r="Q364" s="25">
        <v>8.3900000000000002E-2</v>
      </c>
      <c r="R364" s="26">
        <v>95364000</v>
      </c>
      <c r="S364" s="26">
        <v>5527220000</v>
      </c>
      <c r="T364">
        <v>1.08</v>
      </c>
      <c r="U364" s="25">
        <v>0.54820000000000002</v>
      </c>
    </row>
    <row r="365" spans="1:21" x14ac:dyDescent="0.25">
      <c r="A365" t="s">
        <v>202</v>
      </c>
      <c r="B365">
        <v>17.899999999999999</v>
      </c>
      <c r="C365">
        <v>10.69</v>
      </c>
      <c r="D365">
        <v>0.89</v>
      </c>
      <c r="E365">
        <v>0.83099999999999996</v>
      </c>
      <c r="F365" s="25">
        <v>5.1499999999999997E-2</v>
      </c>
      <c r="G365">
        <v>0.27300000000000002</v>
      </c>
      <c r="H365">
        <v>1.6</v>
      </c>
      <c r="I365">
        <v>5.03</v>
      </c>
      <c r="J365">
        <v>-0.68</v>
      </c>
      <c r="K365">
        <v>11.66</v>
      </c>
      <c r="L365">
        <v>3.85</v>
      </c>
      <c r="M365" s="25">
        <v>0.1651</v>
      </c>
      <c r="N365" s="25">
        <v>7.7700000000000005E-2</v>
      </c>
      <c r="O365">
        <v>2.4300000000000002</v>
      </c>
      <c r="P365" s="25">
        <v>6.4699999999999994E-2</v>
      </c>
      <c r="Q365" s="25">
        <v>8.3099999999999993E-2</v>
      </c>
      <c r="R365" s="26">
        <v>31043700</v>
      </c>
      <c r="S365" s="26">
        <v>6699360000</v>
      </c>
      <c r="T365">
        <v>1.63</v>
      </c>
      <c r="U365" s="25">
        <v>0.128</v>
      </c>
    </row>
    <row r="366" spans="1:21" x14ac:dyDescent="0.25">
      <c r="A366" t="s">
        <v>175</v>
      </c>
      <c r="B366">
        <v>3.52</v>
      </c>
      <c r="C366">
        <v>-0.65</v>
      </c>
      <c r="D366">
        <v>-0.01</v>
      </c>
      <c r="E366">
        <v>2.8000000000000001E-2</v>
      </c>
      <c r="F366" s="25">
        <v>0</v>
      </c>
      <c r="G366">
        <v>4.7E-2</v>
      </c>
      <c r="H366">
        <v>-0.41</v>
      </c>
      <c r="I366">
        <v>1.23</v>
      </c>
      <c r="J366">
        <v>-0.01</v>
      </c>
      <c r="K366">
        <v>10.73</v>
      </c>
      <c r="L366">
        <v>5.91</v>
      </c>
      <c r="M366" s="25">
        <v>2.29E-2</v>
      </c>
      <c r="N366" s="25">
        <v>-4.1700000000000001E-2</v>
      </c>
      <c r="O366">
        <v>0.84</v>
      </c>
      <c r="P366" s="25">
        <v>4.4299999999999999E-2</v>
      </c>
      <c r="Q366" s="25">
        <v>2.0500000000000001E-2</v>
      </c>
      <c r="R366" s="26">
        <v>26325.5</v>
      </c>
      <c r="S366" s="26">
        <v>-2025590000</v>
      </c>
      <c r="T366">
        <v>-0.11</v>
      </c>
      <c r="U366" s="25">
        <v>0.1275</v>
      </c>
    </row>
    <row r="367" spans="1:21" x14ac:dyDescent="0.25">
      <c r="A367" t="s">
        <v>105</v>
      </c>
      <c r="B367">
        <v>10.53</v>
      </c>
      <c r="C367">
        <v>14.25</v>
      </c>
      <c r="D367">
        <v>1.06</v>
      </c>
      <c r="E367">
        <v>0.749</v>
      </c>
      <c r="F367" s="25">
        <v>2.8199999999999999E-2</v>
      </c>
      <c r="G367">
        <v>0.41</v>
      </c>
      <c r="H367">
        <v>0.8</v>
      </c>
      <c r="I367">
        <v>9.3699999999999992</v>
      </c>
      <c r="J367">
        <v>1.41</v>
      </c>
      <c r="K367">
        <v>9.09</v>
      </c>
      <c r="L367">
        <v>7.42</v>
      </c>
      <c r="M367" s="25">
        <v>7.9899999999999999E-2</v>
      </c>
      <c r="N367" s="25">
        <v>8.8900000000000007E-2</v>
      </c>
      <c r="O367">
        <v>3.46</v>
      </c>
      <c r="P367" s="25">
        <v>7.3999999999999996E-2</v>
      </c>
      <c r="Q367" s="25">
        <v>7.4200000000000002E-2</v>
      </c>
      <c r="R367" s="26">
        <v>4806650</v>
      </c>
      <c r="S367" s="26">
        <v>1347510000</v>
      </c>
      <c r="T367">
        <v>0.63</v>
      </c>
      <c r="U367" s="25">
        <v>0.33839999999999998</v>
      </c>
    </row>
    <row r="368" spans="1:21" x14ac:dyDescent="0.25">
      <c r="A368" t="s">
        <v>447</v>
      </c>
      <c r="B368">
        <v>44.96</v>
      </c>
      <c r="C368">
        <v>4.6399999999999997</v>
      </c>
      <c r="D368">
        <v>1.54</v>
      </c>
      <c r="E368">
        <v>0.53500000000000003</v>
      </c>
      <c r="F368" s="25">
        <v>0.13950000000000001</v>
      </c>
      <c r="G368">
        <v>0.94199999999999995</v>
      </c>
      <c r="H368">
        <v>3.25</v>
      </c>
      <c r="I368">
        <v>3.42</v>
      </c>
      <c r="J368">
        <v>5.51</v>
      </c>
      <c r="K368">
        <v>2.4500000000000002</v>
      </c>
      <c r="L368">
        <v>2.1</v>
      </c>
      <c r="M368" s="25">
        <v>0.15659999999999999</v>
      </c>
      <c r="N368" s="25">
        <v>0.1162</v>
      </c>
      <c r="O368">
        <v>2.0699999999999998</v>
      </c>
      <c r="P368" s="25">
        <v>0.38729999999999998</v>
      </c>
      <c r="Q368" s="25">
        <v>0.3327</v>
      </c>
      <c r="R368" s="26">
        <v>1030.05</v>
      </c>
      <c r="S368" s="26">
        <v>71604000</v>
      </c>
      <c r="T368">
        <v>0</v>
      </c>
      <c r="U368" s="25">
        <v>0.33150000000000002</v>
      </c>
    </row>
    <row r="369" spans="1:21" x14ac:dyDescent="0.25">
      <c r="A369" t="s">
        <v>448</v>
      </c>
      <c r="B369">
        <v>45.01</v>
      </c>
      <c r="C369">
        <v>4.6399999999999997</v>
      </c>
      <c r="D369">
        <v>1.55</v>
      </c>
      <c r="E369">
        <v>0.53600000000000003</v>
      </c>
      <c r="F369" s="25">
        <v>0.13930000000000001</v>
      </c>
      <c r="G369">
        <v>0.94299999999999995</v>
      </c>
      <c r="H369">
        <v>3.26</v>
      </c>
      <c r="I369">
        <v>3.42</v>
      </c>
      <c r="J369">
        <v>5.52</v>
      </c>
      <c r="K369">
        <v>2.46</v>
      </c>
      <c r="L369">
        <v>2.1</v>
      </c>
      <c r="M369" s="25">
        <v>0.15659999999999999</v>
      </c>
      <c r="N369" s="25">
        <v>0.1162</v>
      </c>
      <c r="O369">
        <v>2.0699999999999998</v>
      </c>
      <c r="P369" s="25">
        <v>0.38729999999999998</v>
      </c>
      <c r="Q369" s="25">
        <v>0.3327</v>
      </c>
      <c r="R369" s="26">
        <v>1970.43</v>
      </c>
      <c r="S369" s="26">
        <v>71604000</v>
      </c>
      <c r="T369">
        <v>0</v>
      </c>
      <c r="U369" s="25">
        <v>0.33150000000000002</v>
      </c>
    </row>
    <row r="370" spans="1:21" x14ac:dyDescent="0.25">
      <c r="A370" t="s">
        <v>449</v>
      </c>
      <c r="B370">
        <v>11.78</v>
      </c>
      <c r="C370" s="26">
        <v>1196.9000000000001</v>
      </c>
      <c r="D370">
        <v>1.35</v>
      </c>
      <c r="E370">
        <v>1.597</v>
      </c>
      <c r="F370" s="25">
        <v>0</v>
      </c>
      <c r="G370">
        <v>0.35499999999999998</v>
      </c>
      <c r="H370">
        <v>15.51</v>
      </c>
      <c r="I370">
        <v>6.23</v>
      </c>
      <c r="J370">
        <v>-0.62</v>
      </c>
      <c r="K370">
        <v>15.35</v>
      </c>
      <c r="L370">
        <v>9.16</v>
      </c>
      <c r="M370" s="25">
        <v>0.25619999999999998</v>
      </c>
      <c r="N370" s="25">
        <v>1.4E-3</v>
      </c>
      <c r="O370">
        <v>1.1599999999999999</v>
      </c>
      <c r="P370" s="25">
        <v>6.1699999999999998E-2</v>
      </c>
      <c r="Q370" s="25">
        <v>1.1000000000000001E-3</v>
      </c>
      <c r="R370" s="26">
        <v>68452700</v>
      </c>
      <c r="S370" s="26">
        <v>5443630000</v>
      </c>
      <c r="T370">
        <v>2.2000000000000002</v>
      </c>
      <c r="U370" s="25">
        <v>0.35930000000000001</v>
      </c>
    </row>
    <row r="371" spans="1:21" x14ac:dyDescent="0.25">
      <c r="A371" t="s">
        <v>63</v>
      </c>
      <c r="B371">
        <v>13.86</v>
      </c>
      <c r="C371">
        <v>15.11</v>
      </c>
      <c r="D371">
        <v>19.71</v>
      </c>
      <c r="E371">
        <v>3.8130000000000002</v>
      </c>
      <c r="F371" s="25">
        <v>0.18779999999999999</v>
      </c>
      <c r="G371">
        <v>2.2610000000000001</v>
      </c>
      <c r="H371" s="26">
        <v>2041.48</v>
      </c>
      <c r="I371">
        <v>8.84</v>
      </c>
      <c r="J371">
        <v>-3.12</v>
      </c>
      <c r="K371">
        <v>10.5</v>
      </c>
      <c r="L371">
        <v>8.76</v>
      </c>
      <c r="M371" s="25">
        <v>0.43120000000000003</v>
      </c>
      <c r="N371" s="25">
        <v>0.25230000000000002</v>
      </c>
      <c r="O371">
        <v>1.01</v>
      </c>
      <c r="P371" s="25">
        <v>0.28449999999999998</v>
      </c>
      <c r="Q371" s="25">
        <v>1.3043</v>
      </c>
      <c r="R371" s="26">
        <v>51013100</v>
      </c>
      <c r="S371" s="26">
        <v>607731000</v>
      </c>
      <c r="T371">
        <v>4.32</v>
      </c>
      <c r="U371" s="25">
        <v>0.29670000000000002</v>
      </c>
    </row>
    <row r="372" spans="1:21" x14ac:dyDescent="0.25">
      <c r="A372" t="s">
        <v>91</v>
      </c>
      <c r="B372">
        <v>51.75</v>
      </c>
      <c r="C372" s="26">
        <v>-68.61</v>
      </c>
      <c r="D372">
        <v>1.7</v>
      </c>
      <c r="E372">
        <v>1.3220000000000001</v>
      </c>
      <c r="F372" s="25">
        <v>3.9E-2</v>
      </c>
      <c r="G372">
        <v>0.42099999999999999</v>
      </c>
      <c r="H372">
        <v>3.07</v>
      </c>
      <c r="I372">
        <v>4.5999999999999996</v>
      </c>
      <c r="J372">
        <v>-0.8</v>
      </c>
      <c r="K372">
        <v>9.84</v>
      </c>
      <c r="L372">
        <v>5.84</v>
      </c>
      <c r="M372" s="25">
        <v>0.28760000000000002</v>
      </c>
      <c r="N372" s="25">
        <v>-1.8499999999999999E-2</v>
      </c>
      <c r="O372">
        <v>2.61</v>
      </c>
      <c r="P372" s="25">
        <v>0.1069</v>
      </c>
      <c r="Q372" s="25">
        <v>-2.4799999999999999E-2</v>
      </c>
      <c r="R372" s="26">
        <v>304271000</v>
      </c>
      <c r="S372" s="26">
        <v>38398300000</v>
      </c>
      <c r="T372">
        <v>2.37</v>
      </c>
      <c r="U372" s="25">
        <v>7.8100000000000003E-2</v>
      </c>
    </row>
    <row r="373" spans="1:21" x14ac:dyDescent="0.25">
      <c r="A373" t="s">
        <v>234</v>
      </c>
      <c r="B373">
        <v>6.6</v>
      </c>
      <c r="C373">
        <v>1.8</v>
      </c>
      <c r="D373">
        <v>0.92</v>
      </c>
      <c r="E373">
        <v>0.75800000000000001</v>
      </c>
      <c r="F373" s="25">
        <v>1.0621</v>
      </c>
      <c r="G373">
        <v>0.318</v>
      </c>
      <c r="H373" s="26">
        <v>1.03</v>
      </c>
      <c r="I373">
        <v>2.15</v>
      </c>
      <c r="J373">
        <v>-8.4499999999999993</v>
      </c>
      <c r="K373">
        <v>3</v>
      </c>
      <c r="L373">
        <v>2.57</v>
      </c>
      <c r="M373" s="25">
        <v>0.3533</v>
      </c>
      <c r="N373" s="25">
        <v>0.50480000000000003</v>
      </c>
      <c r="O373">
        <v>5.43</v>
      </c>
      <c r="P373" s="25">
        <v>0.1726</v>
      </c>
      <c r="Q373" s="25">
        <v>0.51129999999999998</v>
      </c>
      <c r="R373" s="26">
        <v>3141270</v>
      </c>
      <c r="S373" s="26">
        <v>1091940000</v>
      </c>
      <c r="T373">
        <v>0.77</v>
      </c>
      <c r="U373" s="25">
        <v>3.9E-2</v>
      </c>
    </row>
    <row r="374" spans="1:21" x14ac:dyDescent="0.25">
      <c r="A374" t="s">
        <v>450</v>
      </c>
      <c r="B374">
        <v>33.700000000000003</v>
      </c>
      <c r="C374">
        <v>6.89</v>
      </c>
      <c r="D374">
        <v>1.59</v>
      </c>
      <c r="E374">
        <v>2.9249999999999998</v>
      </c>
      <c r="F374" s="25">
        <v>8.1299999999999997E-2</v>
      </c>
      <c r="G374">
        <v>0.55200000000000005</v>
      </c>
      <c r="H374">
        <v>8.09</v>
      </c>
      <c r="I374">
        <v>5.18</v>
      </c>
      <c r="J374">
        <v>-1.0900000000000001</v>
      </c>
      <c r="K374">
        <v>9.39</v>
      </c>
      <c r="L374">
        <v>9.27</v>
      </c>
      <c r="M374" s="25">
        <v>0.56499999999999995</v>
      </c>
      <c r="N374" s="25">
        <v>0.42449999999999999</v>
      </c>
      <c r="O374">
        <v>1.85</v>
      </c>
      <c r="P374" s="25">
        <v>0.1118</v>
      </c>
      <c r="Q374" s="25">
        <v>0.23089999999999999</v>
      </c>
      <c r="R374" s="26">
        <v>51535400</v>
      </c>
      <c r="S374" s="26">
        <v>7297940000</v>
      </c>
      <c r="T374">
        <v>1.41</v>
      </c>
      <c r="U374" s="25">
        <v>1.11E-2</v>
      </c>
    </row>
    <row r="375" spans="1:21" x14ac:dyDescent="0.25">
      <c r="A375" t="s">
        <v>267</v>
      </c>
      <c r="B375">
        <v>11.23</v>
      </c>
      <c r="C375">
        <v>6.89</v>
      </c>
      <c r="D375">
        <v>1.59</v>
      </c>
      <c r="E375">
        <v>2.9239999999999999</v>
      </c>
      <c r="F375" s="25">
        <v>8.1299999999999997E-2</v>
      </c>
      <c r="G375">
        <v>0.55200000000000005</v>
      </c>
      <c r="H375">
        <v>8.08</v>
      </c>
      <c r="I375">
        <v>5.17</v>
      </c>
      <c r="J375">
        <v>-1.0900000000000001</v>
      </c>
      <c r="K375">
        <v>9.39</v>
      </c>
      <c r="L375">
        <v>9.27</v>
      </c>
      <c r="M375" s="25">
        <v>0.56499999999999995</v>
      </c>
      <c r="N375" s="25">
        <v>0.42449999999999999</v>
      </c>
      <c r="O375">
        <v>1.85</v>
      </c>
      <c r="P375" s="25">
        <v>0.1118</v>
      </c>
      <c r="Q375" s="25">
        <v>0.23089999999999999</v>
      </c>
      <c r="R375" s="26">
        <v>721959</v>
      </c>
      <c r="S375" s="26">
        <v>7297940000</v>
      </c>
      <c r="T375">
        <v>1.41</v>
      </c>
      <c r="U375" s="25">
        <v>1.11E-2</v>
      </c>
    </row>
    <row r="376" spans="1:21" x14ac:dyDescent="0.25">
      <c r="A376" t="s">
        <v>53</v>
      </c>
      <c r="B376">
        <v>11.25</v>
      </c>
      <c r="C376">
        <v>6.9</v>
      </c>
      <c r="D376">
        <v>1.59</v>
      </c>
      <c r="E376">
        <v>2.9289999999999998</v>
      </c>
      <c r="F376" s="25">
        <v>8.1199999999999994E-2</v>
      </c>
      <c r="G376">
        <v>0.55300000000000005</v>
      </c>
      <c r="H376">
        <v>8.1</v>
      </c>
      <c r="I376">
        <v>5.18</v>
      </c>
      <c r="J376">
        <v>-1.1000000000000001</v>
      </c>
      <c r="K376">
        <v>9.4</v>
      </c>
      <c r="L376">
        <v>9.2799999999999994</v>
      </c>
      <c r="M376" s="25">
        <v>0.56499999999999995</v>
      </c>
      <c r="N376" s="25">
        <v>0.42449999999999999</v>
      </c>
      <c r="O376">
        <v>1.85</v>
      </c>
      <c r="P376" s="25">
        <v>0.1118</v>
      </c>
      <c r="Q376" s="25">
        <v>0.23089999999999999</v>
      </c>
      <c r="R376" s="26">
        <v>1433720</v>
      </c>
      <c r="S376" s="26">
        <v>7297940000</v>
      </c>
      <c r="T376">
        <v>1.41</v>
      </c>
      <c r="U376" s="25">
        <v>1.11E-2</v>
      </c>
    </row>
    <row r="377" spans="1:21" x14ac:dyDescent="0.25">
      <c r="A377" t="s">
        <v>199</v>
      </c>
      <c r="B377">
        <v>6.39</v>
      </c>
      <c r="C377">
        <v>11.67</v>
      </c>
      <c r="D377">
        <v>0.7</v>
      </c>
      <c r="E377">
        <v>0.56599999999999995</v>
      </c>
      <c r="F377" s="25">
        <v>2.8799999999999999E-2</v>
      </c>
      <c r="G377">
        <v>0.35099999999999998</v>
      </c>
      <c r="H377">
        <v>1.48</v>
      </c>
      <c r="I377">
        <v>8.5500000000000007</v>
      </c>
      <c r="J377">
        <v>4.59</v>
      </c>
      <c r="K377">
        <v>13.7</v>
      </c>
      <c r="L377">
        <v>9.5</v>
      </c>
      <c r="M377" s="25">
        <v>6.6199999999999995E-2</v>
      </c>
      <c r="N377" s="25">
        <v>4.8500000000000001E-2</v>
      </c>
      <c r="O377">
        <v>1.7</v>
      </c>
      <c r="P377" s="25">
        <v>4.7100000000000003E-2</v>
      </c>
      <c r="Q377" s="25">
        <v>6.0100000000000001E-2</v>
      </c>
      <c r="R377" s="26">
        <v>73434.2</v>
      </c>
      <c r="S377" s="26">
        <v>1268180000</v>
      </c>
      <c r="T377">
        <v>0.59</v>
      </c>
      <c r="U377" s="25">
        <v>-9.3700000000000006E-2</v>
      </c>
    </row>
    <row r="378" spans="1:21" x14ac:dyDescent="0.25">
      <c r="A378" t="s">
        <v>174</v>
      </c>
      <c r="B378">
        <v>5.27</v>
      </c>
      <c r="C378">
        <v>9.6199999999999992</v>
      </c>
      <c r="D378">
        <v>0.57999999999999996</v>
      </c>
      <c r="E378">
        <v>0.46700000000000003</v>
      </c>
      <c r="F378" s="25">
        <v>3.5000000000000003E-2</v>
      </c>
      <c r="G378">
        <v>0.28899999999999998</v>
      </c>
      <c r="H378">
        <v>1.22</v>
      </c>
      <c r="I378">
        <v>7.05</v>
      </c>
      <c r="J378">
        <v>3.78</v>
      </c>
      <c r="K378">
        <v>12.2</v>
      </c>
      <c r="L378">
        <v>8.4600000000000009</v>
      </c>
      <c r="M378" s="25">
        <v>6.6199999999999995E-2</v>
      </c>
      <c r="N378" s="25">
        <v>4.8500000000000001E-2</v>
      </c>
      <c r="O378">
        <v>1.7</v>
      </c>
      <c r="P378" s="25">
        <v>4.7100000000000003E-2</v>
      </c>
      <c r="Q378" s="25">
        <v>6.0100000000000001E-2</v>
      </c>
      <c r="R378" s="26">
        <v>1912790</v>
      </c>
      <c r="S378" s="26">
        <v>1268180000</v>
      </c>
      <c r="T378">
        <v>0.59</v>
      </c>
      <c r="U378" s="25">
        <v>-9.3700000000000006E-2</v>
      </c>
    </row>
    <row r="379" spans="1:21" x14ac:dyDescent="0.25">
      <c r="A379" t="s">
        <v>257</v>
      </c>
      <c r="B379">
        <v>1.75</v>
      </c>
      <c r="C379">
        <v>-0.95</v>
      </c>
      <c r="D379">
        <v>0.34</v>
      </c>
      <c r="E379">
        <v>0.3</v>
      </c>
      <c r="F379" s="25">
        <v>0</v>
      </c>
      <c r="G379">
        <v>0.10299999999999999</v>
      </c>
      <c r="H379">
        <v>3.99</v>
      </c>
      <c r="I379">
        <v>-1.1499999999999999</v>
      </c>
      <c r="J379">
        <v>-0.31</v>
      </c>
      <c r="K379">
        <v>-5.15</v>
      </c>
      <c r="L379">
        <v>-5.53</v>
      </c>
      <c r="M379" s="25">
        <v>-0.26050000000000001</v>
      </c>
      <c r="N379" s="25">
        <v>-0.32219999999999999</v>
      </c>
      <c r="O379">
        <v>1.08</v>
      </c>
      <c r="P379" s="25">
        <v>-0.10299999999999999</v>
      </c>
      <c r="Q379" s="25">
        <v>-0.3579</v>
      </c>
      <c r="R379" s="26">
        <v>311579</v>
      </c>
      <c r="S379" s="26">
        <v>378640000</v>
      </c>
      <c r="T379">
        <v>1.57</v>
      </c>
      <c r="U379" s="25">
        <v>0.31459999999999999</v>
      </c>
    </row>
    <row r="380" spans="1:21" x14ac:dyDescent="0.25">
      <c r="A380" t="s">
        <v>201</v>
      </c>
      <c r="B380">
        <v>6.31</v>
      </c>
      <c r="C380">
        <v>6.15</v>
      </c>
      <c r="D380">
        <v>0.96</v>
      </c>
      <c r="E380">
        <v>0.93300000000000005</v>
      </c>
      <c r="F380" s="25">
        <v>3.9199999999999999E-2</v>
      </c>
      <c r="G380">
        <v>0.56899999999999995</v>
      </c>
      <c r="H380">
        <v>1.24</v>
      </c>
      <c r="I380">
        <v>5.03</v>
      </c>
      <c r="J380">
        <v>2.1800000000000002</v>
      </c>
      <c r="K380">
        <v>5.19</v>
      </c>
      <c r="L380">
        <v>5.99</v>
      </c>
      <c r="M380" s="25">
        <v>0.18540000000000001</v>
      </c>
      <c r="N380" s="25">
        <v>0.1517</v>
      </c>
      <c r="O380">
        <v>3.2</v>
      </c>
      <c r="P380" s="25">
        <v>0.1444</v>
      </c>
      <c r="Q380" s="25">
        <v>0.15529999999999999</v>
      </c>
      <c r="R380" s="26">
        <v>633380</v>
      </c>
      <c r="S380" s="26">
        <v>408423000</v>
      </c>
      <c r="T380">
        <v>0.25</v>
      </c>
      <c r="U380" s="25">
        <v>0.1166</v>
      </c>
    </row>
    <row r="381" spans="1:21" x14ac:dyDescent="0.25">
      <c r="A381" t="s">
        <v>451</v>
      </c>
      <c r="B381">
        <v>12.36</v>
      </c>
      <c r="C381">
        <v>208.52</v>
      </c>
      <c r="D381">
        <v>0.79</v>
      </c>
      <c r="E381">
        <v>2.57</v>
      </c>
      <c r="F381" s="25">
        <v>0</v>
      </c>
      <c r="G381">
        <v>0.28100000000000003</v>
      </c>
      <c r="H381">
        <v>0.71</v>
      </c>
      <c r="I381">
        <v>-3.75</v>
      </c>
      <c r="J381">
        <v>-1.6</v>
      </c>
      <c r="K381">
        <v>0.45</v>
      </c>
      <c r="L381">
        <v>4.1100000000000003</v>
      </c>
      <c r="M381" s="25">
        <v>-0.68459999999999999</v>
      </c>
      <c r="N381" s="25">
        <v>1.23E-2</v>
      </c>
      <c r="O381">
        <v>6.45</v>
      </c>
      <c r="P381" s="25">
        <v>-0.1178</v>
      </c>
      <c r="Q381" s="25">
        <v>3.8E-3</v>
      </c>
      <c r="R381" s="26">
        <v>31367.1</v>
      </c>
      <c r="S381" s="26">
        <v>1467590000</v>
      </c>
      <c r="T381">
        <v>0.01</v>
      </c>
      <c r="U381" s="25">
        <v>0.1429</v>
      </c>
    </row>
    <row r="382" spans="1:21" x14ac:dyDescent="0.25">
      <c r="A382" t="s">
        <v>14</v>
      </c>
      <c r="B382">
        <v>7.65</v>
      </c>
      <c r="C382">
        <v>129.06</v>
      </c>
      <c r="D382">
        <v>0.49</v>
      </c>
      <c r="E382">
        <v>1.591</v>
      </c>
      <c r="F382" s="25">
        <v>0</v>
      </c>
      <c r="G382">
        <v>0.17399999999999999</v>
      </c>
      <c r="H382">
        <v>0.44</v>
      </c>
      <c r="I382">
        <v>-2.3199999999999998</v>
      </c>
      <c r="J382">
        <v>-0.99</v>
      </c>
      <c r="K382">
        <v>1.88</v>
      </c>
      <c r="L382">
        <v>17.05</v>
      </c>
      <c r="M382" s="25">
        <v>-0.68459999999999999</v>
      </c>
      <c r="N382" s="25">
        <v>1.23E-2</v>
      </c>
      <c r="O382">
        <v>6.45</v>
      </c>
      <c r="P382" s="25">
        <v>-0.1178</v>
      </c>
      <c r="Q382" s="25">
        <v>3.8E-3</v>
      </c>
      <c r="R382" s="26">
        <v>41124.6</v>
      </c>
      <c r="S382" s="26">
        <v>1467590000</v>
      </c>
      <c r="T382">
        <v>0.01</v>
      </c>
      <c r="U382" s="25">
        <v>0.1429</v>
      </c>
    </row>
    <row r="383" spans="1:21" x14ac:dyDescent="0.25">
      <c r="A383" t="s">
        <v>64</v>
      </c>
      <c r="B383">
        <v>22.16</v>
      </c>
      <c r="C383">
        <v>14.49</v>
      </c>
      <c r="D383">
        <v>2.5099999999999998</v>
      </c>
      <c r="E383">
        <v>0.79800000000000004</v>
      </c>
      <c r="F383" s="25">
        <v>7.7000000000000002E-3</v>
      </c>
      <c r="G383">
        <v>0.52900000000000003</v>
      </c>
      <c r="H383">
        <v>2.0499999999999998</v>
      </c>
      <c r="I383">
        <v>6.19</v>
      </c>
      <c r="J383">
        <v>-2.73</v>
      </c>
      <c r="K383">
        <v>7.2</v>
      </c>
      <c r="L383">
        <v>6.22</v>
      </c>
      <c r="M383" s="25">
        <v>0.12889999999999999</v>
      </c>
      <c r="N383" s="25">
        <v>5.0799999999999998E-2</v>
      </c>
      <c r="O383">
        <v>1.77</v>
      </c>
      <c r="P383" s="25">
        <v>0.1028</v>
      </c>
      <c r="Q383" s="25">
        <v>0.17299999999999999</v>
      </c>
      <c r="R383" s="26">
        <v>39394100</v>
      </c>
      <c r="S383" s="26">
        <v>1083720000</v>
      </c>
      <c r="T383">
        <v>0.95</v>
      </c>
      <c r="U383" s="25">
        <v>8.5000000000000006E-2</v>
      </c>
    </row>
    <row r="384" spans="1:21" x14ac:dyDescent="0.25">
      <c r="A384" t="s">
        <v>154</v>
      </c>
      <c r="B384">
        <v>14.2</v>
      </c>
      <c r="C384">
        <v>17.25</v>
      </c>
      <c r="D384">
        <v>4.5</v>
      </c>
      <c r="E384">
        <v>2.4660000000000002</v>
      </c>
      <c r="F384" s="25">
        <v>1.7100000000000001E-2</v>
      </c>
      <c r="G384">
        <v>2.6230000000000002</v>
      </c>
      <c r="H384">
        <v>6.01</v>
      </c>
      <c r="I384">
        <v>12.34</v>
      </c>
      <c r="J384">
        <v>9.59</v>
      </c>
      <c r="K384">
        <v>12.89</v>
      </c>
      <c r="L384">
        <v>11.75</v>
      </c>
      <c r="M384" s="25">
        <v>0.19980000000000001</v>
      </c>
      <c r="N384" s="25">
        <v>0.14299999999999999</v>
      </c>
      <c r="O384">
        <v>2.72</v>
      </c>
      <c r="P384" s="25">
        <v>0.25069999999999998</v>
      </c>
      <c r="Q384" s="25">
        <v>0.2606</v>
      </c>
      <c r="R384" s="26">
        <v>6789090</v>
      </c>
      <c r="S384" s="26">
        <v>484021000</v>
      </c>
      <c r="T384">
        <v>0.3</v>
      </c>
      <c r="U384" s="25">
        <v>0.31109999999999999</v>
      </c>
    </row>
    <row r="385" spans="1:21" x14ac:dyDescent="0.25">
      <c r="A385" t="s">
        <v>68</v>
      </c>
      <c r="B385">
        <v>34.79</v>
      </c>
      <c r="C385">
        <v>8.31</v>
      </c>
      <c r="D385">
        <v>2.38</v>
      </c>
      <c r="E385">
        <v>1.0720000000000001</v>
      </c>
      <c r="F385" s="25">
        <v>7.4200000000000002E-2</v>
      </c>
      <c r="G385">
        <v>1.702</v>
      </c>
      <c r="H385">
        <v>4.72</v>
      </c>
      <c r="I385">
        <v>6.51</v>
      </c>
      <c r="J385">
        <v>7.09</v>
      </c>
      <c r="K385">
        <v>6.11</v>
      </c>
      <c r="L385">
        <v>5.67</v>
      </c>
      <c r="M385" s="25">
        <v>0.16470000000000001</v>
      </c>
      <c r="N385" s="25">
        <v>0.1293</v>
      </c>
      <c r="O385">
        <v>3.2</v>
      </c>
      <c r="P385" s="25">
        <v>0.36659999999999998</v>
      </c>
      <c r="Q385" s="25">
        <v>0.28620000000000001</v>
      </c>
      <c r="R385" s="26">
        <v>10310400</v>
      </c>
      <c r="S385" s="26">
        <v>965143000</v>
      </c>
      <c r="T385">
        <v>0.21</v>
      </c>
      <c r="U385" s="25">
        <v>0.23</v>
      </c>
    </row>
    <row r="386" spans="1:21" x14ac:dyDescent="0.25">
      <c r="A386" t="s">
        <v>140</v>
      </c>
      <c r="B386">
        <v>20</v>
      </c>
      <c r="C386">
        <v>174.03</v>
      </c>
      <c r="D386">
        <v>1.98</v>
      </c>
      <c r="E386">
        <v>162.40899999999999</v>
      </c>
      <c r="F386" s="25">
        <v>8.2400000000000001E-2</v>
      </c>
      <c r="G386">
        <v>0.85799999999999998</v>
      </c>
      <c r="H386">
        <v>-27.34</v>
      </c>
      <c r="I386">
        <v>309.45999999999998</v>
      </c>
      <c r="J386">
        <v>-2.54</v>
      </c>
      <c r="K386">
        <v>294.64</v>
      </c>
      <c r="L386">
        <v>312.27999999999997</v>
      </c>
      <c r="M386" s="25">
        <v>0.52480000000000004</v>
      </c>
      <c r="N386" s="25">
        <v>0.93320000000000003</v>
      </c>
      <c r="O386">
        <v>0.88</v>
      </c>
      <c r="P386" s="25">
        <v>3.3999999999999998E-3</v>
      </c>
      <c r="Q386" s="25">
        <v>1.14E-2</v>
      </c>
      <c r="R386" s="26">
        <v>135686000</v>
      </c>
      <c r="S386" s="26">
        <v>24455500000</v>
      </c>
      <c r="T386">
        <v>0.12</v>
      </c>
      <c r="U386" s="25">
        <v>-0.54420000000000002</v>
      </c>
    </row>
    <row r="387" spans="1:21" x14ac:dyDescent="0.25">
      <c r="A387" t="s">
        <v>452</v>
      </c>
      <c r="B387">
        <v>77.709999999999994</v>
      </c>
      <c r="C387">
        <v>4.7699999999999996</v>
      </c>
      <c r="D387">
        <v>0.71</v>
      </c>
      <c r="E387">
        <v>0.76900000000000002</v>
      </c>
      <c r="F387" s="25">
        <v>9.0700000000000003E-2</v>
      </c>
      <c r="G387">
        <v>0.55900000000000005</v>
      </c>
      <c r="H387">
        <v>1.33</v>
      </c>
      <c r="I387">
        <v>5.33</v>
      </c>
      <c r="J387">
        <v>1.45</v>
      </c>
      <c r="K387">
        <v>3.73</v>
      </c>
      <c r="L387">
        <v>3.16</v>
      </c>
      <c r="M387" s="25">
        <v>0.1444</v>
      </c>
      <c r="N387" s="25">
        <v>0.16120000000000001</v>
      </c>
      <c r="O387">
        <v>3.45</v>
      </c>
      <c r="P387" s="25">
        <v>0.1416</v>
      </c>
      <c r="Q387" s="25">
        <v>0.1479</v>
      </c>
      <c r="R387" s="26">
        <v>2737.52</v>
      </c>
      <c r="S387" s="26">
        <v>324623000</v>
      </c>
      <c r="T387">
        <v>0.01</v>
      </c>
      <c r="U387" s="25">
        <v>6.6100000000000006E-2</v>
      </c>
    </row>
    <row r="388" spans="1:21" x14ac:dyDescent="0.25">
      <c r="A388" t="s">
        <v>913</v>
      </c>
      <c r="B388">
        <v>0.99</v>
      </c>
      <c r="C388">
        <v>-0.76</v>
      </c>
      <c r="D388">
        <v>0.37</v>
      </c>
      <c r="E388">
        <v>0.11600000000000001</v>
      </c>
      <c r="F388" s="25">
        <v>0</v>
      </c>
      <c r="G388">
        <v>6.3E-2</v>
      </c>
      <c r="H388">
        <v>1.79</v>
      </c>
      <c r="I388">
        <v>-2.19</v>
      </c>
      <c r="J388">
        <v>-0.11</v>
      </c>
      <c r="K388">
        <v>-12.97</v>
      </c>
      <c r="L388">
        <v>10.220000000000001</v>
      </c>
      <c r="M388" s="25">
        <v>-5.2900000000000003E-2</v>
      </c>
      <c r="N388" s="25">
        <v>-0.1782</v>
      </c>
      <c r="O388">
        <v>1.1200000000000001</v>
      </c>
      <c r="P388" s="25">
        <v>-3.2099999999999997E-2</v>
      </c>
      <c r="Q388" s="25">
        <v>-0.49370000000000003</v>
      </c>
      <c r="R388" s="26">
        <v>521977</v>
      </c>
      <c r="S388" s="26">
        <v>324818000</v>
      </c>
      <c r="T388">
        <v>1.94</v>
      </c>
      <c r="U388" s="25">
        <v>6.8500000000000005E-2</v>
      </c>
    </row>
    <row r="389" spans="1:21" x14ac:dyDescent="0.25">
      <c r="A389" t="s">
        <v>32</v>
      </c>
      <c r="B389">
        <v>42.87</v>
      </c>
      <c r="C389">
        <v>32.71</v>
      </c>
      <c r="D389">
        <v>5.35</v>
      </c>
      <c r="E389">
        <v>4.7249999999999996</v>
      </c>
      <c r="F389" s="25">
        <v>1.7600000000000001E-2</v>
      </c>
      <c r="G389">
        <v>2.9590000000000001</v>
      </c>
      <c r="H389">
        <v>14.57</v>
      </c>
      <c r="I389">
        <v>12.83</v>
      </c>
      <c r="J389">
        <v>-39.39</v>
      </c>
      <c r="K389">
        <v>12.67</v>
      </c>
      <c r="L389">
        <v>10.84</v>
      </c>
      <c r="M389" s="25">
        <v>0.36840000000000001</v>
      </c>
      <c r="N389" s="25">
        <v>0.14829999999999999</v>
      </c>
      <c r="O389">
        <v>2.52</v>
      </c>
      <c r="P389" s="25">
        <v>0.30780000000000002</v>
      </c>
      <c r="Q389" s="25">
        <v>0.16370000000000001</v>
      </c>
      <c r="R389" s="26">
        <v>137309000</v>
      </c>
      <c r="S389" s="26">
        <v>4799780000</v>
      </c>
      <c r="T389">
        <v>0.34</v>
      </c>
      <c r="U389" s="25">
        <v>0.18229999999999999</v>
      </c>
    </row>
    <row r="390" spans="1:21" x14ac:dyDescent="0.25">
      <c r="A390" t="s">
        <v>173</v>
      </c>
      <c r="B390">
        <v>4.03</v>
      </c>
      <c r="C390">
        <v>8.7799999999999994</v>
      </c>
      <c r="D390">
        <v>0.19</v>
      </c>
      <c r="E390">
        <v>0.13700000000000001</v>
      </c>
      <c r="F390" s="25">
        <v>5.7200000000000001E-2</v>
      </c>
      <c r="G390">
        <v>6.5000000000000002E-2</v>
      </c>
      <c r="H390">
        <v>-0.15</v>
      </c>
      <c r="I390">
        <v>0.74</v>
      </c>
      <c r="J390">
        <v>-0.11</v>
      </c>
      <c r="K390">
        <v>6.25</v>
      </c>
      <c r="L390">
        <v>3.8</v>
      </c>
      <c r="M390" s="25">
        <v>0.185</v>
      </c>
      <c r="N390" s="25">
        <v>2.9999999999999997E-4</v>
      </c>
      <c r="O390">
        <v>0.13</v>
      </c>
      <c r="P390" s="25">
        <v>9.3100000000000002E-2</v>
      </c>
      <c r="Q390" s="25">
        <v>2.2100000000000002E-2</v>
      </c>
      <c r="R390" s="26">
        <v>40894.5</v>
      </c>
      <c r="S390" s="26">
        <v>912716000</v>
      </c>
      <c r="T390">
        <v>1.5</v>
      </c>
      <c r="U390" s="25">
        <v>7.6100000000000001E-2</v>
      </c>
    </row>
    <row r="391" spans="1:21" x14ac:dyDescent="0.25">
      <c r="A391" t="s">
        <v>189</v>
      </c>
      <c r="B391">
        <v>7.45</v>
      </c>
      <c r="C391">
        <v>-3.47</v>
      </c>
      <c r="D391">
        <v>1.59</v>
      </c>
      <c r="E391">
        <v>7.1740000000000004</v>
      </c>
      <c r="F391" s="25">
        <v>0</v>
      </c>
      <c r="G391">
        <v>1.458</v>
      </c>
      <c r="H391">
        <v>6.76</v>
      </c>
      <c r="I391">
        <v>-5.99</v>
      </c>
      <c r="J391">
        <v>7.4</v>
      </c>
      <c r="K391">
        <v>-5.47</v>
      </c>
      <c r="L391">
        <v>-7.27</v>
      </c>
      <c r="M391" s="25">
        <v>-1.1986000000000001</v>
      </c>
      <c r="N391" s="25">
        <v>-2.0678999999999998</v>
      </c>
      <c r="O391">
        <v>4.05</v>
      </c>
      <c r="P391" s="25">
        <v>-0.28270000000000001</v>
      </c>
      <c r="Q391" s="25">
        <v>-0.45900000000000002</v>
      </c>
      <c r="R391" s="26">
        <v>269373</v>
      </c>
      <c r="S391" s="26">
        <v>186999000</v>
      </c>
      <c r="T391">
        <v>0.01</v>
      </c>
      <c r="U391" s="25">
        <v>-0.26050000000000001</v>
      </c>
    </row>
    <row r="392" spans="1:21" x14ac:dyDescent="0.25">
      <c r="A392" t="s">
        <v>117</v>
      </c>
      <c r="B392">
        <v>6.29</v>
      </c>
      <c r="C392">
        <v>6.44</v>
      </c>
      <c r="D392">
        <v>0.78</v>
      </c>
      <c r="E392">
        <v>0.89200000000000002</v>
      </c>
      <c r="F392" s="25">
        <v>4.7800000000000002E-2</v>
      </c>
      <c r="G392">
        <v>0.376</v>
      </c>
      <c r="H392">
        <v>0.62</v>
      </c>
      <c r="I392">
        <v>6.19</v>
      </c>
      <c r="J392">
        <v>1.1399999999999999</v>
      </c>
      <c r="K392">
        <v>8.07</v>
      </c>
      <c r="L392">
        <v>6.96</v>
      </c>
      <c r="M392" s="25">
        <v>0.14410000000000001</v>
      </c>
      <c r="N392" s="25">
        <v>0.1419</v>
      </c>
      <c r="O392">
        <v>3.57</v>
      </c>
      <c r="P392" s="25">
        <v>7.4899999999999994E-2</v>
      </c>
      <c r="Q392" s="25">
        <v>0.1216</v>
      </c>
      <c r="R392" s="26">
        <v>3606510</v>
      </c>
      <c r="S392" s="26">
        <v>1500220000</v>
      </c>
      <c r="T392">
        <v>0.59</v>
      </c>
      <c r="U392" s="25">
        <v>0.12130000000000001</v>
      </c>
    </row>
    <row r="393" spans="1:21" x14ac:dyDescent="0.25">
      <c r="A393" t="s">
        <v>453</v>
      </c>
      <c r="B393">
        <v>13.63</v>
      </c>
      <c r="C393">
        <v>8.58</v>
      </c>
      <c r="D393">
        <v>1.64</v>
      </c>
      <c r="E393">
        <v>0.499</v>
      </c>
      <c r="F393" s="25">
        <v>1.4E-2</v>
      </c>
      <c r="G393">
        <v>0.69199999999999995</v>
      </c>
      <c r="H393">
        <v>3.43</v>
      </c>
      <c r="I393">
        <v>5.68</v>
      </c>
      <c r="J393">
        <v>9</v>
      </c>
      <c r="K393">
        <v>6.14</v>
      </c>
      <c r="L393">
        <v>5.67</v>
      </c>
      <c r="M393" s="25">
        <v>8.7800000000000003E-2</v>
      </c>
      <c r="N393" s="25">
        <v>5.8099999999999999E-2</v>
      </c>
      <c r="O393">
        <v>1.45</v>
      </c>
      <c r="P393" s="25">
        <v>0.23599999999999999</v>
      </c>
      <c r="Q393" s="25">
        <v>0.19109999999999999</v>
      </c>
      <c r="R393" s="26">
        <v>24898400</v>
      </c>
      <c r="S393" s="26">
        <v>4153040000</v>
      </c>
      <c r="T393">
        <v>0.53</v>
      </c>
      <c r="U393" s="25">
        <v>0.32719999999999999</v>
      </c>
    </row>
    <row r="394" spans="1:21" x14ac:dyDescent="0.25">
      <c r="A394" t="s">
        <v>160</v>
      </c>
      <c r="B394">
        <v>17.18</v>
      </c>
      <c r="C394">
        <v>-53.2</v>
      </c>
      <c r="D394">
        <v>0.69</v>
      </c>
      <c r="E394">
        <v>0.216</v>
      </c>
      <c r="F394" s="25">
        <v>8.8200000000000001E-2</v>
      </c>
      <c r="G394">
        <v>0.21299999999999999</v>
      </c>
      <c r="H394">
        <v>0.57999999999999996</v>
      </c>
      <c r="I394">
        <v>2.69</v>
      </c>
      <c r="J394">
        <v>-4.1500000000000004</v>
      </c>
      <c r="K394">
        <v>5.69</v>
      </c>
      <c r="L394" s="26">
        <v>3.89</v>
      </c>
      <c r="M394" s="25">
        <v>8.0299999999999996E-2</v>
      </c>
      <c r="N394" s="25">
        <v>-4.1999999999999997E-3</v>
      </c>
      <c r="O394">
        <v>2.33</v>
      </c>
      <c r="P394" s="25">
        <v>0.1144</v>
      </c>
      <c r="Q394" s="25">
        <v>-1.29E-2</v>
      </c>
      <c r="R394" s="26">
        <v>7967230</v>
      </c>
      <c r="S394" s="26">
        <v>3314060000</v>
      </c>
      <c r="T394">
        <v>1.28</v>
      </c>
      <c r="U394" s="25">
        <v>0.21640000000000001</v>
      </c>
    </row>
    <row r="395" spans="1:21" x14ac:dyDescent="0.25">
      <c r="A395" t="s">
        <v>454</v>
      </c>
      <c r="B395">
        <v>9.98</v>
      </c>
      <c r="C395">
        <v>-0.97</v>
      </c>
      <c r="D395">
        <v>-0.12</v>
      </c>
      <c r="E395">
        <v>0.36099999999999999</v>
      </c>
      <c r="F395" s="25">
        <v>0</v>
      </c>
      <c r="G395">
        <v>0.252</v>
      </c>
      <c r="H395">
        <v>-0.25</v>
      </c>
      <c r="I395">
        <v>-8.68</v>
      </c>
      <c r="J395">
        <v>-0.09</v>
      </c>
      <c r="K395">
        <v>-74.67</v>
      </c>
      <c r="L395" s="26">
        <v>-1349.04</v>
      </c>
      <c r="M395" s="25">
        <v>-4.1599999999999998E-2</v>
      </c>
      <c r="N395" s="25">
        <v>-0.37230000000000002</v>
      </c>
      <c r="O395">
        <v>0.27</v>
      </c>
      <c r="P395" s="25">
        <v>-3.0599999999999999E-2</v>
      </c>
      <c r="Q395" s="25">
        <v>0.1215</v>
      </c>
      <c r="R395" s="26">
        <v>44</v>
      </c>
      <c r="S395" s="26">
        <v>-360582000</v>
      </c>
      <c r="T395">
        <v>-0.9</v>
      </c>
      <c r="U395" s="25">
        <v>-5.1999999999999998E-3</v>
      </c>
    </row>
    <row r="396" spans="1:21" x14ac:dyDescent="0.25">
      <c r="A396" t="s">
        <v>455</v>
      </c>
      <c r="B396">
        <v>1.68</v>
      </c>
      <c r="C396">
        <v>-0.16</v>
      </c>
      <c r="D396">
        <v>-0.02</v>
      </c>
      <c r="E396">
        <v>6.0999999999999999E-2</v>
      </c>
      <c r="F396" s="25">
        <v>0</v>
      </c>
      <c r="G396">
        <v>4.2000000000000003E-2</v>
      </c>
      <c r="H396">
        <v>-0.04</v>
      </c>
      <c r="I396">
        <v>-1.46</v>
      </c>
      <c r="J396">
        <v>-0.02</v>
      </c>
      <c r="K396">
        <v>-67.45</v>
      </c>
      <c r="L396" s="26">
        <v>-1218.5999999999999</v>
      </c>
      <c r="M396" s="25">
        <v>-4.1599999999999998E-2</v>
      </c>
      <c r="N396" s="25">
        <v>-0.37230000000000002</v>
      </c>
      <c r="O396">
        <v>0.27</v>
      </c>
      <c r="P396" s="25">
        <v>-3.0599999999999999E-2</v>
      </c>
      <c r="Q396" s="25">
        <v>0.1215</v>
      </c>
      <c r="R396" s="26">
        <v>340.21</v>
      </c>
      <c r="S396" s="26">
        <v>-360582000</v>
      </c>
      <c r="T396">
        <v>-0.9</v>
      </c>
      <c r="U396" s="25">
        <v>-5.1999999999999998E-3</v>
      </c>
    </row>
    <row r="397" spans="1:21" x14ac:dyDescent="0.25">
      <c r="A397" t="s">
        <v>124</v>
      </c>
      <c r="B397">
        <v>1.4</v>
      </c>
      <c r="C397" s="26">
        <v>21.91</v>
      </c>
      <c r="D397">
        <v>0.5</v>
      </c>
      <c r="E397">
        <v>0.41599999999999998</v>
      </c>
      <c r="F397" s="25">
        <v>0.12970000000000001</v>
      </c>
      <c r="G397">
        <v>0.23799999999999999</v>
      </c>
      <c r="H397">
        <v>3.2</v>
      </c>
      <c r="I397">
        <v>-14.01</v>
      </c>
      <c r="J397">
        <v>-1.19</v>
      </c>
      <c r="K397">
        <v>-22.78</v>
      </c>
      <c r="L397" s="26">
        <v>16.64</v>
      </c>
      <c r="M397" s="25">
        <v>-2.9700000000000001E-2</v>
      </c>
      <c r="N397" s="25">
        <v>1.9E-2</v>
      </c>
      <c r="O397">
        <v>1.3</v>
      </c>
      <c r="P397" s="25">
        <v>-2.06E-2</v>
      </c>
      <c r="Q397" s="25">
        <v>2.2599999999999999E-2</v>
      </c>
      <c r="R397" s="26">
        <v>44554</v>
      </c>
      <c r="S397" s="26">
        <v>186424000</v>
      </c>
      <c r="T397">
        <v>0.59</v>
      </c>
      <c r="U397" s="25">
        <v>5.11E-2</v>
      </c>
    </row>
    <row r="398" spans="1:21" x14ac:dyDescent="0.25">
      <c r="A398" t="s">
        <v>115</v>
      </c>
      <c r="B398">
        <v>16.260000000000002</v>
      </c>
      <c r="C398">
        <v>8.01</v>
      </c>
      <c r="D398">
        <v>1.19</v>
      </c>
      <c r="E398">
        <v>0.13300000000000001</v>
      </c>
      <c r="F398" s="25">
        <v>4.2999999999999997E-2</v>
      </c>
      <c r="G398">
        <v>0.48</v>
      </c>
      <c r="H398">
        <v>2.89</v>
      </c>
      <c r="I398">
        <v>3.43</v>
      </c>
      <c r="J398">
        <v>-2.4900000000000002</v>
      </c>
      <c r="K398">
        <v>5.76</v>
      </c>
      <c r="L398">
        <v>4.67</v>
      </c>
      <c r="M398" s="25">
        <v>3.8699999999999998E-2</v>
      </c>
      <c r="N398" s="25">
        <v>1.78E-2</v>
      </c>
      <c r="O398">
        <v>1.76</v>
      </c>
      <c r="P398" s="25">
        <v>0.16789999999999999</v>
      </c>
      <c r="Q398" s="25">
        <v>0.14899999999999999</v>
      </c>
      <c r="R398" s="26">
        <v>86493800</v>
      </c>
      <c r="S398" s="26">
        <v>15195500000</v>
      </c>
      <c r="T398">
        <v>0.99</v>
      </c>
      <c r="U398" s="25">
        <v>0.11020000000000001</v>
      </c>
    </row>
    <row r="399" spans="1:21" x14ac:dyDescent="0.25">
      <c r="A399" t="s">
        <v>456</v>
      </c>
      <c r="B399">
        <v>49.36</v>
      </c>
      <c r="C399">
        <v>8.58</v>
      </c>
      <c r="D399">
        <v>2.11</v>
      </c>
      <c r="E399">
        <v>0.99099999999999999</v>
      </c>
      <c r="F399" s="25">
        <v>9.3299999999999994E-2</v>
      </c>
      <c r="G399">
        <v>0.76700000000000002</v>
      </c>
      <c r="H399">
        <v>3.53</v>
      </c>
      <c r="I399">
        <v>7.28</v>
      </c>
      <c r="J399">
        <v>-3.2</v>
      </c>
      <c r="K399">
        <v>8.5500000000000007</v>
      </c>
      <c r="L399">
        <v>5.97</v>
      </c>
      <c r="M399" s="25">
        <v>0.1361</v>
      </c>
      <c r="N399" s="25">
        <v>0.11559999999999999</v>
      </c>
      <c r="O399">
        <v>2.2400000000000002</v>
      </c>
      <c r="P399" s="25">
        <v>0.14269999999999999</v>
      </c>
      <c r="Q399" s="25">
        <v>0.2457</v>
      </c>
      <c r="R399" s="26">
        <v>189018</v>
      </c>
      <c r="S399" s="26">
        <v>2649660000</v>
      </c>
      <c r="T399">
        <v>0.93</v>
      </c>
      <c r="U399" s="25">
        <v>8.0000000000000002E-3</v>
      </c>
    </row>
    <row r="400" spans="1:21" x14ac:dyDescent="0.25">
      <c r="A400" t="s">
        <v>457</v>
      </c>
      <c r="B400">
        <v>56</v>
      </c>
      <c r="C400">
        <v>9.74</v>
      </c>
      <c r="D400">
        <v>2.39</v>
      </c>
      <c r="E400">
        <v>1.125</v>
      </c>
      <c r="F400" s="25">
        <v>9.0399999999999994E-2</v>
      </c>
      <c r="G400">
        <v>0.87</v>
      </c>
      <c r="H400">
        <v>4</v>
      </c>
      <c r="I400">
        <v>8.26</v>
      </c>
      <c r="J400">
        <v>-3.63</v>
      </c>
      <c r="K400">
        <v>9.5299999999999994</v>
      </c>
      <c r="L400">
        <v>6.65</v>
      </c>
      <c r="M400" s="25">
        <v>0.1361</v>
      </c>
      <c r="N400" s="25">
        <v>0.11559999999999999</v>
      </c>
      <c r="O400">
        <v>2.2400000000000002</v>
      </c>
      <c r="P400" s="25">
        <v>0.14269999999999999</v>
      </c>
      <c r="Q400" s="25">
        <v>0.2457</v>
      </c>
      <c r="R400" s="26">
        <v>11387</v>
      </c>
      <c r="S400" s="26">
        <v>2649660000</v>
      </c>
      <c r="T400">
        <v>0.93</v>
      </c>
      <c r="U400" s="25">
        <v>8.0000000000000002E-3</v>
      </c>
    </row>
    <row r="401" spans="1:21" x14ac:dyDescent="0.25">
      <c r="A401" t="s">
        <v>151</v>
      </c>
      <c r="B401">
        <v>55.39</v>
      </c>
      <c r="C401">
        <v>9.6300000000000008</v>
      </c>
      <c r="D401">
        <v>2.37</v>
      </c>
      <c r="E401">
        <v>1.1120000000000001</v>
      </c>
      <c r="F401" s="25">
        <v>9.1399999999999995E-2</v>
      </c>
      <c r="G401">
        <v>0.86099999999999999</v>
      </c>
      <c r="H401">
        <v>3.96</v>
      </c>
      <c r="I401">
        <v>8.17</v>
      </c>
      <c r="J401">
        <v>-3.59</v>
      </c>
      <c r="K401">
        <v>9.44</v>
      </c>
      <c r="L401">
        <v>6.59</v>
      </c>
      <c r="M401" s="25">
        <v>0.1361</v>
      </c>
      <c r="N401" s="25">
        <v>0.11559999999999999</v>
      </c>
      <c r="O401">
        <v>2.2400000000000002</v>
      </c>
      <c r="P401" s="25">
        <v>0.14269999999999999</v>
      </c>
      <c r="Q401" s="25">
        <v>0.2457</v>
      </c>
      <c r="R401" s="26">
        <v>7190220</v>
      </c>
      <c r="S401" s="26">
        <v>2649660000</v>
      </c>
      <c r="T401">
        <v>0.93</v>
      </c>
      <c r="U401" s="25">
        <v>8.0000000000000002E-3</v>
      </c>
    </row>
    <row r="402" spans="1:21" x14ac:dyDescent="0.25">
      <c r="A402" t="s">
        <v>113</v>
      </c>
      <c r="B402">
        <v>4.5199999999999996</v>
      </c>
      <c r="C402">
        <v>40.31</v>
      </c>
      <c r="D402">
        <v>0.23</v>
      </c>
      <c r="E402">
        <v>0.214</v>
      </c>
      <c r="F402" s="25">
        <v>0</v>
      </c>
      <c r="G402">
        <v>0.13900000000000001</v>
      </c>
      <c r="H402">
        <v>0.4</v>
      </c>
      <c r="I402">
        <v>6.04</v>
      </c>
      <c r="J402">
        <v>1.23</v>
      </c>
      <c r="K402">
        <v>7.37</v>
      </c>
      <c r="L402">
        <v>3.18</v>
      </c>
      <c r="M402" s="25">
        <v>3.5400000000000001E-2</v>
      </c>
      <c r="N402" s="25">
        <v>1.15E-2</v>
      </c>
      <c r="O402">
        <v>4.26</v>
      </c>
      <c r="P402" s="25">
        <v>2.98E-2</v>
      </c>
      <c r="Q402" s="25">
        <v>5.7999999999999996E-3</v>
      </c>
      <c r="R402" s="26">
        <v>2136120</v>
      </c>
      <c r="S402" s="26">
        <v>24175800000</v>
      </c>
      <c r="T402">
        <v>0.32</v>
      </c>
      <c r="U402" s="25">
        <v>3.7600000000000001E-2</v>
      </c>
    </row>
    <row r="403" spans="1:21" x14ac:dyDescent="0.25">
      <c r="A403" t="s">
        <v>125</v>
      </c>
      <c r="B403">
        <v>4.3600000000000003</v>
      </c>
      <c r="C403">
        <v>38.880000000000003</v>
      </c>
      <c r="D403">
        <v>0.23</v>
      </c>
      <c r="E403">
        <v>0.20599999999999999</v>
      </c>
      <c r="F403" s="25">
        <v>0</v>
      </c>
      <c r="G403">
        <v>0.13400000000000001</v>
      </c>
      <c r="H403">
        <v>0.39</v>
      </c>
      <c r="I403">
        <v>5.82</v>
      </c>
      <c r="J403">
        <v>1.19</v>
      </c>
      <c r="K403">
        <v>7.16</v>
      </c>
      <c r="L403">
        <v>3.09</v>
      </c>
      <c r="M403" s="25">
        <v>3.5400000000000001E-2</v>
      </c>
      <c r="N403" s="25">
        <v>1.15E-2</v>
      </c>
      <c r="O403">
        <v>4.26</v>
      </c>
      <c r="P403" s="25">
        <v>2.98E-2</v>
      </c>
      <c r="Q403" s="25">
        <v>5.7999999999999996E-3</v>
      </c>
      <c r="R403" s="26">
        <v>67185700</v>
      </c>
      <c r="S403" s="26">
        <v>24175800000</v>
      </c>
      <c r="T403">
        <v>0.32</v>
      </c>
      <c r="U403" s="25">
        <v>3.7600000000000001E-2</v>
      </c>
    </row>
    <row r="404" spans="1:21" x14ac:dyDescent="0.25">
      <c r="A404" t="s">
        <v>458</v>
      </c>
      <c r="B404">
        <v>8</v>
      </c>
      <c r="C404">
        <v>71.34</v>
      </c>
      <c r="D404">
        <v>0.41</v>
      </c>
      <c r="E404">
        <v>0.378</v>
      </c>
      <c r="F404" s="25">
        <v>0</v>
      </c>
      <c r="G404">
        <v>0.246</v>
      </c>
      <c r="H404">
        <v>0.71</v>
      </c>
      <c r="I404">
        <v>10.68</v>
      </c>
      <c r="J404">
        <v>2.17</v>
      </c>
      <c r="K404">
        <v>12.02</v>
      </c>
      <c r="L404">
        <v>5.19</v>
      </c>
      <c r="M404" s="25">
        <v>3.5400000000000001E-2</v>
      </c>
      <c r="N404" s="25">
        <v>1.15E-2</v>
      </c>
      <c r="O404">
        <v>4.26</v>
      </c>
      <c r="P404" s="25">
        <v>2.98E-2</v>
      </c>
      <c r="Q404" s="25">
        <v>5.7999999999999996E-3</v>
      </c>
      <c r="R404" s="26">
        <v>95.24</v>
      </c>
      <c r="S404" s="26">
        <v>24175800000</v>
      </c>
      <c r="T404">
        <v>0.32</v>
      </c>
      <c r="U404" s="25">
        <v>3.7600000000000001E-2</v>
      </c>
    </row>
    <row r="405" spans="1:21" x14ac:dyDescent="0.25">
      <c r="A405" t="s">
        <v>97</v>
      </c>
      <c r="B405">
        <v>57.42</v>
      </c>
      <c r="C405">
        <v>8.2799999999999994</v>
      </c>
      <c r="D405">
        <v>1.29</v>
      </c>
      <c r="E405">
        <v>1.232</v>
      </c>
      <c r="F405" s="25">
        <v>8.2799999999999999E-2</v>
      </c>
      <c r="G405">
        <v>0.54400000000000004</v>
      </c>
      <c r="H405">
        <v>31.23</v>
      </c>
      <c r="I405">
        <v>3.65</v>
      </c>
      <c r="J405">
        <v>-1.4</v>
      </c>
      <c r="K405">
        <v>4.63</v>
      </c>
      <c r="L405">
        <v>3.73</v>
      </c>
      <c r="M405" s="25">
        <v>0.33779999999999999</v>
      </c>
      <c r="N405" s="25">
        <v>0.1431</v>
      </c>
      <c r="O405">
        <v>1.1100000000000001</v>
      </c>
      <c r="P405" s="25">
        <v>0.1658</v>
      </c>
      <c r="Q405" s="25">
        <v>0.15570000000000001</v>
      </c>
      <c r="R405" s="26">
        <v>1215320000</v>
      </c>
      <c r="S405" s="26">
        <v>202082000000</v>
      </c>
      <c r="T405">
        <v>0.46</v>
      </c>
      <c r="U405" s="25">
        <v>-5.9799999999999999E-2</v>
      </c>
    </row>
    <row r="406" spans="1:21" x14ac:dyDescent="0.25">
      <c r="A406" t="s">
        <v>213</v>
      </c>
      <c r="B406">
        <v>3.89</v>
      </c>
      <c r="C406">
        <v>13.75</v>
      </c>
      <c r="D406">
        <v>1.69</v>
      </c>
      <c r="E406">
        <v>0.97699999999999998</v>
      </c>
      <c r="F406" s="25">
        <v>7.0400000000000004E-2</v>
      </c>
      <c r="G406">
        <v>0.188</v>
      </c>
      <c r="H406">
        <v>1.54</v>
      </c>
      <c r="I406">
        <v>1.53</v>
      </c>
      <c r="J406">
        <v>-0.3</v>
      </c>
      <c r="K406">
        <v>5.86</v>
      </c>
      <c r="L406">
        <v>4.51</v>
      </c>
      <c r="M406" s="25">
        <v>0.63870000000000005</v>
      </c>
      <c r="N406" s="25">
        <v>7.0999999999999994E-2</v>
      </c>
      <c r="O406">
        <v>1.86</v>
      </c>
      <c r="P406" s="25">
        <v>0.16239999999999999</v>
      </c>
      <c r="Q406" s="25">
        <v>0.1229</v>
      </c>
      <c r="R406" s="26">
        <v>64789800</v>
      </c>
      <c r="S406" s="26">
        <v>2488240000</v>
      </c>
      <c r="T406">
        <v>6.58</v>
      </c>
      <c r="U406" s="25">
        <v>0.27750000000000002</v>
      </c>
    </row>
    <row r="407" spans="1:21" x14ac:dyDescent="0.25">
      <c r="A407" t="s">
        <v>116</v>
      </c>
      <c r="B407">
        <v>20.21</v>
      </c>
      <c r="C407">
        <v>3.65</v>
      </c>
      <c r="D407">
        <v>1.1000000000000001</v>
      </c>
      <c r="E407">
        <v>0.127</v>
      </c>
      <c r="F407" s="25">
        <v>6.5100000000000005E-2</v>
      </c>
      <c r="G407">
        <v>0.36299999999999999</v>
      </c>
      <c r="H407">
        <v>1.8</v>
      </c>
      <c r="I407">
        <v>4.97</v>
      </c>
      <c r="J407">
        <v>-1.48</v>
      </c>
      <c r="K407">
        <v>9.56</v>
      </c>
      <c r="L407">
        <v>8.36</v>
      </c>
      <c r="M407" s="25">
        <v>2.5600000000000001E-2</v>
      </c>
      <c r="N407" s="25">
        <v>3.4799999999999998E-2</v>
      </c>
      <c r="O407">
        <v>1.94</v>
      </c>
      <c r="P407" s="25">
        <v>8.4500000000000006E-2</v>
      </c>
      <c r="Q407" s="25">
        <v>0.30130000000000001</v>
      </c>
      <c r="R407" s="26">
        <v>214664000</v>
      </c>
      <c r="S407" s="26">
        <v>20557000000</v>
      </c>
      <c r="T407">
        <v>1.28</v>
      </c>
      <c r="U407" s="25">
        <v>0.1709</v>
      </c>
    </row>
    <row r="408" spans="1:21" x14ac:dyDescent="0.25">
      <c r="A408" t="s">
        <v>220</v>
      </c>
      <c r="B408">
        <v>4.83</v>
      </c>
      <c r="C408">
        <v>9.9700000000000006</v>
      </c>
      <c r="D408">
        <v>1.1499999999999999</v>
      </c>
      <c r="E408">
        <v>0.90400000000000003</v>
      </c>
      <c r="F408" s="25">
        <v>6.4100000000000004E-2</v>
      </c>
      <c r="G408">
        <v>0.73599999999999999</v>
      </c>
      <c r="H408">
        <v>1.87</v>
      </c>
      <c r="I408">
        <v>8.61</v>
      </c>
      <c r="J408">
        <v>2.74</v>
      </c>
      <c r="K408">
        <v>11.58</v>
      </c>
      <c r="L408">
        <v>9.15</v>
      </c>
      <c r="M408" s="25">
        <v>0.105</v>
      </c>
      <c r="N408" s="25">
        <v>9.0399999999999994E-2</v>
      </c>
      <c r="O408">
        <v>2.67</v>
      </c>
      <c r="P408" s="25">
        <v>8.9099999999999999E-2</v>
      </c>
      <c r="Q408" s="25">
        <v>0.1159</v>
      </c>
      <c r="R408" s="26">
        <v>1098590</v>
      </c>
      <c r="S408" s="26">
        <v>628625000</v>
      </c>
      <c r="T408">
        <v>0.43</v>
      </c>
      <c r="U408" s="25">
        <v>5.5399999999999998E-2</v>
      </c>
    </row>
    <row r="409" spans="1:21" x14ac:dyDescent="0.25">
      <c r="A409" t="s">
        <v>142</v>
      </c>
      <c r="B409">
        <v>25.39</v>
      </c>
      <c r="C409">
        <v>8.19</v>
      </c>
      <c r="D409">
        <v>2.2999999999999998</v>
      </c>
      <c r="E409">
        <v>2.246</v>
      </c>
      <c r="F409" s="25">
        <v>2.5999999999999999E-2</v>
      </c>
      <c r="G409">
        <v>1.4179999999999999</v>
      </c>
      <c r="H409">
        <v>3.16</v>
      </c>
      <c r="I409">
        <v>9.19</v>
      </c>
      <c r="J409">
        <v>5.83</v>
      </c>
      <c r="K409">
        <v>9.6300000000000008</v>
      </c>
      <c r="L409">
        <v>7.79</v>
      </c>
      <c r="M409" s="25">
        <v>0.2445</v>
      </c>
      <c r="N409" s="25">
        <v>0.27439999999999998</v>
      </c>
      <c r="O409">
        <v>3.54</v>
      </c>
      <c r="P409" s="25">
        <v>0.16789999999999999</v>
      </c>
      <c r="Q409" s="25">
        <v>0.28050000000000003</v>
      </c>
      <c r="R409" s="26">
        <v>77080300</v>
      </c>
      <c r="S409" s="26">
        <v>2611940000</v>
      </c>
      <c r="T409">
        <v>0.18</v>
      </c>
      <c r="U409" s="25">
        <v>0.24540000000000001</v>
      </c>
    </row>
    <row r="410" spans="1:21" x14ac:dyDescent="0.25">
      <c r="A410" t="s">
        <v>254</v>
      </c>
      <c r="B410">
        <v>0.83</v>
      </c>
      <c r="C410">
        <v>-0.72</v>
      </c>
      <c r="D410">
        <v>0.22</v>
      </c>
      <c r="E410">
        <v>0.28199999999999997</v>
      </c>
      <c r="F410" s="25">
        <v>0</v>
      </c>
      <c r="G410">
        <v>0.114</v>
      </c>
      <c r="H410">
        <v>0.65</v>
      </c>
      <c r="I410">
        <v>12.78</v>
      </c>
      <c r="J410">
        <v>-2.46</v>
      </c>
      <c r="K410">
        <v>13.2</v>
      </c>
      <c r="L410">
        <v>11.31</v>
      </c>
      <c r="M410" s="25">
        <v>2.2100000000000002E-2</v>
      </c>
      <c r="N410" s="25">
        <v>-0.38350000000000001</v>
      </c>
      <c r="O410">
        <v>1.71</v>
      </c>
      <c r="P410" s="25">
        <v>9.7000000000000003E-3</v>
      </c>
      <c r="Q410" s="25">
        <v>-0.312</v>
      </c>
      <c r="R410" s="26">
        <v>24928</v>
      </c>
      <c r="S410" s="26">
        <v>142168000</v>
      </c>
      <c r="T410">
        <v>0.15</v>
      </c>
      <c r="U410" s="25">
        <v>0.2097</v>
      </c>
    </row>
    <row r="411" spans="1:21" x14ac:dyDescent="0.25">
      <c r="A411" t="s">
        <v>152</v>
      </c>
      <c r="B411">
        <v>30.7</v>
      </c>
      <c r="C411">
        <v>17.53</v>
      </c>
      <c r="D411">
        <v>1.47</v>
      </c>
      <c r="E411">
        <v>1.766</v>
      </c>
      <c r="F411" s="25">
        <v>5.2499999999999998E-2</v>
      </c>
      <c r="G411">
        <v>0.79100000000000004</v>
      </c>
      <c r="H411">
        <v>-104.25</v>
      </c>
      <c r="I411">
        <v>11.92</v>
      </c>
      <c r="J411">
        <v>-3.07</v>
      </c>
      <c r="K411">
        <v>13.39</v>
      </c>
      <c r="L411">
        <v>4.9000000000000004</v>
      </c>
      <c r="M411" s="25">
        <v>0.14810000000000001</v>
      </c>
      <c r="N411" s="25">
        <v>0.1009</v>
      </c>
      <c r="O411">
        <v>0.96</v>
      </c>
      <c r="P411" s="25">
        <v>7.7100000000000002E-2</v>
      </c>
      <c r="Q411" s="25">
        <v>8.3900000000000002E-2</v>
      </c>
      <c r="R411" s="26">
        <v>205485000</v>
      </c>
      <c r="S411" s="26">
        <v>68076000000</v>
      </c>
      <c r="T411">
        <v>0.3</v>
      </c>
      <c r="U411" s="25">
        <v>7.4499999999999997E-2</v>
      </c>
    </row>
    <row r="412" spans="1:21" x14ac:dyDescent="0.25">
      <c r="A412" t="s">
        <v>59</v>
      </c>
      <c r="B412">
        <v>22.33</v>
      </c>
      <c r="C412">
        <v>5.96</v>
      </c>
      <c r="D412">
        <v>1.04</v>
      </c>
      <c r="E412">
        <v>0.83499999999999996</v>
      </c>
      <c r="F412" s="25">
        <v>0.1211</v>
      </c>
      <c r="G412">
        <v>0.62</v>
      </c>
      <c r="H412">
        <v>1.86</v>
      </c>
      <c r="I412">
        <v>4.8099999999999996</v>
      </c>
      <c r="J412">
        <v>5.6</v>
      </c>
      <c r="K412">
        <v>4.6900000000000004</v>
      </c>
      <c r="L412">
        <v>3.68</v>
      </c>
      <c r="M412" s="25">
        <v>0.17369999999999999</v>
      </c>
      <c r="N412" s="25">
        <v>0.1401</v>
      </c>
      <c r="O412">
        <v>2.83</v>
      </c>
      <c r="P412" s="25">
        <v>0.1787</v>
      </c>
      <c r="Q412" s="25">
        <v>0.17510000000000001</v>
      </c>
      <c r="R412" s="26">
        <v>7060810</v>
      </c>
      <c r="S412" s="26">
        <v>1750530000</v>
      </c>
      <c r="T412">
        <v>0.34</v>
      </c>
      <c r="U412" s="25">
        <v>1.8200000000000001E-2</v>
      </c>
    </row>
    <row r="413" spans="1:21" x14ac:dyDescent="0.25">
      <c r="A413" t="s">
        <v>261</v>
      </c>
      <c r="B413">
        <v>5.99</v>
      </c>
      <c r="C413">
        <v>-73.06</v>
      </c>
      <c r="D413">
        <v>0.67</v>
      </c>
      <c r="E413">
        <v>0.60599999999999998</v>
      </c>
      <c r="F413" s="25">
        <v>2.0000000000000001E-4</v>
      </c>
      <c r="G413">
        <v>0.41599999999999998</v>
      </c>
      <c r="H413">
        <v>4.8600000000000003</v>
      </c>
      <c r="I413">
        <v>16.350000000000001</v>
      </c>
      <c r="J413">
        <v>-5.07</v>
      </c>
      <c r="K413">
        <v>23.47</v>
      </c>
      <c r="L413">
        <v>4.59</v>
      </c>
      <c r="M413" s="25">
        <v>3.7100000000000001E-2</v>
      </c>
      <c r="N413" s="25">
        <v>-8.3000000000000001E-3</v>
      </c>
      <c r="O413">
        <v>1.41</v>
      </c>
      <c r="P413" s="25">
        <v>2.8400000000000002E-2</v>
      </c>
      <c r="Q413" s="25">
        <v>-9.1000000000000004E-3</v>
      </c>
      <c r="R413" s="26">
        <v>180566</v>
      </c>
      <c r="S413" s="26">
        <v>1029440000</v>
      </c>
      <c r="T413">
        <v>0.33</v>
      </c>
      <c r="U413" s="25">
        <v>0.16880000000000001</v>
      </c>
    </row>
    <row r="414" spans="1:21" x14ac:dyDescent="0.25">
      <c r="A414" t="s">
        <v>459</v>
      </c>
      <c r="B414">
        <v>8.77</v>
      </c>
      <c r="C414">
        <v>3.56</v>
      </c>
      <c r="D414">
        <v>0.45</v>
      </c>
      <c r="E414">
        <v>0.53900000000000003</v>
      </c>
      <c r="F414" s="25">
        <v>2.5000000000000001E-3</v>
      </c>
      <c r="G414">
        <v>0.19800000000000001</v>
      </c>
      <c r="H414">
        <v>2.2999999999999998</v>
      </c>
      <c r="I414">
        <v>1.59</v>
      </c>
      <c r="J414">
        <v>-0.49</v>
      </c>
      <c r="K414">
        <v>4.09</v>
      </c>
      <c r="L414">
        <v>3.16</v>
      </c>
      <c r="M414" s="25">
        <v>0.33910000000000001</v>
      </c>
      <c r="N414" s="25">
        <v>0.1515</v>
      </c>
      <c r="O414">
        <v>2.15</v>
      </c>
      <c r="P414" s="25">
        <v>0.14149999999999999</v>
      </c>
      <c r="Q414" s="25">
        <v>0.1268</v>
      </c>
      <c r="R414" s="26">
        <v>6184850</v>
      </c>
      <c r="S414" s="26">
        <v>2608610000</v>
      </c>
      <c r="T414">
        <v>0.93</v>
      </c>
      <c r="U414" s="25">
        <v>0.1741</v>
      </c>
    </row>
    <row r="415" spans="1:21" x14ac:dyDescent="0.25">
      <c r="A415" t="s">
        <v>190</v>
      </c>
      <c r="B415">
        <v>18.600000000000001</v>
      </c>
      <c r="C415">
        <v>8.73</v>
      </c>
      <c r="D415">
        <v>2.3199999999999998</v>
      </c>
      <c r="E415">
        <v>1.6259999999999999</v>
      </c>
      <c r="F415" s="25">
        <v>8.72E-2</v>
      </c>
      <c r="G415">
        <v>1.7470000000000001</v>
      </c>
      <c r="H415">
        <v>3.41</v>
      </c>
      <c r="I415">
        <v>9.16</v>
      </c>
      <c r="J415">
        <v>3.87</v>
      </c>
      <c r="K415">
        <v>9.18</v>
      </c>
      <c r="L415">
        <v>7.66</v>
      </c>
      <c r="M415" s="25">
        <v>0.17749999999999999</v>
      </c>
      <c r="N415" s="25">
        <v>0.18629999999999999</v>
      </c>
      <c r="O415">
        <v>3.74</v>
      </c>
      <c r="P415" s="25">
        <v>0.22</v>
      </c>
      <c r="Q415" s="25">
        <v>0.26619999999999999</v>
      </c>
      <c r="R415" s="26">
        <v>11889900</v>
      </c>
      <c r="S415" s="26">
        <v>2205960000</v>
      </c>
      <c r="T415">
        <v>0.12</v>
      </c>
      <c r="U415" s="25">
        <v>0.24379999999999999</v>
      </c>
    </row>
    <row r="416" spans="1:21" x14ac:dyDescent="0.25">
      <c r="A416" t="s">
        <v>222</v>
      </c>
      <c r="B416">
        <v>1.1100000000000001</v>
      </c>
      <c r="C416">
        <v>-0.24</v>
      </c>
      <c r="D416">
        <v>0.19</v>
      </c>
      <c r="E416">
        <v>3.1E-2</v>
      </c>
      <c r="F416" s="25">
        <v>0</v>
      </c>
      <c r="G416">
        <v>3.7999999999999999E-2</v>
      </c>
      <c r="H416">
        <v>0.15</v>
      </c>
      <c r="I416">
        <v>-2.35</v>
      </c>
      <c r="J416">
        <v>-0.15</v>
      </c>
      <c r="K416">
        <v>-21.32</v>
      </c>
      <c r="L416">
        <v>19.72</v>
      </c>
      <c r="M416" s="25">
        <v>-1.3299999999999999E-2</v>
      </c>
      <c r="N416" s="25">
        <v>-0.1295</v>
      </c>
      <c r="O416">
        <v>1.85</v>
      </c>
      <c r="P416" s="25">
        <v>-2.3E-2</v>
      </c>
      <c r="Q416" s="25">
        <v>-0.79069999999999996</v>
      </c>
      <c r="R416" s="26">
        <v>830872</v>
      </c>
      <c r="S416" s="26">
        <v>1868630000</v>
      </c>
      <c r="T416">
        <v>2.02</v>
      </c>
      <c r="U416" s="25">
        <v>0.1948</v>
      </c>
    </row>
    <row r="417" spans="1:21" x14ac:dyDescent="0.25">
      <c r="A417" t="s">
        <v>77</v>
      </c>
      <c r="B417">
        <v>38.01</v>
      </c>
      <c r="C417">
        <v>24.89</v>
      </c>
      <c r="D417">
        <v>7.18</v>
      </c>
      <c r="E417">
        <v>3.895</v>
      </c>
      <c r="F417" s="25">
        <v>2.1399999999999999E-2</v>
      </c>
      <c r="G417">
        <v>4.0049999999999999</v>
      </c>
      <c r="H417">
        <v>14.45</v>
      </c>
      <c r="I417">
        <v>17.82</v>
      </c>
      <c r="J417">
        <v>18.53</v>
      </c>
      <c r="K417">
        <v>17.47</v>
      </c>
      <c r="L417">
        <v>15.84</v>
      </c>
      <c r="M417" s="25">
        <v>0.21859999999999999</v>
      </c>
      <c r="N417" s="25">
        <v>0.16500000000000001</v>
      </c>
      <c r="O417">
        <v>1.77</v>
      </c>
      <c r="P417" s="25">
        <v>0.2863</v>
      </c>
      <c r="Q417" s="25">
        <v>0.28860000000000002</v>
      </c>
      <c r="R417" s="26">
        <v>350176000</v>
      </c>
      <c r="S417" s="26">
        <v>22215900000</v>
      </c>
      <c r="T417">
        <v>0.12</v>
      </c>
      <c r="U417" s="25">
        <v>0.17599999999999999</v>
      </c>
    </row>
    <row r="418" spans="1:21" x14ac:dyDescent="0.25">
      <c r="A418" t="s">
        <v>84</v>
      </c>
      <c r="B418">
        <v>3.69</v>
      </c>
      <c r="C418">
        <v>-2.09</v>
      </c>
      <c r="D418">
        <v>0.19</v>
      </c>
      <c r="E418">
        <v>0.25600000000000001</v>
      </c>
      <c r="F418" s="25">
        <v>0</v>
      </c>
      <c r="G418">
        <v>0.13700000000000001</v>
      </c>
      <c r="H418">
        <v>0.36</v>
      </c>
      <c r="I418">
        <v>-0.94</v>
      </c>
      <c r="J418">
        <v>0.43</v>
      </c>
      <c r="K418">
        <v>1.36</v>
      </c>
      <c r="L418">
        <v>2.27</v>
      </c>
      <c r="M418" s="25">
        <v>-0.27200000000000002</v>
      </c>
      <c r="N418" s="25">
        <v>-0.12230000000000001</v>
      </c>
      <c r="O418">
        <v>2.91</v>
      </c>
      <c r="P418" s="25">
        <v>-0.2752</v>
      </c>
      <c r="Q418" s="25">
        <v>-8.8599999999999998E-2</v>
      </c>
      <c r="R418" s="26">
        <v>29836.2</v>
      </c>
      <c r="S418" s="26">
        <v>221569000</v>
      </c>
      <c r="T418">
        <v>0.05</v>
      </c>
      <c r="U418" s="25">
        <v>-0.12529999999999999</v>
      </c>
    </row>
    <row r="419" spans="1:21" x14ac:dyDescent="0.25">
      <c r="A419" t="s">
        <v>460</v>
      </c>
      <c r="B419">
        <v>4.18</v>
      </c>
      <c r="C419">
        <v>7.02</v>
      </c>
      <c r="D419">
        <v>2.29</v>
      </c>
      <c r="E419">
        <v>0.47699999999999998</v>
      </c>
      <c r="F419" s="25">
        <v>0.17180000000000001</v>
      </c>
      <c r="G419">
        <v>0.625</v>
      </c>
      <c r="H419">
        <v>14.81</v>
      </c>
      <c r="I419">
        <v>5.43</v>
      </c>
      <c r="J419">
        <v>-16.34</v>
      </c>
      <c r="K419">
        <v>3.9</v>
      </c>
      <c r="L419">
        <v>3.2</v>
      </c>
      <c r="M419" s="25">
        <v>8.7900000000000006E-2</v>
      </c>
      <c r="N419" s="25">
        <v>6.8099999999999994E-2</v>
      </c>
      <c r="O419">
        <v>1.07</v>
      </c>
      <c r="P419" s="25">
        <v>0.38919999999999999</v>
      </c>
      <c r="Q419" s="25">
        <v>0.32669999999999999</v>
      </c>
      <c r="R419" s="26">
        <v>23869.7</v>
      </c>
      <c r="S419" s="26">
        <v>2738890000</v>
      </c>
      <c r="T419">
        <v>0.41</v>
      </c>
      <c r="U419" s="25">
        <v>5.9700000000000003E-2</v>
      </c>
    </row>
    <row r="420" spans="1:21" x14ac:dyDescent="0.25">
      <c r="A420" t="s">
        <v>13</v>
      </c>
      <c r="B420">
        <v>4.1500000000000004</v>
      </c>
      <c r="C420">
        <v>6.97</v>
      </c>
      <c r="D420">
        <v>2.2799999999999998</v>
      </c>
      <c r="E420">
        <v>0.47399999999999998</v>
      </c>
      <c r="F420" s="25">
        <v>0.19040000000000001</v>
      </c>
      <c r="G420">
        <v>0.62</v>
      </c>
      <c r="H420">
        <v>14.7</v>
      </c>
      <c r="I420">
        <v>5.39</v>
      </c>
      <c r="J420">
        <v>-16.23</v>
      </c>
      <c r="K420">
        <v>3.87</v>
      </c>
      <c r="L420">
        <v>3.17</v>
      </c>
      <c r="M420" s="25">
        <v>8.7900000000000006E-2</v>
      </c>
      <c r="N420" s="25">
        <v>6.8099999999999994E-2</v>
      </c>
      <c r="O420">
        <v>1.07</v>
      </c>
      <c r="P420" s="25">
        <v>0.38919999999999999</v>
      </c>
      <c r="Q420" s="25">
        <v>0.32669999999999999</v>
      </c>
      <c r="R420" s="26">
        <v>141601</v>
      </c>
      <c r="S420" s="26">
        <v>2738890000</v>
      </c>
      <c r="T420">
        <v>0.41</v>
      </c>
      <c r="U420" s="25">
        <v>5.9700000000000003E-2</v>
      </c>
    </row>
    <row r="421" spans="1:21" x14ac:dyDescent="0.25">
      <c r="A421" t="s">
        <v>119</v>
      </c>
      <c r="B421">
        <v>7.19</v>
      </c>
      <c r="C421">
        <v>6.79</v>
      </c>
      <c r="D421">
        <v>1.94</v>
      </c>
      <c r="E421">
        <v>0.88100000000000001</v>
      </c>
      <c r="F421" s="25">
        <v>3.4799999999999998E-2</v>
      </c>
      <c r="G421">
        <v>0.44900000000000001</v>
      </c>
      <c r="H421">
        <v>48.83</v>
      </c>
      <c r="I421">
        <v>1.76</v>
      </c>
      <c r="J421">
        <v>-1.6</v>
      </c>
      <c r="K421">
        <v>1.71</v>
      </c>
      <c r="L421">
        <v>1.45</v>
      </c>
      <c r="M421" s="25">
        <v>0.49940000000000001</v>
      </c>
      <c r="N421" s="25">
        <v>0.2402</v>
      </c>
      <c r="O421">
        <v>1.04</v>
      </c>
      <c r="P421" s="25">
        <v>0.33579999999999999</v>
      </c>
      <c r="Q421" s="25">
        <v>0.28539999999999999</v>
      </c>
      <c r="R421" s="26">
        <v>3202290</v>
      </c>
      <c r="S421" s="26">
        <v>593034000</v>
      </c>
      <c r="T421">
        <v>0.68</v>
      </c>
      <c r="U421" s="25">
        <v>0.12720000000000001</v>
      </c>
    </row>
    <row r="422" spans="1:21" x14ac:dyDescent="0.25">
      <c r="A422" t="s">
        <v>461</v>
      </c>
      <c r="B422">
        <v>24</v>
      </c>
      <c r="C422">
        <v>7.01</v>
      </c>
      <c r="D422">
        <v>1.1000000000000001</v>
      </c>
      <c r="E422">
        <v>0.28599999999999998</v>
      </c>
      <c r="F422" s="25">
        <v>6.1100000000000002E-2</v>
      </c>
      <c r="G422">
        <v>0.61299999999999999</v>
      </c>
      <c r="H422">
        <v>1.79</v>
      </c>
      <c r="I422">
        <v>4.99</v>
      </c>
      <c r="J422">
        <v>4.09</v>
      </c>
      <c r="K422">
        <v>6.92</v>
      </c>
      <c r="L422">
        <v>6.68</v>
      </c>
      <c r="M422" s="25">
        <v>5.7299999999999997E-2</v>
      </c>
      <c r="N422" s="25">
        <v>4.0800000000000003E-2</v>
      </c>
      <c r="O422">
        <v>2.36</v>
      </c>
      <c r="P422" s="25">
        <v>0.1381</v>
      </c>
      <c r="Q422" s="25">
        <v>0.15690000000000001</v>
      </c>
      <c r="R422" s="26">
        <v>1131.19</v>
      </c>
      <c r="S422" s="26">
        <v>794718000</v>
      </c>
      <c r="T422">
        <v>0.53</v>
      </c>
      <c r="U422" s="25">
        <v>0.26329999999999998</v>
      </c>
    </row>
    <row r="423" spans="1:21" x14ac:dyDescent="0.25">
      <c r="A423" t="s">
        <v>462</v>
      </c>
      <c r="B423">
        <v>23.28</v>
      </c>
      <c r="C423">
        <v>6.8</v>
      </c>
      <c r="D423">
        <v>1.07</v>
      </c>
      <c r="E423">
        <v>0.27800000000000002</v>
      </c>
      <c r="F423" s="25">
        <v>6.93E-2</v>
      </c>
      <c r="G423">
        <v>0.59399999999999997</v>
      </c>
      <c r="H423">
        <v>1.74</v>
      </c>
      <c r="I423">
        <v>4.84</v>
      </c>
      <c r="J423">
        <v>3.97</v>
      </c>
      <c r="K423">
        <v>6.77</v>
      </c>
      <c r="L423">
        <v>6.53</v>
      </c>
      <c r="M423" s="25">
        <v>5.7299999999999997E-2</v>
      </c>
      <c r="N423" s="25">
        <v>4.0800000000000003E-2</v>
      </c>
      <c r="O423">
        <v>2.36</v>
      </c>
      <c r="P423" s="25">
        <v>0.1381</v>
      </c>
      <c r="Q423" s="25">
        <v>0.15690000000000001</v>
      </c>
      <c r="R423" s="26">
        <v>45706.8</v>
      </c>
      <c r="S423" s="26">
        <v>794718000</v>
      </c>
      <c r="T423">
        <v>0.53</v>
      </c>
      <c r="U423" s="25">
        <v>0.26329999999999998</v>
      </c>
    </row>
    <row r="424" spans="1:21" x14ac:dyDescent="0.25">
      <c r="A424" t="s">
        <v>206</v>
      </c>
      <c r="B424">
        <v>13.01</v>
      </c>
      <c r="C424">
        <v>11.16</v>
      </c>
      <c r="D424">
        <v>1.1499999999999999</v>
      </c>
      <c r="E424">
        <v>0.66300000000000003</v>
      </c>
      <c r="F424" s="25">
        <v>4.3900000000000002E-2</v>
      </c>
      <c r="G424">
        <v>0.36299999999999999</v>
      </c>
      <c r="H424">
        <v>5.58</v>
      </c>
      <c r="I424">
        <v>4.09</v>
      </c>
      <c r="J424">
        <v>-0.83</v>
      </c>
      <c r="K424" s="26">
        <v>9.19</v>
      </c>
      <c r="L424">
        <v>4.7300000000000004</v>
      </c>
      <c r="M424" s="25">
        <v>0.16200000000000001</v>
      </c>
      <c r="N424" s="25">
        <v>5.9400000000000001E-2</v>
      </c>
      <c r="O424">
        <v>1.36</v>
      </c>
      <c r="P424" s="25">
        <v>0.1003</v>
      </c>
      <c r="Q424" s="25">
        <v>0.10290000000000001</v>
      </c>
      <c r="R424" s="26">
        <v>55159900</v>
      </c>
      <c r="S424" s="26">
        <v>3103980000</v>
      </c>
      <c r="T424">
        <v>1.73</v>
      </c>
      <c r="U424" s="25">
        <v>7.7600000000000002E-2</v>
      </c>
    </row>
    <row r="425" spans="1:21" x14ac:dyDescent="0.25">
      <c r="A425" t="s">
        <v>243</v>
      </c>
      <c r="B425">
        <v>3.48</v>
      </c>
      <c r="C425" s="26">
        <v>-9.83</v>
      </c>
      <c r="D425">
        <v>0.93</v>
      </c>
      <c r="E425">
        <v>0.30199999999999999</v>
      </c>
      <c r="F425" s="25">
        <v>0</v>
      </c>
      <c r="G425">
        <v>0.32600000000000001</v>
      </c>
      <c r="H425">
        <v>11.67</v>
      </c>
      <c r="I425">
        <v>-903.42</v>
      </c>
      <c r="J425">
        <v>-0.78</v>
      </c>
      <c r="K425" s="26">
        <v>-1377.77</v>
      </c>
      <c r="L425">
        <v>4.3899999999999997</v>
      </c>
      <c r="M425" s="25">
        <v>-2.9999999999999997E-4</v>
      </c>
      <c r="N425" s="25">
        <v>-3.0700000000000002E-2</v>
      </c>
      <c r="O425">
        <v>1.1399999999999999</v>
      </c>
      <c r="P425" s="25">
        <v>-4.0000000000000002E-4</v>
      </c>
      <c r="Q425" s="25">
        <v>-9.4799999999999995E-2</v>
      </c>
      <c r="R425" s="26">
        <v>2629240</v>
      </c>
      <c r="S425" s="26">
        <v>1519080000</v>
      </c>
      <c r="T425">
        <v>0.74</v>
      </c>
      <c r="U425" s="25">
        <v>0.2024</v>
      </c>
    </row>
    <row r="426" spans="1:21" x14ac:dyDescent="0.25">
      <c r="C426" s="26"/>
      <c r="F426" s="25"/>
      <c r="K426" s="26"/>
      <c r="M426" s="25"/>
      <c r="N426" s="25"/>
      <c r="P426" s="25"/>
      <c r="Q426" s="25"/>
      <c r="R426" s="26"/>
      <c r="S426" s="26"/>
      <c r="U426" s="25"/>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5D2283-556C-4F35-8238-B84D10EF6A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Bovespa</vt:lpstr>
      <vt:lpstr>Streamlit</vt:lpstr>
      <vt:lpstr>Criptos</vt:lpstr>
      <vt:lpstr>BDR</vt:lpstr>
      <vt:lpstr>ETF</vt:lpstr>
      <vt:lpstr>FII</vt:lpstr>
      <vt:lpstr>Cotacoes</vt:lpstr>
      <vt:lpstr>Fundamentus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2025-07-27T23:19:19Z</dcterms:modified>
</cp:coreProperties>
</file>